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STER\Hivatal\Helyi rendeletek\Rendeletek évek szerint\2020\"/>
    </mc:Choice>
  </mc:AlternateContent>
  <xr:revisionPtr revIDLastSave="0" documentId="8_{C13BBD24-A3E0-4ED3-9133-B10903FA0E19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1 címrend" sheetId="1" r:id="rId1"/>
    <sheet name="2 létszámkeret" sheetId="2" r:id="rId2"/>
    <sheet name="3 mérleg" sheetId="60" r:id="rId3"/>
    <sheet name="3.1 mérleg2" sheetId="76" r:id="rId4"/>
    <sheet name="4. Önkormányzat+int összesen" sheetId="4" r:id="rId5"/>
    <sheet name="5.0 hivatal" sheetId="5" r:id="rId6"/>
    <sheet name="5.1 igazgatás cofog" sheetId="19" r:id="rId7"/>
    <sheet name="5.2 adó cofog" sheetId="18" r:id="rId8"/>
    <sheet name="5.3 pályázat" sheetId="57" r:id="rId9"/>
    <sheet name="5.4 ogy, ep választás" sheetId="77" r:id="rId10"/>
    <sheet name="6.0 hksk" sheetId="6" r:id="rId11"/>
    <sheet name="6.1 műv ház" sheetId="22" r:id="rId12"/>
    <sheet name="6.2 HH" sheetId="46" r:id="rId13"/>
    <sheet name="6.3 könyvtár" sheetId="21" r:id="rId14"/>
    <sheet name="6.4 sportcsarnok" sheetId="20" r:id="rId15"/>
    <sheet name="6.5 pályázat_1" sheetId="58" r:id="rId16"/>
    <sheet name="7.0 önkormányzat össz" sheetId="7" r:id="rId17"/>
    <sheet name="7.1. igazg 011130" sheetId="8" r:id="rId18"/>
    <sheet name="7.2 temető 013320" sheetId="9" r:id="rId19"/>
    <sheet name="7.3. vagyon 013350" sheetId="10" r:id="rId20"/>
    <sheet name="7.4 018010" sheetId="11" r:id="rId21"/>
    <sheet name="7.5 finansz műveletek 018030" sheetId="12" r:id="rId22"/>
    <sheet name="7.6 út építés 045127" sheetId="63" r:id="rId23"/>
    <sheet name="7.7 közütak működtetés 045160" sheetId="13" r:id="rId24"/>
    <sheet name="7.8 parkoló 045170" sheetId="14" r:id="rId25"/>
    <sheet name="7.9 kábeltv 046020" sheetId="49" r:id="rId26"/>
    <sheet name="7.10 piac 047120" sheetId="15" r:id="rId27"/>
    <sheet name="7.11 tdm tám047320" sheetId="16" r:id="rId28"/>
    <sheet name="7.12 szemét 051030" sheetId="17" r:id="rId29"/>
    <sheet name="7.13 szennyvíz 052080" sheetId="32" r:id="rId30"/>
    <sheet name="7.14 víz 063080" sheetId="31" r:id="rId31"/>
    <sheet name="7.15 közvil 064010" sheetId="30" r:id="rId32"/>
    <sheet name="7.16 zöldterület 066010" sheetId="29" r:id="rId33"/>
    <sheet name="7.17 város 066020" sheetId="28" r:id="rId34"/>
    <sheet name="7.18 háziorvos 072111" sheetId="27" r:id="rId35"/>
    <sheet name="7.19 ügyelet 072112" sheetId="26" r:id="rId36"/>
    <sheet name="7.20 fülészet 072210" sheetId="37" r:id="rId37"/>
    <sheet name="7.21 védőnők 074031" sheetId="36" r:id="rId38"/>
    <sheet name="7.22 isk eü 074032" sheetId="35" r:id="rId39"/>
    <sheet name="7.23 sportcsépület 081030" sheetId="50" r:id="rId40"/>
    <sheet name="7.24 sport tám 081041" sheetId="34" r:id="rId41"/>
    <sheet name="7.25 diáksport 081043" sheetId="33" r:id="rId42"/>
    <sheet name="7.26 közműv 082091" sheetId="54" r:id="rId43"/>
    <sheet name="7.27 közműv 082092" sheetId="53" r:id="rId44"/>
    <sheet name="7.28  óvoda 091140" sheetId="55" r:id="rId45"/>
    <sheet name="7.29 intézmkiv gyétk 104037" sheetId="52" r:id="rId46"/>
    <sheet name="7.30 szoc étk 107051" sheetId="51" r:id="rId47"/>
    <sheet name="7.31 segélyek 107060" sheetId="47" r:id="rId48"/>
    <sheet name="7.32 adóbev 900020" sheetId="48" r:id="rId49"/>
    <sheet name="7.33 pályázatok összesen" sheetId="45" r:id="rId50"/>
    <sheet name="8 többéves" sheetId="42" r:id="rId51"/>
    <sheet name="9 adosságáll" sheetId="83" r:id="rId52"/>
    <sheet name="10 stabilitás" sheetId="69" r:id="rId53"/>
    <sheet name="11 beruházások" sheetId="40" r:id="rId54"/>
    <sheet name="12 felújítás" sheetId="39" r:id="rId55"/>
    <sheet name="13 támogatások" sheetId="41" r:id="rId56"/>
    <sheet name="14 közvetett támogatás" sheetId="38" r:id="rId57"/>
    <sheet name="15 maradvány" sheetId="81" r:id="rId58"/>
    <sheet name="16 mérleg" sheetId="79" r:id="rId59"/>
    <sheet name="17 eredmény kimutatás" sheetId="80" r:id="rId60"/>
    <sheet name="18 vagyonkimutatás" sheetId="82" r:id="rId61"/>
    <sheet name="19 pénzeszközfelhaszn" sheetId="23" r:id="rId62"/>
    <sheet name="20 eus pályázatok" sheetId="43" r:id="rId63"/>
    <sheet name="21 pályázatok részletes" sheetId="59" r:id="rId64"/>
    <sheet name="22 részesedések" sheetId="85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4._sz._sor_részletezése">#REF!</definedName>
    <definedName name="_Regression_Int" hidden="1">1</definedName>
    <definedName name="_Szűrő" hidden="1">[1]kv.00induló!$A$1:$AB$1668</definedName>
    <definedName name="_SzűrőAdatbázis" hidden="1">[2]kv.00induló!$A$1:$AB$1671</definedName>
    <definedName name="A1AC">[1]kv.00induló!$A$1</definedName>
    <definedName name="A1AC1329">[2]kv.00induló!$A$1</definedName>
    <definedName name="CCAműát">[3]kv.00induló!$A$1</definedName>
    <definedName name="int">[4]kv.00induló!$A$1</definedName>
    <definedName name="második">[5]iő!$A$1</definedName>
    <definedName name="_xlnm.Print_Titles" localSheetId="61">'19 pénzeszközfelhaszn'!$A:$B</definedName>
    <definedName name="_xlnm.Print_Titles" localSheetId="63">'21 pályázatok részletes'!$A:$B,'21 pályázatok részletes'!$5:$7</definedName>
    <definedName name="_xlnm.Print_Titles" localSheetId="2">'3 mérleg'!$1:$8</definedName>
    <definedName name="_xlnm.Print_Titles" localSheetId="4">'4. Önkormányzat+int összesen'!$A:$B,'4. Önkormányzat+int összesen'!$6:$8</definedName>
    <definedName name="_xlnm.Print_Titles" localSheetId="5">'5.0 hivatal'!$8:$8</definedName>
    <definedName name="_xlnm.Print_Titles" localSheetId="6">'5.1 igazgatás cofog'!$8:$8</definedName>
    <definedName name="_xlnm.Print_Titles" localSheetId="7">'5.2 adó cofog'!$8:$8</definedName>
    <definedName name="_xlnm.Print_Titles" localSheetId="8">'5.3 pályázat'!$1:$8</definedName>
    <definedName name="_xlnm.Print_Titles" localSheetId="10">'6.0 hksk'!$8:$8</definedName>
    <definedName name="_xlnm.Print_Titles" localSheetId="11">'6.1 műv ház'!$8:$8</definedName>
    <definedName name="_xlnm.Print_Titles" localSheetId="12">'6.2 HH'!$8:$8</definedName>
    <definedName name="_xlnm.Print_Titles" localSheetId="13">'6.3 könyvtár'!$8:$8</definedName>
    <definedName name="_xlnm.Print_Titles" localSheetId="14">'6.4 sportcsarnok'!$8:$8</definedName>
    <definedName name="_xlnm.Print_Titles" localSheetId="16">'7.0 önkormányzat össz'!$8:$8</definedName>
    <definedName name="_xlnm.Print_Titles" localSheetId="17">'7.1. igazg 011130'!$A:$F,'7.1. igazg 011130'!$1:$8</definedName>
    <definedName name="_xlnm.Print_Titles" localSheetId="26">'7.10 piac 047120'!$8:$8</definedName>
    <definedName name="_xlnm.Print_Titles" localSheetId="33">'7.17 város 066020'!$8:$8</definedName>
    <definedName name="_xlnm.Print_Titles" localSheetId="18">'7.2 temető 013320'!$1:$8</definedName>
    <definedName name="_xlnm.Print_Titles" localSheetId="37">'7.21 védőnők 074031'!$8:$8</definedName>
    <definedName name="_xlnm.Print_Titles" localSheetId="19">'7.3. vagyon 013350'!$1:$8</definedName>
    <definedName name="_xlnm.Print_Titles" localSheetId="49">'7.33 pályázatok összesen'!$A:$B,'7.33 pályázatok összesen'!$1:$8</definedName>
    <definedName name="Nyomtatási_cím_M">[1]kv.00induló!$2:$3,[1]kv.00induló!$A:$D</definedName>
    <definedName name="Nyomtatási_cím_MÉ">[6]kv.00induló!$2:$3,[6]kv.00induló!$A:$D</definedName>
    <definedName name="_xlnm.Print_Area" localSheetId="54">'12 felújítás'!$A$1:$I$51</definedName>
    <definedName name="_xlnm.Print_Area" localSheetId="55">'13 támogatások'!$A$1:$G$69</definedName>
    <definedName name="_xlnm.Print_Area" localSheetId="56">'14 közvetett támogatás'!$A$1:$D$45</definedName>
    <definedName name="_xlnm.Print_Area" localSheetId="1">'2 létszámkeret'!$A$3:$D$24</definedName>
    <definedName name="_xlnm.Print_Area" localSheetId="62">'20 eus pályázatok'!$A$1:$G$276</definedName>
    <definedName name="_xlnm.Print_Area" localSheetId="63">'21 pályázatok részletes'!$A$1:$BS$151</definedName>
    <definedName name="_xlnm.Print_Area" localSheetId="2">'3 mérleg'!$A$1:$I$63</definedName>
    <definedName name="_xlnm.Print_Area" localSheetId="21">'7.5 finansz műveletek 018030'!$A$1:$H$153</definedName>
    <definedName name="_xlnm.Print_Area" localSheetId="50">'8 többéves'!$A$1:$Q$20</definedName>
    <definedName name="Nyomtatási_terület_M">[1]kv.00induló!$R$4:$AA$1793</definedName>
    <definedName name="Nyomtatási_terület_MÉ">[2]kv.00induló!$R$4:$AA$1796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43" l="1"/>
  <c r="D13" i="43"/>
  <c r="G209" i="43"/>
  <c r="E137" i="43"/>
  <c r="G137" i="43" s="1"/>
  <c r="E146" i="43"/>
  <c r="E120" i="43" l="1"/>
  <c r="E268" i="43" l="1"/>
  <c r="G268" i="43" s="1"/>
  <c r="G269" i="43"/>
  <c r="G270" i="43"/>
  <c r="G271" i="43"/>
  <c r="G272" i="43"/>
  <c r="G273" i="43"/>
  <c r="G267" i="43"/>
  <c r="E244" i="43"/>
  <c r="G146" i="43"/>
  <c r="G86" i="43"/>
  <c r="G87" i="43"/>
  <c r="E73" i="43"/>
  <c r="G73" i="43" s="1"/>
  <c r="G61" i="43"/>
  <c r="G62" i="43"/>
  <c r="G63" i="43"/>
  <c r="G245" i="43" l="1"/>
  <c r="G246" i="43"/>
  <c r="G247" i="43"/>
  <c r="G248" i="43"/>
  <c r="G249" i="43"/>
  <c r="G244" i="43"/>
  <c r="G235" i="43"/>
  <c r="E226" i="43"/>
  <c r="G221" i="43"/>
  <c r="G222" i="43"/>
  <c r="G223" i="43"/>
  <c r="G224" i="43"/>
  <c r="G225" i="43"/>
  <c r="G220" i="43"/>
  <c r="G195" i="43"/>
  <c r="G188" i="43"/>
  <c r="G189" i="43"/>
  <c r="G190" i="43"/>
  <c r="G191" i="43"/>
  <c r="G187" i="43"/>
  <c r="G198" i="43"/>
  <c r="G199" i="43"/>
  <c r="G200" i="43"/>
  <c r="G201" i="43"/>
  <c r="G196" i="43"/>
  <c r="G197" i="43"/>
  <c r="E161" i="43"/>
  <c r="D145" i="43"/>
  <c r="H67" i="40"/>
  <c r="F11" i="42" l="1"/>
  <c r="I11" i="42"/>
  <c r="J11" i="42"/>
  <c r="K11" i="42"/>
  <c r="L11" i="42"/>
  <c r="M11" i="42"/>
  <c r="N11" i="42"/>
  <c r="O11" i="42"/>
  <c r="P11" i="42"/>
  <c r="H11" i="42"/>
  <c r="Q17" i="42"/>
  <c r="Q18" i="42"/>
  <c r="Q19" i="42"/>
  <c r="C18" i="85"/>
  <c r="B18" i="85"/>
  <c r="D15" i="85" s="1"/>
  <c r="D17" i="85"/>
  <c r="D16" i="85"/>
  <c r="D14" i="85"/>
  <c r="D13" i="85" l="1"/>
  <c r="J24" i="39" l="1"/>
  <c r="J30" i="39"/>
  <c r="AN33" i="23"/>
  <c r="K33" i="23"/>
  <c r="D33" i="23"/>
  <c r="C33" i="23"/>
  <c r="E19" i="23"/>
  <c r="BA19" i="23" s="1"/>
  <c r="L83" i="22" l="1"/>
  <c r="C5" i="2"/>
  <c r="H5" i="60" s="1"/>
  <c r="P6" i="76" s="1"/>
  <c r="AO3" i="4" s="1"/>
  <c r="F6" i="5" s="1"/>
  <c r="D6" i="19" s="1"/>
  <c r="D6" i="18" s="1"/>
  <c r="D6" i="57" s="1"/>
  <c r="F6" i="77" s="1"/>
  <c r="D6" i="6" s="1"/>
  <c r="D6" i="22" s="1"/>
  <c r="D6" i="46" s="1"/>
  <c r="D6" i="21" s="1"/>
  <c r="D6" i="20" s="1"/>
  <c r="D6" i="58" s="1"/>
  <c r="D6" i="7" s="1"/>
  <c r="D6" i="8" s="1"/>
  <c r="D6" i="9" s="1"/>
  <c r="D6" i="10" s="1"/>
  <c r="D6" i="11" s="1"/>
  <c r="D6" i="12" s="1"/>
  <c r="D6" i="63" s="1"/>
  <c r="D6" i="13" s="1"/>
  <c r="D6" i="14" s="1"/>
  <c r="D6" i="49" s="1"/>
  <c r="D6" i="15" s="1"/>
  <c r="D6" i="16" s="1"/>
  <c r="D6" i="17" s="1"/>
  <c r="D6" i="32" s="1"/>
  <c r="D6" i="31" s="1"/>
  <c r="D6" i="30" s="1"/>
  <c r="D6" i="29" s="1"/>
  <c r="D6" i="28" s="1"/>
  <c r="D6" i="27" s="1"/>
  <c r="D6" i="26" s="1"/>
  <c r="D6" i="37" s="1"/>
  <c r="D6" i="36" s="1"/>
  <c r="D6" i="35" s="1"/>
  <c r="D6" i="50" s="1"/>
  <c r="D6" i="34" s="1"/>
  <c r="D6" i="33" s="1"/>
  <c r="D6" i="54" s="1"/>
  <c r="D6" i="53" s="1"/>
  <c r="D6" i="55" s="1"/>
  <c r="D6" i="52" s="1"/>
  <c r="D6" i="51" s="1"/>
  <c r="D6" i="47" s="1"/>
  <c r="D6" i="48" s="1"/>
  <c r="D6" i="45" s="1"/>
  <c r="N5" i="42" s="1"/>
  <c r="H6" i="83" s="1"/>
  <c r="E6" i="69" s="1"/>
  <c r="G6" i="40" s="1"/>
  <c r="H6" i="39" s="1"/>
  <c r="D8" i="41" s="1"/>
  <c r="C7" i="38" s="1"/>
  <c r="E8" i="81" s="1"/>
  <c r="E7" i="79" s="1"/>
  <c r="M9" i="80" s="1"/>
  <c r="C9" i="82" s="1"/>
  <c r="M6" i="23" s="1"/>
  <c r="F6" i="43" s="1"/>
  <c r="D3" i="59" s="1"/>
  <c r="D8" i="85" s="1"/>
  <c r="D15" i="39"/>
  <c r="E15" i="39"/>
  <c r="F15" i="39"/>
  <c r="E21" i="39"/>
  <c r="D45" i="39"/>
  <c r="D49" i="39" s="1"/>
  <c r="E45" i="39"/>
  <c r="E49" i="39" s="1"/>
  <c r="E51" i="39" s="1"/>
  <c r="F45" i="39"/>
  <c r="F49" i="39" s="1"/>
  <c r="F51" i="39" s="1"/>
  <c r="D51" i="39" l="1"/>
  <c r="E78" i="43"/>
  <c r="G72" i="43"/>
  <c r="G96" i="43" l="1"/>
  <c r="G97" i="43"/>
  <c r="E103" i="43"/>
  <c r="F103" i="43"/>
  <c r="G88" i="43"/>
  <c r="D22" i="40" l="1"/>
  <c r="D12" i="40"/>
  <c r="H70" i="40"/>
  <c r="H16" i="40"/>
  <c r="H12" i="40"/>
  <c r="J49" i="39"/>
  <c r="J27" i="39"/>
  <c r="J45" i="39" s="1"/>
  <c r="J15" i="39"/>
  <c r="H32" i="40" l="1"/>
  <c r="J50" i="39"/>
  <c r="H57" i="40"/>
  <c r="H64" i="40"/>
  <c r="J51" i="39"/>
  <c r="I21" i="83"/>
  <c r="H21" i="83"/>
  <c r="G21" i="83"/>
  <c r="F21" i="83"/>
  <c r="I14" i="83"/>
  <c r="H14" i="83"/>
  <c r="G14" i="83"/>
  <c r="F14" i="83"/>
  <c r="J11" i="83"/>
  <c r="J24" i="83" s="1"/>
  <c r="I11" i="83"/>
  <c r="H11" i="83"/>
  <c r="G11" i="83"/>
  <c r="F11" i="83"/>
  <c r="H71" i="40" l="1"/>
  <c r="H58" i="40"/>
  <c r="F24" i="83"/>
  <c r="H24" i="83"/>
  <c r="G24" i="83"/>
  <c r="I24" i="83"/>
  <c r="G50" i="41"/>
  <c r="G41" i="41"/>
  <c r="F69" i="41"/>
  <c r="G69" i="41"/>
  <c r="H72" i="40" l="1"/>
  <c r="Q20" i="42"/>
  <c r="Q16" i="42"/>
  <c r="Q15" i="42"/>
  <c r="Q14" i="42"/>
  <c r="Q12" i="42"/>
  <c r="D125" i="82"/>
  <c r="C125" i="82"/>
  <c r="D124" i="82"/>
  <c r="C124" i="82"/>
  <c r="D123" i="82"/>
  <c r="C123" i="82"/>
  <c r="D122" i="82"/>
  <c r="C122" i="82"/>
  <c r="D121" i="82"/>
  <c r="C121" i="82"/>
  <c r="D120" i="82"/>
  <c r="C120" i="82"/>
  <c r="D119" i="82"/>
  <c r="C119" i="82"/>
  <c r="D118" i="82"/>
  <c r="C118" i="82"/>
  <c r="D115" i="82"/>
  <c r="C115" i="82"/>
  <c r="D114" i="82"/>
  <c r="C114" i="82"/>
  <c r="D113" i="82"/>
  <c r="C113" i="82"/>
  <c r="D112" i="82"/>
  <c r="C112" i="82"/>
  <c r="D111" i="82"/>
  <c r="C111" i="82"/>
  <c r="D110" i="82"/>
  <c r="C110" i="82"/>
  <c r="D109" i="82"/>
  <c r="C109" i="82"/>
  <c r="D108" i="82"/>
  <c r="C108" i="82"/>
  <c r="D107" i="82"/>
  <c r="C107" i="82"/>
  <c r="D106" i="82"/>
  <c r="C106" i="82"/>
  <c r="D105" i="82"/>
  <c r="C105" i="82"/>
  <c r="D104" i="82"/>
  <c r="C104" i="82"/>
  <c r="D103" i="82"/>
  <c r="C103" i="82"/>
  <c r="D102" i="82"/>
  <c r="C102" i="82"/>
  <c r="D99" i="82"/>
  <c r="C99" i="82"/>
  <c r="D98" i="82"/>
  <c r="C98" i="82"/>
  <c r="D97" i="82"/>
  <c r="C97" i="82"/>
  <c r="D96" i="82"/>
  <c r="C96" i="82"/>
  <c r="D95" i="82"/>
  <c r="C95" i="82"/>
  <c r="D94" i="82"/>
  <c r="C94" i="82"/>
  <c r="D93" i="82"/>
  <c r="C93" i="82"/>
  <c r="D92" i="82"/>
  <c r="C92" i="82"/>
  <c r="D91" i="82"/>
  <c r="C91" i="82"/>
  <c r="D90" i="82"/>
  <c r="C90" i="82"/>
  <c r="D89" i="82"/>
  <c r="C89" i="82"/>
  <c r="D88" i="82"/>
  <c r="C88" i="82"/>
  <c r="D87" i="82"/>
  <c r="C87" i="82"/>
  <c r="D86" i="82"/>
  <c r="C86" i="82"/>
  <c r="D85" i="82"/>
  <c r="C85" i="82"/>
  <c r="D84" i="82"/>
  <c r="C84" i="82"/>
  <c r="D83" i="82"/>
  <c r="C83" i="82"/>
  <c r="D82" i="82"/>
  <c r="C82" i="82"/>
  <c r="D81" i="82"/>
  <c r="C81" i="82"/>
  <c r="D80" i="82"/>
  <c r="C80" i="82"/>
  <c r="D79" i="82"/>
  <c r="C79" i="82"/>
  <c r="D78" i="82"/>
  <c r="C78" i="82"/>
  <c r="D77" i="82"/>
  <c r="C77" i="82"/>
  <c r="D76" i="82"/>
  <c r="C76" i="82"/>
  <c r="D75" i="82"/>
  <c r="C75" i="82"/>
  <c r="D74" i="82"/>
  <c r="C74" i="82"/>
  <c r="D73" i="82"/>
  <c r="C73" i="82"/>
  <c r="D72" i="82"/>
  <c r="C72" i="82"/>
  <c r="D71" i="82"/>
  <c r="C71" i="82"/>
  <c r="D70" i="82"/>
  <c r="C70" i="82"/>
  <c r="D69" i="82"/>
  <c r="C69" i="82"/>
  <c r="D68" i="82"/>
  <c r="C68" i="82"/>
  <c r="D67" i="82"/>
  <c r="C67" i="82"/>
  <c r="D66" i="82"/>
  <c r="C66" i="82"/>
  <c r="D65" i="82"/>
  <c r="C65" i="82"/>
  <c r="D64" i="82"/>
  <c r="C64" i="82"/>
  <c r="D63" i="82"/>
  <c r="C63" i="82"/>
  <c r="D62" i="82"/>
  <c r="C62" i="82"/>
  <c r="D61" i="82"/>
  <c r="C61" i="82"/>
  <c r="D60" i="82"/>
  <c r="C60" i="82"/>
  <c r="D59" i="82"/>
  <c r="C59" i="82"/>
  <c r="D58" i="82"/>
  <c r="C58" i="82"/>
  <c r="D57" i="82"/>
  <c r="C57" i="82"/>
  <c r="D56" i="82"/>
  <c r="C56" i="82"/>
  <c r="D55" i="82"/>
  <c r="C55" i="82"/>
  <c r="D54" i="82"/>
  <c r="C54" i="82"/>
  <c r="D53" i="82"/>
  <c r="C53" i="82"/>
  <c r="D52" i="82"/>
  <c r="C52" i="82"/>
  <c r="D51" i="82"/>
  <c r="C51" i="82"/>
  <c r="D50" i="82"/>
  <c r="C50" i="82"/>
  <c r="D49" i="82"/>
  <c r="C49" i="82"/>
  <c r="D48" i="82"/>
  <c r="C48" i="82"/>
  <c r="D47" i="82"/>
  <c r="C47" i="82"/>
  <c r="D46" i="82"/>
  <c r="C46" i="82"/>
  <c r="D45" i="82"/>
  <c r="C45" i="82"/>
  <c r="D44" i="82"/>
  <c r="C44" i="82"/>
  <c r="D43" i="82"/>
  <c r="C43" i="82"/>
  <c r="D42" i="82"/>
  <c r="C42" i="82"/>
  <c r="D41" i="82"/>
  <c r="C41" i="82"/>
  <c r="D40" i="82"/>
  <c r="C40" i="82"/>
  <c r="D39" i="82"/>
  <c r="C39" i="82"/>
  <c r="D38" i="82"/>
  <c r="C38" i="82"/>
  <c r="D37" i="82"/>
  <c r="C37" i="82"/>
  <c r="D36" i="82"/>
  <c r="C36" i="82"/>
  <c r="D35" i="82"/>
  <c r="C35" i="82"/>
  <c r="D34" i="82"/>
  <c r="C34" i="82"/>
  <c r="D33" i="82"/>
  <c r="C33" i="82"/>
  <c r="D32" i="82"/>
  <c r="C32" i="82"/>
  <c r="D31" i="82"/>
  <c r="C31" i="82"/>
  <c r="D30" i="82"/>
  <c r="C30" i="82"/>
  <c r="D29" i="82"/>
  <c r="C29" i="82"/>
  <c r="D28" i="82"/>
  <c r="C28" i="82"/>
  <c r="D27" i="82"/>
  <c r="C27" i="82"/>
  <c r="D26" i="82"/>
  <c r="C26" i="82"/>
  <c r="D25" i="82"/>
  <c r="C25" i="82"/>
  <c r="D24" i="82"/>
  <c r="C24" i="82"/>
  <c r="D23" i="82"/>
  <c r="C23" i="82"/>
  <c r="D22" i="82"/>
  <c r="C22" i="82"/>
  <c r="D21" i="82"/>
  <c r="C21" i="82"/>
  <c r="D20" i="82"/>
  <c r="C20" i="82"/>
  <c r="D19" i="82"/>
  <c r="C19" i="82"/>
  <c r="D18" i="82"/>
  <c r="C18" i="82"/>
  <c r="D17" i="82"/>
  <c r="C17" i="82"/>
  <c r="D16" i="82"/>
  <c r="C16" i="82"/>
  <c r="D15" i="82"/>
  <c r="C15" i="82"/>
  <c r="E16" i="82" l="1"/>
  <c r="E20" i="82"/>
  <c r="E22" i="82"/>
  <c r="E26" i="82"/>
  <c r="E33" i="82"/>
  <c r="E35" i="82"/>
  <c r="E37" i="82"/>
  <c r="E39" i="82"/>
  <c r="E42" i="82"/>
  <c r="E52" i="82"/>
  <c r="E59" i="82"/>
  <c r="E63" i="82"/>
  <c r="E90" i="82"/>
  <c r="E92" i="82"/>
  <c r="E94" i="82"/>
  <c r="E96" i="82"/>
  <c r="E99" i="82"/>
  <c r="E103" i="82"/>
  <c r="E105" i="82"/>
  <c r="E108" i="82"/>
  <c r="E110" i="82"/>
  <c r="E112" i="82"/>
  <c r="E115" i="82"/>
  <c r="E119" i="82"/>
  <c r="E15" i="82"/>
  <c r="E17" i="82"/>
  <c r="E21" i="82"/>
  <c r="E25" i="82"/>
  <c r="E32" i="82"/>
  <c r="E34" i="82"/>
  <c r="E36" i="82"/>
  <c r="E38" i="82"/>
  <c r="E41" i="82"/>
  <c r="E48" i="82"/>
  <c r="E58" i="82"/>
  <c r="E62" i="82"/>
  <c r="E88" i="82"/>
  <c r="E91" i="82"/>
  <c r="E93" i="82"/>
  <c r="E95" i="82"/>
  <c r="E97" i="82"/>
  <c r="E102" i="82"/>
  <c r="E104" i="82"/>
  <c r="E106" i="82"/>
  <c r="E109" i="82"/>
  <c r="E111" i="82"/>
  <c r="E114" i="82"/>
  <c r="E118" i="82"/>
  <c r="E121" i="82"/>
  <c r="F31" i="81" l="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N45" i="80"/>
  <c r="M45" i="80"/>
  <c r="L45" i="80"/>
  <c r="N44" i="80"/>
  <c r="M44" i="80"/>
  <c r="L44" i="80"/>
  <c r="N43" i="80"/>
  <c r="M43" i="80"/>
  <c r="L43" i="80"/>
  <c r="N42" i="80"/>
  <c r="M42" i="80"/>
  <c r="L42" i="80"/>
  <c r="N41" i="80"/>
  <c r="M41" i="80"/>
  <c r="L41" i="80"/>
  <c r="N40" i="80"/>
  <c r="M40" i="80"/>
  <c r="L40" i="80"/>
  <c r="N39" i="80"/>
  <c r="M39" i="80"/>
  <c r="L39" i="80"/>
  <c r="N38" i="80"/>
  <c r="M38" i="80"/>
  <c r="L38" i="80"/>
  <c r="N37" i="80"/>
  <c r="M37" i="80"/>
  <c r="L37" i="80"/>
  <c r="N36" i="80"/>
  <c r="M36" i="80"/>
  <c r="L36" i="80"/>
  <c r="N35" i="80"/>
  <c r="M35" i="80"/>
  <c r="L35" i="80"/>
  <c r="N34" i="80"/>
  <c r="M34" i="80"/>
  <c r="L34" i="80"/>
  <c r="N33" i="80"/>
  <c r="M33" i="80"/>
  <c r="L33" i="80"/>
  <c r="N32" i="80"/>
  <c r="M32" i="80"/>
  <c r="L32" i="80"/>
  <c r="N31" i="80"/>
  <c r="M31" i="80"/>
  <c r="L31" i="80"/>
  <c r="N30" i="80"/>
  <c r="M30" i="80"/>
  <c r="L30" i="80"/>
  <c r="N29" i="80"/>
  <c r="M29" i="80"/>
  <c r="L29" i="80"/>
  <c r="N28" i="80"/>
  <c r="M28" i="80"/>
  <c r="L28" i="80"/>
  <c r="N27" i="80"/>
  <c r="M27" i="80"/>
  <c r="L27" i="80"/>
  <c r="N26" i="80"/>
  <c r="M26" i="80"/>
  <c r="L26" i="80"/>
  <c r="N25" i="80"/>
  <c r="M25" i="80"/>
  <c r="L25" i="80"/>
  <c r="N24" i="80"/>
  <c r="M24" i="80"/>
  <c r="L24" i="80"/>
  <c r="N23" i="80"/>
  <c r="M23" i="80"/>
  <c r="L23" i="80"/>
  <c r="N22" i="80"/>
  <c r="M22" i="80"/>
  <c r="L22" i="80"/>
  <c r="N21" i="80"/>
  <c r="M21" i="80"/>
  <c r="L21" i="80"/>
  <c r="N20" i="80"/>
  <c r="M20" i="80"/>
  <c r="L20" i="80"/>
  <c r="N19" i="80"/>
  <c r="M19" i="80"/>
  <c r="L19" i="80"/>
  <c r="N18" i="80"/>
  <c r="M18" i="80"/>
  <c r="L18" i="80"/>
  <c r="N17" i="80"/>
  <c r="M17" i="80"/>
  <c r="L17" i="80"/>
  <c r="N16" i="80"/>
  <c r="M16" i="80"/>
  <c r="L16" i="80"/>
  <c r="N15" i="80"/>
  <c r="M15" i="80"/>
  <c r="L15" i="80"/>
  <c r="F13" i="79"/>
  <c r="F14" i="79"/>
  <c r="F15" i="79"/>
  <c r="F16" i="79"/>
  <c r="F18" i="79"/>
  <c r="F19" i="79"/>
  <c r="F20" i="79"/>
  <c r="F21" i="79"/>
  <c r="F22" i="79"/>
  <c r="F23" i="79"/>
  <c r="F24" i="79"/>
  <c r="F26" i="79"/>
  <c r="F27" i="79"/>
  <c r="F28" i="79"/>
  <c r="F29" i="79"/>
  <c r="F30" i="79"/>
  <c r="F31" i="79"/>
  <c r="F32" i="79"/>
  <c r="F33" i="79"/>
  <c r="F34" i="79"/>
  <c r="F12" i="79"/>
  <c r="C25" i="79"/>
  <c r="F25" i="79" s="1"/>
  <c r="C17" i="79"/>
  <c r="F17" i="79" s="1"/>
  <c r="G61" i="41" l="1"/>
  <c r="G25" i="41"/>
  <c r="G30" i="41" s="1"/>
  <c r="G57" i="41" s="1"/>
  <c r="G17" i="41"/>
  <c r="AZ11" i="23" l="1"/>
  <c r="BA11" i="23"/>
  <c r="BA12" i="23"/>
  <c r="AZ13" i="23"/>
  <c r="BA13" i="23"/>
  <c r="AZ14" i="23"/>
  <c r="BA15" i="23"/>
  <c r="AZ16" i="23"/>
  <c r="AZ17" i="23"/>
  <c r="BA17" i="23"/>
  <c r="AZ19" i="23"/>
  <c r="AZ22" i="23"/>
  <c r="BA22" i="23"/>
  <c r="AZ23" i="23"/>
  <c r="BA23" i="23"/>
  <c r="AZ24" i="23"/>
  <c r="BA24" i="23"/>
  <c r="AZ25" i="23"/>
  <c r="BA25" i="23"/>
  <c r="AZ26" i="23"/>
  <c r="BA26" i="23"/>
  <c r="AZ27" i="23"/>
  <c r="BA27" i="23"/>
  <c r="AZ29" i="23"/>
  <c r="BA29" i="23"/>
  <c r="AZ30" i="23"/>
  <c r="BA30" i="23"/>
  <c r="AZ31" i="23"/>
  <c r="BA31" i="23"/>
  <c r="AZ33" i="23"/>
  <c r="BA33" i="23"/>
  <c r="AZ10" i="23"/>
  <c r="BA10" i="23"/>
  <c r="AY11" i="23"/>
  <c r="AY12" i="23"/>
  <c r="AY13" i="23"/>
  <c r="AY14" i="23"/>
  <c r="AY15" i="23"/>
  <c r="AY16" i="23"/>
  <c r="AY17" i="23"/>
  <c r="AY19" i="23"/>
  <c r="AY22" i="23"/>
  <c r="AY23" i="23"/>
  <c r="AY24" i="23"/>
  <c r="AY25" i="23"/>
  <c r="AY26" i="23"/>
  <c r="AY27" i="23"/>
  <c r="AY28" i="23"/>
  <c r="AY29" i="23"/>
  <c r="AY30" i="23"/>
  <c r="AY31" i="23"/>
  <c r="AY33" i="23"/>
  <c r="AY10" i="23"/>
  <c r="AW34" i="23"/>
  <c r="AV34" i="23"/>
  <c r="AU34" i="23"/>
  <c r="AS34" i="23"/>
  <c r="AR34" i="23"/>
  <c r="AQ34" i="23"/>
  <c r="AO34" i="23"/>
  <c r="AN34" i="23"/>
  <c r="AM34" i="23"/>
  <c r="AK34" i="23"/>
  <c r="AJ34" i="23"/>
  <c r="AI34" i="23"/>
  <c r="AG34" i="23"/>
  <c r="AF34" i="23"/>
  <c r="AE34" i="23"/>
  <c r="AC34" i="23"/>
  <c r="AB34" i="23"/>
  <c r="AA34" i="23"/>
  <c r="Y34" i="23"/>
  <c r="X34" i="23"/>
  <c r="W34" i="23"/>
  <c r="U34" i="23"/>
  <c r="T34" i="23"/>
  <c r="S34" i="23"/>
  <c r="Q34" i="23"/>
  <c r="P34" i="23"/>
  <c r="O34" i="23"/>
  <c r="M34" i="23"/>
  <c r="L34" i="23"/>
  <c r="K34" i="23"/>
  <c r="I34" i="23"/>
  <c r="H34" i="23"/>
  <c r="G34" i="23"/>
  <c r="E34" i="23"/>
  <c r="D34" i="23"/>
  <c r="C34" i="23"/>
  <c r="AX33" i="23"/>
  <c r="AT33" i="23"/>
  <c r="AP33" i="23"/>
  <c r="AL33" i="23"/>
  <c r="AH33" i="23"/>
  <c r="AD33" i="23"/>
  <c r="Z33" i="23"/>
  <c r="V33" i="23"/>
  <c r="R33" i="23"/>
  <c r="N33" i="23"/>
  <c r="J33" i="23"/>
  <c r="F33" i="23"/>
  <c r="AV32" i="23"/>
  <c r="AU32" i="23"/>
  <c r="AS32" i="23"/>
  <c r="AR32" i="23"/>
  <c r="AQ32" i="23"/>
  <c r="AO32" i="23"/>
  <c r="AM32" i="23"/>
  <c r="AK32" i="23"/>
  <c r="AJ32" i="23"/>
  <c r="AI32" i="23"/>
  <c r="AG32" i="23"/>
  <c r="AG35" i="23" s="1"/>
  <c r="AF32" i="23"/>
  <c r="AE32" i="23"/>
  <c r="AC32" i="23"/>
  <c r="AB32" i="23"/>
  <c r="AA32" i="23"/>
  <c r="Y32" i="23"/>
  <c r="Y35" i="23" s="1"/>
  <c r="X32" i="23"/>
  <c r="W32" i="23"/>
  <c r="U32" i="23"/>
  <c r="T32" i="23"/>
  <c r="S32" i="23"/>
  <c r="Q32" i="23"/>
  <c r="Q35" i="23" s="1"/>
  <c r="P32" i="23"/>
  <c r="O32" i="23"/>
  <c r="M32" i="23"/>
  <c r="L32" i="23"/>
  <c r="K32" i="23"/>
  <c r="I32" i="23"/>
  <c r="I35" i="23" s="1"/>
  <c r="H32" i="23"/>
  <c r="G32" i="23"/>
  <c r="E32" i="23"/>
  <c r="D32" i="23"/>
  <c r="C32" i="23"/>
  <c r="AX31" i="23"/>
  <c r="AT31" i="23"/>
  <c r="AP31" i="23"/>
  <c r="AL31" i="23"/>
  <c r="AH31" i="23"/>
  <c r="AD31" i="23"/>
  <c r="Z31" i="23"/>
  <c r="V31" i="23"/>
  <c r="R31" i="23"/>
  <c r="N31" i="23"/>
  <c r="J31" i="23"/>
  <c r="F31" i="23"/>
  <c r="AX30" i="23"/>
  <c r="AT30" i="23"/>
  <c r="AP30" i="23"/>
  <c r="AL30" i="23"/>
  <c r="AH30" i="23"/>
  <c r="AD30" i="23"/>
  <c r="Z30" i="23"/>
  <c r="V30" i="23"/>
  <c r="R30" i="23"/>
  <c r="N30" i="23"/>
  <c r="J30" i="23"/>
  <c r="F30" i="23"/>
  <c r="AX29" i="23"/>
  <c r="AT29" i="23"/>
  <c r="AP29" i="23"/>
  <c r="AL29" i="23"/>
  <c r="AH29" i="23"/>
  <c r="AD29" i="23"/>
  <c r="Z29" i="23"/>
  <c r="V29" i="23"/>
  <c r="R29" i="23"/>
  <c r="N29" i="23"/>
  <c r="J29" i="23"/>
  <c r="F29" i="23"/>
  <c r="AW28" i="23"/>
  <c r="AX28" i="23" s="1"/>
  <c r="AT28" i="23"/>
  <c r="AN28" i="23"/>
  <c r="AN32" i="23" s="1"/>
  <c r="AL28" i="23"/>
  <c r="AH28" i="23"/>
  <c r="AD28" i="23"/>
  <c r="Z28" i="23"/>
  <c r="V28" i="23"/>
  <c r="R28" i="23"/>
  <c r="N28" i="23"/>
  <c r="J28" i="23"/>
  <c r="F28" i="23"/>
  <c r="AX27" i="23"/>
  <c r="AT27" i="23"/>
  <c r="AP27" i="23"/>
  <c r="AL27" i="23"/>
  <c r="AH27" i="23"/>
  <c r="AD27" i="23"/>
  <c r="Z27" i="23"/>
  <c r="V27" i="23"/>
  <c r="R27" i="23"/>
  <c r="N27" i="23"/>
  <c r="J27" i="23"/>
  <c r="F27" i="23"/>
  <c r="AX26" i="23"/>
  <c r="AT26" i="23"/>
  <c r="AP26" i="23"/>
  <c r="AL26" i="23"/>
  <c r="AH26" i="23"/>
  <c r="AD26" i="23"/>
  <c r="Z26" i="23"/>
  <c r="V26" i="23"/>
  <c r="R26" i="23"/>
  <c r="N26" i="23"/>
  <c r="J26" i="23"/>
  <c r="F26" i="23"/>
  <c r="AX25" i="23"/>
  <c r="AT25" i="23"/>
  <c r="AP25" i="23"/>
  <c r="AL25" i="23"/>
  <c r="AH25" i="23"/>
  <c r="AD25" i="23"/>
  <c r="Z25" i="23"/>
  <c r="V25" i="23"/>
  <c r="R25" i="23"/>
  <c r="N25" i="23"/>
  <c r="J25" i="23"/>
  <c r="F25" i="23"/>
  <c r="AX24" i="23"/>
  <c r="AT24" i="23"/>
  <c r="AP24" i="23"/>
  <c r="AL24" i="23"/>
  <c r="AH24" i="23"/>
  <c r="AD24" i="23"/>
  <c r="Z24" i="23"/>
  <c r="V24" i="23"/>
  <c r="R24" i="23"/>
  <c r="N24" i="23"/>
  <c r="J24" i="23"/>
  <c r="F24" i="23"/>
  <c r="AX23" i="23"/>
  <c r="AT23" i="23"/>
  <c r="AP23" i="23"/>
  <c r="AL23" i="23"/>
  <c r="AH23" i="23"/>
  <c r="AD23" i="23"/>
  <c r="Z23" i="23"/>
  <c r="V23" i="23"/>
  <c r="R23" i="23"/>
  <c r="N23" i="23"/>
  <c r="J23" i="23"/>
  <c r="F23" i="23"/>
  <c r="AX22" i="23"/>
  <c r="AT22" i="23"/>
  <c r="AP22" i="23"/>
  <c r="AL22" i="23"/>
  <c r="AH22" i="23"/>
  <c r="AD22" i="23"/>
  <c r="Z22" i="23"/>
  <c r="V22" i="23"/>
  <c r="R22" i="23"/>
  <c r="N22" i="23"/>
  <c r="J22" i="23"/>
  <c r="F22" i="23"/>
  <c r="AW20" i="23"/>
  <c r="AV20" i="23"/>
  <c r="AU20" i="23"/>
  <c r="AS20" i="23"/>
  <c r="AR20" i="23"/>
  <c r="AQ20" i="23"/>
  <c r="AO20" i="23"/>
  <c r="AN20" i="23"/>
  <c r="AM20" i="23"/>
  <c r="AK20" i="23"/>
  <c r="AJ20" i="23"/>
  <c r="AI20" i="23"/>
  <c r="AG20" i="23"/>
  <c r="AF20" i="23"/>
  <c r="AE20" i="23"/>
  <c r="AC20" i="23"/>
  <c r="AB20" i="23"/>
  <c r="AA20" i="23"/>
  <c r="Y20" i="23"/>
  <c r="X20" i="23"/>
  <c r="W20" i="23"/>
  <c r="U20" i="23"/>
  <c r="T20" i="23"/>
  <c r="S20" i="23"/>
  <c r="Q20" i="23"/>
  <c r="P20" i="23"/>
  <c r="O20" i="23"/>
  <c r="M20" i="23"/>
  <c r="L20" i="23"/>
  <c r="K20" i="23"/>
  <c r="I20" i="23"/>
  <c r="H20" i="23"/>
  <c r="G20" i="23"/>
  <c r="E20" i="23"/>
  <c r="D20" i="23"/>
  <c r="C20" i="23"/>
  <c r="AX19" i="23"/>
  <c r="AT19" i="23"/>
  <c r="AP19" i="23"/>
  <c r="AL19" i="23"/>
  <c r="AH19" i="23"/>
  <c r="AD19" i="23"/>
  <c r="Z19" i="23"/>
  <c r="V19" i="23"/>
  <c r="R19" i="23"/>
  <c r="N19" i="23"/>
  <c r="J19" i="23"/>
  <c r="F19" i="23"/>
  <c r="AW18" i="23"/>
  <c r="AV18" i="23"/>
  <c r="AU18" i="23"/>
  <c r="AQ18" i="23"/>
  <c r="AM18" i="23"/>
  <c r="AK18" i="23"/>
  <c r="AJ18" i="23"/>
  <c r="AI18" i="23"/>
  <c r="AG18" i="23"/>
  <c r="AF18" i="23"/>
  <c r="AE18" i="23"/>
  <c r="AC18" i="23"/>
  <c r="AB18" i="23"/>
  <c r="AA18" i="23"/>
  <c r="Y18" i="23"/>
  <c r="X18" i="23"/>
  <c r="W18" i="23"/>
  <c r="U18" i="23"/>
  <c r="T18" i="23"/>
  <c r="S18" i="23"/>
  <c r="Q18" i="23"/>
  <c r="P18" i="23"/>
  <c r="O18" i="23"/>
  <c r="M18" i="23"/>
  <c r="L18" i="23"/>
  <c r="K18" i="23"/>
  <c r="I18" i="23"/>
  <c r="H18" i="23"/>
  <c r="G18" i="23"/>
  <c r="E18" i="23"/>
  <c r="D18" i="23"/>
  <c r="C18" i="23"/>
  <c r="AX17" i="23"/>
  <c r="AT17" i="23"/>
  <c r="AP17" i="23"/>
  <c r="AL17" i="23"/>
  <c r="AH17" i="23"/>
  <c r="AD17" i="23"/>
  <c r="Z17" i="23"/>
  <c r="V17" i="23"/>
  <c r="R17" i="23"/>
  <c r="N17" i="23"/>
  <c r="J17" i="23"/>
  <c r="F17" i="23"/>
  <c r="AX16" i="23"/>
  <c r="AT16" i="23"/>
  <c r="AO16" i="23"/>
  <c r="AP16" i="23" s="1"/>
  <c r="AL16" i="23"/>
  <c r="AH16" i="23"/>
  <c r="AD16" i="23"/>
  <c r="Z16" i="23"/>
  <c r="V16" i="23"/>
  <c r="R16" i="23"/>
  <c r="N16" i="23"/>
  <c r="J16" i="23"/>
  <c r="F16" i="23"/>
  <c r="AX15" i="23"/>
  <c r="AR15" i="23"/>
  <c r="AR18" i="23" s="1"/>
  <c r="AP15" i="23"/>
  <c r="AL15" i="23"/>
  <c r="AH15" i="23"/>
  <c r="AD15" i="23"/>
  <c r="Z15" i="23"/>
  <c r="V15" i="23"/>
  <c r="R15" i="23"/>
  <c r="N15" i="23"/>
  <c r="J15" i="23"/>
  <c r="F15" i="23"/>
  <c r="AX14" i="23"/>
  <c r="AS14" i="23"/>
  <c r="AT14" i="23" s="1"/>
  <c r="AO14" i="23"/>
  <c r="AP14" i="23" s="1"/>
  <c r="AL14" i="23"/>
  <c r="AH14" i="23"/>
  <c r="AD14" i="23"/>
  <c r="Z14" i="23"/>
  <c r="V14" i="23"/>
  <c r="R14" i="23"/>
  <c r="N14" i="23"/>
  <c r="J14" i="23"/>
  <c r="F14" i="23"/>
  <c r="AX13" i="23"/>
  <c r="AT13" i="23"/>
  <c r="AP13" i="23"/>
  <c r="AL13" i="23"/>
  <c r="AH13" i="23"/>
  <c r="AD13" i="23"/>
  <c r="Z13" i="23"/>
  <c r="V13" i="23"/>
  <c r="R13" i="23"/>
  <c r="N13" i="23"/>
  <c r="J13" i="23"/>
  <c r="F13" i="23"/>
  <c r="AX12" i="23"/>
  <c r="AT12" i="23"/>
  <c r="AN12" i="23"/>
  <c r="AN18" i="23" s="1"/>
  <c r="AL12" i="23"/>
  <c r="AH12" i="23"/>
  <c r="AD12" i="23"/>
  <c r="Z12" i="23"/>
  <c r="V12" i="23"/>
  <c r="R12" i="23"/>
  <c r="N12" i="23"/>
  <c r="J12" i="23"/>
  <c r="F12" i="23"/>
  <c r="AX11" i="23"/>
  <c r="AT11" i="23"/>
  <c r="AP11" i="23"/>
  <c r="AL11" i="23"/>
  <c r="AH11" i="23"/>
  <c r="AD11" i="23"/>
  <c r="Z11" i="23"/>
  <c r="V11" i="23"/>
  <c r="R11" i="23"/>
  <c r="N11" i="23"/>
  <c r="J11" i="23"/>
  <c r="F11" i="23"/>
  <c r="AX10" i="23"/>
  <c r="AT10" i="23"/>
  <c r="AP10" i="23"/>
  <c r="AL10" i="23"/>
  <c r="AH10" i="23"/>
  <c r="AD10" i="23"/>
  <c r="Z10" i="23"/>
  <c r="V10" i="23"/>
  <c r="R10" i="23"/>
  <c r="N10" i="23"/>
  <c r="J10" i="23"/>
  <c r="F10" i="23"/>
  <c r="V18" i="23" l="1"/>
  <c r="AD18" i="23"/>
  <c r="AP28" i="23"/>
  <c r="AP12" i="23"/>
  <c r="R18" i="23"/>
  <c r="Z18" i="23"/>
  <c r="I21" i="23"/>
  <c r="Q21" i="23"/>
  <c r="T21" i="23"/>
  <c r="Y21" i="23"/>
  <c r="AB21" i="23"/>
  <c r="AW21" i="23"/>
  <c r="BA28" i="23"/>
  <c r="BA16" i="23"/>
  <c r="BA14" i="23"/>
  <c r="M21" i="23"/>
  <c r="P21" i="23"/>
  <c r="U21" i="23"/>
  <c r="X21" i="23"/>
  <c r="AC21" i="23"/>
  <c r="AZ28" i="23"/>
  <c r="AZ15" i="23"/>
  <c r="AZ12" i="23"/>
  <c r="F32" i="23"/>
  <c r="N32" i="23"/>
  <c r="V32" i="23"/>
  <c r="AD32" i="23"/>
  <c r="AL32" i="23"/>
  <c r="AO35" i="23"/>
  <c r="F34" i="23"/>
  <c r="N34" i="23"/>
  <c r="V34" i="23"/>
  <c r="AD34" i="23"/>
  <c r="AL34" i="23"/>
  <c r="AT34" i="23"/>
  <c r="AS35" i="23"/>
  <c r="AV35" i="23"/>
  <c r="AZ32" i="23"/>
  <c r="F18" i="23"/>
  <c r="AZ18" i="23"/>
  <c r="N18" i="23"/>
  <c r="AL18" i="23"/>
  <c r="D21" i="23"/>
  <c r="G21" i="23"/>
  <c r="L21" i="23"/>
  <c r="AG21" i="23"/>
  <c r="AJ21" i="23"/>
  <c r="E35" i="23"/>
  <c r="H35" i="23"/>
  <c r="M35" i="23"/>
  <c r="P35" i="23"/>
  <c r="U35" i="23"/>
  <c r="X35" i="23"/>
  <c r="AC35" i="23"/>
  <c r="AF35" i="23"/>
  <c r="AK35" i="23"/>
  <c r="AZ34" i="23"/>
  <c r="AZ20" i="23"/>
  <c r="J18" i="23"/>
  <c r="AH18" i="23"/>
  <c r="AX18" i="23"/>
  <c r="C21" i="23"/>
  <c r="E21" i="23"/>
  <c r="H21" i="23"/>
  <c r="K21" i="23"/>
  <c r="AF21" i="23"/>
  <c r="AK21" i="23"/>
  <c r="AV21" i="23"/>
  <c r="J32" i="23"/>
  <c r="R32" i="23"/>
  <c r="Z32" i="23"/>
  <c r="AH32" i="23"/>
  <c r="AT32" i="23"/>
  <c r="D35" i="23"/>
  <c r="J34" i="23"/>
  <c r="L35" i="23"/>
  <c r="R34" i="23"/>
  <c r="T35" i="23"/>
  <c r="Z34" i="23"/>
  <c r="AB35" i="23"/>
  <c r="AH34" i="23"/>
  <c r="AJ35" i="23"/>
  <c r="AP34" i="23"/>
  <c r="AR35" i="23"/>
  <c r="AX34" i="23"/>
  <c r="AY34" i="23"/>
  <c r="AY32" i="23"/>
  <c r="AY20" i="23"/>
  <c r="AY18" i="23"/>
  <c r="BA34" i="23"/>
  <c r="BA20" i="23"/>
  <c r="AO18" i="23"/>
  <c r="AP18" i="23" s="1"/>
  <c r="AS18" i="23"/>
  <c r="AT18" i="23" s="1"/>
  <c r="F20" i="23"/>
  <c r="J20" i="23"/>
  <c r="N20" i="23"/>
  <c r="R20" i="23"/>
  <c r="V20" i="23"/>
  <c r="Z20" i="23"/>
  <c r="AD20" i="23"/>
  <c r="AH20" i="23"/>
  <c r="AL20" i="23"/>
  <c r="AN21" i="23"/>
  <c r="AP20" i="23"/>
  <c r="AR21" i="23"/>
  <c r="AT20" i="23"/>
  <c r="AX20" i="23"/>
  <c r="O21" i="23"/>
  <c r="S21" i="23"/>
  <c r="W21" i="23"/>
  <c r="AA21" i="23"/>
  <c r="AE21" i="23"/>
  <c r="AI21" i="23"/>
  <c r="AM21" i="23"/>
  <c r="AQ21" i="23"/>
  <c r="AU21" i="23"/>
  <c r="AP32" i="23"/>
  <c r="AN35" i="23"/>
  <c r="AT15" i="23"/>
  <c r="AW32" i="23"/>
  <c r="AW35" i="23" s="1"/>
  <c r="C35" i="23"/>
  <c r="G35" i="23"/>
  <c r="K35" i="23"/>
  <c r="O35" i="23"/>
  <c r="S35" i="23"/>
  <c r="W35" i="23"/>
  <c r="AA35" i="23"/>
  <c r="AE35" i="23"/>
  <c r="AI35" i="23"/>
  <c r="AM35" i="23"/>
  <c r="AQ35" i="23"/>
  <c r="AU35" i="23"/>
  <c r="AD21" i="23" l="1"/>
  <c r="V21" i="23"/>
  <c r="Z21" i="23"/>
  <c r="R21" i="23"/>
  <c r="AS21" i="23"/>
  <c r="AT21" i="23" s="1"/>
  <c r="AX32" i="23"/>
  <c r="BA32" i="23"/>
  <c r="AX35" i="23"/>
  <c r="AH35" i="23"/>
  <c r="Z35" i="23"/>
  <c r="R35" i="23"/>
  <c r="J35" i="23"/>
  <c r="AL21" i="23"/>
  <c r="AZ21" i="23"/>
  <c r="AT35" i="23"/>
  <c r="AL35" i="23"/>
  <c r="AD35" i="23"/>
  <c r="V35" i="23"/>
  <c r="N35" i="23"/>
  <c r="AX21" i="23"/>
  <c r="AH21" i="23"/>
  <c r="N21" i="23"/>
  <c r="F35" i="23"/>
  <c r="AY35" i="23"/>
  <c r="AZ35" i="23"/>
  <c r="F21" i="23"/>
  <c r="AY21" i="23"/>
  <c r="BA35" i="23"/>
  <c r="BA18" i="23"/>
  <c r="J21" i="23"/>
  <c r="AP35" i="23"/>
  <c r="AO21" i="23"/>
  <c r="AP21" i="23" s="1"/>
  <c r="BA21" i="23" l="1"/>
  <c r="L140" i="10"/>
  <c r="L139" i="10"/>
  <c r="L137" i="32" l="1"/>
  <c r="L137" i="31"/>
  <c r="L124" i="9"/>
  <c r="N57" i="59"/>
  <c r="L106" i="8"/>
  <c r="L100" i="8"/>
  <c r="L97" i="8"/>
  <c r="L96" i="8"/>
  <c r="L90" i="8"/>
  <c r="BD123" i="59" l="1"/>
  <c r="R123" i="59"/>
  <c r="L114" i="27" l="1"/>
  <c r="L143" i="29" l="1"/>
  <c r="L49" i="31" l="1"/>
  <c r="L60" i="8" l="1"/>
  <c r="L48" i="8"/>
  <c r="L137" i="8"/>
  <c r="L133" i="8"/>
  <c r="L119" i="8"/>
  <c r="L124" i="8"/>
  <c r="L121" i="8"/>
  <c r="L113" i="8"/>
  <c r="L121" i="20"/>
  <c r="L113" i="20"/>
  <c r="L113" i="21"/>
  <c r="L112" i="21"/>
  <c r="L137" i="22" l="1"/>
  <c r="L124" i="22"/>
  <c r="L121" i="22"/>
  <c r="L112" i="22"/>
  <c r="L112" i="18" l="1"/>
  <c r="L137" i="19"/>
  <c r="N137" i="19" s="1"/>
  <c r="BT150" i="59"/>
  <c r="BT149" i="59"/>
  <c r="BT148" i="59"/>
  <c r="BT146" i="59"/>
  <c r="BT145" i="59"/>
  <c r="BT144" i="59"/>
  <c r="BT141" i="59"/>
  <c r="BT136" i="59"/>
  <c r="BT135" i="59"/>
  <c r="BT133" i="59"/>
  <c r="BT132" i="59"/>
  <c r="BT131" i="59"/>
  <c r="BT130" i="59"/>
  <c r="BT129" i="59"/>
  <c r="BT127" i="59"/>
  <c r="BT125" i="59"/>
  <c r="BT119" i="59"/>
  <c r="BT118" i="59"/>
  <c r="BT117" i="59"/>
  <c r="BT116" i="59"/>
  <c r="BT115" i="59"/>
  <c r="BT113" i="59"/>
  <c r="BT110" i="59"/>
  <c r="BT109" i="59"/>
  <c r="BT108" i="59"/>
  <c r="BT107" i="59"/>
  <c r="BT106" i="59"/>
  <c r="BT104" i="59"/>
  <c r="BT103" i="59"/>
  <c r="BT102" i="59"/>
  <c r="BT100" i="59"/>
  <c r="BT99" i="59"/>
  <c r="BT98" i="59"/>
  <c r="BT97" i="59"/>
  <c r="BT96" i="59"/>
  <c r="BT95" i="59"/>
  <c r="BT94" i="59"/>
  <c r="BT93" i="59"/>
  <c r="BT92" i="59"/>
  <c r="BT91" i="59"/>
  <c r="BT90" i="59"/>
  <c r="BT84" i="59"/>
  <c r="BT83" i="59"/>
  <c r="BT82" i="59"/>
  <c r="BT78" i="59"/>
  <c r="BT77" i="59"/>
  <c r="BT76" i="59"/>
  <c r="BT72" i="59"/>
  <c r="BT71" i="59"/>
  <c r="BT69" i="59"/>
  <c r="BT68" i="59"/>
  <c r="BT66" i="59"/>
  <c r="BT65" i="59"/>
  <c r="BT64" i="59"/>
  <c r="BT63" i="59"/>
  <c r="BT62" i="59"/>
  <c r="BT60" i="59"/>
  <c r="BT59" i="59"/>
  <c r="BT58" i="59"/>
  <c r="BT57" i="59"/>
  <c r="BT56" i="59"/>
  <c r="BT55" i="59"/>
  <c r="BT54" i="59"/>
  <c r="BT53" i="59"/>
  <c r="BT52" i="59"/>
  <c r="BT51" i="59"/>
  <c r="BT50" i="59"/>
  <c r="BT48" i="59"/>
  <c r="BT47" i="59"/>
  <c r="BT46" i="59"/>
  <c r="BT44" i="59"/>
  <c r="BT43" i="59"/>
  <c r="BT42" i="59"/>
  <c r="BT41" i="59"/>
  <c r="BT40" i="59"/>
  <c r="BT39" i="59"/>
  <c r="BT37" i="59"/>
  <c r="BT36" i="59"/>
  <c r="BT35" i="59"/>
  <c r="BT33" i="59"/>
  <c r="BT32" i="59"/>
  <c r="BT29" i="59"/>
  <c r="BT28" i="59"/>
  <c r="BT27" i="59"/>
  <c r="BT24" i="59"/>
  <c r="BT23" i="59"/>
  <c r="BT20" i="59"/>
  <c r="BT19" i="59"/>
  <c r="BT18" i="59"/>
  <c r="BT17" i="59"/>
  <c r="BT16" i="59"/>
  <c r="BT15" i="59"/>
  <c r="BT14" i="59"/>
  <c r="BT13" i="59"/>
  <c r="BT12" i="59"/>
  <c r="BT11" i="59"/>
  <c r="BP143" i="59"/>
  <c r="BP134" i="59"/>
  <c r="BP128" i="59" s="1"/>
  <c r="BP123" i="59"/>
  <c r="BP114" i="59"/>
  <c r="BP105" i="59"/>
  <c r="BP101" i="59"/>
  <c r="BP89" i="59"/>
  <c r="BP79" i="59"/>
  <c r="BP75" i="59" s="1"/>
  <c r="BP74" i="59" s="1"/>
  <c r="BP70" i="59"/>
  <c r="BP67" i="59"/>
  <c r="BP61" i="59"/>
  <c r="BP49" i="59"/>
  <c r="BP45" i="59" s="1"/>
  <c r="BP38" i="59"/>
  <c r="BP34" i="59"/>
  <c r="BP31" i="59"/>
  <c r="BP26" i="59"/>
  <c r="BP22" i="59"/>
  <c r="BP10" i="59"/>
  <c r="BP9" i="59" s="1"/>
  <c r="BL143" i="59"/>
  <c r="BL134" i="59"/>
  <c r="BL128" i="59" s="1"/>
  <c r="BL123" i="59"/>
  <c r="BL114" i="59"/>
  <c r="BL105" i="59"/>
  <c r="BL101" i="59"/>
  <c r="BL89" i="59"/>
  <c r="BL79" i="59"/>
  <c r="BL75" i="59" s="1"/>
  <c r="BL74" i="59" s="1"/>
  <c r="BL70" i="59"/>
  <c r="BL67" i="59"/>
  <c r="BL61" i="59"/>
  <c r="BL49" i="59"/>
  <c r="BL45" i="59" s="1"/>
  <c r="BL38" i="59"/>
  <c r="BL34" i="59"/>
  <c r="BL31" i="59"/>
  <c r="BL26" i="59"/>
  <c r="BL22" i="59"/>
  <c r="BL10" i="59"/>
  <c r="BL9" i="59" s="1"/>
  <c r="BH143" i="59"/>
  <c r="BH134" i="59"/>
  <c r="BH128" i="59" s="1"/>
  <c r="BH123" i="59"/>
  <c r="BH114" i="59"/>
  <c r="BH105" i="59"/>
  <c r="BH101" i="59"/>
  <c r="BH89" i="59"/>
  <c r="BH79" i="59"/>
  <c r="BH75" i="59" s="1"/>
  <c r="BH74" i="59" s="1"/>
  <c r="BH70" i="59"/>
  <c r="BH67" i="59"/>
  <c r="BH61" i="59"/>
  <c r="BH49" i="59"/>
  <c r="BH45" i="59" s="1"/>
  <c r="BH38" i="59"/>
  <c r="BH34" i="59"/>
  <c r="BH31" i="59"/>
  <c r="BH26" i="59"/>
  <c r="BH22" i="59"/>
  <c r="BH10" i="59"/>
  <c r="BH9" i="59" s="1"/>
  <c r="BD143" i="59"/>
  <c r="BD134" i="59"/>
  <c r="BD128" i="59" s="1"/>
  <c r="BD114" i="59"/>
  <c r="BD105" i="59"/>
  <c r="BD101" i="59"/>
  <c r="BD89" i="59"/>
  <c r="BD79" i="59"/>
  <c r="BD75" i="59" s="1"/>
  <c r="BD74" i="59" s="1"/>
  <c r="BD70" i="59"/>
  <c r="BD67" i="59"/>
  <c r="BD61" i="59"/>
  <c r="BD49" i="59"/>
  <c r="BD45" i="59" s="1"/>
  <c r="BD38" i="59"/>
  <c r="BD34" i="59"/>
  <c r="BD31" i="59"/>
  <c r="BD26" i="59"/>
  <c r="BD22" i="59"/>
  <c r="BD10" i="59"/>
  <c r="BD9" i="59" s="1"/>
  <c r="AZ143" i="59"/>
  <c r="AZ138" i="59"/>
  <c r="AZ137" i="59"/>
  <c r="AZ134" i="59"/>
  <c r="AZ128" i="59" s="1"/>
  <c r="AZ123" i="59"/>
  <c r="AZ114" i="59"/>
  <c r="AZ105" i="59"/>
  <c r="AZ101" i="59"/>
  <c r="AZ89" i="59"/>
  <c r="AZ79" i="59"/>
  <c r="AZ75" i="59" s="1"/>
  <c r="AZ74" i="59" s="1"/>
  <c r="AZ70" i="59"/>
  <c r="AZ67" i="59"/>
  <c r="AZ61" i="59"/>
  <c r="AZ49" i="59"/>
  <c r="AZ45" i="59" s="1"/>
  <c r="AZ38" i="59"/>
  <c r="AZ34" i="59"/>
  <c r="AZ31" i="59"/>
  <c r="AZ26" i="59"/>
  <c r="AZ22" i="59"/>
  <c r="AZ10" i="59"/>
  <c r="AV143" i="59"/>
  <c r="AV140" i="59"/>
  <c r="AV139" i="59"/>
  <c r="AV138" i="59"/>
  <c r="AV137" i="59"/>
  <c r="AV134" i="59"/>
  <c r="AV128" i="59" s="1"/>
  <c r="AV121" i="59"/>
  <c r="AV105" i="59"/>
  <c r="AV101" i="59"/>
  <c r="AV89" i="59"/>
  <c r="AV79" i="59"/>
  <c r="AV75" i="59" s="1"/>
  <c r="AV74" i="59" s="1"/>
  <c r="AV70" i="59"/>
  <c r="AV67" i="59"/>
  <c r="AV61" i="59"/>
  <c r="AV49" i="59"/>
  <c r="AV45" i="59" s="1"/>
  <c r="AV38" i="59"/>
  <c r="AV34" i="59"/>
  <c r="AV31" i="59"/>
  <c r="AV26" i="59"/>
  <c r="AV22" i="59"/>
  <c r="AV10" i="59"/>
  <c r="AV9" i="59" s="1"/>
  <c r="AR143" i="59"/>
  <c r="AR138" i="59"/>
  <c r="AR137" i="59"/>
  <c r="AR134" i="59"/>
  <c r="AR128" i="59" s="1"/>
  <c r="AR123" i="59"/>
  <c r="AR114" i="59"/>
  <c r="AR105" i="59"/>
  <c r="AR101" i="59"/>
  <c r="AR89" i="59"/>
  <c r="AR79" i="59"/>
  <c r="AR75" i="59" s="1"/>
  <c r="AR74" i="59" s="1"/>
  <c r="AR70" i="59"/>
  <c r="AR67" i="59"/>
  <c r="AR61" i="59"/>
  <c r="AR49" i="59"/>
  <c r="AR45" i="59" s="1"/>
  <c r="AR38" i="59"/>
  <c r="AR34" i="59"/>
  <c r="AR31" i="59"/>
  <c r="AR26" i="59"/>
  <c r="AR22" i="59"/>
  <c r="AR10" i="59"/>
  <c r="AN143" i="59"/>
  <c r="AN134" i="59"/>
  <c r="AN128" i="59" s="1"/>
  <c r="AN123" i="59"/>
  <c r="AN114" i="59"/>
  <c r="AN105" i="59"/>
  <c r="AN101" i="59"/>
  <c r="AN89" i="59"/>
  <c r="AN79" i="59"/>
  <c r="AN75" i="59" s="1"/>
  <c r="AN74" i="59" s="1"/>
  <c r="AN70" i="59"/>
  <c r="AN67" i="59"/>
  <c r="AN61" i="59"/>
  <c r="AN49" i="59"/>
  <c r="AN45" i="59" s="1"/>
  <c r="AN38" i="59"/>
  <c r="AN34" i="59"/>
  <c r="AN31" i="59"/>
  <c r="AN26" i="59"/>
  <c r="AN22" i="59"/>
  <c r="AN10" i="59"/>
  <c r="AJ143" i="59"/>
  <c r="AJ138" i="59"/>
  <c r="AJ137" i="59"/>
  <c r="AJ134" i="59"/>
  <c r="AJ128" i="59" s="1"/>
  <c r="AJ123" i="59"/>
  <c r="AJ114" i="59"/>
  <c r="AJ105" i="59"/>
  <c r="AJ101" i="59"/>
  <c r="AJ89" i="59"/>
  <c r="AJ81" i="59"/>
  <c r="AJ80" i="59"/>
  <c r="AJ70" i="59"/>
  <c r="AJ67" i="59"/>
  <c r="AJ61" i="59"/>
  <c r="AJ49" i="59"/>
  <c r="AJ45" i="59" s="1"/>
  <c r="AJ38" i="59"/>
  <c r="AJ34" i="59"/>
  <c r="AJ31" i="59"/>
  <c r="AJ26" i="59"/>
  <c r="AJ22" i="59"/>
  <c r="AJ10" i="59"/>
  <c r="AJ9" i="59" s="1"/>
  <c r="AD143" i="59"/>
  <c r="AD140" i="59"/>
  <c r="AD139" i="59"/>
  <c r="AD134" i="59"/>
  <c r="AD128" i="59" s="1"/>
  <c r="AD123" i="59"/>
  <c r="AD120" i="59"/>
  <c r="AD79" i="59"/>
  <c r="AD75" i="59" s="1"/>
  <c r="AD74" i="59" s="1"/>
  <c r="AD70" i="59"/>
  <c r="AD67" i="59"/>
  <c r="AD61" i="59"/>
  <c r="AD49" i="59"/>
  <c r="AD45" i="59" s="1"/>
  <c r="AD38" i="59"/>
  <c r="AD34" i="59"/>
  <c r="AD31" i="59"/>
  <c r="AD26" i="59"/>
  <c r="AD22" i="59"/>
  <c r="AD10" i="59"/>
  <c r="AD9" i="59" s="1"/>
  <c r="Z143" i="59"/>
  <c r="Z134" i="59"/>
  <c r="Z128" i="59" s="1"/>
  <c r="Z105" i="59"/>
  <c r="Z101" i="59"/>
  <c r="Z89" i="59"/>
  <c r="Z81" i="59"/>
  <c r="Z70" i="59"/>
  <c r="Z67" i="59"/>
  <c r="Z61" i="59"/>
  <c r="Z49" i="59"/>
  <c r="Z45" i="59" s="1"/>
  <c r="Z38" i="59"/>
  <c r="Z34" i="59"/>
  <c r="Z31" i="59"/>
  <c r="Z26" i="59"/>
  <c r="Z22" i="59"/>
  <c r="Z10" i="59"/>
  <c r="Z9" i="59" s="1"/>
  <c r="V143" i="59"/>
  <c r="V134" i="59"/>
  <c r="V128" i="59" s="1"/>
  <c r="V123" i="59"/>
  <c r="V114" i="59"/>
  <c r="V105" i="59"/>
  <c r="V101" i="59"/>
  <c r="V89" i="59"/>
  <c r="V79" i="59"/>
  <c r="V75" i="59" s="1"/>
  <c r="V74" i="59" s="1"/>
  <c r="V85" i="59" s="1"/>
  <c r="R143" i="59"/>
  <c r="R134" i="59"/>
  <c r="R128" i="59" s="1"/>
  <c r="R114" i="59"/>
  <c r="R105" i="59"/>
  <c r="R101" i="59"/>
  <c r="R89" i="59"/>
  <c r="R79" i="59"/>
  <c r="R75" i="59" s="1"/>
  <c r="R74" i="59" s="1"/>
  <c r="R70" i="59"/>
  <c r="R67" i="59"/>
  <c r="R61" i="59"/>
  <c r="R49" i="59"/>
  <c r="R45" i="59" s="1"/>
  <c r="R38" i="59"/>
  <c r="R34" i="59"/>
  <c r="R31" i="59"/>
  <c r="R26" i="59"/>
  <c r="R22" i="59"/>
  <c r="R10" i="59"/>
  <c r="R9" i="59" s="1"/>
  <c r="N143" i="59"/>
  <c r="N134" i="59"/>
  <c r="N128" i="59" s="1"/>
  <c r="N123" i="59"/>
  <c r="N120" i="59"/>
  <c r="N105" i="59"/>
  <c r="N101" i="59"/>
  <c r="N89" i="59"/>
  <c r="N81" i="59"/>
  <c r="N79" i="59" s="1"/>
  <c r="N75" i="59" s="1"/>
  <c r="N74" i="59" s="1"/>
  <c r="N45" i="59"/>
  <c r="J134" i="59"/>
  <c r="J128" i="59" s="1"/>
  <c r="J122" i="59"/>
  <c r="BT122" i="59" s="1"/>
  <c r="J105" i="59"/>
  <c r="J101" i="59"/>
  <c r="J89" i="59"/>
  <c r="J79" i="59"/>
  <c r="J70" i="59"/>
  <c r="J67" i="59"/>
  <c r="J61" i="59"/>
  <c r="J49" i="59"/>
  <c r="J45" i="59" s="1"/>
  <c r="J38" i="59"/>
  <c r="J34" i="59"/>
  <c r="J31" i="59"/>
  <c r="J26" i="59"/>
  <c r="J22" i="59"/>
  <c r="J10" i="59"/>
  <c r="F143" i="59"/>
  <c r="F134" i="59"/>
  <c r="F128" i="59" s="1"/>
  <c r="F114" i="59"/>
  <c r="F105" i="59"/>
  <c r="F101" i="59"/>
  <c r="F89" i="59"/>
  <c r="F79" i="59"/>
  <c r="F75" i="59" s="1"/>
  <c r="F74" i="59" s="1"/>
  <c r="F70" i="59"/>
  <c r="F67" i="59"/>
  <c r="F61" i="59"/>
  <c r="F49" i="59"/>
  <c r="F45" i="59" s="1"/>
  <c r="F38" i="59"/>
  <c r="F34" i="59"/>
  <c r="F31" i="59"/>
  <c r="F26" i="59"/>
  <c r="F22" i="59"/>
  <c r="M143" i="45"/>
  <c r="M134" i="45"/>
  <c r="M128" i="45" s="1"/>
  <c r="M123" i="45"/>
  <c r="M114" i="45"/>
  <c r="M105" i="45"/>
  <c r="M101" i="45"/>
  <c r="M89" i="45"/>
  <c r="M79" i="45"/>
  <c r="M75" i="45" s="1"/>
  <c r="M74" i="45" s="1"/>
  <c r="M70" i="45"/>
  <c r="M67" i="45"/>
  <c r="M61" i="45"/>
  <c r="M49" i="45"/>
  <c r="M45" i="45" s="1"/>
  <c r="M38" i="45"/>
  <c r="M34" i="45"/>
  <c r="M31" i="45"/>
  <c r="M26" i="45"/>
  <c r="M22" i="45"/>
  <c r="M10" i="45"/>
  <c r="M9" i="45" s="1"/>
  <c r="N150" i="48"/>
  <c r="N149" i="48"/>
  <c r="N148" i="48"/>
  <c r="N147" i="48"/>
  <c r="N145" i="48"/>
  <c r="N144" i="48"/>
  <c r="M143" i="48"/>
  <c r="L143" i="48"/>
  <c r="N141" i="48"/>
  <c r="N140" i="48"/>
  <c r="N139" i="48"/>
  <c r="N138" i="48"/>
  <c r="N137" i="48"/>
  <c r="N136" i="48"/>
  <c r="N135" i="48"/>
  <c r="M134" i="48"/>
  <c r="M128" i="48" s="1"/>
  <c r="L134" i="48"/>
  <c r="N133" i="48"/>
  <c r="N132" i="48"/>
  <c r="N131" i="48"/>
  <c r="N130" i="48"/>
  <c r="N129" i="48"/>
  <c r="N127" i="48"/>
  <c r="N126" i="48"/>
  <c r="N125" i="48"/>
  <c r="N124" i="48"/>
  <c r="M123" i="48"/>
  <c r="L123" i="48"/>
  <c r="N122" i="48"/>
  <c r="N121" i="48"/>
  <c r="N120" i="48"/>
  <c r="N119" i="48"/>
  <c r="N118" i="48"/>
  <c r="N117" i="48"/>
  <c r="N116" i="48"/>
  <c r="N115" i="48"/>
  <c r="M114" i="48"/>
  <c r="L114" i="48"/>
  <c r="L111" i="48" s="1"/>
  <c r="N113" i="48"/>
  <c r="N112" i="48"/>
  <c r="M111" i="48"/>
  <c r="N110" i="48"/>
  <c r="N109" i="48"/>
  <c r="N108" i="48"/>
  <c r="N107" i="48"/>
  <c r="N106" i="48"/>
  <c r="M105" i="48"/>
  <c r="L105" i="48"/>
  <c r="N104" i="48"/>
  <c r="N103" i="48"/>
  <c r="N102" i="48"/>
  <c r="M101" i="48"/>
  <c r="L101" i="48"/>
  <c r="N100" i="48"/>
  <c r="N99" i="48"/>
  <c r="N98" i="48"/>
  <c r="N97" i="48"/>
  <c r="N96" i="48"/>
  <c r="N95" i="48"/>
  <c r="N94" i="48"/>
  <c r="N93" i="48"/>
  <c r="N92" i="48"/>
  <c r="N90" i="48"/>
  <c r="M89" i="48"/>
  <c r="L89" i="48"/>
  <c r="L88" i="48" s="1"/>
  <c r="M88" i="48"/>
  <c r="N84" i="48"/>
  <c r="N83" i="48"/>
  <c r="N81" i="48"/>
  <c r="N80" i="48"/>
  <c r="M79" i="48"/>
  <c r="M75" i="48" s="1"/>
  <c r="M74" i="48" s="1"/>
  <c r="L79" i="48"/>
  <c r="N78" i="48"/>
  <c r="N77" i="48"/>
  <c r="N76" i="48"/>
  <c r="L75" i="48"/>
  <c r="N72" i="48"/>
  <c r="N71" i="48"/>
  <c r="M70" i="48"/>
  <c r="L70" i="48"/>
  <c r="N69" i="48"/>
  <c r="N68" i="48"/>
  <c r="M67" i="48"/>
  <c r="L67" i="48"/>
  <c r="N66" i="48"/>
  <c r="N65" i="48"/>
  <c r="N64" i="48"/>
  <c r="N63" i="48"/>
  <c r="N62" i="48"/>
  <c r="M61" i="48"/>
  <c r="L61" i="48"/>
  <c r="N60" i="48"/>
  <c r="N59" i="48"/>
  <c r="N58" i="48"/>
  <c r="N57" i="48"/>
  <c r="N56" i="48"/>
  <c r="N55" i="48"/>
  <c r="N54" i="48"/>
  <c r="N53" i="48"/>
  <c r="N52" i="48"/>
  <c r="N51" i="48"/>
  <c r="N50" i="48"/>
  <c r="M49" i="48"/>
  <c r="M45" i="48" s="1"/>
  <c r="L49" i="48"/>
  <c r="N48" i="48"/>
  <c r="N47" i="48"/>
  <c r="N46" i="48"/>
  <c r="L45" i="48"/>
  <c r="N44" i="48"/>
  <c r="N43" i="48"/>
  <c r="N42" i="48"/>
  <c r="N41" i="48"/>
  <c r="N40" i="48"/>
  <c r="N39" i="48"/>
  <c r="M38" i="48"/>
  <c r="N38" i="48" s="1"/>
  <c r="N37" i="48"/>
  <c r="N36" i="48"/>
  <c r="N35" i="48"/>
  <c r="M34" i="48"/>
  <c r="L34" i="48"/>
  <c r="N33" i="48"/>
  <c r="N32" i="48"/>
  <c r="M31" i="48"/>
  <c r="M30" i="48" s="1"/>
  <c r="L31" i="48"/>
  <c r="L30" i="48" s="1"/>
  <c r="N29" i="48"/>
  <c r="N28" i="48"/>
  <c r="N27" i="48"/>
  <c r="M26" i="48"/>
  <c r="L26" i="48"/>
  <c r="N24" i="48"/>
  <c r="N23" i="48"/>
  <c r="M22" i="48"/>
  <c r="L22" i="48"/>
  <c r="N21" i="48"/>
  <c r="N20" i="48"/>
  <c r="N19" i="48"/>
  <c r="N18" i="48"/>
  <c r="N17" i="48"/>
  <c r="N16" i="48"/>
  <c r="N15" i="48"/>
  <c r="N14" i="48"/>
  <c r="N13" i="48"/>
  <c r="N12" i="48"/>
  <c r="N11" i="48"/>
  <c r="M10" i="48"/>
  <c r="M9" i="48" s="1"/>
  <c r="L10" i="48"/>
  <c r="N150" i="47"/>
  <c r="N149" i="47"/>
  <c r="N148" i="47"/>
  <c r="N147" i="47"/>
  <c r="N145" i="47"/>
  <c r="N144" i="47"/>
  <c r="M143" i="47"/>
  <c r="L143" i="47"/>
  <c r="N141" i="47"/>
  <c r="N140" i="47"/>
  <c r="N139" i="47"/>
  <c r="N138" i="47"/>
  <c r="N137" i="47"/>
  <c r="N136" i="47"/>
  <c r="N135" i="47"/>
  <c r="M134" i="47"/>
  <c r="M128" i="47" s="1"/>
  <c r="L134" i="47"/>
  <c r="N133" i="47"/>
  <c r="N132" i="47"/>
  <c r="N131" i="47"/>
  <c r="N130" i="47"/>
  <c r="N129" i="47"/>
  <c r="N127" i="47"/>
  <c r="N126" i="47"/>
  <c r="N125" i="47"/>
  <c r="N124" i="47"/>
  <c r="M123" i="47"/>
  <c r="L123" i="47"/>
  <c r="N122" i="47"/>
  <c r="N121" i="47"/>
  <c r="N120" i="47"/>
  <c r="N119" i="47"/>
  <c r="N118" i="47"/>
  <c r="N117" i="47"/>
  <c r="N116" i="47"/>
  <c r="N115" i="47"/>
  <c r="M114" i="47"/>
  <c r="L114" i="47"/>
  <c r="N113" i="47"/>
  <c r="N112" i="47"/>
  <c r="M111" i="47"/>
  <c r="N110" i="47"/>
  <c r="N109" i="47"/>
  <c r="N108" i="47"/>
  <c r="N107" i="47"/>
  <c r="N106" i="47"/>
  <c r="M105" i="47"/>
  <c r="L105" i="47"/>
  <c r="N104" i="47"/>
  <c r="N103" i="47"/>
  <c r="N102" i="47"/>
  <c r="M101" i="47"/>
  <c r="L101" i="47"/>
  <c r="N100" i="47"/>
  <c r="N99" i="47"/>
  <c r="N98" i="47"/>
  <c r="N97" i="47"/>
  <c r="N96" i="47"/>
  <c r="N95" i="47"/>
  <c r="N94" i="47"/>
  <c r="N93" i="47"/>
  <c r="N92" i="47"/>
  <c r="N90" i="47"/>
  <c r="M89" i="47"/>
  <c r="M88" i="47" s="1"/>
  <c r="L89" i="47"/>
  <c r="L88" i="47" s="1"/>
  <c r="N84" i="47"/>
  <c r="N83" i="47"/>
  <c r="N81" i="47"/>
  <c r="N80" i="47"/>
  <c r="M79" i="47"/>
  <c r="M75" i="47" s="1"/>
  <c r="M74" i="47" s="1"/>
  <c r="L79" i="47"/>
  <c r="N78" i="47"/>
  <c r="N77" i="47"/>
  <c r="N76" i="47"/>
  <c r="N72" i="47"/>
  <c r="N71" i="47"/>
  <c r="M70" i="47"/>
  <c r="L70" i="47"/>
  <c r="N69" i="47"/>
  <c r="N68" i="47"/>
  <c r="M67" i="47"/>
  <c r="L67" i="47"/>
  <c r="N66" i="47"/>
  <c r="N65" i="47"/>
  <c r="N64" i="47"/>
  <c r="N63" i="47"/>
  <c r="N62" i="47"/>
  <c r="M61" i="47"/>
  <c r="L61" i="47"/>
  <c r="N60" i="47"/>
  <c r="N59" i="47"/>
  <c r="N58" i="47"/>
  <c r="N57" i="47"/>
  <c r="N56" i="47"/>
  <c r="N55" i="47"/>
  <c r="N54" i="47"/>
  <c r="N53" i="47"/>
  <c r="N52" i="47"/>
  <c r="N51" i="47"/>
  <c r="N50" i="47"/>
  <c r="M49" i="47"/>
  <c r="M45" i="47" s="1"/>
  <c r="L49" i="47"/>
  <c r="N48" i="47"/>
  <c r="N47" i="47"/>
  <c r="N46" i="47"/>
  <c r="N44" i="47"/>
  <c r="N43" i="47"/>
  <c r="N42" i="47"/>
  <c r="N41" i="47"/>
  <c r="N40" i="47"/>
  <c r="N39" i="47"/>
  <c r="M38" i="47"/>
  <c r="L38" i="47"/>
  <c r="N37" i="47"/>
  <c r="N36" i="47"/>
  <c r="N35" i="47"/>
  <c r="M34" i="47"/>
  <c r="L34" i="47"/>
  <c r="N33" i="47"/>
  <c r="N32" i="47"/>
  <c r="M31" i="47"/>
  <c r="M30" i="47" s="1"/>
  <c r="L31" i="47"/>
  <c r="N29" i="47"/>
  <c r="N28" i="47"/>
  <c r="N27" i="47"/>
  <c r="M26" i="47"/>
  <c r="L26" i="47"/>
  <c r="N24" i="47"/>
  <c r="N23" i="47"/>
  <c r="M22" i="47"/>
  <c r="L22" i="47"/>
  <c r="N21" i="47"/>
  <c r="N20" i="47"/>
  <c r="N19" i="47"/>
  <c r="N18" i="47"/>
  <c r="N17" i="47"/>
  <c r="N16" i="47"/>
  <c r="N15" i="47"/>
  <c r="N14" i="47"/>
  <c r="N13" i="47"/>
  <c r="N12" i="47"/>
  <c r="N11" i="47"/>
  <c r="M10" i="47"/>
  <c r="L10" i="47"/>
  <c r="L9" i="47" s="1"/>
  <c r="M9" i="47"/>
  <c r="N150" i="51"/>
  <c r="N149" i="51"/>
  <c r="N148" i="51"/>
  <c r="N147" i="51"/>
  <c r="N145" i="51"/>
  <c r="N144" i="51"/>
  <c r="M143" i="51"/>
  <c r="L143" i="51"/>
  <c r="N141" i="51"/>
  <c r="N140" i="51"/>
  <c r="N139" i="51"/>
  <c r="N138" i="51"/>
  <c r="N137" i="51"/>
  <c r="N136" i="51"/>
  <c r="N135" i="51"/>
  <c r="M134" i="51"/>
  <c r="M128" i="51" s="1"/>
  <c r="L134" i="51"/>
  <c r="N133" i="51"/>
  <c r="N132" i="51"/>
  <c r="N131" i="51"/>
  <c r="N130" i="51"/>
  <c r="N129" i="51"/>
  <c r="L128" i="51"/>
  <c r="N127" i="51"/>
  <c r="N126" i="51"/>
  <c r="N125" i="51"/>
  <c r="N124" i="51"/>
  <c r="M123" i="51"/>
  <c r="L123" i="51"/>
  <c r="N122" i="51"/>
  <c r="N121" i="51"/>
  <c r="N120" i="51"/>
  <c r="N119" i="51"/>
  <c r="N118" i="51"/>
  <c r="N117" i="51"/>
  <c r="N116" i="51"/>
  <c r="N115" i="51"/>
  <c r="M114" i="51"/>
  <c r="M111" i="51" s="1"/>
  <c r="N113" i="51"/>
  <c r="N112" i="51"/>
  <c r="N110" i="51"/>
  <c r="N109" i="51"/>
  <c r="N108" i="51"/>
  <c r="N107" i="51"/>
  <c r="N106" i="51"/>
  <c r="M105" i="51"/>
  <c r="L105" i="51"/>
  <c r="N104" i="51"/>
  <c r="N103" i="51"/>
  <c r="N102" i="51"/>
  <c r="M101" i="51"/>
  <c r="L101" i="51"/>
  <c r="N100" i="51"/>
  <c r="N99" i="51"/>
  <c r="N98" i="51"/>
  <c r="N97" i="51"/>
  <c r="N96" i="51"/>
  <c r="N95" i="51"/>
  <c r="N94" i="51"/>
  <c r="N93" i="51"/>
  <c r="N92" i="51"/>
  <c r="N91" i="51"/>
  <c r="N90" i="51"/>
  <c r="M89" i="51"/>
  <c r="L89" i="51"/>
  <c r="N84" i="51"/>
  <c r="N83" i="51"/>
  <c r="N81" i="51"/>
  <c r="N80" i="51"/>
  <c r="M79" i="51"/>
  <c r="M75" i="51" s="1"/>
  <c r="M74" i="51" s="1"/>
  <c r="L79" i="51"/>
  <c r="N78" i="51"/>
  <c r="N77" i="51"/>
  <c r="N76" i="51"/>
  <c r="N72" i="51"/>
  <c r="N71" i="51"/>
  <c r="M70" i="51"/>
  <c r="L70" i="51"/>
  <c r="N69" i="51"/>
  <c r="N68" i="51"/>
  <c r="M67" i="51"/>
  <c r="L67" i="51"/>
  <c r="N66" i="51"/>
  <c r="N65" i="51"/>
  <c r="N64" i="51"/>
  <c r="N63" i="51"/>
  <c r="N62" i="51"/>
  <c r="M61" i="51"/>
  <c r="L61" i="51"/>
  <c r="N60" i="51"/>
  <c r="N59" i="51"/>
  <c r="N58" i="51"/>
  <c r="N57" i="51"/>
  <c r="N56" i="51"/>
  <c r="N55" i="51"/>
  <c r="N54" i="51"/>
  <c r="N53" i="51"/>
  <c r="N52" i="51"/>
  <c r="N51" i="51"/>
  <c r="N50" i="51"/>
  <c r="M49" i="51"/>
  <c r="M45" i="51" s="1"/>
  <c r="L49" i="51"/>
  <c r="N48" i="51"/>
  <c r="N47" i="51"/>
  <c r="N46" i="51"/>
  <c r="N44" i="51"/>
  <c r="N43" i="51"/>
  <c r="N42" i="51"/>
  <c r="N41" i="51"/>
  <c r="N40" i="51"/>
  <c r="N39" i="51"/>
  <c r="M38" i="51"/>
  <c r="L38" i="51"/>
  <c r="N37" i="51"/>
  <c r="N36" i="51"/>
  <c r="N35" i="51"/>
  <c r="M34" i="51"/>
  <c r="L34" i="51"/>
  <c r="N33" i="51"/>
  <c r="N32" i="51"/>
  <c r="M31" i="51"/>
  <c r="L31" i="51"/>
  <c r="L30" i="51" s="1"/>
  <c r="M30" i="51"/>
  <c r="N29" i="51"/>
  <c r="N28" i="51"/>
  <c r="N27" i="51"/>
  <c r="M26" i="51"/>
  <c r="L26" i="51"/>
  <c r="N24" i="51"/>
  <c r="N23" i="51"/>
  <c r="M22" i="51"/>
  <c r="L22" i="51"/>
  <c r="N21" i="51"/>
  <c r="N20" i="51"/>
  <c r="N19" i="51"/>
  <c r="N18" i="51"/>
  <c r="N17" i="51"/>
  <c r="N16" i="51"/>
  <c r="N15" i="51"/>
  <c r="N14" i="51"/>
  <c r="N13" i="51"/>
  <c r="N12" i="51"/>
  <c r="N11" i="51"/>
  <c r="M10" i="51"/>
  <c r="M9" i="51" s="1"/>
  <c r="L10" i="51"/>
  <c r="L9" i="51" s="1"/>
  <c r="N150" i="52"/>
  <c r="N149" i="52"/>
  <c r="N148" i="52"/>
  <c r="N147" i="52"/>
  <c r="N145" i="52"/>
  <c r="N144" i="52"/>
  <c r="M143" i="52"/>
  <c r="L143" i="52"/>
  <c r="N141" i="52"/>
  <c r="N140" i="52"/>
  <c r="N139" i="52"/>
  <c r="N138" i="52"/>
  <c r="N137" i="52"/>
  <c r="N136" i="52"/>
  <c r="N135" i="52"/>
  <c r="M134" i="52"/>
  <c r="M128" i="52" s="1"/>
  <c r="L134" i="52"/>
  <c r="N133" i="52"/>
  <c r="N132" i="52"/>
  <c r="N131" i="52"/>
  <c r="N130" i="52"/>
  <c r="N129" i="52"/>
  <c r="L128" i="52"/>
  <c r="N127" i="52"/>
  <c r="N126" i="52"/>
  <c r="N125" i="52"/>
  <c r="N124" i="52"/>
  <c r="M123" i="52"/>
  <c r="L123" i="52"/>
  <c r="N122" i="52"/>
  <c r="N121" i="52"/>
  <c r="N120" i="52"/>
  <c r="N119" i="52"/>
  <c r="N118" i="52"/>
  <c r="N117" i="52"/>
  <c r="N116" i="52"/>
  <c r="N115" i="52"/>
  <c r="M114" i="52"/>
  <c r="L114" i="52"/>
  <c r="L111" i="52" s="1"/>
  <c r="N113" i="52"/>
  <c r="N112" i="52"/>
  <c r="M111" i="52"/>
  <c r="N110" i="52"/>
  <c r="N109" i="52"/>
  <c r="N108" i="52"/>
  <c r="N107" i="52"/>
  <c r="N106" i="52"/>
  <c r="M105" i="52"/>
  <c r="L105" i="52"/>
  <c r="N104" i="52"/>
  <c r="N103" i="52"/>
  <c r="N102" i="52"/>
  <c r="M101" i="52"/>
  <c r="L101" i="52"/>
  <c r="N100" i="52"/>
  <c r="N99" i="52"/>
  <c r="N98" i="52"/>
  <c r="N97" i="52"/>
  <c r="N96" i="52"/>
  <c r="N95" i="52"/>
  <c r="N94" i="52"/>
  <c r="N93" i="52"/>
  <c r="N92" i="52"/>
  <c r="N90" i="52"/>
  <c r="M89" i="52"/>
  <c r="M88" i="52" s="1"/>
  <c r="L89" i="52"/>
  <c r="L88" i="52" s="1"/>
  <c r="N84" i="52"/>
  <c r="N83" i="52"/>
  <c r="N81" i="52"/>
  <c r="N80" i="52"/>
  <c r="M79" i="52"/>
  <c r="M75" i="52" s="1"/>
  <c r="M74" i="52" s="1"/>
  <c r="L79" i="52"/>
  <c r="N78" i="52"/>
  <c r="N77" i="52"/>
  <c r="N76" i="52"/>
  <c r="N72" i="52"/>
  <c r="N71" i="52"/>
  <c r="M70" i="52"/>
  <c r="L70" i="52"/>
  <c r="N69" i="52"/>
  <c r="N68" i="52"/>
  <c r="M67" i="52"/>
  <c r="L67" i="52"/>
  <c r="N66" i="52"/>
  <c r="N65" i="52"/>
  <c r="N64" i="52"/>
  <c r="N63" i="52"/>
  <c r="N62" i="52"/>
  <c r="M61" i="52"/>
  <c r="L61" i="52"/>
  <c r="N60" i="52"/>
  <c r="N59" i="52"/>
  <c r="N58" i="52"/>
  <c r="N57" i="52"/>
  <c r="N56" i="52"/>
  <c r="N55" i="52"/>
  <c r="N54" i="52"/>
  <c r="N53" i="52"/>
  <c r="N52" i="52"/>
  <c r="N51" i="52"/>
  <c r="N50" i="52"/>
  <c r="M49" i="52"/>
  <c r="M45" i="52" s="1"/>
  <c r="L49" i="52"/>
  <c r="N48" i="52"/>
  <c r="N47" i="52"/>
  <c r="N46" i="52"/>
  <c r="N44" i="52"/>
  <c r="N43" i="52"/>
  <c r="N42" i="52"/>
  <c r="N41" i="52"/>
  <c r="N40" i="52"/>
  <c r="N39" i="52"/>
  <c r="M38" i="52"/>
  <c r="L38" i="52"/>
  <c r="N37" i="52"/>
  <c r="N36" i="52"/>
  <c r="N35" i="52"/>
  <c r="M34" i="52"/>
  <c r="L34" i="52"/>
  <c r="N33" i="52"/>
  <c r="N32" i="52"/>
  <c r="M31" i="52"/>
  <c r="M30" i="52" s="1"/>
  <c r="L31" i="52"/>
  <c r="N29" i="52"/>
  <c r="N28" i="52"/>
  <c r="N27" i="52"/>
  <c r="M26" i="52"/>
  <c r="L26" i="52"/>
  <c r="N24" i="52"/>
  <c r="N23" i="52"/>
  <c r="M22" i="52"/>
  <c r="L22" i="52"/>
  <c r="N21" i="52"/>
  <c r="N20" i="52"/>
  <c r="N19" i="52"/>
  <c r="N18" i="52"/>
  <c r="N17" i="52"/>
  <c r="N16" i="52"/>
  <c r="N15" i="52"/>
  <c r="N14" i="52"/>
  <c r="N13" i="52"/>
  <c r="N12" i="52"/>
  <c r="N11" i="52"/>
  <c r="M10" i="52"/>
  <c r="L10" i="52"/>
  <c r="L9" i="52" s="1"/>
  <c r="M9" i="52"/>
  <c r="N150" i="55"/>
  <c r="N149" i="55"/>
  <c r="N148" i="55"/>
  <c r="N147" i="55"/>
  <c r="N145" i="55"/>
  <c r="N144" i="55"/>
  <c r="M143" i="55"/>
  <c r="L143" i="55"/>
  <c r="N141" i="55"/>
  <c r="N140" i="55"/>
  <c r="N139" i="55"/>
  <c r="N138" i="55"/>
  <c r="N137" i="55"/>
  <c r="N136" i="55"/>
  <c r="N135" i="55"/>
  <c r="M134" i="55"/>
  <c r="M128" i="55" s="1"/>
  <c r="L134" i="55"/>
  <c r="N133" i="55"/>
  <c r="N132" i="55"/>
  <c r="N131" i="55"/>
  <c r="N130" i="55"/>
  <c r="N129" i="55"/>
  <c r="N127" i="55"/>
  <c r="N126" i="55"/>
  <c r="N125" i="55"/>
  <c r="N124" i="55"/>
  <c r="M123" i="55"/>
  <c r="L123" i="55"/>
  <c r="N122" i="55"/>
  <c r="N121" i="55"/>
  <c r="N120" i="55"/>
  <c r="N119" i="55"/>
  <c r="N118" i="55"/>
  <c r="N117" i="55"/>
  <c r="N116" i="55"/>
  <c r="N115" i="55"/>
  <c r="M114" i="55"/>
  <c r="L114" i="55"/>
  <c r="L111" i="55" s="1"/>
  <c r="N113" i="55"/>
  <c r="N112" i="55"/>
  <c r="M111" i="55"/>
  <c r="N110" i="55"/>
  <c r="N109" i="55"/>
  <c r="N108" i="55"/>
  <c r="N107" i="55"/>
  <c r="N106" i="55"/>
  <c r="M105" i="55"/>
  <c r="L105" i="55"/>
  <c r="N104" i="55"/>
  <c r="N103" i="55"/>
  <c r="N102" i="55"/>
  <c r="M101" i="55"/>
  <c r="L101" i="55"/>
  <c r="N100" i="55"/>
  <c r="N99" i="55"/>
  <c r="N98" i="55"/>
  <c r="N97" i="55"/>
  <c r="N96" i="55"/>
  <c r="N95" i="55"/>
  <c r="N94" i="55"/>
  <c r="N93" i="55"/>
  <c r="N92" i="55"/>
  <c r="N90" i="55"/>
  <c r="M89" i="55"/>
  <c r="M88" i="55" s="1"/>
  <c r="L89" i="55"/>
  <c r="L88" i="55" s="1"/>
  <c r="N84" i="55"/>
  <c r="N83" i="55"/>
  <c r="N81" i="55"/>
  <c r="N80" i="55"/>
  <c r="M79" i="55"/>
  <c r="M75" i="55" s="1"/>
  <c r="M74" i="55" s="1"/>
  <c r="L79" i="55"/>
  <c r="N78" i="55"/>
  <c r="N77" i="55"/>
  <c r="N76" i="55"/>
  <c r="L75" i="55"/>
  <c r="N72" i="55"/>
  <c r="N71" i="55"/>
  <c r="M70" i="55"/>
  <c r="L70" i="55"/>
  <c r="N69" i="55"/>
  <c r="N68" i="55"/>
  <c r="M67" i="55"/>
  <c r="L67" i="55"/>
  <c r="N66" i="55"/>
  <c r="N65" i="55"/>
  <c r="N64" i="55"/>
  <c r="N63" i="55"/>
  <c r="N62" i="55"/>
  <c r="M61" i="55"/>
  <c r="L61" i="55"/>
  <c r="N60" i="55"/>
  <c r="N59" i="55"/>
  <c r="N58" i="55"/>
  <c r="N57" i="55"/>
  <c r="N56" i="55"/>
  <c r="N55" i="55"/>
  <c r="N54" i="55"/>
  <c r="N53" i="55"/>
  <c r="N52" i="55"/>
  <c r="N51" i="55"/>
  <c r="N50" i="55"/>
  <c r="M49" i="55"/>
  <c r="M45" i="55" s="1"/>
  <c r="L49" i="55"/>
  <c r="N48" i="55"/>
  <c r="N47" i="55"/>
  <c r="N46" i="55"/>
  <c r="L45" i="55"/>
  <c r="N44" i="55"/>
  <c r="N43" i="55"/>
  <c r="N42" i="55"/>
  <c r="N41" i="55"/>
  <c r="N40" i="55"/>
  <c r="N39" i="55"/>
  <c r="M38" i="55"/>
  <c r="L38" i="55"/>
  <c r="N37" i="55"/>
  <c r="N36" i="55"/>
  <c r="N35" i="55"/>
  <c r="M34" i="55"/>
  <c r="L34" i="55"/>
  <c r="N33" i="55"/>
  <c r="N32" i="55"/>
  <c r="M31" i="55"/>
  <c r="M30" i="55" s="1"/>
  <c r="L31" i="55"/>
  <c r="L30" i="55" s="1"/>
  <c r="N29" i="55"/>
  <c r="N28" i="55"/>
  <c r="N27" i="55"/>
  <c r="M26" i="55"/>
  <c r="L26" i="55"/>
  <c r="N24" i="55"/>
  <c r="N23" i="55"/>
  <c r="M22" i="55"/>
  <c r="L22" i="55"/>
  <c r="N21" i="55"/>
  <c r="N20" i="55"/>
  <c r="N19" i="55"/>
  <c r="N18" i="55"/>
  <c r="N17" i="55"/>
  <c r="N16" i="55"/>
  <c r="N15" i="55"/>
  <c r="N14" i="55"/>
  <c r="N13" i="55"/>
  <c r="N12" i="55"/>
  <c r="N11" i="55"/>
  <c r="M10" i="55"/>
  <c r="L10" i="55"/>
  <c r="L9" i="55" s="1"/>
  <c r="M9" i="55"/>
  <c r="N150" i="53"/>
  <c r="N149" i="53"/>
  <c r="N148" i="53"/>
  <c r="N147" i="53"/>
  <c r="N145" i="53"/>
  <c r="N144" i="53"/>
  <c r="M143" i="53"/>
  <c r="L143" i="53"/>
  <c r="N141" i="53"/>
  <c r="N140" i="53"/>
  <c r="N139" i="53"/>
  <c r="N138" i="53"/>
  <c r="N137" i="53"/>
  <c r="N136" i="53"/>
  <c r="N135" i="53"/>
  <c r="M134" i="53"/>
  <c r="M128" i="53" s="1"/>
  <c r="L134" i="53"/>
  <c r="N133" i="53"/>
  <c r="N132" i="53"/>
  <c r="N131" i="53"/>
  <c r="N130" i="53"/>
  <c r="N129" i="53"/>
  <c r="N127" i="53"/>
  <c r="N126" i="53"/>
  <c r="N125" i="53"/>
  <c r="N124" i="53"/>
  <c r="M123" i="53"/>
  <c r="L123" i="53"/>
  <c r="N122" i="53"/>
  <c r="N121" i="53"/>
  <c r="N120" i="53"/>
  <c r="N119" i="53"/>
  <c r="N118" i="53"/>
  <c r="N117" i="53"/>
  <c r="N116" i="53"/>
  <c r="N115" i="53"/>
  <c r="M114" i="53"/>
  <c r="L114" i="53"/>
  <c r="L111" i="53" s="1"/>
  <c r="N113" i="53"/>
  <c r="N112" i="53"/>
  <c r="M111" i="53"/>
  <c r="N110" i="53"/>
  <c r="N109" i="53"/>
  <c r="N108" i="53"/>
  <c r="N107" i="53"/>
  <c r="N106" i="53"/>
  <c r="M105" i="53"/>
  <c r="L105" i="53"/>
  <c r="N104" i="53"/>
  <c r="N103" i="53"/>
  <c r="N102" i="53"/>
  <c r="M101" i="53"/>
  <c r="L101" i="53"/>
  <c r="N100" i="53"/>
  <c r="N99" i="53"/>
  <c r="N98" i="53"/>
  <c r="N97" i="53"/>
  <c r="N96" i="53"/>
  <c r="N95" i="53"/>
  <c r="N94" i="53"/>
  <c r="N93" i="53"/>
  <c r="N92" i="53"/>
  <c r="N90" i="53"/>
  <c r="M89" i="53"/>
  <c r="M88" i="53" s="1"/>
  <c r="L89" i="53"/>
  <c r="L88" i="53" s="1"/>
  <c r="N84" i="53"/>
  <c r="N83" i="53"/>
  <c r="N81" i="53"/>
  <c r="N80" i="53"/>
  <c r="M79" i="53"/>
  <c r="M75" i="53" s="1"/>
  <c r="M74" i="53" s="1"/>
  <c r="L79" i="53"/>
  <c r="N78" i="53"/>
  <c r="N77" i="53"/>
  <c r="N76" i="53"/>
  <c r="L75" i="53"/>
  <c r="N72" i="53"/>
  <c r="N71" i="53"/>
  <c r="M70" i="53"/>
  <c r="L70" i="53"/>
  <c r="N69" i="53"/>
  <c r="N68" i="53"/>
  <c r="M67" i="53"/>
  <c r="L67" i="53"/>
  <c r="N66" i="53"/>
  <c r="N65" i="53"/>
  <c r="N64" i="53"/>
  <c r="N63" i="53"/>
  <c r="N62" i="53"/>
  <c r="M61" i="53"/>
  <c r="L61" i="53"/>
  <c r="N60" i="53"/>
  <c r="N59" i="53"/>
  <c r="N58" i="53"/>
  <c r="N57" i="53"/>
  <c r="N56" i="53"/>
  <c r="N55" i="53"/>
  <c r="N54" i="53"/>
  <c r="N53" i="53"/>
  <c r="N52" i="53"/>
  <c r="N51" i="53"/>
  <c r="N50" i="53"/>
  <c r="M49" i="53"/>
  <c r="M45" i="53" s="1"/>
  <c r="L49" i="53"/>
  <c r="N48" i="53"/>
  <c r="N47" i="53"/>
  <c r="N46" i="53"/>
  <c r="L45" i="53"/>
  <c r="N44" i="53"/>
  <c r="N43" i="53"/>
  <c r="N42" i="53"/>
  <c r="N41" i="53"/>
  <c r="N40" i="53"/>
  <c r="N39" i="53"/>
  <c r="M38" i="53"/>
  <c r="L38" i="53"/>
  <c r="N37" i="53"/>
  <c r="N36" i="53"/>
  <c r="N35" i="53"/>
  <c r="M34" i="53"/>
  <c r="L34" i="53"/>
  <c r="N33" i="53"/>
  <c r="N32" i="53"/>
  <c r="M31" i="53"/>
  <c r="M30" i="53" s="1"/>
  <c r="L31" i="53"/>
  <c r="L30" i="53" s="1"/>
  <c r="N29" i="53"/>
  <c r="N28" i="53"/>
  <c r="N27" i="53"/>
  <c r="M26" i="53"/>
  <c r="L26" i="53"/>
  <c r="N24" i="53"/>
  <c r="N23" i="53"/>
  <c r="M22" i="53"/>
  <c r="L22" i="53"/>
  <c r="N21" i="53"/>
  <c r="N20" i="53"/>
  <c r="N19" i="53"/>
  <c r="N18" i="53"/>
  <c r="N17" i="53"/>
  <c r="N16" i="53"/>
  <c r="N15" i="53"/>
  <c r="N14" i="53"/>
  <c r="N13" i="53"/>
  <c r="N12" i="53"/>
  <c r="N11" i="53"/>
  <c r="M10" i="53"/>
  <c r="L10" i="53"/>
  <c r="L9" i="53" s="1"/>
  <c r="M9" i="53"/>
  <c r="N150" i="54"/>
  <c r="N149" i="54"/>
  <c r="N148" i="54"/>
  <c r="N147" i="54"/>
  <c r="N145" i="54"/>
  <c r="N144" i="54"/>
  <c r="M143" i="54"/>
  <c r="L143" i="54"/>
  <c r="N141" i="54"/>
  <c r="N140" i="54"/>
  <c r="N139" i="54"/>
  <c r="N138" i="54"/>
  <c r="N137" i="54"/>
  <c r="N136" i="54"/>
  <c r="N135" i="54"/>
  <c r="M134" i="54"/>
  <c r="M128" i="54" s="1"/>
  <c r="L134" i="54"/>
  <c r="N133" i="54"/>
  <c r="N132" i="54"/>
  <c r="N131" i="54"/>
  <c r="N130" i="54"/>
  <c r="N129" i="54"/>
  <c r="N127" i="54"/>
  <c r="N126" i="54"/>
  <c r="N125" i="54"/>
  <c r="N124" i="54"/>
  <c r="M123" i="54"/>
  <c r="L123" i="54"/>
  <c r="N122" i="54"/>
  <c r="N121" i="54"/>
  <c r="N120" i="54"/>
  <c r="N119" i="54"/>
  <c r="N118" i="54"/>
  <c r="N117" i="54"/>
  <c r="N116" i="54"/>
  <c r="N115" i="54"/>
  <c r="M114" i="54"/>
  <c r="L114" i="54"/>
  <c r="L111" i="54" s="1"/>
  <c r="N113" i="54"/>
  <c r="N112" i="54"/>
  <c r="M111" i="54"/>
  <c r="N110" i="54"/>
  <c r="N109" i="54"/>
  <c r="N108" i="54"/>
  <c r="N107" i="54"/>
  <c r="N106" i="54"/>
  <c r="M105" i="54"/>
  <c r="L105" i="54"/>
  <c r="N104" i="54"/>
  <c r="N103" i="54"/>
  <c r="N102" i="54"/>
  <c r="M101" i="54"/>
  <c r="L101" i="54"/>
  <c r="N100" i="54"/>
  <c r="N99" i="54"/>
  <c r="N98" i="54"/>
  <c r="N97" i="54"/>
  <c r="N96" i="54"/>
  <c r="N95" i="54"/>
  <c r="N94" i="54"/>
  <c r="N93" i="54"/>
  <c r="N92" i="54"/>
  <c r="N90" i="54"/>
  <c r="M89" i="54"/>
  <c r="M88" i="54" s="1"/>
  <c r="L89" i="54"/>
  <c r="L88" i="54" s="1"/>
  <c r="N84" i="54"/>
  <c r="N83" i="54"/>
  <c r="N81" i="54"/>
  <c r="N80" i="54"/>
  <c r="M79" i="54"/>
  <c r="M75" i="54" s="1"/>
  <c r="M74" i="54" s="1"/>
  <c r="L79" i="54"/>
  <c r="N78" i="54"/>
  <c r="N77" i="54"/>
  <c r="N76" i="54"/>
  <c r="L75" i="54"/>
  <c r="N72" i="54"/>
  <c r="N71" i="54"/>
  <c r="M70" i="54"/>
  <c r="L70" i="54"/>
  <c r="N69" i="54"/>
  <c r="N68" i="54"/>
  <c r="M67" i="54"/>
  <c r="L67" i="54"/>
  <c r="N66" i="54"/>
  <c r="N65" i="54"/>
  <c r="N64" i="54"/>
  <c r="N63" i="54"/>
  <c r="N62" i="54"/>
  <c r="M61" i="54"/>
  <c r="L61" i="54"/>
  <c r="N60" i="54"/>
  <c r="N59" i="54"/>
  <c r="N58" i="54"/>
  <c r="N57" i="54"/>
  <c r="N56" i="54"/>
  <c r="N55" i="54"/>
  <c r="N54" i="54"/>
  <c r="N53" i="54"/>
  <c r="N52" i="54"/>
  <c r="N51" i="54"/>
  <c r="N50" i="54"/>
  <c r="M49" i="54"/>
  <c r="M45" i="54" s="1"/>
  <c r="L49" i="54"/>
  <c r="N48" i="54"/>
  <c r="N47" i="54"/>
  <c r="N46" i="54"/>
  <c r="L45" i="54"/>
  <c r="N44" i="54"/>
  <c r="N43" i="54"/>
  <c r="N42" i="54"/>
  <c r="N41" i="54"/>
  <c r="N40" i="54"/>
  <c r="N39" i="54"/>
  <c r="M38" i="54"/>
  <c r="L38" i="54"/>
  <c r="N37" i="54"/>
  <c r="N36" i="54"/>
  <c r="N35" i="54"/>
  <c r="M34" i="54"/>
  <c r="L34" i="54"/>
  <c r="N33" i="54"/>
  <c r="N32" i="54"/>
  <c r="M31" i="54"/>
  <c r="M30" i="54" s="1"/>
  <c r="L31" i="54"/>
  <c r="L30" i="54" s="1"/>
  <c r="N29" i="54"/>
  <c r="N28" i="54"/>
  <c r="N27" i="54"/>
  <c r="M26" i="54"/>
  <c r="L26" i="54"/>
  <c r="N24" i="54"/>
  <c r="N23" i="54"/>
  <c r="M22" i="54"/>
  <c r="L22" i="54"/>
  <c r="N21" i="54"/>
  <c r="N20" i="54"/>
  <c r="N19" i="54"/>
  <c r="N18" i="54"/>
  <c r="N17" i="54"/>
  <c r="N16" i="54"/>
  <c r="N15" i="54"/>
  <c r="N14" i="54"/>
  <c r="N13" i="54"/>
  <c r="N12" i="54"/>
  <c r="N11" i="54"/>
  <c r="M10" i="54"/>
  <c r="L10" i="54"/>
  <c r="L9" i="54" s="1"/>
  <c r="M9" i="54"/>
  <c r="N150" i="33"/>
  <c r="N149" i="33"/>
  <c r="N148" i="33"/>
  <c r="N147" i="33"/>
  <c r="N145" i="33"/>
  <c r="N144" i="33"/>
  <c r="M143" i="33"/>
  <c r="L143" i="33"/>
  <c r="N141" i="33"/>
  <c r="N140" i="33"/>
  <c r="N139" i="33"/>
  <c r="N138" i="33"/>
  <c r="N137" i="33"/>
  <c r="N136" i="33"/>
  <c r="N135" i="33"/>
  <c r="M134" i="33"/>
  <c r="M128" i="33" s="1"/>
  <c r="L134" i="33"/>
  <c r="N133" i="33"/>
  <c r="N132" i="33"/>
  <c r="N131" i="33"/>
  <c r="N130" i="33"/>
  <c r="N129" i="33"/>
  <c r="N127" i="33"/>
  <c r="N126" i="33"/>
  <c r="N125" i="33"/>
  <c r="N124" i="33"/>
  <c r="M123" i="33"/>
  <c r="L123" i="33"/>
  <c r="N122" i="33"/>
  <c r="N121" i="33"/>
  <c r="N120" i="33"/>
  <c r="N119" i="33"/>
  <c r="N118" i="33"/>
  <c r="N117" i="33"/>
  <c r="N116" i="33"/>
  <c r="N115" i="33"/>
  <c r="M114" i="33"/>
  <c r="L114" i="33"/>
  <c r="L111" i="33" s="1"/>
  <c r="N113" i="33"/>
  <c r="N112" i="33"/>
  <c r="M111" i="33"/>
  <c r="N110" i="33"/>
  <c r="N109" i="33"/>
  <c r="N108" i="33"/>
  <c r="N107" i="33"/>
  <c r="N106" i="33"/>
  <c r="M105" i="33"/>
  <c r="L105" i="33"/>
  <c r="N104" i="33"/>
  <c r="N103" i="33"/>
  <c r="N102" i="33"/>
  <c r="M101" i="33"/>
  <c r="L101" i="33"/>
  <c r="N100" i="33"/>
  <c r="N99" i="33"/>
  <c r="N98" i="33"/>
  <c r="N97" i="33"/>
  <c r="N96" i="33"/>
  <c r="N95" i="33"/>
  <c r="N94" i="33"/>
  <c r="N93" i="33"/>
  <c r="N92" i="33"/>
  <c r="N90" i="33"/>
  <c r="M89" i="33"/>
  <c r="M88" i="33" s="1"/>
  <c r="L89" i="33"/>
  <c r="L88" i="33" s="1"/>
  <c r="N84" i="33"/>
  <c r="N83" i="33"/>
  <c r="N81" i="33"/>
  <c r="N80" i="33"/>
  <c r="M79" i="33"/>
  <c r="M75" i="33" s="1"/>
  <c r="M74" i="33" s="1"/>
  <c r="L79" i="33"/>
  <c r="N78" i="33"/>
  <c r="N77" i="33"/>
  <c r="N76" i="33"/>
  <c r="L75" i="33"/>
  <c r="N72" i="33"/>
  <c r="N71" i="33"/>
  <c r="M70" i="33"/>
  <c r="L70" i="33"/>
  <c r="N69" i="33"/>
  <c r="N68" i="33"/>
  <c r="M67" i="33"/>
  <c r="L67" i="33"/>
  <c r="N66" i="33"/>
  <c r="N65" i="33"/>
  <c r="N64" i="33"/>
  <c r="N63" i="33"/>
  <c r="N62" i="33"/>
  <c r="M61" i="33"/>
  <c r="L61" i="33"/>
  <c r="N60" i="33"/>
  <c r="N59" i="33"/>
  <c r="N58" i="33"/>
  <c r="N57" i="33"/>
  <c r="N56" i="33"/>
  <c r="N55" i="33"/>
  <c r="N54" i="33"/>
  <c r="N53" i="33"/>
  <c r="N52" i="33"/>
  <c r="N51" i="33"/>
  <c r="N50" i="33"/>
  <c r="M49" i="33"/>
  <c r="M45" i="33" s="1"/>
  <c r="L49" i="33"/>
  <c r="N48" i="33"/>
  <c r="N47" i="33"/>
  <c r="N46" i="33"/>
  <c r="L45" i="33"/>
  <c r="N44" i="33"/>
  <c r="N43" i="33"/>
  <c r="N42" i="33"/>
  <c r="N41" i="33"/>
  <c r="N40" i="33"/>
  <c r="N39" i="33"/>
  <c r="M38" i="33"/>
  <c r="L38" i="33"/>
  <c r="N37" i="33"/>
  <c r="N36" i="33"/>
  <c r="N35" i="33"/>
  <c r="M34" i="33"/>
  <c r="L34" i="33"/>
  <c r="N33" i="33"/>
  <c r="N32" i="33"/>
  <c r="M31" i="33"/>
  <c r="M30" i="33" s="1"/>
  <c r="L31" i="33"/>
  <c r="L30" i="33" s="1"/>
  <c r="N29" i="33"/>
  <c r="N28" i="33"/>
  <c r="N27" i="33"/>
  <c r="M26" i="33"/>
  <c r="L26" i="33"/>
  <c r="N24" i="33"/>
  <c r="N23" i="33"/>
  <c r="M22" i="33"/>
  <c r="L22" i="33"/>
  <c r="N21" i="33"/>
  <c r="N20" i="33"/>
  <c r="N19" i="33"/>
  <c r="N18" i="33"/>
  <c r="N17" i="33"/>
  <c r="N16" i="33"/>
  <c r="N15" i="33"/>
  <c r="N14" i="33"/>
  <c r="N13" i="33"/>
  <c r="N12" i="33"/>
  <c r="N11" i="33"/>
  <c r="M10" i="33"/>
  <c r="L10" i="33"/>
  <c r="L9" i="33" s="1"/>
  <c r="M9" i="33"/>
  <c r="N150" i="34"/>
  <c r="N149" i="34"/>
  <c r="N148" i="34"/>
  <c r="N147" i="34"/>
  <c r="N145" i="34"/>
  <c r="N144" i="34"/>
  <c r="M143" i="34"/>
  <c r="L143" i="34"/>
  <c r="N141" i="34"/>
  <c r="N140" i="34"/>
  <c r="N139" i="34"/>
  <c r="N138" i="34"/>
  <c r="N137" i="34"/>
  <c r="N136" i="34"/>
  <c r="N135" i="34"/>
  <c r="M134" i="34"/>
  <c r="M128" i="34" s="1"/>
  <c r="L134" i="34"/>
  <c r="L128" i="34" s="1"/>
  <c r="N133" i="34"/>
  <c r="N132" i="34"/>
  <c r="N131" i="34"/>
  <c r="N130" i="34"/>
  <c r="N129" i="34"/>
  <c r="N127" i="34"/>
  <c r="N126" i="34"/>
  <c r="N125" i="34"/>
  <c r="N124" i="34"/>
  <c r="M123" i="34"/>
  <c r="L123" i="34"/>
  <c r="N122" i="34"/>
  <c r="N121" i="34"/>
  <c r="N120" i="34"/>
  <c r="N119" i="34"/>
  <c r="N118" i="34"/>
  <c r="N117" i="34"/>
  <c r="N116" i="34"/>
  <c r="N115" i="34"/>
  <c r="M114" i="34"/>
  <c r="M111" i="34" s="1"/>
  <c r="L114" i="34"/>
  <c r="N113" i="34"/>
  <c r="N112" i="34"/>
  <c r="N110" i="34"/>
  <c r="N109" i="34"/>
  <c r="N108" i="34"/>
  <c r="N107" i="34"/>
  <c r="N106" i="34"/>
  <c r="M105" i="34"/>
  <c r="L105" i="34"/>
  <c r="N104" i="34"/>
  <c r="N103" i="34"/>
  <c r="N102" i="34"/>
  <c r="M101" i="34"/>
  <c r="L101" i="34"/>
  <c r="N100" i="34"/>
  <c r="N99" i="34"/>
  <c r="N98" i="34"/>
  <c r="N97" i="34"/>
  <c r="N96" i="34"/>
  <c r="N95" i="34"/>
  <c r="N94" i="34"/>
  <c r="N93" i="34"/>
  <c r="N92" i="34"/>
  <c r="N90" i="34"/>
  <c r="M89" i="34"/>
  <c r="M88" i="34" s="1"/>
  <c r="L89" i="34"/>
  <c r="L88" i="34" s="1"/>
  <c r="N84" i="34"/>
  <c r="N83" i="34"/>
  <c r="N81" i="34"/>
  <c r="N80" i="34"/>
  <c r="M79" i="34"/>
  <c r="M75" i="34" s="1"/>
  <c r="M74" i="34" s="1"/>
  <c r="L79" i="34"/>
  <c r="N78" i="34"/>
  <c r="N77" i="34"/>
  <c r="N76" i="34"/>
  <c r="N72" i="34"/>
  <c r="N71" i="34"/>
  <c r="M70" i="34"/>
  <c r="L70" i="34"/>
  <c r="N69" i="34"/>
  <c r="N68" i="34"/>
  <c r="M67" i="34"/>
  <c r="L67" i="34"/>
  <c r="N66" i="34"/>
  <c r="N65" i="34"/>
  <c r="N64" i="34"/>
  <c r="N63" i="34"/>
  <c r="N62" i="34"/>
  <c r="M61" i="34"/>
  <c r="L61" i="34"/>
  <c r="N60" i="34"/>
  <c r="N59" i="34"/>
  <c r="N58" i="34"/>
  <c r="N57" i="34"/>
  <c r="N56" i="34"/>
  <c r="N55" i="34"/>
  <c r="N54" i="34"/>
  <c r="N53" i="34"/>
  <c r="N52" i="34"/>
  <c r="N51" i="34"/>
  <c r="N50" i="34"/>
  <c r="M49" i="34"/>
  <c r="M45" i="34" s="1"/>
  <c r="L49" i="34"/>
  <c r="N48" i="34"/>
  <c r="N47" i="34"/>
  <c r="N46" i="34"/>
  <c r="N44" i="34"/>
  <c r="N43" i="34"/>
  <c r="N42" i="34"/>
  <c r="N41" i="34"/>
  <c r="N40" i="34"/>
  <c r="N39" i="34"/>
  <c r="M38" i="34"/>
  <c r="L38" i="34"/>
  <c r="N37" i="34"/>
  <c r="N36" i="34"/>
  <c r="N35" i="34"/>
  <c r="M34" i="34"/>
  <c r="L34" i="34"/>
  <c r="N33" i="34"/>
  <c r="N32" i="34"/>
  <c r="M31" i="34"/>
  <c r="M30" i="34" s="1"/>
  <c r="L31" i="34"/>
  <c r="L30" i="34" s="1"/>
  <c r="N29" i="34"/>
  <c r="N28" i="34"/>
  <c r="N27" i="34"/>
  <c r="M26" i="34"/>
  <c r="L26" i="34"/>
  <c r="N24" i="34"/>
  <c r="N23" i="34"/>
  <c r="M22" i="34"/>
  <c r="L22" i="34"/>
  <c r="N21" i="34"/>
  <c r="N20" i="34"/>
  <c r="N19" i="34"/>
  <c r="N18" i="34"/>
  <c r="N17" i="34"/>
  <c r="N16" i="34"/>
  <c r="N15" i="34"/>
  <c r="N14" i="34"/>
  <c r="N13" i="34"/>
  <c r="N12" i="34"/>
  <c r="N11" i="34"/>
  <c r="M10" i="34"/>
  <c r="M9" i="34" s="1"/>
  <c r="L10" i="34"/>
  <c r="L9" i="34" s="1"/>
  <c r="N150" i="50"/>
  <c r="N149" i="50"/>
  <c r="N148" i="50"/>
  <c r="N147" i="50"/>
  <c r="N145" i="50"/>
  <c r="N144" i="50"/>
  <c r="M143" i="50"/>
  <c r="L143" i="50"/>
  <c r="N141" i="50"/>
  <c r="N140" i="50"/>
  <c r="N139" i="50"/>
  <c r="N138" i="50"/>
  <c r="L137" i="50"/>
  <c r="N137" i="50" s="1"/>
  <c r="N136" i="50"/>
  <c r="N135" i="50"/>
  <c r="M134" i="50"/>
  <c r="M128" i="50" s="1"/>
  <c r="L134" i="50"/>
  <c r="N133" i="50"/>
  <c r="N132" i="50"/>
  <c r="N131" i="50"/>
  <c r="N130" i="50"/>
  <c r="N129" i="50"/>
  <c r="L128" i="50"/>
  <c r="N127" i="50"/>
  <c r="N126" i="50"/>
  <c r="N125" i="50"/>
  <c r="N124" i="50"/>
  <c r="M123" i="50"/>
  <c r="L123" i="50"/>
  <c r="N122" i="50"/>
  <c r="N121" i="50"/>
  <c r="N120" i="50"/>
  <c r="N119" i="50"/>
  <c r="N118" i="50"/>
  <c r="N117" i="50"/>
  <c r="N116" i="50"/>
  <c r="N115" i="50"/>
  <c r="M114" i="50"/>
  <c r="M111" i="50" s="1"/>
  <c r="L114" i="50"/>
  <c r="N113" i="50"/>
  <c r="N112" i="50"/>
  <c r="N110" i="50"/>
  <c r="N109" i="50"/>
  <c r="N108" i="50"/>
  <c r="N107" i="50"/>
  <c r="N106" i="50"/>
  <c r="M105" i="50"/>
  <c r="L105" i="50"/>
  <c r="N104" i="50"/>
  <c r="N103" i="50"/>
  <c r="N102" i="50"/>
  <c r="M101" i="50"/>
  <c r="L101" i="50"/>
  <c r="N100" i="50"/>
  <c r="N99" i="50"/>
  <c r="N98" i="50"/>
  <c r="N97" i="50"/>
  <c r="N96" i="50"/>
  <c r="N95" i="50"/>
  <c r="N94" i="50"/>
  <c r="N93" i="50"/>
  <c r="N92" i="50"/>
  <c r="N90" i="50"/>
  <c r="M89" i="50"/>
  <c r="M88" i="50" s="1"/>
  <c r="L89" i="50"/>
  <c r="L88" i="50" s="1"/>
  <c r="N84" i="50"/>
  <c r="N83" i="50"/>
  <c r="N81" i="50"/>
  <c r="N80" i="50"/>
  <c r="M79" i="50"/>
  <c r="M75" i="50" s="1"/>
  <c r="M74" i="50" s="1"/>
  <c r="L79" i="50"/>
  <c r="N78" i="50"/>
  <c r="N77" i="50"/>
  <c r="N76" i="50"/>
  <c r="N72" i="50"/>
  <c r="N71" i="50"/>
  <c r="M70" i="50"/>
  <c r="L70" i="50"/>
  <c r="N69" i="50"/>
  <c r="N68" i="50"/>
  <c r="M67" i="50"/>
  <c r="L67" i="50"/>
  <c r="N66" i="50"/>
  <c r="N65" i="50"/>
  <c r="N64" i="50"/>
  <c r="N63" i="50"/>
  <c r="N62" i="50"/>
  <c r="M61" i="50"/>
  <c r="L61" i="50"/>
  <c r="N60" i="50"/>
  <c r="N59" i="50"/>
  <c r="N58" i="50"/>
  <c r="N57" i="50"/>
  <c r="N56" i="50"/>
  <c r="N55" i="50"/>
  <c r="N54" i="50"/>
  <c r="N53" i="50"/>
  <c r="N52" i="50"/>
  <c r="N51" i="50"/>
  <c r="N50" i="50"/>
  <c r="M49" i="50"/>
  <c r="M45" i="50" s="1"/>
  <c r="L49" i="50"/>
  <c r="N48" i="50"/>
  <c r="N47" i="50"/>
  <c r="N46" i="50"/>
  <c r="N44" i="50"/>
  <c r="N43" i="50"/>
  <c r="N42" i="50"/>
  <c r="N41" i="50"/>
  <c r="N40" i="50"/>
  <c r="N39" i="50"/>
  <c r="M38" i="50"/>
  <c r="L38" i="50"/>
  <c r="N37" i="50"/>
  <c r="N36" i="50"/>
  <c r="N35" i="50"/>
  <c r="M34" i="50"/>
  <c r="L34" i="50"/>
  <c r="N33" i="50"/>
  <c r="N32" i="50"/>
  <c r="M31" i="50"/>
  <c r="M30" i="50" s="1"/>
  <c r="L31" i="50"/>
  <c r="L30" i="50" s="1"/>
  <c r="N29" i="50"/>
  <c r="N28" i="50"/>
  <c r="N27" i="50"/>
  <c r="M26" i="50"/>
  <c r="L26" i="50"/>
  <c r="N24" i="50"/>
  <c r="N23" i="50"/>
  <c r="M22" i="50"/>
  <c r="L22" i="50"/>
  <c r="N21" i="50"/>
  <c r="N20" i="50"/>
  <c r="N19" i="50"/>
  <c r="N18" i="50"/>
  <c r="N17" i="50"/>
  <c r="N16" i="50"/>
  <c r="N15" i="50"/>
  <c r="N14" i="50"/>
  <c r="N13" i="50"/>
  <c r="N12" i="50"/>
  <c r="N11" i="50"/>
  <c r="M10" i="50"/>
  <c r="M9" i="50" s="1"/>
  <c r="L10" i="50"/>
  <c r="L9" i="50" s="1"/>
  <c r="N150" i="35"/>
  <c r="N149" i="35"/>
  <c r="N148" i="35"/>
  <c r="N147" i="35"/>
  <c r="N145" i="35"/>
  <c r="N144" i="35"/>
  <c r="M143" i="35"/>
  <c r="L143" i="35"/>
  <c r="N141" i="35"/>
  <c r="N140" i="35"/>
  <c r="N139" i="35"/>
  <c r="N138" i="35"/>
  <c r="N137" i="35"/>
  <c r="N136" i="35"/>
  <c r="N135" i="35"/>
  <c r="M134" i="35"/>
  <c r="M128" i="35" s="1"/>
  <c r="L134" i="35"/>
  <c r="N133" i="35"/>
  <c r="N132" i="35"/>
  <c r="N131" i="35"/>
  <c r="N130" i="35"/>
  <c r="N129" i="35"/>
  <c r="N127" i="35"/>
  <c r="N126" i="35"/>
  <c r="N125" i="35"/>
  <c r="N124" i="35"/>
  <c r="M123" i="35"/>
  <c r="L123" i="35"/>
  <c r="N122" i="35"/>
  <c r="N121" i="35"/>
  <c r="N120" i="35"/>
  <c r="N119" i="35"/>
  <c r="N118" i="35"/>
  <c r="N117" i="35"/>
  <c r="N116" i="35"/>
  <c r="N115" i="35"/>
  <c r="M114" i="35"/>
  <c r="L114" i="35"/>
  <c r="L111" i="35" s="1"/>
  <c r="N113" i="35"/>
  <c r="N112" i="35"/>
  <c r="M111" i="35"/>
  <c r="N110" i="35"/>
  <c r="N109" i="35"/>
  <c r="N108" i="35"/>
  <c r="N107" i="35"/>
  <c r="N106" i="35"/>
  <c r="M105" i="35"/>
  <c r="L105" i="35"/>
  <c r="N104" i="35"/>
  <c r="N103" i="35"/>
  <c r="N102" i="35"/>
  <c r="M101" i="35"/>
  <c r="L101" i="35"/>
  <c r="N100" i="35"/>
  <c r="N99" i="35"/>
  <c r="N98" i="35"/>
  <c r="N97" i="35"/>
  <c r="N96" i="35"/>
  <c r="N95" i="35"/>
  <c r="N94" i="35"/>
  <c r="N93" i="35"/>
  <c r="N92" i="35"/>
  <c r="N90" i="35"/>
  <c r="M89" i="35"/>
  <c r="M88" i="35" s="1"/>
  <c r="L89" i="35"/>
  <c r="L88" i="35" s="1"/>
  <c r="N84" i="35"/>
  <c r="N83" i="35"/>
  <c r="N81" i="35"/>
  <c r="N80" i="35"/>
  <c r="M79" i="35"/>
  <c r="M75" i="35" s="1"/>
  <c r="M74" i="35" s="1"/>
  <c r="L79" i="35"/>
  <c r="N78" i="35"/>
  <c r="N77" i="35"/>
  <c r="N76" i="35"/>
  <c r="L75" i="35"/>
  <c r="N72" i="35"/>
  <c r="N71" i="35"/>
  <c r="M70" i="35"/>
  <c r="L70" i="35"/>
  <c r="N69" i="35"/>
  <c r="N68" i="35"/>
  <c r="M67" i="35"/>
  <c r="L67" i="35"/>
  <c r="N66" i="35"/>
  <c r="N65" i="35"/>
  <c r="N64" i="35"/>
  <c r="N63" i="35"/>
  <c r="N62" i="35"/>
  <c r="M61" i="35"/>
  <c r="L61" i="35"/>
  <c r="N60" i="35"/>
  <c r="N59" i="35"/>
  <c r="N58" i="35"/>
  <c r="N57" i="35"/>
  <c r="N56" i="35"/>
  <c r="N55" i="35"/>
  <c r="N54" i="35"/>
  <c r="N53" i="35"/>
  <c r="N52" i="35"/>
  <c r="N51" i="35"/>
  <c r="N50" i="35"/>
  <c r="M49" i="35"/>
  <c r="M45" i="35" s="1"/>
  <c r="L49" i="35"/>
  <c r="N48" i="35"/>
  <c r="N47" i="35"/>
  <c r="N46" i="35"/>
  <c r="L45" i="35"/>
  <c r="N44" i="35"/>
  <c r="N43" i="35"/>
  <c r="N42" i="35"/>
  <c r="N41" i="35"/>
  <c r="N40" i="35"/>
  <c r="N39" i="35"/>
  <c r="M38" i="35"/>
  <c r="L38" i="35"/>
  <c r="N37" i="35"/>
  <c r="N36" i="35"/>
  <c r="N35" i="35"/>
  <c r="M34" i="35"/>
  <c r="L34" i="35"/>
  <c r="N33" i="35"/>
  <c r="N32" i="35"/>
  <c r="M31" i="35"/>
  <c r="M30" i="35" s="1"/>
  <c r="L31" i="35"/>
  <c r="L30" i="35" s="1"/>
  <c r="N29" i="35"/>
  <c r="N28" i="35"/>
  <c r="N27" i="35"/>
  <c r="M26" i="35"/>
  <c r="L26" i="35"/>
  <c r="N24" i="35"/>
  <c r="N23" i="35"/>
  <c r="M22" i="35"/>
  <c r="L22" i="35"/>
  <c r="N21" i="35"/>
  <c r="N20" i="35"/>
  <c r="N19" i="35"/>
  <c r="N18" i="35"/>
  <c r="N17" i="35"/>
  <c r="N16" i="35"/>
  <c r="N15" i="35"/>
  <c r="N14" i="35"/>
  <c r="N13" i="35"/>
  <c r="N12" i="35"/>
  <c r="N11" i="35"/>
  <c r="M10" i="35"/>
  <c r="L10" i="35"/>
  <c r="L9" i="35" s="1"/>
  <c r="M9" i="35"/>
  <c r="N150" i="36"/>
  <c r="N149" i="36"/>
  <c r="N148" i="36"/>
  <c r="N147" i="36"/>
  <c r="N145" i="36"/>
  <c r="N144" i="36"/>
  <c r="M143" i="36"/>
  <c r="L143" i="36"/>
  <c r="N141" i="36"/>
  <c r="N140" i="36"/>
  <c r="N139" i="36"/>
  <c r="N138" i="36"/>
  <c r="N137" i="36"/>
  <c r="N136" i="36"/>
  <c r="N135" i="36"/>
  <c r="M134" i="36"/>
  <c r="M128" i="36" s="1"/>
  <c r="L134" i="36"/>
  <c r="N133" i="36"/>
  <c r="N132" i="36"/>
  <c r="N131" i="36"/>
  <c r="N130" i="36"/>
  <c r="N129" i="36"/>
  <c r="N127" i="36"/>
  <c r="N126" i="36"/>
  <c r="N125" i="36"/>
  <c r="N124" i="36"/>
  <c r="M123" i="36"/>
  <c r="L123" i="36"/>
  <c r="N122" i="36"/>
  <c r="N121" i="36"/>
  <c r="N120" i="36"/>
  <c r="N119" i="36"/>
  <c r="N118" i="36"/>
  <c r="N117" i="36"/>
  <c r="N116" i="36"/>
  <c r="N115" i="36"/>
  <c r="M114" i="36"/>
  <c r="L114" i="36"/>
  <c r="N113" i="36"/>
  <c r="N112" i="36"/>
  <c r="M111" i="36"/>
  <c r="N110" i="36"/>
  <c r="N109" i="36"/>
  <c r="N108" i="36"/>
  <c r="N107" i="36"/>
  <c r="N106" i="36"/>
  <c r="M105" i="36"/>
  <c r="L105" i="36"/>
  <c r="N104" i="36"/>
  <c r="N103" i="36"/>
  <c r="N102" i="36"/>
  <c r="M101" i="36"/>
  <c r="L101" i="36"/>
  <c r="N100" i="36"/>
  <c r="N99" i="36"/>
  <c r="N98" i="36"/>
  <c r="N97" i="36"/>
  <c r="N96" i="36"/>
  <c r="N95" i="36"/>
  <c r="N94" i="36"/>
  <c r="N93" i="36"/>
  <c r="N92" i="36"/>
  <c r="N91" i="36"/>
  <c r="N90" i="36"/>
  <c r="M89" i="36"/>
  <c r="L89" i="36"/>
  <c r="N84" i="36"/>
  <c r="N83" i="36"/>
  <c r="N81" i="36"/>
  <c r="N80" i="36"/>
  <c r="M79" i="36"/>
  <c r="M75" i="36" s="1"/>
  <c r="M74" i="36" s="1"/>
  <c r="L79" i="36"/>
  <c r="N78" i="36"/>
  <c r="N77" i="36"/>
  <c r="N76" i="36"/>
  <c r="N72" i="36"/>
  <c r="N71" i="36"/>
  <c r="M70" i="36"/>
  <c r="L70" i="36"/>
  <c r="N69" i="36"/>
  <c r="N68" i="36"/>
  <c r="M67" i="36"/>
  <c r="L67" i="36"/>
  <c r="N66" i="36"/>
  <c r="N65" i="36"/>
  <c r="N64" i="36"/>
  <c r="N63" i="36"/>
  <c r="N62" i="36"/>
  <c r="M61" i="36"/>
  <c r="L61" i="36"/>
  <c r="N60" i="36"/>
  <c r="N59" i="36"/>
  <c r="N58" i="36"/>
  <c r="N57" i="36"/>
  <c r="N56" i="36"/>
  <c r="N55" i="36"/>
  <c r="N54" i="36"/>
  <c r="N53" i="36"/>
  <c r="N52" i="36"/>
  <c r="N51" i="36"/>
  <c r="N50" i="36"/>
  <c r="M49" i="36"/>
  <c r="M45" i="36" s="1"/>
  <c r="L49" i="36"/>
  <c r="N48" i="36"/>
  <c r="N47" i="36"/>
  <c r="N46" i="36"/>
  <c r="N44" i="36"/>
  <c r="N43" i="36"/>
  <c r="N42" i="36"/>
  <c r="N41" i="36"/>
  <c r="N40" i="36"/>
  <c r="N39" i="36"/>
  <c r="M38" i="36"/>
  <c r="L38" i="36"/>
  <c r="N37" i="36"/>
  <c r="N36" i="36"/>
  <c r="N35" i="36"/>
  <c r="M34" i="36"/>
  <c r="L34" i="36"/>
  <c r="N33" i="36"/>
  <c r="N32" i="36"/>
  <c r="M31" i="36"/>
  <c r="L31" i="36"/>
  <c r="L30" i="36" s="1"/>
  <c r="M30" i="36"/>
  <c r="N29" i="36"/>
  <c r="N28" i="36"/>
  <c r="N27" i="36"/>
  <c r="M26" i="36"/>
  <c r="L26" i="36"/>
  <c r="N24" i="36"/>
  <c r="N23" i="36"/>
  <c r="M22" i="36"/>
  <c r="L22" i="36"/>
  <c r="N21" i="36"/>
  <c r="N20" i="36"/>
  <c r="N19" i="36"/>
  <c r="N18" i="36"/>
  <c r="N17" i="36"/>
  <c r="N16" i="36"/>
  <c r="N15" i="36"/>
  <c r="N14" i="36"/>
  <c r="N13" i="36"/>
  <c r="N12" i="36"/>
  <c r="N11" i="36"/>
  <c r="M10" i="36"/>
  <c r="M9" i="36" s="1"/>
  <c r="L10" i="36"/>
  <c r="L9" i="36" s="1"/>
  <c r="N150" i="37"/>
  <c r="N149" i="37"/>
  <c r="N148" i="37"/>
  <c r="N147" i="37"/>
  <c r="N145" i="37"/>
  <c r="N144" i="37"/>
  <c r="M143" i="37"/>
  <c r="L143" i="37"/>
  <c r="N141" i="37"/>
  <c r="N140" i="37"/>
  <c r="N139" i="37"/>
  <c r="N138" i="37"/>
  <c r="N137" i="37"/>
  <c r="N136" i="37"/>
  <c r="N135" i="37"/>
  <c r="M134" i="37"/>
  <c r="M128" i="37" s="1"/>
  <c r="L134" i="37"/>
  <c r="N133" i="37"/>
  <c r="N132" i="37"/>
  <c r="N131" i="37"/>
  <c r="N130" i="37"/>
  <c r="N129" i="37"/>
  <c r="L128" i="37"/>
  <c r="N127" i="37"/>
  <c r="N126" i="37"/>
  <c r="N125" i="37"/>
  <c r="N124" i="37"/>
  <c r="M123" i="37"/>
  <c r="L123" i="37"/>
  <c r="N122" i="37"/>
  <c r="N121" i="37"/>
  <c r="N120" i="37"/>
  <c r="N119" i="37"/>
  <c r="N118" i="37"/>
  <c r="N117" i="37"/>
  <c r="N116" i="37"/>
  <c r="N115" i="37"/>
  <c r="M114" i="37"/>
  <c r="L114" i="37"/>
  <c r="L111" i="37" s="1"/>
  <c r="N113" i="37"/>
  <c r="N112" i="37"/>
  <c r="M111" i="37"/>
  <c r="N110" i="37"/>
  <c r="N109" i="37"/>
  <c r="N108" i="37"/>
  <c r="N107" i="37"/>
  <c r="N106" i="37"/>
  <c r="M105" i="37"/>
  <c r="L105" i="37"/>
  <c r="N104" i="37"/>
  <c r="N103" i="37"/>
  <c r="N102" i="37"/>
  <c r="M101" i="37"/>
  <c r="L101" i="37"/>
  <c r="N100" i="37"/>
  <c r="N99" i="37"/>
  <c r="N98" i="37"/>
  <c r="N97" i="37"/>
  <c r="N96" i="37"/>
  <c r="N95" i="37"/>
  <c r="N94" i="37"/>
  <c r="N93" i="37"/>
  <c r="N92" i="37"/>
  <c r="N90" i="37"/>
  <c r="M89" i="37"/>
  <c r="M88" i="37" s="1"/>
  <c r="L89" i="37"/>
  <c r="L88" i="37" s="1"/>
  <c r="N84" i="37"/>
  <c r="N83" i="37"/>
  <c r="N81" i="37"/>
  <c r="N80" i="37"/>
  <c r="M79" i="37"/>
  <c r="M75" i="37" s="1"/>
  <c r="M74" i="37" s="1"/>
  <c r="L79" i="37"/>
  <c r="N78" i="37"/>
  <c r="N77" i="37"/>
  <c r="N76" i="37"/>
  <c r="N72" i="37"/>
  <c r="N71" i="37"/>
  <c r="M70" i="37"/>
  <c r="L70" i="37"/>
  <c r="N69" i="37"/>
  <c r="N68" i="37"/>
  <c r="M67" i="37"/>
  <c r="L67" i="37"/>
  <c r="N66" i="37"/>
  <c r="N65" i="37"/>
  <c r="N64" i="37"/>
  <c r="N63" i="37"/>
  <c r="N62" i="37"/>
  <c r="M61" i="37"/>
  <c r="L61" i="37"/>
  <c r="N60" i="37"/>
  <c r="N59" i="37"/>
  <c r="N58" i="37"/>
  <c r="N57" i="37"/>
  <c r="N56" i="37"/>
  <c r="N55" i="37"/>
  <c r="N54" i="37"/>
  <c r="N53" i="37"/>
  <c r="N52" i="37"/>
  <c r="N51" i="37"/>
  <c r="N50" i="37"/>
  <c r="M49" i="37"/>
  <c r="M45" i="37" s="1"/>
  <c r="L49" i="37"/>
  <c r="N48" i="37"/>
  <c r="N47" i="37"/>
  <c r="N46" i="37"/>
  <c r="N44" i="37"/>
  <c r="N43" i="37"/>
  <c r="N42" i="37"/>
  <c r="N41" i="37"/>
  <c r="N40" i="37"/>
  <c r="N39" i="37"/>
  <c r="M38" i="37"/>
  <c r="L38" i="37"/>
  <c r="N37" i="37"/>
  <c r="N36" i="37"/>
  <c r="N35" i="37"/>
  <c r="M34" i="37"/>
  <c r="L34" i="37"/>
  <c r="N33" i="37"/>
  <c r="N32" i="37"/>
  <c r="M31" i="37"/>
  <c r="M30" i="37" s="1"/>
  <c r="L31" i="37"/>
  <c r="N29" i="37"/>
  <c r="N28" i="37"/>
  <c r="N27" i="37"/>
  <c r="M26" i="37"/>
  <c r="L26" i="37"/>
  <c r="N24" i="37"/>
  <c r="N23" i="37"/>
  <c r="M22" i="37"/>
  <c r="L22" i="37"/>
  <c r="N21" i="37"/>
  <c r="N20" i="37"/>
  <c r="N19" i="37"/>
  <c r="N18" i="37"/>
  <c r="N17" i="37"/>
  <c r="N16" i="37"/>
  <c r="N15" i="37"/>
  <c r="N14" i="37"/>
  <c r="N13" i="37"/>
  <c r="N12" i="37"/>
  <c r="N11" i="37"/>
  <c r="M10" i="37"/>
  <c r="M9" i="37" s="1"/>
  <c r="L10" i="37"/>
  <c r="L9" i="37" s="1"/>
  <c r="N150" i="26"/>
  <c r="N149" i="26"/>
  <c r="N148" i="26"/>
  <c r="N147" i="26"/>
  <c r="N145" i="26"/>
  <c r="N144" i="26"/>
  <c r="M143" i="26"/>
  <c r="L143" i="26"/>
  <c r="N141" i="26"/>
  <c r="N140" i="26"/>
  <c r="N139" i="26"/>
  <c r="N138" i="26"/>
  <c r="N137" i="26"/>
  <c r="N136" i="26"/>
  <c r="N135" i="26"/>
  <c r="M134" i="26"/>
  <c r="M128" i="26" s="1"/>
  <c r="L134" i="26"/>
  <c r="N133" i="26"/>
  <c r="N132" i="26"/>
  <c r="N131" i="26"/>
  <c r="N130" i="26"/>
  <c r="N129" i="26"/>
  <c r="N127" i="26"/>
  <c r="N126" i="26"/>
  <c r="N125" i="26"/>
  <c r="N124" i="26"/>
  <c r="M123" i="26"/>
  <c r="L123" i="26"/>
  <c r="N122" i="26"/>
  <c r="N121" i="26"/>
  <c r="N120" i="26"/>
  <c r="N119" i="26"/>
  <c r="N118" i="26"/>
  <c r="N117" i="26"/>
  <c r="N116" i="26"/>
  <c r="N115" i="26"/>
  <c r="M114" i="26"/>
  <c r="M111" i="26" s="1"/>
  <c r="N113" i="26"/>
  <c r="N112" i="26"/>
  <c r="N110" i="26"/>
  <c r="N109" i="26"/>
  <c r="N108" i="26"/>
  <c r="N107" i="26"/>
  <c r="N106" i="26"/>
  <c r="M105" i="26"/>
  <c r="L105" i="26"/>
  <c r="N104" i="26"/>
  <c r="N103" i="26"/>
  <c r="N102" i="26"/>
  <c r="M101" i="26"/>
  <c r="L101" i="26"/>
  <c r="N100" i="26"/>
  <c r="N99" i="26"/>
  <c r="N98" i="26"/>
  <c r="N97" i="26"/>
  <c r="N96" i="26"/>
  <c r="N95" i="26"/>
  <c r="N94" i="26"/>
  <c r="N93" i="26"/>
  <c r="N92" i="26"/>
  <c r="N90" i="26"/>
  <c r="M89" i="26"/>
  <c r="M88" i="26" s="1"/>
  <c r="L88" i="26"/>
  <c r="N84" i="26"/>
  <c r="N83" i="26"/>
  <c r="N81" i="26"/>
  <c r="N80" i="26"/>
  <c r="M79" i="26"/>
  <c r="M75" i="26" s="1"/>
  <c r="M74" i="26" s="1"/>
  <c r="L79" i="26"/>
  <c r="N78" i="26"/>
  <c r="N77" i="26"/>
  <c r="N76" i="26"/>
  <c r="N72" i="26"/>
  <c r="N71" i="26"/>
  <c r="M70" i="26"/>
  <c r="L70" i="26"/>
  <c r="N69" i="26"/>
  <c r="N68" i="26"/>
  <c r="M67" i="26"/>
  <c r="L67" i="26"/>
  <c r="N66" i="26"/>
  <c r="N65" i="26"/>
  <c r="N64" i="26"/>
  <c r="N63" i="26"/>
  <c r="N62" i="26"/>
  <c r="M61" i="26"/>
  <c r="L61" i="26"/>
  <c r="N60" i="26"/>
  <c r="N59" i="26"/>
  <c r="N58" i="26"/>
  <c r="N57" i="26"/>
  <c r="N56" i="26"/>
  <c r="N55" i="26"/>
  <c r="N54" i="26"/>
  <c r="N53" i="26"/>
  <c r="N52" i="26"/>
  <c r="N51" i="26"/>
  <c r="N50" i="26"/>
  <c r="M49" i="26"/>
  <c r="M45" i="26" s="1"/>
  <c r="L49" i="26"/>
  <c r="N48" i="26"/>
  <c r="N47" i="26"/>
  <c r="N46" i="26"/>
  <c r="N44" i="26"/>
  <c r="N43" i="26"/>
  <c r="N42" i="26"/>
  <c r="N41" i="26"/>
  <c r="N40" i="26"/>
  <c r="N39" i="26"/>
  <c r="M38" i="26"/>
  <c r="L38" i="26"/>
  <c r="N37" i="26"/>
  <c r="N36" i="26"/>
  <c r="N35" i="26"/>
  <c r="M34" i="26"/>
  <c r="L34" i="26"/>
  <c r="N33" i="26"/>
  <c r="N32" i="26"/>
  <c r="M31" i="26"/>
  <c r="M30" i="26" s="1"/>
  <c r="L31" i="26"/>
  <c r="L30" i="26" s="1"/>
  <c r="N29" i="26"/>
  <c r="N28" i="26"/>
  <c r="N27" i="26"/>
  <c r="M26" i="26"/>
  <c r="L26" i="26"/>
  <c r="N24" i="26"/>
  <c r="N23" i="26"/>
  <c r="M22" i="26"/>
  <c r="L22" i="26"/>
  <c r="N21" i="26"/>
  <c r="N20" i="26"/>
  <c r="N19" i="26"/>
  <c r="N18" i="26"/>
  <c r="N17" i="26"/>
  <c r="N16" i="26"/>
  <c r="N15" i="26"/>
  <c r="N14" i="26"/>
  <c r="N13" i="26"/>
  <c r="N12" i="26"/>
  <c r="N11" i="26"/>
  <c r="M10" i="26"/>
  <c r="M9" i="26" s="1"/>
  <c r="L10" i="26"/>
  <c r="L9" i="26" s="1"/>
  <c r="N150" i="27"/>
  <c r="N149" i="27"/>
  <c r="N148" i="27"/>
  <c r="N147" i="27"/>
  <c r="N145" i="27"/>
  <c r="N144" i="27"/>
  <c r="M143" i="27"/>
  <c r="L143" i="27"/>
  <c r="N141" i="27"/>
  <c r="N140" i="27"/>
  <c r="N139" i="27"/>
  <c r="N138" i="27"/>
  <c r="N137" i="27"/>
  <c r="N136" i="27"/>
  <c r="N135" i="27"/>
  <c r="M134" i="27"/>
  <c r="M128" i="27" s="1"/>
  <c r="L134" i="27"/>
  <c r="N133" i="27"/>
  <c r="N132" i="27"/>
  <c r="N131" i="27"/>
  <c r="N130" i="27"/>
  <c r="N129" i="27"/>
  <c r="N127" i="27"/>
  <c r="N126" i="27"/>
  <c r="N125" i="27"/>
  <c r="N124" i="27"/>
  <c r="M123" i="27"/>
  <c r="L123" i="27"/>
  <c r="N122" i="27"/>
  <c r="N121" i="27"/>
  <c r="N120" i="27"/>
  <c r="N119" i="27"/>
  <c r="N118" i="27"/>
  <c r="N117" i="27"/>
  <c r="N116" i="27"/>
  <c r="N115" i="27"/>
  <c r="M114" i="27"/>
  <c r="M111" i="27" s="1"/>
  <c r="N113" i="27"/>
  <c r="N112" i="27"/>
  <c r="N110" i="27"/>
  <c r="N109" i="27"/>
  <c r="N108" i="27"/>
  <c r="N107" i="27"/>
  <c r="N106" i="27"/>
  <c r="M105" i="27"/>
  <c r="L105" i="27"/>
  <c r="N104" i="27"/>
  <c r="N103" i="27"/>
  <c r="N102" i="27"/>
  <c r="M101" i="27"/>
  <c r="L101" i="27"/>
  <c r="N100" i="27"/>
  <c r="N99" i="27"/>
  <c r="N98" i="27"/>
  <c r="N97" i="27"/>
  <c r="N96" i="27"/>
  <c r="N95" i="27"/>
  <c r="N94" i="27"/>
  <c r="N93" i="27"/>
  <c r="N92" i="27"/>
  <c r="N90" i="27"/>
  <c r="M89" i="27"/>
  <c r="M88" i="27" s="1"/>
  <c r="L89" i="27"/>
  <c r="L88" i="27" s="1"/>
  <c r="N84" i="27"/>
  <c r="N83" i="27"/>
  <c r="N81" i="27"/>
  <c r="N80" i="27"/>
  <c r="M79" i="27"/>
  <c r="M75" i="27" s="1"/>
  <c r="M74" i="27" s="1"/>
  <c r="L79" i="27"/>
  <c r="N78" i="27"/>
  <c r="N77" i="27"/>
  <c r="N76" i="27"/>
  <c r="L75" i="27"/>
  <c r="N72" i="27"/>
  <c r="N71" i="27"/>
  <c r="M70" i="27"/>
  <c r="L70" i="27"/>
  <c r="N69" i="27"/>
  <c r="N68" i="27"/>
  <c r="M67" i="27"/>
  <c r="L67" i="27"/>
  <c r="N66" i="27"/>
  <c r="N65" i="27"/>
  <c r="N64" i="27"/>
  <c r="N63" i="27"/>
  <c r="N62" i="27"/>
  <c r="M61" i="27"/>
  <c r="L61" i="27"/>
  <c r="N60" i="27"/>
  <c r="N59" i="27"/>
  <c r="N58" i="27"/>
  <c r="N57" i="27"/>
  <c r="N56" i="27"/>
  <c r="N55" i="27"/>
  <c r="N54" i="27"/>
  <c r="N53" i="27"/>
  <c r="N52" i="27"/>
  <c r="N51" i="27"/>
  <c r="N50" i="27"/>
  <c r="M49" i="27"/>
  <c r="M45" i="27" s="1"/>
  <c r="L49" i="27"/>
  <c r="N48" i="27"/>
  <c r="N47" i="27"/>
  <c r="N46" i="27"/>
  <c r="L45" i="27"/>
  <c r="N44" i="27"/>
  <c r="N43" i="27"/>
  <c r="N42" i="27"/>
  <c r="N41" i="27"/>
  <c r="N40" i="27"/>
  <c r="N39" i="27"/>
  <c r="M38" i="27"/>
  <c r="L38" i="27"/>
  <c r="N37" i="27"/>
  <c r="N36" i="27"/>
  <c r="N35" i="27"/>
  <c r="M34" i="27"/>
  <c r="L34" i="27"/>
  <c r="N33" i="27"/>
  <c r="N32" i="27"/>
  <c r="M31" i="27"/>
  <c r="M30" i="27" s="1"/>
  <c r="L31" i="27"/>
  <c r="L30" i="27" s="1"/>
  <c r="N29" i="27"/>
  <c r="N28" i="27"/>
  <c r="N27" i="27"/>
  <c r="M26" i="27"/>
  <c r="L26" i="27"/>
  <c r="N24" i="27"/>
  <c r="N23" i="27"/>
  <c r="M22" i="27"/>
  <c r="L22" i="27"/>
  <c r="N21" i="27"/>
  <c r="N20" i="27"/>
  <c r="N19" i="27"/>
  <c r="N18" i="27"/>
  <c r="N17" i="27"/>
  <c r="N16" i="27"/>
  <c r="N15" i="27"/>
  <c r="N14" i="27"/>
  <c r="N13" i="27"/>
  <c r="N12" i="27"/>
  <c r="N11" i="27"/>
  <c r="M10" i="27"/>
  <c r="L10" i="27"/>
  <c r="L9" i="27" s="1"/>
  <c r="M9" i="27"/>
  <c r="N150" i="28"/>
  <c r="N149" i="28"/>
  <c r="N148" i="28"/>
  <c r="N147" i="28"/>
  <c r="N145" i="28"/>
  <c r="N144" i="28"/>
  <c r="M143" i="28"/>
  <c r="L143" i="28"/>
  <c r="N141" i="28"/>
  <c r="N140" i="28"/>
  <c r="N139" i="28"/>
  <c r="N138" i="28"/>
  <c r="N137" i="28"/>
  <c r="N136" i="28"/>
  <c r="N135" i="28"/>
  <c r="M134" i="28"/>
  <c r="M128" i="28" s="1"/>
  <c r="L134" i="28"/>
  <c r="L133" i="28"/>
  <c r="N133" i="28" s="1"/>
  <c r="N132" i="28"/>
  <c r="N131" i="28"/>
  <c r="N130" i="28"/>
  <c r="N129" i="28"/>
  <c r="N127" i="28"/>
  <c r="N126" i="28"/>
  <c r="N125" i="28"/>
  <c r="N124" i="28"/>
  <c r="M123" i="28"/>
  <c r="N122" i="28"/>
  <c r="N121" i="28"/>
  <c r="N120" i="28"/>
  <c r="N119" i="28"/>
  <c r="N118" i="28"/>
  <c r="N117" i="28"/>
  <c r="N116" i="28"/>
  <c r="N115" i="28"/>
  <c r="M114" i="28"/>
  <c r="N113" i="28"/>
  <c r="N112" i="28"/>
  <c r="N110" i="28"/>
  <c r="N109" i="28"/>
  <c r="N108" i="28"/>
  <c r="N107" i="28"/>
  <c r="N106" i="28"/>
  <c r="M105" i="28"/>
  <c r="L105" i="28"/>
  <c r="N104" i="28"/>
  <c r="N103" i="28"/>
  <c r="N102" i="28"/>
  <c r="M101" i="28"/>
  <c r="L101" i="28"/>
  <c r="N100" i="28"/>
  <c r="N99" i="28"/>
  <c r="N98" i="28"/>
  <c r="N97" i="28"/>
  <c r="N96" i="28"/>
  <c r="N95" i="28"/>
  <c r="N94" i="28"/>
  <c r="N93" i="28"/>
  <c r="N92" i="28"/>
  <c r="N91" i="28"/>
  <c r="N90" i="28"/>
  <c r="M89" i="28"/>
  <c r="L89" i="28"/>
  <c r="N84" i="28"/>
  <c r="N83" i="28"/>
  <c r="N81" i="28"/>
  <c r="N80" i="28"/>
  <c r="M79" i="28"/>
  <c r="M75" i="28" s="1"/>
  <c r="M74" i="28" s="1"/>
  <c r="L79" i="28"/>
  <c r="N78" i="28"/>
  <c r="N77" i="28"/>
  <c r="N76" i="28"/>
  <c r="N72" i="28"/>
  <c r="N71" i="28"/>
  <c r="M70" i="28"/>
  <c r="L70" i="28"/>
  <c r="N69" i="28"/>
  <c r="N68" i="28"/>
  <c r="M67" i="28"/>
  <c r="L67" i="28"/>
  <c r="N66" i="28"/>
  <c r="N65" i="28"/>
  <c r="N64" i="28"/>
  <c r="N63" i="28"/>
  <c r="N62" i="28"/>
  <c r="M61" i="28"/>
  <c r="L61" i="28"/>
  <c r="N60" i="28"/>
  <c r="N59" i="28"/>
  <c r="N58" i="28"/>
  <c r="N57" i="28"/>
  <c r="N56" i="28"/>
  <c r="N55" i="28"/>
  <c r="N54" i="28"/>
  <c r="N53" i="28"/>
  <c r="N52" i="28"/>
  <c r="N51" i="28"/>
  <c r="N50" i="28"/>
  <c r="M49" i="28"/>
  <c r="M45" i="28" s="1"/>
  <c r="L49" i="28"/>
  <c r="L45" i="28" s="1"/>
  <c r="N48" i="28"/>
  <c r="N47" i="28"/>
  <c r="N46" i="28"/>
  <c r="N44" i="28"/>
  <c r="N43" i="28"/>
  <c r="N42" i="28"/>
  <c r="N41" i="28"/>
  <c r="N40" i="28"/>
  <c r="N39" i="28"/>
  <c r="M38" i="28"/>
  <c r="L38" i="28"/>
  <c r="N37" i="28"/>
  <c r="N36" i="28"/>
  <c r="N35" i="28"/>
  <c r="M34" i="28"/>
  <c r="L34" i="28"/>
  <c r="N33" i="28"/>
  <c r="N32" i="28"/>
  <c r="M31" i="28"/>
  <c r="M30" i="28" s="1"/>
  <c r="L31" i="28"/>
  <c r="N29" i="28"/>
  <c r="N28" i="28"/>
  <c r="N27" i="28"/>
  <c r="M26" i="28"/>
  <c r="L26" i="28"/>
  <c r="N24" i="28"/>
  <c r="N23" i="28"/>
  <c r="M22" i="28"/>
  <c r="L22" i="28"/>
  <c r="N21" i="28"/>
  <c r="N20" i="28"/>
  <c r="N19" i="28"/>
  <c r="N18" i="28"/>
  <c r="N17" i="28"/>
  <c r="N16" i="28"/>
  <c r="N15" i="28"/>
  <c r="N14" i="28"/>
  <c r="N13" i="28"/>
  <c r="N12" i="28"/>
  <c r="N11" i="28"/>
  <c r="M10" i="28"/>
  <c r="L10" i="28"/>
  <c r="L9" i="28" s="1"/>
  <c r="M9" i="28"/>
  <c r="N150" i="29"/>
  <c r="N149" i="29"/>
  <c r="N148" i="29"/>
  <c r="N147" i="29"/>
  <c r="N145" i="29"/>
  <c r="N144" i="29"/>
  <c r="M143" i="29"/>
  <c r="N141" i="29"/>
  <c r="N140" i="29"/>
  <c r="N139" i="29"/>
  <c r="N138" i="29"/>
  <c r="N137" i="29"/>
  <c r="N136" i="29"/>
  <c r="N135" i="29"/>
  <c r="M134" i="29"/>
  <c r="M128" i="29" s="1"/>
  <c r="L134" i="29"/>
  <c r="N133" i="29"/>
  <c r="N132" i="29"/>
  <c r="N131" i="29"/>
  <c r="N130" i="29"/>
  <c r="N129" i="29"/>
  <c r="N127" i="29"/>
  <c r="N126" i="29"/>
  <c r="N125" i="29"/>
  <c r="N124" i="29"/>
  <c r="M123" i="29"/>
  <c r="L123" i="29"/>
  <c r="N122" i="29"/>
  <c r="N121" i="29"/>
  <c r="N120" i="29"/>
  <c r="N119" i="29"/>
  <c r="N118" i="29"/>
  <c r="N117" i="29"/>
  <c r="N116" i="29"/>
  <c r="N115" i="29"/>
  <c r="M114" i="29"/>
  <c r="M111" i="29" s="1"/>
  <c r="L114" i="29"/>
  <c r="N113" i="29"/>
  <c r="N112" i="29"/>
  <c r="N110" i="29"/>
  <c r="N109" i="29"/>
  <c r="N108" i="29"/>
  <c r="N107" i="29"/>
  <c r="N106" i="29"/>
  <c r="M105" i="29"/>
  <c r="L105" i="29"/>
  <c r="N104" i="29"/>
  <c r="N103" i="29"/>
  <c r="N102" i="29"/>
  <c r="M101" i="29"/>
  <c r="L101" i="29"/>
  <c r="N100" i="29"/>
  <c r="N99" i="29"/>
  <c r="N98" i="29"/>
  <c r="N97" i="29"/>
  <c r="N96" i="29"/>
  <c r="N95" i="29"/>
  <c r="N94" i="29"/>
  <c r="N93" i="29"/>
  <c r="N92" i="29"/>
  <c r="N91" i="29"/>
  <c r="N90" i="29"/>
  <c r="M89" i="29"/>
  <c r="L89" i="29"/>
  <c r="N84" i="29"/>
  <c r="N83" i="29"/>
  <c r="N81" i="29"/>
  <c r="N80" i="29"/>
  <c r="M79" i="29"/>
  <c r="M75" i="29" s="1"/>
  <c r="M74" i="29" s="1"/>
  <c r="L79" i="29"/>
  <c r="N78" i="29"/>
  <c r="N77" i="29"/>
  <c r="N76" i="29"/>
  <c r="L75" i="29"/>
  <c r="N72" i="29"/>
  <c r="N71" i="29"/>
  <c r="M70" i="29"/>
  <c r="L70" i="29"/>
  <c r="N69" i="29"/>
  <c r="N68" i="29"/>
  <c r="M67" i="29"/>
  <c r="L67" i="29"/>
  <c r="N66" i="29"/>
  <c r="N65" i="29"/>
  <c r="N64" i="29"/>
  <c r="N63" i="29"/>
  <c r="N62" i="29"/>
  <c r="M61" i="29"/>
  <c r="L61" i="29"/>
  <c r="N60" i="29"/>
  <c r="N59" i="29"/>
  <c r="N58" i="29"/>
  <c r="N57" i="29"/>
  <c r="N56" i="29"/>
  <c r="N55" i="29"/>
  <c r="N54" i="29"/>
  <c r="N53" i="29"/>
  <c r="N52" i="29"/>
  <c r="N51" i="29"/>
  <c r="N50" i="29"/>
  <c r="M49" i="29"/>
  <c r="M45" i="29" s="1"/>
  <c r="L49" i="29"/>
  <c r="N48" i="29"/>
  <c r="N47" i="29"/>
  <c r="N46" i="29"/>
  <c r="L45" i="29"/>
  <c r="N44" i="29"/>
  <c r="N43" i="29"/>
  <c r="N42" i="29"/>
  <c r="N41" i="29"/>
  <c r="N40" i="29"/>
  <c r="N39" i="29"/>
  <c r="M38" i="29"/>
  <c r="L38" i="29"/>
  <c r="N37" i="29"/>
  <c r="N36" i="29"/>
  <c r="N35" i="29"/>
  <c r="M34" i="29"/>
  <c r="L34" i="29"/>
  <c r="N33" i="29"/>
  <c r="N32" i="29"/>
  <c r="M31" i="29"/>
  <c r="M30" i="29" s="1"/>
  <c r="L31" i="29"/>
  <c r="L30" i="29" s="1"/>
  <c r="N29" i="29"/>
  <c r="N28" i="29"/>
  <c r="N27" i="29"/>
  <c r="M26" i="29"/>
  <c r="L26" i="29"/>
  <c r="N24" i="29"/>
  <c r="N23" i="29"/>
  <c r="M22" i="29"/>
  <c r="L22" i="29"/>
  <c r="N21" i="29"/>
  <c r="N20" i="29"/>
  <c r="N19" i="29"/>
  <c r="N18" i="29"/>
  <c r="N17" i="29"/>
  <c r="N16" i="29"/>
  <c r="N15" i="29"/>
  <c r="N14" i="29"/>
  <c r="N13" i="29"/>
  <c r="N12" i="29"/>
  <c r="N11" i="29"/>
  <c r="M10" i="29"/>
  <c r="L10" i="29"/>
  <c r="L9" i="29" s="1"/>
  <c r="M9" i="29"/>
  <c r="N150" i="30"/>
  <c r="N149" i="30"/>
  <c r="N148" i="30"/>
  <c r="N147" i="30"/>
  <c r="N145" i="30"/>
  <c r="N144" i="30"/>
  <c r="M143" i="30"/>
  <c r="L143" i="30"/>
  <c r="N141" i="30"/>
  <c r="N140" i="30"/>
  <c r="N139" i="30"/>
  <c r="N138" i="30"/>
  <c r="N137" i="30"/>
  <c r="N136" i="30"/>
  <c r="N135" i="30"/>
  <c r="M134" i="30"/>
  <c r="M128" i="30" s="1"/>
  <c r="L134" i="30"/>
  <c r="N133" i="30"/>
  <c r="N132" i="30"/>
  <c r="N131" i="30"/>
  <c r="N130" i="30"/>
  <c r="N129" i="30"/>
  <c r="L128" i="30"/>
  <c r="N127" i="30"/>
  <c r="N126" i="30"/>
  <c r="N125" i="30"/>
  <c r="N124" i="30"/>
  <c r="M123" i="30"/>
  <c r="L123" i="30"/>
  <c r="N122" i="30"/>
  <c r="N121" i="30"/>
  <c r="N120" i="30"/>
  <c r="N119" i="30"/>
  <c r="N118" i="30"/>
  <c r="N117" i="30"/>
  <c r="N116" i="30"/>
  <c r="N115" i="30"/>
  <c r="M114" i="30"/>
  <c r="M111" i="30" s="1"/>
  <c r="N113" i="30"/>
  <c r="N112" i="30"/>
  <c r="N110" i="30"/>
  <c r="N109" i="30"/>
  <c r="N108" i="30"/>
  <c r="N107" i="30"/>
  <c r="N106" i="30"/>
  <c r="M105" i="30"/>
  <c r="L105" i="30"/>
  <c r="N104" i="30"/>
  <c r="N103" i="30"/>
  <c r="N102" i="30"/>
  <c r="M101" i="30"/>
  <c r="L101" i="30"/>
  <c r="N100" i="30"/>
  <c r="N99" i="30"/>
  <c r="N98" i="30"/>
  <c r="N97" i="30"/>
  <c r="N96" i="30"/>
  <c r="N95" i="30"/>
  <c r="N94" i="30"/>
  <c r="N93" i="30"/>
  <c r="N92" i="30"/>
  <c r="N90" i="30"/>
  <c r="M89" i="30"/>
  <c r="M88" i="30" s="1"/>
  <c r="L89" i="30"/>
  <c r="L88" i="30" s="1"/>
  <c r="N84" i="30"/>
  <c r="N83" i="30"/>
  <c r="N81" i="30"/>
  <c r="N80" i="30"/>
  <c r="M79" i="30"/>
  <c r="M75" i="30" s="1"/>
  <c r="M74" i="30" s="1"/>
  <c r="L79" i="30"/>
  <c r="N78" i="30"/>
  <c r="N77" i="30"/>
  <c r="N76" i="30"/>
  <c r="N72" i="30"/>
  <c r="N71" i="30"/>
  <c r="M70" i="30"/>
  <c r="L70" i="30"/>
  <c r="N69" i="30"/>
  <c r="N68" i="30"/>
  <c r="M67" i="30"/>
  <c r="L67" i="30"/>
  <c r="N66" i="30"/>
  <c r="N65" i="30"/>
  <c r="N64" i="30"/>
  <c r="N63" i="30"/>
  <c r="N62" i="30"/>
  <c r="M61" i="30"/>
  <c r="L61" i="30"/>
  <c r="N60" i="30"/>
  <c r="N59" i="30"/>
  <c r="N58" i="30"/>
  <c r="N57" i="30"/>
  <c r="N56" i="30"/>
  <c r="N55" i="30"/>
  <c r="N54" i="30"/>
  <c r="N53" i="30"/>
  <c r="N52" i="30"/>
  <c r="N51" i="30"/>
  <c r="N50" i="30"/>
  <c r="M49" i="30"/>
  <c r="M45" i="30" s="1"/>
  <c r="L49" i="30"/>
  <c r="N48" i="30"/>
  <c r="N47" i="30"/>
  <c r="N46" i="30"/>
  <c r="N44" i="30"/>
  <c r="N43" i="30"/>
  <c r="N42" i="30"/>
  <c r="N41" i="30"/>
  <c r="N40" i="30"/>
  <c r="N39" i="30"/>
  <c r="M38" i="30"/>
  <c r="L38" i="30"/>
  <c r="N37" i="30"/>
  <c r="N36" i="30"/>
  <c r="N35" i="30"/>
  <c r="M34" i="30"/>
  <c r="L34" i="30"/>
  <c r="N33" i="30"/>
  <c r="N32" i="30"/>
  <c r="M31" i="30"/>
  <c r="M30" i="30" s="1"/>
  <c r="L31" i="30"/>
  <c r="L30" i="30" s="1"/>
  <c r="N29" i="30"/>
  <c r="N28" i="30"/>
  <c r="N27" i="30"/>
  <c r="M26" i="30"/>
  <c r="L26" i="30"/>
  <c r="N24" i="30"/>
  <c r="N23" i="30"/>
  <c r="M22" i="30"/>
  <c r="L22" i="30"/>
  <c r="N21" i="30"/>
  <c r="N20" i="30"/>
  <c r="N19" i="30"/>
  <c r="N18" i="30"/>
  <c r="N17" i="30"/>
  <c r="N16" i="30"/>
  <c r="N15" i="30"/>
  <c r="N14" i="30"/>
  <c r="N13" i="30"/>
  <c r="N12" i="30"/>
  <c r="N11" i="30"/>
  <c r="M10" i="30"/>
  <c r="M9" i="30" s="1"/>
  <c r="L10" i="30"/>
  <c r="L9" i="30" s="1"/>
  <c r="N150" i="31"/>
  <c r="N149" i="31"/>
  <c r="N148" i="31"/>
  <c r="N147" i="31"/>
  <c r="N145" i="31"/>
  <c r="N144" i="31"/>
  <c r="M143" i="31"/>
  <c r="L143" i="31"/>
  <c r="N141" i="31"/>
  <c r="N140" i="31"/>
  <c r="N139" i="31"/>
  <c r="N138" i="31"/>
  <c r="N137" i="31"/>
  <c r="N136" i="31"/>
  <c r="N135" i="31"/>
  <c r="M134" i="31"/>
  <c r="M128" i="31" s="1"/>
  <c r="L134" i="31"/>
  <c r="N133" i="31"/>
  <c r="N132" i="31"/>
  <c r="N131" i="31"/>
  <c r="N130" i="31"/>
  <c r="N129" i="31"/>
  <c r="N127" i="31"/>
  <c r="N126" i="31"/>
  <c r="N125" i="31"/>
  <c r="N124" i="31"/>
  <c r="M123" i="31"/>
  <c r="L123" i="31"/>
  <c r="N122" i="31"/>
  <c r="N121" i="31"/>
  <c r="N120" i="31"/>
  <c r="N119" i="31"/>
  <c r="N118" i="31"/>
  <c r="N117" i="31"/>
  <c r="N116" i="31"/>
  <c r="N115" i="31"/>
  <c r="M114" i="31"/>
  <c r="L114" i="31"/>
  <c r="L111" i="31" s="1"/>
  <c r="N113" i="31"/>
  <c r="N112" i="31"/>
  <c r="M111" i="31"/>
  <c r="N110" i="31"/>
  <c r="N109" i="31"/>
  <c r="N108" i="31"/>
  <c r="N107" i="31"/>
  <c r="N106" i="31"/>
  <c r="M105" i="31"/>
  <c r="L105" i="31"/>
  <c r="N104" i="31"/>
  <c r="N103" i="31"/>
  <c r="N102" i="31"/>
  <c r="M101" i="31"/>
  <c r="L101" i="31"/>
  <c r="N100" i="31"/>
  <c r="N99" i="31"/>
  <c r="N98" i="31"/>
  <c r="N97" i="31"/>
  <c r="N96" i="31"/>
  <c r="N95" i="31"/>
  <c r="N94" i="31"/>
  <c r="N93" i="31"/>
  <c r="N92" i="31"/>
  <c r="N90" i="31"/>
  <c r="M89" i="31"/>
  <c r="M88" i="31" s="1"/>
  <c r="L89" i="31"/>
  <c r="L88" i="31" s="1"/>
  <c r="N84" i="31"/>
  <c r="N83" i="31"/>
  <c r="N81" i="31"/>
  <c r="N80" i="31"/>
  <c r="M79" i="31"/>
  <c r="M75" i="31" s="1"/>
  <c r="M74" i="31" s="1"/>
  <c r="L79" i="31"/>
  <c r="N78" i="31"/>
  <c r="N77" i="31"/>
  <c r="N76" i="31"/>
  <c r="L75" i="31"/>
  <c r="N72" i="31"/>
  <c r="N71" i="31"/>
  <c r="M70" i="31"/>
  <c r="L70" i="31"/>
  <c r="N69" i="31"/>
  <c r="N68" i="31"/>
  <c r="M67" i="31"/>
  <c r="L67" i="31"/>
  <c r="N66" i="31"/>
  <c r="N65" i="31"/>
  <c r="N64" i="31"/>
  <c r="N63" i="31"/>
  <c r="N62" i="31"/>
  <c r="M61" i="31"/>
  <c r="L61" i="31"/>
  <c r="N60" i="31"/>
  <c r="N59" i="31"/>
  <c r="N58" i="31"/>
  <c r="N57" i="31"/>
  <c r="N56" i="31"/>
  <c r="N55" i="31"/>
  <c r="N54" i="31"/>
  <c r="N53" i="31"/>
  <c r="N52" i="31"/>
  <c r="N51" i="31"/>
  <c r="N50" i="31"/>
  <c r="M49" i="31"/>
  <c r="M45" i="31" s="1"/>
  <c r="N48" i="31"/>
  <c r="N47" i="31"/>
  <c r="N46" i="31"/>
  <c r="L45" i="31"/>
  <c r="N44" i="31"/>
  <c r="N43" i="31"/>
  <c r="N42" i="31"/>
  <c r="N41" i="31"/>
  <c r="N40" i="31"/>
  <c r="N39" i="31"/>
  <c r="M38" i="31"/>
  <c r="L38" i="31"/>
  <c r="N37" i="31"/>
  <c r="N36" i="31"/>
  <c r="N35" i="31"/>
  <c r="M34" i="31"/>
  <c r="L34" i="31"/>
  <c r="N33" i="31"/>
  <c r="N32" i="31"/>
  <c r="M31" i="31"/>
  <c r="M30" i="31" s="1"/>
  <c r="L31" i="31"/>
  <c r="L30" i="31" s="1"/>
  <c r="N29" i="31"/>
  <c r="N28" i="31"/>
  <c r="N27" i="31"/>
  <c r="M26" i="31"/>
  <c r="L26" i="31"/>
  <c r="N24" i="31"/>
  <c r="N23" i="31"/>
  <c r="M22" i="31"/>
  <c r="L22" i="31"/>
  <c r="N21" i="31"/>
  <c r="N20" i="31"/>
  <c r="N19" i="31"/>
  <c r="N18" i="31"/>
  <c r="N17" i="31"/>
  <c r="N16" i="31"/>
  <c r="N15" i="31"/>
  <c r="N14" i="31"/>
  <c r="N13" i="31"/>
  <c r="N12" i="31"/>
  <c r="N11" i="31"/>
  <c r="M10" i="31"/>
  <c r="M9" i="31" s="1"/>
  <c r="L10" i="31"/>
  <c r="N150" i="32"/>
  <c r="N149" i="32"/>
  <c r="N148" i="32"/>
  <c r="N147" i="32"/>
  <c r="N145" i="32"/>
  <c r="N144" i="32"/>
  <c r="M143" i="32"/>
  <c r="L143" i="32"/>
  <c r="N141" i="32"/>
  <c r="N140" i="32"/>
  <c r="N139" i="32"/>
  <c r="N138" i="32"/>
  <c r="N137" i="32"/>
  <c r="N136" i="32"/>
  <c r="N135" i="32"/>
  <c r="M134" i="32"/>
  <c r="M128" i="32" s="1"/>
  <c r="L134" i="32"/>
  <c r="N133" i="32"/>
  <c r="N132" i="32"/>
  <c r="N131" i="32"/>
  <c r="N130" i="32"/>
  <c r="N129" i="32"/>
  <c r="L128" i="32"/>
  <c r="N127" i="32"/>
  <c r="N126" i="32"/>
  <c r="N125" i="32"/>
  <c r="N124" i="32"/>
  <c r="M123" i="32"/>
  <c r="L123" i="32"/>
  <c r="N122" i="32"/>
  <c r="N121" i="32"/>
  <c r="N120" i="32"/>
  <c r="N119" i="32"/>
  <c r="N118" i="32"/>
  <c r="N117" i="32"/>
  <c r="N116" i="32"/>
  <c r="N115" i="32"/>
  <c r="M114" i="32"/>
  <c r="M111" i="32" s="1"/>
  <c r="L114" i="32"/>
  <c r="L111" i="32" s="1"/>
  <c r="N113" i="32"/>
  <c r="N112" i="32"/>
  <c r="N110" i="32"/>
  <c r="N109" i="32"/>
  <c r="N108" i="32"/>
  <c r="N107" i="32"/>
  <c r="N106" i="32"/>
  <c r="M105" i="32"/>
  <c r="L105" i="32"/>
  <c r="N104" i="32"/>
  <c r="N103" i="32"/>
  <c r="N102" i="32"/>
  <c r="M101" i="32"/>
  <c r="L101" i="32"/>
  <c r="N100" i="32"/>
  <c r="N99" i="32"/>
  <c r="N98" i="32"/>
  <c r="N97" i="32"/>
  <c r="N96" i="32"/>
  <c r="N95" i="32"/>
  <c r="N94" i="32"/>
  <c r="N93" i="32"/>
  <c r="N92" i="32"/>
  <c r="N90" i="32"/>
  <c r="M89" i="32"/>
  <c r="M88" i="32" s="1"/>
  <c r="L89" i="32"/>
  <c r="N84" i="32"/>
  <c r="N83" i="32"/>
  <c r="N81" i="32"/>
  <c r="N80" i="32"/>
  <c r="M79" i="32"/>
  <c r="M75" i="32" s="1"/>
  <c r="M74" i="32" s="1"/>
  <c r="L79" i="32"/>
  <c r="N78" i="32"/>
  <c r="N77" i="32"/>
  <c r="N76" i="32"/>
  <c r="L75" i="32"/>
  <c r="L74" i="32" s="1"/>
  <c r="N72" i="32"/>
  <c r="N71" i="32"/>
  <c r="M70" i="32"/>
  <c r="L70" i="32"/>
  <c r="N69" i="32"/>
  <c r="N68" i="32"/>
  <c r="M67" i="32"/>
  <c r="L67" i="32"/>
  <c r="N66" i="32"/>
  <c r="N65" i="32"/>
  <c r="N64" i="32"/>
  <c r="N63" i="32"/>
  <c r="N62" i="32"/>
  <c r="M61" i="32"/>
  <c r="L61" i="32"/>
  <c r="N60" i="32"/>
  <c r="N59" i="32"/>
  <c r="N58" i="32"/>
  <c r="N57" i="32"/>
  <c r="N56" i="32"/>
  <c r="N55" i="32"/>
  <c r="N54" i="32"/>
  <c r="N53" i="32"/>
  <c r="N52" i="32"/>
  <c r="N51" i="32"/>
  <c r="N50" i="32"/>
  <c r="M49" i="32"/>
  <c r="M45" i="32" s="1"/>
  <c r="L49" i="32"/>
  <c r="N48" i="32"/>
  <c r="N47" i="32"/>
  <c r="N46" i="32"/>
  <c r="L45" i="32"/>
  <c r="N44" i="32"/>
  <c r="N43" i="32"/>
  <c r="N42" i="32"/>
  <c r="N41" i="32"/>
  <c r="N40" i="32"/>
  <c r="N39" i="32"/>
  <c r="M38" i="32"/>
  <c r="L38" i="32"/>
  <c r="N37" i="32"/>
  <c r="N36" i="32"/>
  <c r="N35" i="32"/>
  <c r="M34" i="32"/>
  <c r="L34" i="32"/>
  <c r="N33" i="32"/>
  <c r="N32" i="32"/>
  <c r="M31" i="32"/>
  <c r="M30" i="32" s="1"/>
  <c r="L31" i="32"/>
  <c r="L30" i="32" s="1"/>
  <c r="N29" i="32"/>
  <c r="N28" i="32"/>
  <c r="N27" i="32"/>
  <c r="M26" i="32"/>
  <c r="L26" i="32"/>
  <c r="N24" i="32"/>
  <c r="N23" i="32"/>
  <c r="M22" i="32"/>
  <c r="L22" i="32"/>
  <c r="N21" i="32"/>
  <c r="N20" i="32"/>
  <c r="N19" i="32"/>
  <c r="N18" i="32"/>
  <c r="N17" i="32"/>
  <c r="N16" i="32"/>
  <c r="N15" i="32"/>
  <c r="N14" i="32"/>
  <c r="N13" i="32"/>
  <c r="N12" i="32"/>
  <c r="N11" i="32"/>
  <c r="M10" i="32"/>
  <c r="M9" i="32" s="1"/>
  <c r="L10" i="32"/>
  <c r="N150" i="17"/>
  <c r="N149" i="17"/>
  <c r="N148" i="17"/>
  <c r="N147" i="17"/>
  <c r="N146" i="17"/>
  <c r="N145" i="17"/>
  <c r="N144" i="17"/>
  <c r="M143" i="17"/>
  <c r="L143" i="17"/>
  <c r="N141" i="17"/>
  <c r="N140" i="17"/>
  <c r="N139" i="17"/>
  <c r="N138" i="17"/>
  <c r="N137" i="17"/>
  <c r="N136" i="17"/>
  <c r="N135" i="17"/>
  <c r="M134" i="17"/>
  <c r="M128" i="17" s="1"/>
  <c r="L134" i="17"/>
  <c r="N133" i="17"/>
  <c r="N132" i="17"/>
  <c r="N131" i="17"/>
  <c r="N130" i="17"/>
  <c r="N129" i="17"/>
  <c r="L128" i="17"/>
  <c r="N127" i="17"/>
  <c r="N126" i="17"/>
  <c r="N125" i="17"/>
  <c r="N124" i="17"/>
  <c r="M123" i="17"/>
  <c r="N122" i="17"/>
  <c r="N121" i="17"/>
  <c r="N120" i="17"/>
  <c r="N119" i="17"/>
  <c r="N118" i="17"/>
  <c r="N117" i="17"/>
  <c r="N116" i="17"/>
  <c r="N115" i="17"/>
  <c r="M114" i="17"/>
  <c r="L114" i="17"/>
  <c r="N113" i="17"/>
  <c r="N112" i="17"/>
  <c r="N110" i="17"/>
  <c r="N109" i="17"/>
  <c r="N108" i="17"/>
  <c r="N107" i="17"/>
  <c r="N106" i="17"/>
  <c r="M105" i="17"/>
  <c r="L105" i="17"/>
  <c r="N104" i="17"/>
  <c r="N103" i="17"/>
  <c r="N102" i="17"/>
  <c r="M101" i="17"/>
  <c r="L101" i="17"/>
  <c r="N100" i="17"/>
  <c r="N99" i="17"/>
  <c r="N98" i="17"/>
  <c r="N97" i="17"/>
  <c r="N96" i="17"/>
  <c r="N95" i="17"/>
  <c r="N94" i="17"/>
  <c r="N93" i="17"/>
  <c r="N92" i="17"/>
  <c r="N91" i="17"/>
  <c r="N90" i="17"/>
  <c r="M89" i="17"/>
  <c r="L89" i="17"/>
  <c r="M79" i="17"/>
  <c r="L79" i="17"/>
  <c r="M75" i="17"/>
  <c r="M74" i="17" s="1"/>
  <c r="N72" i="17"/>
  <c r="M70" i="17"/>
  <c r="L70" i="17"/>
  <c r="M67" i="17"/>
  <c r="L67" i="17"/>
  <c r="M61" i="17"/>
  <c r="L61" i="17"/>
  <c r="M49" i="17"/>
  <c r="M45" i="17" s="1"/>
  <c r="L49" i="17"/>
  <c r="M38" i="17"/>
  <c r="L38" i="17"/>
  <c r="M34" i="17"/>
  <c r="L34" i="17"/>
  <c r="M31" i="17"/>
  <c r="M30" i="17" s="1"/>
  <c r="L31" i="17"/>
  <c r="L30" i="17" s="1"/>
  <c r="M26" i="17"/>
  <c r="L26" i="17"/>
  <c r="M22" i="17"/>
  <c r="L22" i="17"/>
  <c r="M10" i="17"/>
  <c r="M9" i="17" s="1"/>
  <c r="L10" i="17"/>
  <c r="L9" i="17" s="1"/>
  <c r="N150" i="16"/>
  <c r="N149" i="16"/>
  <c r="N148" i="16"/>
  <c r="N147" i="16"/>
  <c r="N145" i="16"/>
  <c r="N144" i="16"/>
  <c r="M143" i="16"/>
  <c r="L143" i="16"/>
  <c r="N141" i="16"/>
  <c r="N140" i="16"/>
  <c r="N139" i="16"/>
  <c r="N138" i="16"/>
  <c r="N137" i="16"/>
  <c r="N136" i="16"/>
  <c r="N135" i="16"/>
  <c r="M134" i="16"/>
  <c r="L134" i="16"/>
  <c r="L128" i="16" s="1"/>
  <c r="M133" i="16"/>
  <c r="N132" i="16"/>
  <c r="N131" i="16"/>
  <c r="N130" i="16"/>
  <c r="N129" i="16"/>
  <c r="N127" i="16"/>
  <c r="N126" i="16"/>
  <c r="N125" i="16"/>
  <c r="N124" i="16"/>
  <c r="M123" i="16"/>
  <c r="L123" i="16"/>
  <c r="N122" i="16"/>
  <c r="N121" i="16"/>
  <c r="N120" i="16"/>
  <c r="N119" i="16"/>
  <c r="N118" i="16"/>
  <c r="N117" i="16"/>
  <c r="N116" i="16"/>
  <c r="N115" i="16"/>
  <c r="M114" i="16"/>
  <c r="M111" i="16" s="1"/>
  <c r="L114" i="16"/>
  <c r="N113" i="16"/>
  <c r="N112" i="16"/>
  <c r="N110" i="16"/>
  <c r="N109" i="16"/>
  <c r="N108" i="16"/>
  <c r="N107" i="16"/>
  <c r="N106" i="16"/>
  <c r="M105" i="16"/>
  <c r="L105" i="16"/>
  <c r="N104" i="16"/>
  <c r="N103" i="16"/>
  <c r="N102" i="16"/>
  <c r="M101" i="16"/>
  <c r="L101" i="16"/>
  <c r="N100" i="16"/>
  <c r="N99" i="16"/>
  <c r="N98" i="16"/>
  <c r="N97" i="16"/>
  <c r="N96" i="16"/>
  <c r="N95" i="16"/>
  <c r="N94" i="16"/>
  <c r="N93" i="16"/>
  <c r="N92" i="16"/>
  <c r="N90" i="16"/>
  <c r="M89" i="16"/>
  <c r="M88" i="16" s="1"/>
  <c r="L89" i="16"/>
  <c r="L88" i="16" s="1"/>
  <c r="N84" i="16"/>
  <c r="N83" i="16"/>
  <c r="N81" i="16"/>
  <c r="N80" i="16"/>
  <c r="M79" i="16"/>
  <c r="M75" i="16" s="1"/>
  <c r="M74" i="16" s="1"/>
  <c r="L79" i="16"/>
  <c r="N78" i="16"/>
  <c r="N77" i="16"/>
  <c r="N76" i="16"/>
  <c r="N72" i="16"/>
  <c r="N71" i="16"/>
  <c r="M70" i="16"/>
  <c r="L70" i="16"/>
  <c r="N69" i="16"/>
  <c r="N68" i="16"/>
  <c r="M67" i="16"/>
  <c r="L67" i="16"/>
  <c r="N66" i="16"/>
  <c r="N65" i="16"/>
  <c r="N64" i="16"/>
  <c r="N63" i="16"/>
  <c r="N62" i="16"/>
  <c r="M61" i="16"/>
  <c r="L61" i="16"/>
  <c r="N60" i="16"/>
  <c r="N59" i="16"/>
  <c r="N58" i="16"/>
  <c r="N57" i="16"/>
  <c r="N56" i="16"/>
  <c r="N55" i="16"/>
  <c r="N54" i="16"/>
  <c r="N53" i="16"/>
  <c r="N52" i="16"/>
  <c r="N51" i="16"/>
  <c r="N50" i="16"/>
  <c r="M49" i="16"/>
  <c r="M45" i="16" s="1"/>
  <c r="L49" i="16"/>
  <c r="N48" i="16"/>
  <c r="N47" i="16"/>
  <c r="N46" i="16"/>
  <c r="N44" i="16"/>
  <c r="N43" i="16"/>
  <c r="N42" i="16"/>
  <c r="N41" i="16"/>
  <c r="N40" i="16"/>
  <c r="N39" i="16"/>
  <c r="M38" i="16"/>
  <c r="L38" i="16"/>
  <c r="N37" i="16"/>
  <c r="N36" i="16"/>
  <c r="N35" i="16"/>
  <c r="M34" i="16"/>
  <c r="L34" i="16"/>
  <c r="N33" i="16"/>
  <c r="N32" i="16"/>
  <c r="M31" i="16"/>
  <c r="M30" i="16" s="1"/>
  <c r="L31" i="16"/>
  <c r="L30" i="16" s="1"/>
  <c r="N29" i="16"/>
  <c r="N28" i="16"/>
  <c r="N27" i="16"/>
  <c r="M26" i="16"/>
  <c r="L26" i="16"/>
  <c r="N24" i="16"/>
  <c r="N23" i="16"/>
  <c r="M22" i="16"/>
  <c r="L22" i="16"/>
  <c r="N21" i="16"/>
  <c r="N20" i="16"/>
  <c r="N19" i="16"/>
  <c r="N18" i="16"/>
  <c r="N17" i="16"/>
  <c r="N16" i="16"/>
  <c r="N15" i="16"/>
  <c r="N14" i="16"/>
  <c r="N13" i="16"/>
  <c r="N12" i="16"/>
  <c r="N11" i="16"/>
  <c r="M10" i="16"/>
  <c r="M9" i="16" s="1"/>
  <c r="L10" i="16"/>
  <c r="L9" i="16" s="1"/>
  <c r="N150" i="15"/>
  <c r="N149" i="15"/>
  <c r="N148" i="15"/>
  <c r="N147" i="15"/>
  <c r="N145" i="15"/>
  <c r="N144" i="15"/>
  <c r="M143" i="15"/>
  <c r="L143" i="15"/>
  <c r="N141" i="15"/>
  <c r="N140" i="15"/>
  <c r="N139" i="15"/>
  <c r="N138" i="15"/>
  <c r="N137" i="15"/>
  <c r="N136" i="15"/>
  <c r="N135" i="15"/>
  <c r="M134" i="15"/>
  <c r="M128" i="15" s="1"/>
  <c r="L134" i="15"/>
  <c r="N133" i="15"/>
  <c r="N132" i="15"/>
  <c r="N131" i="15"/>
  <c r="N130" i="15"/>
  <c r="N129" i="15"/>
  <c r="N127" i="15"/>
  <c r="N126" i="15"/>
  <c r="N125" i="15"/>
  <c r="N124" i="15"/>
  <c r="M123" i="15"/>
  <c r="L123" i="15"/>
  <c r="N122" i="15"/>
  <c r="N121" i="15"/>
  <c r="N120" i="15"/>
  <c r="N119" i="15"/>
  <c r="N118" i="15"/>
  <c r="N117" i="15"/>
  <c r="N116" i="15"/>
  <c r="N115" i="15"/>
  <c r="M114" i="15"/>
  <c r="M111" i="15" s="1"/>
  <c r="L114" i="15"/>
  <c r="N113" i="15"/>
  <c r="N112" i="15"/>
  <c r="N110" i="15"/>
  <c r="N109" i="15"/>
  <c r="N108" i="15"/>
  <c r="N107" i="15"/>
  <c r="N106" i="15"/>
  <c r="M105" i="15"/>
  <c r="L105" i="15"/>
  <c r="N104" i="15"/>
  <c r="N103" i="15"/>
  <c r="N102" i="15"/>
  <c r="M101" i="15"/>
  <c r="L101" i="15"/>
  <c r="N100" i="15"/>
  <c r="N99" i="15"/>
  <c r="N98" i="15"/>
  <c r="N97" i="15"/>
  <c r="N96" i="15"/>
  <c r="N95" i="15"/>
  <c r="N94" i="15"/>
  <c r="N93" i="15"/>
  <c r="N92" i="15"/>
  <c r="N90" i="15"/>
  <c r="M89" i="15"/>
  <c r="L89" i="15"/>
  <c r="L88" i="15" s="1"/>
  <c r="N84" i="15"/>
  <c r="N83" i="15"/>
  <c r="N81" i="15"/>
  <c r="N80" i="15"/>
  <c r="M79" i="15"/>
  <c r="M75" i="15" s="1"/>
  <c r="M74" i="15" s="1"/>
  <c r="L79" i="15"/>
  <c r="N78" i="15"/>
  <c r="N77" i="15"/>
  <c r="N76" i="15"/>
  <c r="L75" i="15"/>
  <c r="N72" i="15"/>
  <c r="N71" i="15"/>
  <c r="M70" i="15"/>
  <c r="L70" i="15"/>
  <c r="N69" i="15"/>
  <c r="N68" i="15"/>
  <c r="M67" i="15"/>
  <c r="L67" i="15"/>
  <c r="N66" i="15"/>
  <c r="N65" i="15"/>
  <c r="N64" i="15"/>
  <c r="N63" i="15"/>
  <c r="N62" i="15"/>
  <c r="M61" i="15"/>
  <c r="L61" i="15"/>
  <c r="N60" i="15"/>
  <c r="N59" i="15"/>
  <c r="N58" i="15"/>
  <c r="N57" i="15"/>
  <c r="N56" i="15"/>
  <c r="N55" i="15"/>
  <c r="N54" i="15"/>
  <c r="N53" i="15"/>
  <c r="N52" i="15"/>
  <c r="N51" i="15"/>
  <c r="N50" i="15"/>
  <c r="M49" i="15"/>
  <c r="M45" i="15" s="1"/>
  <c r="L49" i="15"/>
  <c r="N48" i="15"/>
  <c r="N47" i="15"/>
  <c r="N46" i="15"/>
  <c r="L45" i="15"/>
  <c r="N44" i="15"/>
  <c r="N43" i="15"/>
  <c r="N42" i="15"/>
  <c r="N41" i="15"/>
  <c r="N40" i="15"/>
  <c r="N39" i="15"/>
  <c r="M38" i="15"/>
  <c r="L38" i="15"/>
  <c r="N37" i="15"/>
  <c r="N36" i="15"/>
  <c r="N35" i="15"/>
  <c r="M34" i="15"/>
  <c r="L34" i="15"/>
  <c r="N33" i="15"/>
  <c r="N32" i="15"/>
  <c r="M31" i="15"/>
  <c r="M30" i="15" s="1"/>
  <c r="L31" i="15"/>
  <c r="L30" i="15" s="1"/>
  <c r="N29" i="15"/>
  <c r="N28" i="15"/>
  <c r="N27" i="15"/>
  <c r="M26" i="15"/>
  <c r="L26" i="15"/>
  <c r="N24" i="15"/>
  <c r="N23" i="15"/>
  <c r="M22" i="15"/>
  <c r="L22" i="15"/>
  <c r="N21" i="15"/>
  <c r="N20" i="15"/>
  <c r="N19" i="15"/>
  <c r="N18" i="15"/>
  <c r="N17" i="15"/>
  <c r="N16" i="15"/>
  <c r="N15" i="15"/>
  <c r="N14" i="15"/>
  <c r="N13" i="15"/>
  <c r="N12" i="15"/>
  <c r="N11" i="15"/>
  <c r="M10" i="15"/>
  <c r="M9" i="15" s="1"/>
  <c r="L10" i="15"/>
  <c r="L9" i="15" s="1"/>
  <c r="N150" i="49"/>
  <c r="N149" i="49"/>
  <c r="N148" i="49"/>
  <c r="N147" i="49"/>
  <c r="N145" i="49"/>
  <c r="N144" i="49"/>
  <c r="M143" i="49"/>
  <c r="L143" i="49"/>
  <c r="N141" i="49"/>
  <c r="N140" i="49"/>
  <c r="N139" i="49"/>
  <c r="N138" i="49"/>
  <c r="N137" i="49"/>
  <c r="N136" i="49"/>
  <c r="N135" i="49"/>
  <c r="M134" i="49"/>
  <c r="M128" i="49" s="1"/>
  <c r="L134" i="49"/>
  <c r="N133" i="49"/>
  <c r="N132" i="49"/>
  <c r="N131" i="49"/>
  <c r="N130" i="49"/>
  <c r="N129" i="49"/>
  <c r="N127" i="49"/>
  <c r="N126" i="49"/>
  <c r="N125" i="49"/>
  <c r="N124" i="49"/>
  <c r="M123" i="49"/>
  <c r="L123" i="49"/>
  <c r="N122" i="49"/>
  <c r="N121" i="49"/>
  <c r="N120" i="49"/>
  <c r="N119" i="49"/>
  <c r="N118" i="49"/>
  <c r="N117" i="49"/>
  <c r="N116" i="49"/>
  <c r="N115" i="49"/>
  <c r="M114" i="49"/>
  <c r="L114" i="49"/>
  <c r="L111" i="49" s="1"/>
  <c r="N113" i="49"/>
  <c r="N112" i="49"/>
  <c r="M111" i="49"/>
  <c r="N110" i="49"/>
  <c r="N109" i="49"/>
  <c r="N108" i="49"/>
  <c r="N107" i="49"/>
  <c r="N106" i="49"/>
  <c r="M105" i="49"/>
  <c r="L105" i="49"/>
  <c r="N104" i="49"/>
  <c r="N103" i="49"/>
  <c r="N102" i="49"/>
  <c r="M101" i="49"/>
  <c r="L101" i="49"/>
  <c r="N100" i="49"/>
  <c r="N99" i="49"/>
  <c r="N98" i="49"/>
  <c r="N97" i="49"/>
  <c r="N96" i="49"/>
  <c r="N95" i="49"/>
  <c r="N94" i="49"/>
  <c r="N93" i="49"/>
  <c r="N92" i="49"/>
  <c r="N90" i="49"/>
  <c r="M89" i="49"/>
  <c r="M88" i="49" s="1"/>
  <c r="L89" i="49"/>
  <c r="L88" i="49" s="1"/>
  <c r="N84" i="49"/>
  <c r="N83" i="49"/>
  <c r="N81" i="49"/>
  <c r="N80" i="49"/>
  <c r="M79" i="49"/>
  <c r="M75" i="49" s="1"/>
  <c r="M74" i="49" s="1"/>
  <c r="L79" i="49"/>
  <c r="N78" i="49"/>
  <c r="N77" i="49"/>
  <c r="N76" i="49"/>
  <c r="L75" i="49"/>
  <c r="N72" i="49"/>
  <c r="N71" i="49"/>
  <c r="M70" i="49"/>
  <c r="L70" i="49"/>
  <c r="N69" i="49"/>
  <c r="N68" i="49"/>
  <c r="M67" i="49"/>
  <c r="L67" i="49"/>
  <c r="N66" i="49"/>
  <c r="N65" i="49"/>
  <c r="N64" i="49"/>
  <c r="N63" i="49"/>
  <c r="N62" i="49"/>
  <c r="M61" i="49"/>
  <c r="L61" i="49"/>
  <c r="N60" i="49"/>
  <c r="N59" i="49"/>
  <c r="N58" i="49"/>
  <c r="N57" i="49"/>
  <c r="N56" i="49"/>
  <c r="N55" i="49"/>
  <c r="N54" i="49"/>
  <c r="N53" i="49"/>
  <c r="N52" i="49"/>
  <c r="N51" i="49"/>
  <c r="N50" i="49"/>
  <c r="M49" i="49"/>
  <c r="M45" i="49" s="1"/>
  <c r="L49" i="49"/>
  <c r="N48" i="49"/>
  <c r="N47" i="49"/>
  <c r="N46" i="49"/>
  <c r="L45" i="49"/>
  <c r="N44" i="49"/>
  <c r="N43" i="49"/>
  <c r="N42" i="49"/>
  <c r="N41" i="49"/>
  <c r="N40" i="49"/>
  <c r="N39" i="49"/>
  <c r="M38" i="49"/>
  <c r="L38" i="49"/>
  <c r="N37" i="49"/>
  <c r="N36" i="49"/>
  <c r="N35" i="49"/>
  <c r="M34" i="49"/>
  <c r="L34" i="49"/>
  <c r="N33" i="49"/>
  <c r="N32" i="49"/>
  <c r="M31" i="49"/>
  <c r="M30" i="49" s="1"/>
  <c r="L31" i="49"/>
  <c r="L30" i="49" s="1"/>
  <c r="N29" i="49"/>
  <c r="N28" i="49"/>
  <c r="N27" i="49"/>
  <c r="M26" i="49"/>
  <c r="L26" i="49"/>
  <c r="N24" i="49"/>
  <c r="N23" i="49"/>
  <c r="M22" i="49"/>
  <c r="L22" i="49"/>
  <c r="N21" i="49"/>
  <c r="N20" i="49"/>
  <c r="N19" i="49"/>
  <c r="N18" i="49"/>
  <c r="N17" i="49"/>
  <c r="N16" i="49"/>
  <c r="N15" i="49"/>
  <c r="N14" i="49"/>
  <c r="N13" i="49"/>
  <c r="N12" i="49"/>
  <c r="N11" i="49"/>
  <c r="M10" i="49"/>
  <c r="M9" i="49" s="1"/>
  <c r="L10" i="49"/>
  <c r="L9" i="49" s="1"/>
  <c r="N150" i="14"/>
  <c r="N149" i="14"/>
  <c r="N148" i="14"/>
  <c r="N147" i="14"/>
  <c r="N145" i="14"/>
  <c r="N144" i="14"/>
  <c r="M143" i="14"/>
  <c r="L143" i="14"/>
  <c r="N141" i="14"/>
  <c r="N140" i="14"/>
  <c r="N139" i="14"/>
  <c r="N138" i="14"/>
  <c r="N137" i="14"/>
  <c r="N136" i="14"/>
  <c r="N135" i="14"/>
  <c r="M134" i="14"/>
  <c r="M128" i="14" s="1"/>
  <c r="L134" i="14"/>
  <c r="N133" i="14"/>
  <c r="N132" i="14"/>
  <c r="N131" i="14"/>
  <c r="N130" i="14"/>
  <c r="N129" i="14"/>
  <c r="N127" i="14"/>
  <c r="N126" i="14"/>
  <c r="N125" i="14"/>
  <c r="N124" i="14"/>
  <c r="M123" i="14"/>
  <c r="L123" i="14"/>
  <c r="N122" i="14"/>
  <c r="N121" i="14"/>
  <c r="N120" i="14"/>
  <c r="N119" i="14"/>
  <c r="N118" i="14"/>
  <c r="N117" i="14"/>
  <c r="N116" i="14"/>
  <c r="N115" i="14"/>
  <c r="M114" i="14"/>
  <c r="M111" i="14" s="1"/>
  <c r="L114" i="14"/>
  <c r="N113" i="14"/>
  <c r="N112" i="14"/>
  <c r="N110" i="14"/>
  <c r="N109" i="14"/>
  <c r="N108" i="14"/>
  <c r="N107" i="14"/>
  <c r="N106" i="14"/>
  <c r="M105" i="14"/>
  <c r="N104" i="14"/>
  <c r="N103" i="14"/>
  <c r="N102" i="14"/>
  <c r="M101" i="14"/>
  <c r="L101" i="14"/>
  <c r="N100" i="14"/>
  <c r="N99" i="14"/>
  <c r="N98" i="14"/>
  <c r="N97" i="14"/>
  <c r="N96" i="14"/>
  <c r="N95" i="14"/>
  <c r="N94" i="14"/>
  <c r="N93" i="14"/>
  <c r="N92" i="14"/>
  <c r="N91" i="14"/>
  <c r="L90" i="14"/>
  <c r="N90" i="14" s="1"/>
  <c r="M89" i="14"/>
  <c r="N84" i="14"/>
  <c r="N83" i="14"/>
  <c r="N81" i="14"/>
  <c r="N80" i="14"/>
  <c r="M79" i="14"/>
  <c r="M75" i="14" s="1"/>
  <c r="M74" i="14" s="1"/>
  <c r="L79" i="14"/>
  <c r="N78" i="14"/>
  <c r="N77" i="14"/>
  <c r="N76" i="14"/>
  <c r="N72" i="14"/>
  <c r="N71" i="14"/>
  <c r="M70" i="14"/>
  <c r="L70" i="14"/>
  <c r="N69" i="14"/>
  <c r="N68" i="14"/>
  <c r="M67" i="14"/>
  <c r="L67" i="14"/>
  <c r="N66" i="14"/>
  <c r="N65" i="14"/>
  <c r="N64" i="14"/>
  <c r="N63" i="14"/>
  <c r="N62" i="14"/>
  <c r="M61" i="14"/>
  <c r="L61" i="14"/>
  <c r="N60" i="14"/>
  <c r="N59" i="14"/>
  <c r="N58" i="14"/>
  <c r="N57" i="14"/>
  <c r="N56" i="14"/>
  <c r="N55" i="14"/>
  <c r="N54" i="14"/>
  <c r="N53" i="14"/>
  <c r="N52" i="14"/>
  <c r="N51" i="14"/>
  <c r="N50" i="14"/>
  <c r="M49" i="14"/>
  <c r="M45" i="14" s="1"/>
  <c r="L49" i="14"/>
  <c r="L45" i="14" s="1"/>
  <c r="N48" i="14"/>
  <c r="N47" i="14"/>
  <c r="N46" i="14"/>
  <c r="N44" i="14"/>
  <c r="N43" i="14"/>
  <c r="N42" i="14"/>
  <c r="N41" i="14"/>
  <c r="N40" i="14"/>
  <c r="N39" i="14"/>
  <c r="M38" i="14"/>
  <c r="L38" i="14"/>
  <c r="N37" i="14"/>
  <c r="N36" i="14"/>
  <c r="N35" i="14"/>
  <c r="M34" i="14"/>
  <c r="L34" i="14"/>
  <c r="N33" i="14"/>
  <c r="N32" i="14"/>
  <c r="M31" i="14"/>
  <c r="M30" i="14" s="1"/>
  <c r="L31" i="14"/>
  <c r="N29" i="14"/>
  <c r="N28" i="14"/>
  <c r="N27" i="14"/>
  <c r="M26" i="14"/>
  <c r="L26" i="14"/>
  <c r="N24" i="14"/>
  <c r="N23" i="14"/>
  <c r="M22" i="14"/>
  <c r="L22" i="14"/>
  <c r="N21" i="14"/>
  <c r="N20" i="14"/>
  <c r="N19" i="14"/>
  <c r="N18" i="14"/>
  <c r="N17" i="14"/>
  <c r="N16" i="14"/>
  <c r="N15" i="14"/>
  <c r="N14" i="14"/>
  <c r="N13" i="14"/>
  <c r="N12" i="14"/>
  <c r="N11" i="14"/>
  <c r="M10" i="14"/>
  <c r="L10" i="14"/>
  <c r="L9" i="14" s="1"/>
  <c r="M9" i="14"/>
  <c r="N150" i="13"/>
  <c r="N149" i="13"/>
  <c r="N148" i="13"/>
  <c r="N147" i="13"/>
  <c r="N145" i="13"/>
  <c r="N144" i="13"/>
  <c r="M143" i="13"/>
  <c r="L143" i="13"/>
  <c r="N141" i="13"/>
  <c r="N140" i="13"/>
  <c r="N139" i="13"/>
  <c r="N138" i="13"/>
  <c r="N137" i="13"/>
  <c r="N136" i="13"/>
  <c r="N135" i="13"/>
  <c r="M134" i="13"/>
  <c r="M128" i="13" s="1"/>
  <c r="L134" i="13"/>
  <c r="N133" i="13"/>
  <c r="N132" i="13"/>
  <c r="N131" i="13"/>
  <c r="N130" i="13"/>
  <c r="N129" i="13"/>
  <c r="N127" i="13"/>
  <c r="N126" i="13"/>
  <c r="N125" i="13"/>
  <c r="N124" i="13"/>
  <c r="M123" i="13"/>
  <c r="L123" i="13"/>
  <c r="N122" i="13"/>
  <c r="N121" i="13"/>
  <c r="N120" i="13"/>
  <c r="N119" i="13"/>
  <c r="N118" i="13"/>
  <c r="N117" i="13"/>
  <c r="N116" i="13"/>
  <c r="N115" i="13"/>
  <c r="M114" i="13"/>
  <c r="M111" i="13" s="1"/>
  <c r="N113" i="13"/>
  <c r="N112" i="13"/>
  <c r="N110" i="13"/>
  <c r="N109" i="13"/>
  <c r="N108" i="13"/>
  <c r="N107" i="13"/>
  <c r="N106" i="13"/>
  <c r="M105" i="13"/>
  <c r="L105" i="13"/>
  <c r="N104" i="13"/>
  <c r="N103" i="13"/>
  <c r="N102" i="13"/>
  <c r="M101" i="13"/>
  <c r="L101" i="13"/>
  <c r="N100" i="13"/>
  <c r="N99" i="13"/>
  <c r="N98" i="13"/>
  <c r="N97" i="13"/>
  <c r="N96" i="13"/>
  <c r="N95" i="13"/>
  <c r="N94" i="13"/>
  <c r="N93" i="13"/>
  <c r="N92" i="13"/>
  <c r="N90" i="13"/>
  <c r="M89" i="13"/>
  <c r="M88" i="13" s="1"/>
  <c r="L89" i="13"/>
  <c r="L88" i="13" s="1"/>
  <c r="N84" i="13"/>
  <c r="N83" i="13"/>
  <c r="N81" i="13"/>
  <c r="N80" i="13"/>
  <c r="M79" i="13"/>
  <c r="M75" i="13" s="1"/>
  <c r="M74" i="13" s="1"/>
  <c r="L79" i="13"/>
  <c r="N78" i="13"/>
  <c r="N77" i="13"/>
  <c r="N76" i="13"/>
  <c r="N72" i="13"/>
  <c r="N71" i="13"/>
  <c r="M70" i="13"/>
  <c r="L70" i="13"/>
  <c r="N69" i="13"/>
  <c r="N68" i="13"/>
  <c r="M67" i="13"/>
  <c r="L67" i="13"/>
  <c r="N66" i="13"/>
  <c r="N65" i="13"/>
  <c r="N64" i="13"/>
  <c r="N63" i="13"/>
  <c r="N62" i="13"/>
  <c r="M61" i="13"/>
  <c r="L61" i="13"/>
  <c r="N60" i="13"/>
  <c r="N59" i="13"/>
  <c r="N58" i="13"/>
  <c r="N57" i="13"/>
  <c r="N56" i="13"/>
  <c r="N55" i="13"/>
  <c r="N54" i="13"/>
  <c r="N53" i="13"/>
  <c r="N52" i="13"/>
  <c r="N51" i="13"/>
  <c r="N50" i="13"/>
  <c r="M49" i="13"/>
  <c r="M45" i="13" s="1"/>
  <c r="L49" i="13"/>
  <c r="N48" i="13"/>
  <c r="N47" i="13"/>
  <c r="N46" i="13"/>
  <c r="N44" i="13"/>
  <c r="N43" i="13"/>
  <c r="N42" i="13"/>
  <c r="N41" i="13"/>
  <c r="N40" i="13"/>
  <c r="N39" i="13"/>
  <c r="M38" i="13"/>
  <c r="L38" i="13"/>
  <c r="N37" i="13"/>
  <c r="N36" i="13"/>
  <c r="N35" i="13"/>
  <c r="M34" i="13"/>
  <c r="L34" i="13"/>
  <c r="N33" i="13"/>
  <c r="N32" i="13"/>
  <c r="M31" i="13"/>
  <c r="M30" i="13" s="1"/>
  <c r="L31" i="13"/>
  <c r="N29" i="13"/>
  <c r="N28" i="13"/>
  <c r="N27" i="13"/>
  <c r="M26" i="13"/>
  <c r="L26" i="13"/>
  <c r="N24" i="13"/>
  <c r="N23" i="13"/>
  <c r="M22" i="13"/>
  <c r="L22" i="13"/>
  <c r="N21" i="13"/>
  <c r="N20" i="13"/>
  <c r="N19" i="13"/>
  <c r="N18" i="13"/>
  <c r="N17" i="13"/>
  <c r="N16" i="13"/>
  <c r="N15" i="13"/>
  <c r="N14" i="13"/>
  <c r="N13" i="13"/>
  <c r="N12" i="13"/>
  <c r="N11" i="13"/>
  <c r="M10" i="13"/>
  <c r="L10" i="13"/>
  <c r="L9" i="13" s="1"/>
  <c r="M9" i="13"/>
  <c r="N150" i="63"/>
  <c r="N149" i="63"/>
  <c r="N148" i="63"/>
  <c r="N147" i="63"/>
  <c r="N145" i="63"/>
  <c r="N144" i="63"/>
  <c r="M143" i="63"/>
  <c r="L143" i="63"/>
  <c r="N141" i="63"/>
  <c r="N140" i="63"/>
  <c r="N139" i="63"/>
  <c r="N138" i="63"/>
  <c r="N137" i="63"/>
  <c r="N136" i="63"/>
  <c r="N135" i="63"/>
  <c r="M134" i="63"/>
  <c r="M128" i="63" s="1"/>
  <c r="L134" i="63"/>
  <c r="N133" i="63"/>
  <c r="N132" i="63"/>
  <c r="N131" i="63"/>
  <c r="N130" i="63"/>
  <c r="N129" i="63"/>
  <c r="N127" i="63"/>
  <c r="N126" i="63"/>
  <c r="N125" i="63"/>
  <c r="N124" i="63"/>
  <c r="M123" i="63"/>
  <c r="L123" i="63"/>
  <c r="N122" i="63"/>
  <c r="N121" i="63"/>
  <c r="N120" i="63"/>
  <c r="N119" i="63"/>
  <c r="N118" i="63"/>
  <c r="N117" i="63"/>
  <c r="N116" i="63"/>
  <c r="N115" i="63"/>
  <c r="M114" i="63"/>
  <c r="L114" i="63"/>
  <c r="L111" i="63" s="1"/>
  <c r="N113" i="63"/>
  <c r="N112" i="63"/>
  <c r="M111" i="63"/>
  <c r="N110" i="63"/>
  <c r="N109" i="63"/>
  <c r="N108" i="63"/>
  <c r="N107" i="63"/>
  <c r="N106" i="63"/>
  <c r="M105" i="63"/>
  <c r="L105" i="63"/>
  <c r="N104" i="63"/>
  <c r="N103" i="63"/>
  <c r="N102" i="63"/>
  <c r="M101" i="63"/>
  <c r="L101" i="63"/>
  <c r="N100" i="63"/>
  <c r="N99" i="63"/>
  <c r="N98" i="63"/>
  <c r="N97" i="63"/>
  <c r="N96" i="63"/>
  <c r="N95" i="63"/>
  <c r="N94" i="63"/>
  <c r="N93" i="63"/>
  <c r="N92" i="63"/>
  <c r="N90" i="63"/>
  <c r="M89" i="63"/>
  <c r="M88" i="63" s="1"/>
  <c r="L89" i="63"/>
  <c r="L88" i="63" s="1"/>
  <c r="N84" i="63"/>
  <c r="N83" i="63"/>
  <c r="N81" i="63"/>
  <c r="N80" i="63"/>
  <c r="M79" i="63"/>
  <c r="M75" i="63" s="1"/>
  <c r="M74" i="63" s="1"/>
  <c r="L79" i="63"/>
  <c r="N78" i="63"/>
  <c r="N77" i="63"/>
  <c r="N76" i="63"/>
  <c r="L75" i="63"/>
  <c r="N72" i="63"/>
  <c r="N71" i="63"/>
  <c r="M70" i="63"/>
  <c r="L70" i="63"/>
  <c r="N69" i="63"/>
  <c r="N68" i="63"/>
  <c r="M67" i="63"/>
  <c r="L67" i="63"/>
  <c r="N66" i="63"/>
  <c r="N65" i="63"/>
  <c r="N64" i="63"/>
  <c r="N63" i="63"/>
  <c r="N62" i="63"/>
  <c r="M61" i="63"/>
  <c r="L61" i="63"/>
  <c r="N60" i="63"/>
  <c r="N59" i="63"/>
  <c r="N58" i="63"/>
  <c r="N57" i="63"/>
  <c r="N56" i="63"/>
  <c r="N55" i="63"/>
  <c r="N54" i="63"/>
  <c r="N53" i="63"/>
  <c r="N52" i="63"/>
  <c r="N51" i="63"/>
  <c r="N50" i="63"/>
  <c r="M49" i="63"/>
  <c r="M45" i="63" s="1"/>
  <c r="L49" i="63"/>
  <c r="N48" i="63"/>
  <c r="N47" i="63"/>
  <c r="N46" i="63"/>
  <c r="L45" i="63"/>
  <c r="N44" i="63"/>
  <c r="N43" i="63"/>
  <c r="N42" i="63"/>
  <c r="N41" i="63"/>
  <c r="N40" i="63"/>
  <c r="N39" i="63"/>
  <c r="M38" i="63"/>
  <c r="L38" i="63"/>
  <c r="N37" i="63"/>
  <c r="N36" i="63"/>
  <c r="N35" i="63"/>
  <c r="M34" i="63"/>
  <c r="L34" i="63"/>
  <c r="N33" i="63"/>
  <c r="N32" i="63"/>
  <c r="M31" i="63"/>
  <c r="M30" i="63" s="1"/>
  <c r="L31" i="63"/>
  <c r="L30" i="63" s="1"/>
  <c r="N29" i="63"/>
  <c r="N28" i="63"/>
  <c r="N27" i="63"/>
  <c r="M26" i="63"/>
  <c r="L26" i="63"/>
  <c r="N24" i="63"/>
  <c r="N23" i="63"/>
  <c r="M22" i="63"/>
  <c r="L22" i="63"/>
  <c r="N21" i="63"/>
  <c r="N20" i="63"/>
  <c r="N19" i="63"/>
  <c r="N18" i="63"/>
  <c r="N17" i="63"/>
  <c r="N16" i="63"/>
  <c r="N15" i="63"/>
  <c r="N14" i="63"/>
  <c r="N13" i="63"/>
  <c r="N12" i="63"/>
  <c r="N11" i="63"/>
  <c r="M10" i="63"/>
  <c r="M9" i="63" s="1"/>
  <c r="L10" i="63"/>
  <c r="L9" i="63" s="1"/>
  <c r="N150" i="12"/>
  <c r="N149" i="12"/>
  <c r="N148" i="12"/>
  <c r="N145" i="12"/>
  <c r="N144" i="12"/>
  <c r="M143" i="12"/>
  <c r="N141" i="12"/>
  <c r="N140" i="12"/>
  <c r="N139" i="12"/>
  <c r="N138" i="12"/>
  <c r="N137" i="12"/>
  <c r="N136" i="12"/>
  <c r="N135" i="12"/>
  <c r="M134" i="12"/>
  <c r="M128" i="12" s="1"/>
  <c r="L134" i="12"/>
  <c r="N133" i="12"/>
  <c r="N132" i="12"/>
  <c r="N131" i="12"/>
  <c r="N130" i="12"/>
  <c r="N129" i="12"/>
  <c r="L128" i="12"/>
  <c r="N127" i="12"/>
  <c r="N126" i="12"/>
  <c r="N125" i="12"/>
  <c r="N124" i="12"/>
  <c r="M123" i="12"/>
  <c r="L123" i="12"/>
  <c r="N122" i="12"/>
  <c r="N121" i="12"/>
  <c r="N120" i="12"/>
  <c r="N119" i="12"/>
  <c r="N118" i="12"/>
  <c r="N117" i="12"/>
  <c r="N116" i="12"/>
  <c r="N115" i="12"/>
  <c r="M114" i="12"/>
  <c r="L114" i="12"/>
  <c r="L111" i="12" s="1"/>
  <c r="N113" i="12"/>
  <c r="N112" i="12"/>
  <c r="M111" i="12"/>
  <c r="N110" i="12"/>
  <c r="N109" i="12"/>
  <c r="N108" i="12"/>
  <c r="N107" i="12"/>
  <c r="N106" i="12"/>
  <c r="M105" i="12"/>
  <c r="L105" i="12"/>
  <c r="N104" i="12"/>
  <c r="N103" i="12"/>
  <c r="N102" i="12"/>
  <c r="M101" i="12"/>
  <c r="L101" i="12"/>
  <c r="N100" i="12"/>
  <c r="N99" i="12"/>
  <c r="N98" i="12"/>
  <c r="N97" i="12"/>
  <c r="N96" i="12"/>
  <c r="N95" i="12"/>
  <c r="N94" i="12"/>
  <c r="N93" i="12"/>
  <c r="N92" i="12"/>
  <c r="N90" i="12"/>
  <c r="M89" i="12"/>
  <c r="M88" i="12" s="1"/>
  <c r="L89" i="12"/>
  <c r="L88" i="12" s="1"/>
  <c r="N84" i="12"/>
  <c r="N83" i="12"/>
  <c r="N81" i="12"/>
  <c r="N80" i="12"/>
  <c r="M79" i="12"/>
  <c r="M75" i="12" s="1"/>
  <c r="M74" i="12" s="1"/>
  <c r="L79" i="12"/>
  <c r="N78" i="12"/>
  <c r="N77" i="12"/>
  <c r="N76" i="12"/>
  <c r="N72" i="12"/>
  <c r="N71" i="12"/>
  <c r="M70" i="12"/>
  <c r="L70" i="12"/>
  <c r="N69" i="12"/>
  <c r="N68" i="12"/>
  <c r="M67" i="12"/>
  <c r="L67" i="12"/>
  <c r="N66" i="12"/>
  <c r="N65" i="12"/>
  <c r="N64" i="12"/>
  <c r="N63" i="12"/>
  <c r="N62" i="12"/>
  <c r="M61" i="12"/>
  <c r="L61" i="12"/>
  <c r="N60" i="12"/>
  <c r="N59" i="12"/>
  <c r="N58" i="12"/>
  <c r="N57" i="12"/>
  <c r="N56" i="12"/>
  <c r="N55" i="12"/>
  <c r="N54" i="12"/>
  <c r="N53" i="12"/>
  <c r="N52" i="12"/>
  <c r="N51" i="12"/>
  <c r="N50" i="12"/>
  <c r="M49" i="12"/>
  <c r="M45" i="12" s="1"/>
  <c r="L49" i="12"/>
  <c r="N48" i="12"/>
  <c r="N47" i="12"/>
  <c r="N46" i="12"/>
  <c r="N44" i="12"/>
  <c r="N43" i="12"/>
  <c r="N42" i="12"/>
  <c r="N41" i="12"/>
  <c r="N40" i="12"/>
  <c r="N39" i="12"/>
  <c r="M38" i="12"/>
  <c r="L38" i="12"/>
  <c r="N37" i="12"/>
  <c r="N36" i="12"/>
  <c r="N35" i="12"/>
  <c r="M34" i="12"/>
  <c r="L34" i="12"/>
  <c r="N33" i="12"/>
  <c r="N32" i="12"/>
  <c r="M31" i="12"/>
  <c r="M30" i="12" s="1"/>
  <c r="L31" i="12"/>
  <c r="N29" i="12"/>
  <c r="N28" i="12"/>
  <c r="N27" i="12"/>
  <c r="M26" i="12"/>
  <c r="L26" i="12"/>
  <c r="N24" i="12"/>
  <c r="N23" i="12"/>
  <c r="M22" i="12"/>
  <c r="L22" i="12"/>
  <c r="N21" i="12"/>
  <c r="N20" i="12"/>
  <c r="N19" i="12"/>
  <c r="N18" i="12"/>
  <c r="N17" i="12"/>
  <c r="N16" i="12"/>
  <c r="N15" i="12"/>
  <c r="N14" i="12"/>
  <c r="N13" i="12"/>
  <c r="N12" i="12"/>
  <c r="N11" i="12"/>
  <c r="M10" i="12"/>
  <c r="M9" i="12" s="1"/>
  <c r="L10" i="12"/>
  <c r="L9" i="12" s="1"/>
  <c r="N150" i="11"/>
  <c r="N149" i="11"/>
  <c r="N148" i="11"/>
  <c r="N147" i="11"/>
  <c r="N145" i="11"/>
  <c r="N144" i="11"/>
  <c r="M143" i="11"/>
  <c r="L143" i="11"/>
  <c r="N141" i="11"/>
  <c r="N140" i="11"/>
  <c r="N139" i="11"/>
  <c r="N138" i="11"/>
  <c r="N137" i="11"/>
  <c r="N136" i="11"/>
  <c r="N135" i="11"/>
  <c r="M134" i="11"/>
  <c r="M128" i="11" s="1"/>
  <c r="L134" i="11"/>
  <c r="N133" i="11"/>
  <c r="N132" i="11"/>
  <c r="N131" i="11"/>
  <c r="N130" i="11"/>
  <c r="N129" i="11"/>
  <c r="N127" i="11"/>
  <c r="N126" i="11"/>
  <c r="N125" i="11"/>
  <c r="N124" i="11"/>
  <c r="M123" i="11"/>
  <c r="L123" i="11"/>
  <c r="N122" i="11"/>
  <c r="N121" i="11"/>
  <c r="N120" i="11"/>
  <c r="N119" i="11"/>
  <c r="N118" i="11"/>
  <c r="N117" i="11"/>
  <c r="N116" i="11"/>
  <c r="N115" i="11"/>
  <c r="M114" i="11"/>
  <c r="L114" i="11"/>
  <c r="L111" i="11" s="1"/>
  <c r="N113" i="11"/>
  <c r="N112" i="11"/>
  <c r="M111" i="11"/>
  <c r="N110" i="11"/>
  <c r="N109" i="11"/>
  <c r="N108" i="11"/>
  <c r="N107" i="11"/>
  <c r="N106" i="11"/>
  <c r="M105" i="11"/>
  <c r="L105" i="11"/>
  <c r="N104" i="11"/>
  <c r="N103" i="11"/>
  <c r="N102" i="11"/>
  <c r="M101" i="11"/>
  <c r="L101" i="11"/>
  <c r="N100" i="11"/>
  <c r="N99" i="11"/>
  <c r="N98" i="11"/>
  <c r="N97" i="11"/>
  <c r="N96" i="11"/>
  <c r="N95" i="11"/>
  <c r="N94" i="11"/>
  <c r="N93" i="11"/>
  <c r="N92" i="11"/>
  <c r="N90" i="11"/>
  <c r="M89" i="11"/>
  <c r="M88" i="11" s="1"/>
  <c r="L89" i="11"/>
  <c r="N84" i="11"/>
  <c r="N83" i="11"/>
  <c r="N81" i="11"/>
  <c r="N80" i="11"/>
  <c r="M79" i="11"/>
  <c r="M75" i="11" s="1"/>
  <c r="M74" i="11" s="1"/>
  <c r="L79" i="11"/>
  <c r="N78" i="11"/>
  <c r="N77" i="11"/>
  <c r="N76" i="11"/>
  <c r="L75" i="11"/>
  <c r="N72" i="11"/>
  <c r="N71" i="11"/>
  <c r="M70" i="11"/>
  <c r="L70" i="11"/>
  <c r="N69" i="11"/>
  <c r="N68" i="11"/>
  <c r="M67" i="11"/>
  <c r="L67" i="11"/>
  <c r="N66" i="11"/>
  <c r="N65" i="11"/>
  <c r="N64" i="11"/>
  <c r="N63" i="11"/>
  <c r="N62" i="11"/>
  <c r="M61" i="11"/>
  <c r="L61" i="11"/>
  <c r="N60" i="11"/>
  <c r="N59" i="11"/>
  <c r="N58" i="11"/>
  <c r="N57" i="11"/>
  <c r="N56" i="11"/>
  <c r="N55" i="11"/>
  <c r="N54" i="11"/>
  <c r="N53" i="11"/>
  <c r="N52" i="11"/>
  <c r="N51" i="11"/>
  <c r="N50" i="11"/>
  <c r="M49" i="11"/>
  <c r="M45" i="11" s="1"/>
  <c r="L49" i="11"/>
  <c r="N48" i="11"/>
  <c r="N47" i="11"/>
  <c r="N46" i="11"/>
  <c r="L45" i="11"/>
  <c r="N44" i="11"/>
  <c r="N43" i="11"/>
  <c r="N42" i="11"/>
  <c r="N41" i="11"/>
  <c r="N40" i="11"/>
  <c r="N39" i="11"/>
  <c r="M38" i="11"/>
  <c r="L38" i="11"/>
  <c r="N37" i="11"/>
  <c r="N36" i="11"/>
  <c r="N35" i="11"/>
  <c r="M34" i="11"/>
  <c r="L34" i="11"/>
  <c r="N33" i="11"/>
  <c r="N32" i="11"/>
  <c r="M31" i="11"/>
  <c r="M30" i="11" s="1"/>
  <c r="L31" i="11"/>
  <c r="L30" i="11" s="1"/>
  <c r="N29" i="11"/>
  <c r="N28" i="11"/>
  <c r="N27" i="11"/>
  <c r="M26" i="11"/>
  <c r="L26" i="11"/>
  <c r="N24" i="11"/>
  <c r="N23" i="11"/>
  <c r="M22" i="11"/>
  <c r="L22" i="11"/>
  <c r="N21" i="11"/>
  <c r="N20" i="11"/>
  <c r="N19" i="11"/>
  <c r="N18" i="11"/>
  <c r="N17" i="11"/>
  <c r="N16" i="11"/>
  <c r="N15" i="11"/>
  <c r="L14" i="11"/>
  <c r="N14" i="11" s="1"/>
  <c r="N13" i="11"/>
  <c r="N12" i="11"/>
  <c r="L11" i="11"/>
  <c r="N11" i="11" s="1"/>
  <c r="M10" i="11"/>
  <c r="M9" i="11" s="1"/>
  <c r="N150" i="10"/>
  <c r="N149" i="10"/>
  <c r="N148" i="10"/>
  <c r="N147" i="10"/>
  <c r="N145" i="10"/>
  <c r="N144" i="10"/>
  <c r="M143" i="10"/>
  <c r="L143" i="10"/>
  <c r="N141" i="10"/>
  <c r="N140" i="10"/>
  <c r="N139" i="10"/>
  <c r="N138" i="10"/>
  <c r="N137" i="10"/>
  <c r="N136" i="10"/>
  <c r="N135" i="10"/>
  <c r="M134" i="10"/>
  <c r="M128" i="10" s="1"/>
  <c r="L134" i="10"/>
  <c r="N133" i="10"/>
  <c r="N132" i="10"/>
  <c r="N131" i="10"/>
  <c r="N130" i="10"/>
  <c r="N129" i="10"/>
  <c r="N127" i="10"/>
  <c r="N126" i="10"/>
  <c r="N125" i="10"/>
  <c r="N124" i="10"/>
  <c r="M123" i="10"/>
  <c r="L123" i="10"/>
  <c r="N122" i="10"/>
  <c r="N121" i="10"/>
  <c r="N120" i="10"/>
  <c r="N119" i="10"/>
  <c r="N118" i="10"/>
  <c r="N117" i="10"/>
  <c r="N116" i="10"/>
  <c r="N115" i="10"/>
  <c r="M114" i="10"/>
  <c r="L114" i="10"/>
  <c r="L111" i="10" s="1"/>
  <c r="N113" i="10"/>
  <c r="N112" i="10"/>
  <c r="M111" i="10"/>
  <c r="N110" i="10"/>
  <c r="N109" i="10"/>
  <c r="N108" i="10"/>
  <c r="N107" i="10"/>
  <c r="N106" i="10"/>
  <c r="M105" i="10"/>
  <c r="L105" i="10"/>
  <c r="N104" i="10"/>
  <c r="N103" i="10"/>
  <c r="N102" i="10"/>
  <c r="M101" i="10"/>
  <c r="L101" i="10"/>
  <c r="N100" i="10"/>
  <c r="N99" i="10"/>
  <c r="N98" i="10"/>
  <c r="N97" i="10"/>
  <c r="N96" i="10"/>
  <c r="N95" i="10"/>
  <c r="N94" i="10"/>
  <c r="N93" i="10"/>
  <c r="N92" i="10"/>
  <c r="N90" i="10"/>
  <c r="M89" i="10"/>
  <c r="M88" i="10" s="1"/>
  <c r="L89" i="10"/>
  <c r="L88" i="10" s="1"/>
  <c r="N84" i="10"/>
  <c r="N83" i="10"/>
  <c r="N81" i="10"/>
  <c r="N80" i="10"/>
  <c r="M79" i="10"/>
  <c r="M75" i="10" s="1"/>
  <c r="M74" i="10" s="1"/>
  <c r="L79" i="10"/>
  <c r="N78" i="10"/>
  <c r="N77" i="10"/>
  <c r="N76" i="10"/>
  <c r="L75" i="10"/>
  <c r="N72" i="10"/>
  <c r="N71" i="10"/>
  <c r="M70" i="10"/>
  <c r="L70" i="10"/>
  <c r="N69" i="10"/>
  <c r="N68" i="10"/>
  <c r="M67" i="10"/>
  <c r="L67" i="10"/>
  <c r="N66" i="10"/>
  <c r="N65" i="10"/>
  <c r="N64" i="10"/>
  <c r="L63" i="10"/>
  <c r="N62" i="10"/>
  <c r="M61" i="10"/>
  <c r="N60" i="10"/>
  <c r="N59" i="10"/>
  <c r="N58" i="10"/>
  <c r="N57" i="10"/>
  <c r="N56" i="10"/>
  <c r="N55" i="10"/>
  <c r="N54" i="10"/>
  <c r="N53" i="10"/>
  <c r="N52" i="10"/>
  <c r="N51" i="10"/>
  <c r="N50" i="10"/>
  <c r="M49" i="10"/>
  <c r="M45" i="10" s="1"/>
  <c r="L49" i="10"/>
  <c r="N48" i="10"/>
  <c r="N47" i="10"/>
  <c r="N46" i="10"/>
  <c r="L45" i="10"/>
  <c r="N44" i="10"/>
  <c r="N43" i="10"/>
  <c r="N42" i="10"/>
  <c r="N41" i="10"/>
  <c r="N40" i="10"/>
  <c r="N39" i="10"/>
  <c r="M38" i="10"/>
  <c r="L38" i="10"/>
  <c r="N37" i="10"/>
  <c r="N36" i="10"/>
  <c r="N35" i="10"/>
  <c r="M34" i="10"/>
  <c r="L34" i="10"/>
  <c r="N33" i="10"/>
  <c r="N32" i="10"/>
  <c r="M31" i="10"/>
  <c r="L31" i="10"/>
  <c r="L30" i="10" s="1"/>
  <c r="N29" i="10"/>
  <c r="N28" i="10"/>
  <c r="N27" i="10"/>
  <c r="M26" i="10"/>
  <c r="L26" i="10"/>
  <c r="N24" i="10"/>
  <c r="N23" i="10"/>
  <c r="M22" i="10"/>
  <c r="L22" i="10"/>
  <c r="N21" i="10"/>
  <c r="N20" i="10"/>
  <c r="N19" i="10"/>
  <c r="N18" i="10"/>
  <c r="N17" i="10"/>
  <c r="N16" i="10"/>
  <c r="N15" i="10"/>
  <c r="N14" i="10"/>
  <c r="N13" i="10"/>
  <c r="N12" i="10"/>
  <c r="N11" i="10"/>
  <c r="M10" i="10"/>
  <c r="M9" i="10" s="1"/>
  <c r="L10" i="10"/>
  <c r="L9" i="10" s="1"/>
  <c r="N150" i="9"/>
  <c r="N149" i="9"/>
  <c r="N148" i="9"/>
  <c r="N147" i="9"/>
  <c r="N145" i="9"/>
  <c r="N144" i="9"/>
  <c r="M143" i="9"/>
  <c r="L143" i="9"/>
  <c r="N141" i="9"/>
  <c r="N140" i="9"/>
  <c r="N139" i="9"/>
  <c r="N138" i="9"/>
  <c r="N137" i="9"/>
  <c r="N136" i="9"/>
  <c r="N135" i="9"/>
  <c r="M134" i="9"/>
  <c r="M128" i="9" s="1"/>
  <c r="L134" i="9"/>
  <c r="N133" i="9"/>
  <c r="N132" i="9"/>
  <c r="N131" i="9"/>
  <c r="N130" i="9"/>
  <c r="N129" i="9"/>
  <c r="L128" i="9"/>
  <c r="N127" i="9"/>
  <c r="N126" i="9"/>
  <c r="N125" i="9"/>
  <c r="N124" i="9"/>
  <c r="M123" i="9"/>
  <c r="L123" i="9"/>
  <c r="N122" i="9"/>
  <c r="N121" i="9"/>
  <c r="N120" i="9"/>
  <c r="N119" i="9"/>
  <c r="N118" i="9"/>
  <c r="N117" i="9"/>
  <c r="N116" i="9"/>
  <c r="N115" i="9"/>
  <c r="M114" i="9"/>
  <c r="L114" i="9"/>
  <c r="L111" i="9" s="1"/>
  <c r="N113" i="9"/>
  <c r="N112" i="9"/>
  <c r="M111" i="9"/>
  <c r="N110" i="9"/>
  <c r="N109" i="9"/>
  <c r="N108" i="9"/>
  <c r="N107" i="9"/>
  <c r="N106" i="9"/>
  <c r="M105" i="9"/>
  <c r="L105" i="9"/>
  <c r="N104" i="9"/>
  <c r="N103" i="9"/>
  <c r="N102" i="9"/>
  <c r="M101" i="9"/>
  <c r="L101" i="9"/>
  <c r="N100" i="9"/>
  <c r="N99" i="9"/>
  <c r="N98" i="9"/>
  <c r="N97" i="9"/>
  <c r="N96" i="9"/>
  <c r="N95" i="9"/>
  <c r="N94" i="9"/>
  <c r="N93" i="9"/>
  <c r="N92" i="9"/>
  <c r="N90" i="9"/>
  <c r="M89" i="9"/>
  <c r="M88" i="9" s="1"/>
  <c r="L89" i="9"/>
  <c r="N84" i="9"/>
  <c r="N83" i="9"/>
  <c r="N81" i="9"/>
  <c r="N80" i="9"/>
  <c r="M79" i="9"/>
  <c r="M75" i="9" s="1"/>
  <c r="M74" i="9" s="1"/>
  <c r="L79" i="9"/>
  <c r="N78" i="9"/>
  <c r="N77" i="9"/>
  <c r="N76" i="9"/>
  <c r="N72" i="9"/>
  <c r="N71" i="9"/>
  <c r="M70" i="9"/>
  <c r="L70" i="9"/>
  <c r="N69" i="9"/>
  <c r="N68" i="9"/>
  <c r="M67" i="9"/>
  <c r="L67" i="9"/>
  <c r="N66" i="9"/>
  <c r="N65" i="9"/>
  <c r="N64" i="9"/>
  <c r="N63" i="9"/>
  <c r="N62" i="9"/>
  <c r="M61" i="9"/>
  <c r="L61" i="9"/>
  <c r="N60" i="9"/>
  <c r="N59" i="9"/>
  <c r="N58" i="9"/>
  <c r="N57" i="9"/>
  <c r="N56" i="9"/>
  <c r="N55" i="9"/>
  <c r="N54" i="9"/>
  <c r="N53" i="9"/>
  <c r="N52" i="9"/>
  <c r="N51" i="9"/>
  <c r="N50" i="9"/>
  <c r="M49" i="9"/>
  <c r="M45" i="9" s="1"/>
  <c r="L49" i="9"/>
  <c r="L45" i="9" s="1"/>
  <c r="N48" i="9"/>
  <c r="N47" i="9"/>
  <c r="N46" i="9"/>
  <c r="N44" i="9"/>
  <c r="N43" i="9"/>
  <c r="N42" i="9"/>
  <c r="N41" i="9"/>
  <c r="N40" i="9"/>
  <c r="N39" i="9"/>
  <c r="M38" i="9"/>
  <c r="L38" i="9"/>
  <c r="N37" i="9"/>
  <c r="N36" i="9"/>
  <c r="N35" i="9"/>
  <c r="M34" i="9"/>
  <c r="L34" i="9"/>
  <c r="N33" i="9"/>
  <c r="N32" i="9"/>
  <c r="M31" i="9"/>
  <c r="L31" i="9"/>
  <c r="L30" i="9" s="1"/>
  <c r="N29" i="9"/>
  <c r="N28" i="9"/>
  <c r="N27" i="9"/>
  <c r="M26" i="9"/>
  <c r="L26" i="9"/>
  <c r="N24" i="9"/>
  <c r="N23" i="9"/>
  <c r="M22" i="9"/>
  <c r="L22" i="9"/>
  <c r="N21" i="9"/>
  <c r="N20" i="9"/>
  <c r="N19" i="9"/>
  <c r="N18" i="9"/>
  <c r="N17" i="9"/>
  <c r="N16" i="9"/>
  <c r="N15" i="9"/>
  <c r="N14" i="9"/>
  <c r="N13" i="9"/>
  <c r="N12" i="9"/>
  <c r="N11" i="9"/>
  <c r="M10" i="9"/>
  <c r="L10" i="9"/>
  <c r="L9" i="9" s="1"/>
  <c r="M9" i="9"/>
  <c r="N150" i="8"/>
  <c r="N149" i="8"/>
  <c r="N148" i="8"/>
  <c r="N147" i="8"/>
  <c r="N145" i="8"/>
  <c r="N144" i="8"/>
  <c r="M143" i="8"/>
  <c r="L143" i="8"/>
  <c r="N141" i="8"/>
  <c r="N140" i="8"/>
  <c r="N139" i="8"/>
  <c r="N138" i="8"/>
  <c r="N137" i="8"/>
  <c r="N136" i="8"/>
  <c r="M134" i="8"/>
  <c r="N133" i="8"/>
  <c r="N132" i="8"/>
  <c r="N131" i="8"/>
  <c r="N130" i="8"/>
  <c r="N129" i="8"/>
  <c r="N127" i="8"/>
  <c r="N126" i="8"/>
  <c r="N125" i="8"/>
  <c r="N124" i="8"/>
  <c r="M123" i="8"/>
  <c r="L123" i="8"/>
  <c r="N122" i="8"/>
  <c r="N121" i="8"/>
  <c r="N120" i="8"/>
  <c r="N119" i="8"/>
  <c r="N118" i="8"/>
  <c r="N117" i="8"/>
  <c r="N116" i="8"/>
  <c r="N115" i="8"/>
  <c r="M114" i="8"/>
  <c r="N113" i="8"/>
  <c r="N112" i="8"/>
  <c r="L110" i="8"/>
  <c r="N110" i="8" s="1"/>
  <c r="N109" i="8"/>
  <c r="N108" i="8"/>
  <c r="L107" i="8"/>
  <c r="N106" i="8"/>
  <c r="M105" i="8"/>
  <c r="N103" i="8"/>
  <c r="N102" i="8"/>
  <c r="M101" i="8"/>
  <c r="N100" i="8"/>
  <c r="N99" i="8"/>
  <c r="N98" i="8"/>
  <c r="N97" i="8"/>
  <c r="N96" i="8"/>
  <c r="N95" i="8"/>
  <c r="N94" i="8"/>
  <c r="N93" i="8"/>
  <c r="N92" i="8"/>
  <c r="N90" i="8"/>
  <c r="M89" i="8"/>
  <c r="N84" i="8"/>
  <c r="N83" i="8"/>
  <c r="N81" i="8"/>
  <c r="L80" i="8"/>
  <c r="M79" i="8"/>
  <c r="N78" i="8"/>
  <c r="N77" i="8"/>
  <c r="N76" i="8"/>
  <c r="M75" i="8"/>
  <c r="N72" i="8"/>
  <c r="N71" i="8"/>
  <c r="M70" i="8"/>
  <c r="L70" i="8"/>
  <c r="N69" i="8"/>
  <c r="N68" i="8"/>
  <c r="M67" i="8"/>
  <c r="L67" i="8"/>
  <c r="N66" i="8"/>
  <c r="N65" i="8"/>
  <c r="N64" i="8"/>
  <c r="N63" i="8"/>
  <c r="N62" i="8"/>
  <c r="M61" i="8"/>
  <c r="L61" i="8"/>
  <c r="N60" i="8"/>
  <c r="N59" i="8"/>
  <c r="N58" i="8"/>
  <c r="N57" i="8"/>
  <c r="N56" i="8"/>
  <c r="N54" i="8"/>
  <c r="N53" i="8"/>
  <c r="N52" i="8"/>
  <c r="N51" i="8"/>
  <c r="N50" i="8"/>
  <c r="M49" i="8"/>
  <c r="M45" i="8" s="1"/>
  <c r="L49" i="8"/>
  <c r="N46" i="8"/>
  <c r="L45" i="8"/>
  <c r="N44" i="8"/>
  <c r="N43" i="8"/>
  <c r="N42" i="8"/>
  <c r="N41" i="8"/>
  <c r="N40" i="8"/>
  <c r="N39" i="8"/>
  <c r="M38" i="8"/>
  <c r="L38" i="8"/>
  <c r="N37" i="8"/>
  <c r="N36" i="8"/>
  <c r="N35" i="8"/>
  <c r="M34" i="8"/>
  <c r="L34" i="8"/>
  <c r="N33" i="8"/>
  <c r="N32" i="8"/>
  <c r="M31" i="8"/>
  <c r="L31" i="8"/>
  <c r="N29" i="8"/>
  <c r="N28" i="8"/>
  <c r="N27" i="8"/>
  <c r="M26" i="8"/>
  <c r="L26" i="8"/>
  <c r="N24" i="8"/>
  <c r="N23" i="8"/>
  <c r="M22" i="8"/>
  <c r="L22" i="8"/>
  <c r="N21" i="8"/>
  <c r="N20" i="8"/>
  <c r="N19" i="8"/>
  <c r="N18" i="8"/>
  <c r="N17" i="8"/>
  <c r="N16" i="8"/>
  <c r="N15" i="8"/>
  <c r="N14" i="8"/>
  <c r="N13" i="8"/>
  <c r="N12" i="8"/>
  <c r="N11" i="8"/>
  <c r="M10" i="8"/>
  <c r="L10" i="8"/>
  <c r="L9" i="8" s="1"/>
  <c r="M150" i="7"/>
  <c r="AK150" i="4" s="1"/>
  <c r="M149" i="7"/>
  <c r="AK149" i="4" s="1"/>
  <c r="M148" i="7"/>
  <c r="AK148" i="4" s="1"/>
  <c r="M147" i="7"/>
  <c r="AK147" i="4" s="1"/>
  <c r="M146" i="7"/>
  <c r="AK146" i="4" s="1"/>
  <c r="M145" i="7"/>
  <c r="AK145" i="4" s="1"/>
  <c r="M144" i="7"/>
  <c r="AK144" i="4" s="1"/>
  <c r="M141" i="7"/>
  <c r="AK141" i="4" s="1"/>
  <c r="M140" i="7"/>
  <c r="AK140" i="4" s="1"/>
  <c r="M139" i="7"/>
  <c r="AK139" i="4" s="1"/>
  <c r="M138" i="7"/>
  <c r="AK138" i="4" s="1"/>
  <c r="M137" i="7"/>
  <c r="AK137" i="4" s="1"/>
  <c r="M136" i="7"/>
  <c r="AK136" i="4" s="1"/>
  <c r="M135" i="7"/>
  <c r="AK135" i="4" s="1"/>
  <c r="M132" i="7"/>
  <c r="AK132" i="4" s="1"/>
  <c r="M131" i="7"/>
  <c r="AK131" i="4" s="1"/>
  <c r="M130" i="7"/>
  <c r="AK130" i="4" s="1"/>
  <c r="M129" i="7"/>
  <c r="AK129" i="4" s="1"/>
  <c r="M127" i="7"/>
  <c r="AK127" i="4" s="1"/>
  <c r="M126" i="7"/>
  <c r="AK126" i="4" s="1"/>
  <c r="M125" i="7"/>
  <c r="AK125" i="4" s="1"/>
  <c r="M124" i="7"/>
  <c r="AK124" i="4" s="1"/>
  <c r="M122" i="7"/>
  <c r="AK122" i="4" s="1"/>
  <c r="M121" i="7"/>
  <c r="AK121" i="4" s="1"/>
  <c r="M120" i="7"/>
  <c r="AK120" i="4" s="1"/>
  <c r="M119" i="7"/>
  <c r="AK119" i="4" s="1"/>
  <c r="M118" i="7"/>
  <c r="AK118" i="4" s="1"/>
  <c r="M117" i="7"/>
  <c r="AK117" i="4" s="1"/>
  <c r="M116" i="7"/>
  <c r="AK116" i="4" s="1"/>
  <c r="M115" i="7"/>
  <c r="AK115" i="4" s="1"/>
  <c r="M113" i="7"/>
  <c r="AK113" i="4" s="1"/>
  <c r="M112" i="7"/>
  <c r="AK112" i="4" s="1"/>
  <c r="M110" i="7"/>
  <c r="AK110" i="4" s="1"/>
  <c r="M109" i="7"/>
  <c r="AK109" i="4" s="1"/>
  <c r="M108" i="7"/>
  <c r="AK108" i="4" s="1"/>
  <c r="M107" i="7"/>
  <c r="AK107" i="4" s="1"/>
  <c r="M106" i="7"/>
  <c r="AK106" i="4" s="1"/>
  <c r="M104" i="7"/>
  <c r="AK104" i="4" s="1"/>
  <c r="M103" i="7"/>
  <c r="AK103" i="4" s="1"/>
  <c r="M102" i="7"/>
  <c r="AK102" i="4" s="1"/>
  <c r="M100" i="7"/>
  <c r="AK100" i="4" s="1"/>
  <c r="M99" i="7"/>
  <c r="AK99" i="4" s="1"/>
  <c r="M98" i="7"/>
  <c r="AK98" i="4" s="1"/>
  <c r="M97" i="7"/>
  <c r="AK97" i="4" s="1"/>
  <c r="M96" i="7"/>
  <c r="AK96" i="4" s="1"/>
  <c r="M95" i="7"/>
  <c r="AK95" i="4" s="1"/>
  <c r="M94" i="7"/>
  <c r="AK94" i="4" s="1"/>
  <c r="M93" i="7"/>
  <c r="AK93" i="4" s="1"/>
  <c r="M92" i="7"/>
  <c r="AK92" i="4" s="1"/>
  <c r="M91" i="7"/>
  <c r="AK91" i="4" s="1"/>
  <c r="M90" i="7"/>
  <c r="AK90" i="4" s="1"/>
  <c r="M84" i="7"/>
  <c r="AK84" i="4" s="1"/>
  <c r="M83" i="7"/>
  <c r="AK83" i="4" s="1"/>
  <c r="M82" i="7"/>
  <c r="AK82" i="4" s="1"/>
  <c r="M81" i="7"/>
  <c r="AK81" i="4" s="1"/>
  <c r="M80" i="7"/>
  <c r="AK80" i="4" s="1"/>
  <c r="M78" i="7"/>
  <c r="AK78" i="4" s="1"/>
  <c r="M77" i="7"/>
  <c r="AK77" i="4" s="1"/>
  <c r="M76" i="7"/>
  <c r="AK76" i="4" s="1"/>
  <c r="M71" i="7"/>
  <c r="AK71" i="4" s="1"/>
  <c r="M69" i="7"/>
  <c r="AK69" i="4" s="1"/>
  <c r="M68" i="7"/>
  <c r="AK68" i="4" s="1"/>
  <c r="M66" i="7"/>
  <c r="AK66" i="4" s="1"/>
  <c r="M65" i="7"/>
  <c r="AK65" i="4" s="1"/>
  <c r="M64" i="7"/>
  <c r="AK64" i="4" s="1"/>
  <c r="M63" i="7"/>
  <c r="AK63" i="4" s="1"/>
  <c r="M62" i="7"/>
  <c r="AK62" i="4" s="1"/>
  <c r="M60" i="7"/>
  <c r="AK60" i="4" s="1"/>
  <c r="M59" i="7"/>
  <c r="AK59" i="4" s="1"/>
  <c r="M58" i="7"/>
  <c r="AK58" i="4" s="1"/>
  <c r="M57" i="7"/>
  <c r="AK57" i="4" s="1"/>
  <c r="M56" i="7"/>
  <c r="AK56" i="4" s="1"/>
  <c r="M55" i="7"/>
  <c r="AK55" i="4" s="1"/>
  <c r="M54" i="7"/>
  <c r="AK54" i="4" s="1"/>
  <c r="M53" i="7"/>
  <c r="AK53" i="4" s="1"/>
  <c r="M52" i="7"/>
  <c r="AK52" i="4" s="1"/>
  <c r="M51" i="7"/>
  <c r="AK51" i="4" s="1"/>
  <c r="M50" i="7"/>
  <c r="AK50" i="4" s="1"/>
  <c r="M48" i="7"/>
  <c r="AK48" i="4" s="1"/>
  <c r="M47" i="7"/>
  <c r="AK47" i="4" s="1"/>
  <c r="M46" i="7"/>
  <c r="AK46" i="4" s="1"/>
  <c r="M44" i="7"/>
  <c r="AK44" i="4" s="1"/>
  <c r="M43" i="7"/>
  <c r="AK43" i="4" s="1"/>
  <c r="M42" i="7"/>
  <c r="AK42" i="4" s="1"/>
  <c r="M41" i="7"/>
  <c r="AK41" i="4" s="1"/>
  <c r="M40" i="7"/>
  <c r="AK40" i="4" s="1"/>
  <c r="M39" i="7"/>
  <c r="AK39" i="4" s="1"/>
  <c r="M37" i="7"/>
  <c r="AK37" i="4" s="1"/>
  <c r="M36" i="7"/>
  <c r="AK36" i="4" s="1"/>
  <c r="M35" i="7"/>
  <c r="AK35" i="4" s="1"/>
  <c r="M33" i="7"/>
  <c r="AK33" i="4" s="1"/>
  <c r="M32" i="7"/>
  <c r="AK32" i="4" s="1"/>
  <c r="M29" i="7"/>
  <c r="AK29" i="4" s="1"/>
  <c r="M28" i="7"/>
  <c r="AK28" i="4" s="1"/>
  <c r="M27" i="7"/>
  <c r="AK27" i="4" s="1"/>
  <c r="M24" i="7"/>
  <c r="AK24" i="4" s="1"/>
  <c r="M23" i="7"/>
  <c r="AK23" i="4" s="1"/>
  <c r="M21" i="7"/>
  <c r="AK21" i="4" s="1"/>
  <c r="M20" i="7"/>
  <c r="AK20" i="4" s="1"/>
  <c r="M19" i="7"/>
  <c r="AK19" i="4" s="1"/>
  <c r="M18" i="7"/>
  <c r="AK18" i="4" s="1"/>
  <c r="M17" i="7"/>
  <c r="AK17" i="4" s="1"/>
  <c r="M16" i="7"/>
  <c r="AK16" i="4" s="1"/>
  <c r="M15" i="7"/>
  <c r="AK15" i="4" s="1"/>
  <c r="M14" i="7"/>
  <c r="AK14" i="4" s="1"/>
  <c r="M13" i="7"/>
  <c r="AK13" i="4" s="1"/>
  <c r="M12" i="7"/>
  <c r="AK12" i="4" s="1"/>
  <c r="M11" i="7"/>
  <c r="AK11" i="4" s="1"/>
  <c r="N150" i="58"/>
  <c r="N149" i="58"/>
  <c r="N148" i="58"/>
  <c r="N147" i="58"/>
  <c r="N145" i="58"/>
  <c r="N144" i="58"/>
  <c r="M143" i="58"/>
  <c r="L143" i="58"/>
  <c r="N141" i="58"/>
  <c r="N140" i="58"/>
  <c r="N139" i="58"/>
  <c r="N138" i="58"/>
  <c r="N137" i="58"/>
  <c r="N136" i="58"/>
  <c r="N135" i="58"/>
  <c r="M134" i="58"/>
  <c r="M128" i="58" s="1"/>
  <c r="L134" i="58"/>
  <c r="L128" i="58" s="1"/>
  <c r="N133" i="58"/>
  <c r="N132" i="58"/>
  <c r="N131" i="58"/>
  <c r="N130" i="58"/>
  <c r="N129" i="58"/>
  <c r="N127" i="58"/>
  <c r="N126" i="58"/>
  <c r="N125" i="58"/>
  <c r="N124" i="58"/>
  <c r="M123" i="58"/>
  <c r="L123" i="58"/>
  <c r="N122" i="58"/>
  <c r="N121" i="58"/>
  <c r="N120" i="58"/>
  <c r="N119" i="58"/>
  <c r="N118" i="58"/>
  <c r="N117" i="58"/>
  <c r="N116" i="58"/>
  <c r="N115" i="58"/>
  <c r="M114" i="58"/>
  <c r="L114" i="58"/>
  <c r="L111" i="58" s="1"/>
  <c r="N113" i="58"/>
  <c r="N112" i="58"/>
  <c r="M111" i="58"/>
  <c r="N110" i="58"/>
  <c r="N109" i="58"/>
  <c r="N108" i="58"/>
  <c r="N107" i="58"/>
  <c r="N106" i="58"/>
  <c r="M105" i="58"/>
  <c r="L105" i="58"/>
  <c r="N104" i="58"/>
  <c r="N103" i="58"/>
  <c r="N102" i="58"/>
  <c r="M101" i="58"/>
  <c r="L101" i="58"/>
  <c r="N100" i="58"/>
  <c r="N99" i="58"/>
  <c r="N98" i="58"/>
  <c r="N97" i="58"/>
  <c r="N96" i="58"/>
  <c r="N95" i="58"/>
  <c r="N94" i="58"/>
  <c r="N93" i="58"/>
  <c r="N92" i="58"/>
  <c r="N91" i="58"/>
  <c r="N90" i="58"/>
  <c r="M89" i="58"/>
  <c r="L89" i="58"/>
  <c r="N84" i="58"/>
  <c r="N83" i="58"/>
  <c r="N81" i="58"/>
  <c r="N80" i="58"/>
  <c r="M79" i="58"/>
  <c r="M75" i="58" s="1"/>
  <c r="M74" i="58" s="1"/>
  <c r="L79" i="58"/>
  <c r="N78" i="58"/>
  <c r="N77" i="58"/>
  <c r="N76" i="58"/>
  <c r="L75" i="58"/>
  <c r="L74" i="58" s="1"/>
  <c r="N72" i="58"/>
  <c r="N71" i="58"/>
  <c r="M70" i="58"/>
  <c r="L70" i="58"/>
  <c r="N69" i="58"/>
  <c r="N68" i="58"/>
  <c r="M67" i="58"/>
  <c r="L67" i="58"/>
  <c r="N66" i="58"/>
  <c r="N65" i="58"/>
  <c r="N64" i="58"/>
  <c r="N63" i="58"/>
  <c r="N62" i="58"/>
  <c r="M61" i="58"/>
  <c r="L61" i="58"/>
  <c r="N60" i="58"/>
  <c r="N59" i="58"/>
  <c r="N58" i="58"/>
  <c r="N57" i="58"/>
  <c r="N56" i="58"/>
  <c r="N55" i="58"/>
  <c r="N54" i="58"/>
  <c r="N53" i="58"/>
  <c r="N52" i="58"/>
  <c r="N51" i="58"/>
  <c r="N50" i="58"/>
  <c r="M49" i="58"/>
  <c r="M45" i="58" s="1"/>
  <c r="L49" i="58"/>
  <c r="N48" i="58"/>
  <c r="N47" i="58"/>
  <c r="N46" i="58"/>
  <c r="L45" i="58"/>
  <c r="N44" i="58"/>
  <c r="N43" i="58"/>
  <c r="N42" i="58"/>
  <c r="N41" i="58"/>
  <c r="N40" i="58"/>
  <c r="N39" i="58"/>
  <c r="M38" i="58"/>
  <c r="L38" i="58"/>
  <c r="N37" i="58"/>
  <c r="N36" i="58"/>
  <c r="N35" i="58"/>
  <c r="M34" i="58"/>
  <c r="L34" i="58"/>
  <c r="N33" i="58"/>
  <c r="N32" i="58"/>
  <c r="M31" i="58"/>
  <c r="M30" i="58" s="1"/>
  <c r="L31" i="58"/>
  <c r="L30" i="58" s="1"/>
  <c r="N29" i="58"/>
  <c r="N28" i="58"/>
  <c r="N27" i="58"/>
  <c r="M26" i="58"/>
  <c r="L26" i="58"/>
  <c r="N24" i="58"/>
  <c r="N23" i="58"/>
  <c r="M22" i="58"/>
  <c r="L22" i="58"/>
  <c r="N21" i="58"/>
  <c r="N20" i="58"/>
  <c r="N19" i="58"/>
  <c r="N18" i="58"/>
  <c r="N17" i="58"/>
  <c r="N16" i="58"/>
  <c r="N15" i="58"/>
  <c r="N14" i="58"/>
  <c r="N13" i="58"/>
  <c r="N12" i="58"/>
  <c r="N11" i="58"/>
  <c r="M10" i="58"/>
  <c r="M9" i="58" s="1"/>
  <c r="L10" i="58"/>
  <c r="N150" i="20"/>
  <c r="N149" i="20"/>
  <c r="N148" i="20"/>
  <c r="N147" i="20"/>
  <c r="N145" i="20"/>
  <c r="N144" i="20"/>
  <c r="M143" i="20"/>
  <c r="L143" i="20"/>
  <c r="N141" i="20"/>
  <c r="N140" i="20"/>
  <c r="N139" i="20"/>
  <c r="N138" i="20"/>
  <c r="N136" i="20"/>
  <c r="N135" i="20"/>
  <c r="M134" i="20"/>
  <c r="L134" i="20"/>
  <c r="N133" i="20"/>
  <c r="N132" i="20"/>
  <c r="N131" i="20"/>
  <c r="N130" i="20"/>
  <c r="N129" i="20"/>
  <c r="L128" i="20"/>
  <c r="N127" i="20"/>
  <c r="N126" i="20"/>
  <c r="N125" i="20"/>
  <c r="M123" i="20"/>
  <c r="N122" i="20"/>
  <c r="N121" i="20"/>
  <c r="N120" i="20"/>
  <c r="N119" i="20"/>
  <c r="N118" i="20"/>
  <c r="N117" i="20"/>
  <c r="N116" i="20"/>
  <c r="M114" i="20"/>
  <c r="M111" i="20" s="1"/>
  <c r="N113" i="20"/>
  <c r="N112" i="20"/>
  <c r="N110" i="20"/>
  <c r="N109" i="20"/>
  <c r="N108" i="20"/>
  <c r="N107" i="20"/>
  <c r="M105" i="20"/>
  <c r="N104" i="20"/>
  <c r="N103" i="20"/>
  <c r="N102" i="20"/>
  <c r="M101" i="20"/>
  <c r="L101" i="20"/>
  <c r="N100" i="20"/>
  <c r="N99" i="20"/>
  <c r="N98" i="20"/>
  <c r="N97" i="20"/>
  <c r="N96" i="20"/>
  <c r="N95" i="20"/>
  <c r="N94" i="20"/>
  <c r="L93" i="20"/>
  <c r="N92" i="20"/>
  <c r="N91" i="20"/>
  <c r="N90" i="20"/>
  <c r="M89" i="20"/>
  <c r="N84" i="20"/>
  <c r="N83" i="20"/>
  <c r="N81" i="20"/>
  <c r="N80" i="20"/>
  <c r="M79" i="20"/>
  <c r="M75" i="20" s="1"/>
  <c r="M74" i="20" s="1"/>
  <c r="L79" i="20"/>
  <c r="N78" i="20"/>
  <c r="N77" i="20"/>
  <c r="N76" i="20"/>
  <c r="N72" i="20"/>
  <c r="N71" i="20"/>
  <c r="M70" i="20"/>
  <c r="L70" i="20"/>
  <c r="N69" i="20"/>
  <c r="N68" i="20"/>
  <c r="M67" i="20"/>
  <c r="L67" i="20"/>
  <c r="N66" i="20"/>
  <c r="N65" i="20"/>
  <c r="N64" i="20"/>
  <c r="N63" i="20"/>
  <c r="N62" i="20"/>
  <c r="M61" i="20"/>
  <c r="L61" i="20"/>
  <c r="N60" i="20"/>
  <c r="N59" i="20"/>
  <c r="N58" i="20"/>
  <c r="N57" i="20"/>
  <c r="N56" i="20"/>
  <c r="N55" i="20"/>
  <c r="N54" i="20"/>
  <c r="N53" i="20"/>
  <c r="N52" i="20"/>
  <c r="N51" i="20"/>
  <c r="N50" i="20"/>
  <c r="M49" i="20"/>
  <c r="M45" i="20" s="1"/>
  <c r="L49" i="20"/>
  <c r="N48" i="20"/>
  <c r="N47" i="20"/>
  <c r="N46" i="20"/>
  <c r="N44" i="20"/>
  <c r="N43" i="20"/>
  <c r="N42" i="20"/>
  <c r="N41" i="20"/>
  <c r="N40" i="20"/>
  <c r="N39" i="20"/>
  <c r="M38" i="20"/>
  <c r="L38" i="20"/>
  <c r="N37" i="20"/>
  <c r="N36" i="20"/>
  <c r="N35" i="20"/>
  <c r="M34" i="20"/>
  <c r="L34" i="20"/>
  <c r="N33" i="20"/>
  <c r="N32" i="20"/>
  <c r="M31" i="20"/>
  <c r="L31" i="20"/>
  <c r="L30" i="20" s="1"/>
  <c r="N29" i="20"/>
  <c r="N28" i="20"/>
  <c r="N27" i="20"/>
  <c r="M26" i="20"/>
  <c r="L26" i="20"/>
  <c r="N24" i="20"/>
  <c r="N23" i="20"/>
  <c r="M22" i="20"/>
  <c r="L22" i="20"/>
  <c r="N21" i="20"/>
  <c r="N20" i="20"/>
  <c r="N19" i="20"/>
  <c r="N18" i="20"/>
  <c r="N17" i="20"/>
  <c r="N16" i="20"/>
  <c r="N15" i="20"/>
  <c r="N14" i="20"/>
  <c r="N13" i="20"/>
  <c r="N12" i="20"/>
  <c r="N11" i="20"/>
  <c r="M10" i="20"/>
  <c r="L10" i="20"/>
  <c r="L9" i="20" s="1"/>
  <c r="N150" i="21"/>
  <c r="N149" i="21"/>
  <c r="N148" i="21"/>
  <c r="N147" i="21"/>
  <c r="N145" i="21"/>
  <c r="N144" i="21"/>
  <c r="M143" i="21"/>
  <c r="L143" i="21"/>
  <c r="N141" i="21"/>
  <c r="N140" i="21"/>
  <c r="N139" i="21"/>
  <c r="N138" i="21"/>
  <c r="N137" i="21"/>
  <c r="N136" i="21"/>
  <c r="N135" i="21"/>
  <c r="M134" i="21"/>
  <c r="M128" i="21" s="1"/>
  <c r="L134" i="21"/>
  <c r="N133" i="21"/>
  <c r="N132" i="21"/>
  <c r="N131" i="21"/>
  <c r="N130" i="21"/>
  <c r="N129" i="21"/>
  <c r="L128" i="21"/>
  <c r="N127" i="21"/>
  <c r="N126" i="21"/>
  <c r="N125" i="21"/>
  <c r="M123" i="21"/>
  <c r="N122" i="21"/>
  <c r="N121" i="21"/>
  <c r="N120" i="21"/>
  <c r="N119" i="21"/>
  <c r="N118" i="21"/>
  <c r="N117" i="21"/>
  <c r="N116" i="21"/>
  <c r="N115" i="21"/>
  <c r="M114" i="21"/>
  <c r="L114" i="21"/>
  <c r="N113" i="21"/>
  <c r="N110" i="21"/>
  <c r="N109" i="21"/>
  <c r="N108" i="21"/>
  <c r="N107" i="21"/>
  <c r="N106" i="21"/>
  <c r="M105" i="21"/>
  <c r="L105" i="21"/>
  <c r="N104" i="21"/>
  <c r="N103" i="21"/>
  <c r="N102" i="21"/>
  <c r="M101" i="21"/>
  <c r="L101" i="21"/>
  <c r="N100" i="21"/>
  <c r="N99" i="21"/>
  <c r="N98" i="21"/>
  <c r="N97" i="21"/>
  <c r="N96" i="21"/>
  <c r="N95" i="21"/>
  <c r="N94" i="21"/>
  <c r="N93" i="21"/>
  <c r="N92" i="21"/>
  <c r="N91" i="21"/>
  <c r="N90" i="21"/>
  <c r="M89" i="21"/>
  <c r="L89" i="21"/>
  <c r="N84" i="21"/>
  <c r="N83" i="21"/>
  <c r="N81" i="21"/>
  <c r="N80" i="21"/>
  <c r="M79" i="21"/>
  <c r="M75" i="21" s="1"/>
  <c r="M74" i="21" s="1"/>
  <c r="L79" i="21"/>
  <c r="N78" i="21"/>
  <c r="N77" i="21"/>
  <c r="N76" i="21"/>
  <c r="L75" i="21"/>
  <c r="N72" i="21"/>
  <c r="N71" i="21"/>
  <c r="M70" i="21"/>
  <c r="L70" i="21"/>
  <c r="N69" i="21"/>
  <c r="N68" i="21"/>
  <c r="M67" i="21"/>
  <c r="L67" i="21"/>
  <c r="N66" i="21"/>
  <c r="N65" i="21"/>
  <c r="N64" i="21"/>
  <c r="N63" i="21"/>
  <c r="N62" i="21"/>
  <c r="M61" i="21"/>
  <c r="L61" i="21"/>
  <c r="N60" i="21"/>
  <c r="N59" i="21"/>
  <c r="N58" i="21"/>
  <c r="N57" i="21"/>
  <c r="N56" i="21"/>
  <c r="N55" i="21"/>
  <c r="N54" i="21"/>
  <c r="N53" i="21"/>
  <c r="N52" i="21"/>
  <c r="N51" i="21"/>
  <c r="N50" i="21"/>
  <c r="M49" i="21"/>
  <c r="M45" i="21" s="1"/>
  <c r="L49" i="21"/>
  <c r="N48" i="21"/>
  <c r="N47" i="21"/>
  <c r="N46" i="21"/>
  <c r="N44" i="21"/>
  <c r="N43" i="21"/>
  <c r="N42" i="21"/>
  <c r="N41" i="21"/>
  <c r="N40" i="21"/>
  <c r="N39" i="21"/>
  <c r="M38" i="21"/>
  <c r="L38" i="21"/>
  <c r="N37" i="21"/>
  <c r="N36" i="21"/>
  <c r="N35" i="21"/>
  <c r="M34" i="21"/>
  <c r="L34" i="21"/>
  <c r="N33" i="21"/>
  <c r="N32" i="21"/>
  <c r="M31" i="21"/>
  <c r="L31" i="21"/>
  <c r="L30" i="21" s="1"/>
  <c r="N29" i="21"/>
  <c r="N28" i="21"/>
  <c r="N27" i="21"/>
  <c r="M26" i="21"/>
  <c r="L26" i="21"/>
  <c r="N24" i="21"/>
  <c r="N23" i="21"/>
  <c r="M22" i="21"/>
  <c r="L22" i="21"/>
  <c r="N21" i="21"/>
  <c r="N20" i="21"/>
  <c r="N19" i="21"/>
  <c r="N18" i="21"/>
  <c r="N17" i="21"/>
  <c r="N16" i="21"/>
  <c r="N15" i="21"/>
  <c r="L14" i="21"/>
  <c r="N14" i="21" s="1"/>
  <c r="N13" i="21"/>
  <c r="N12" i="21"/>
  <c r="N11" i="21"/>
  <c r="M10" i="21"/>
  <c r="M9" i="21" s="1"/>
  <c r="N150" i="46"/>
  <c r="N149" i="46"/>
  <c r="N148" i="46"/>
  <c r="N147" i="46"/>
  <c r="N145" i="46"/>
  <c r="N144" i="46"/>
  <c r="M143" i="46"/>
  <c r="L143" i="46"/>
  <c r="N141" i="46"/>
  <c r="N140" i="46"/>
  <c r="N139" i="46"/>
  <c r="N138" i="46"/>
  <c r="N137" i="46"/>
  <c r="N136" i="46"/>
  <c r="N135" i="46"/>
  <c r="M134" i="46"/>
  <c r="M128" i="46" s="1"/>
  <c r="L134" i="46"/>
  <c r="N133" i="46"/>
  <c r="N132" i="46"/>
  <c r="N131" i="46"/>
  <c r="N130" i="46"/>
  <c r="N129" i="46"/>
  <c r="L128" i="46"/>
  <c r="N127" i="46"/>
  <c r="N126" i="46"/>
  <c r="N125" i="46"/>
  <c r="N124" i="46"/>
  <c r="M123" i="46"/>
  <c r="L123" i="46"/>
  <c r="N122" i="46"/>
  <c r="N121" i="46"/>
  <c r="N120" i="46"/>
  <c r="N119" i="46"/>
  <c r="N118" i="46"/>
  <c r="N117" i="46"/>
  <c r="N116" i="46"/>
  <c r="N115" i="46"/>
  <c r="M114" i="46"/>
  <c r="L114" i="46"/>
  <c r="L111" i="46" s="1"/>
  <c r="N113" i="46"/>
  <c r="N112" i="46"/>
  <c r="N110" i="46"/>
  <c r="N109" i="46"/>
  <c r="N108" i="46"/>
  <c r="N107" i="46"/>
  <c r="N106" i="46"/>
  <c r="M105" i="46"/>
  <c r="L105" i="46"/>
  <c r="N104" i="46"/>
  <c r="N103" i="46"/>
  <c r="N102" i="46"/>
  <c r="M101" i="46"/>
  <c r="L101" i="46"/>
  <c r="N100" i="46"/>
  <c r="N99" i="46"/>
  <c r="N98" i="46"/>
  <c r="N97" i="46"/>
  <c r="N96" i="46"/>
  <c r="N95" i="46"/>
  <c r="N94" i="46"/>
  <c r="N93" i="46"/>
  <c r="N92" i="46"/>
  <c r="N91" i="46"/>
  <c r="N90" i="46"/>
  <c r="M89" i="46"/>
  <c r="L89" i="46"/>
  <c r="N84" i="46"/>
  <c r="N83" i="46"/>
  <c r="N81" i="46"/>
  <c r="N80" i="46"/>
  <c r="M79" i="46"/>
  <c r="L79" i="46"/>
  <c r="N78" i="46"/>
  <c r="N77" i="46"/>
  <c r="N76" i="46"/>
  <c r="L75" i="46"/>
  <c r="L74" i="46" s="1"/>
  <c r="N72" i="46"/>
  <c r="N71" i="46"/>
  <c r="M70" i="46"/>
  <c r="L70" i="46"/>
  <c r="N69" i="46"/>
  <c r="N68" i="46"/>
  <c r="M67" i="46"/>
  <c r="L67" i="46"/>
  <c r="N66" i="46"/>
  <c r="N65" i="46"/>
  <c r="N64" i="46"/>
  <c r="N63" i="46"/>
  <c r="N62" i="46"/>
  <c r="M61" i="46"/>
  <c r="L61" i="46"/>
  <c r="N60" i="46"/>
  <c r="N59" i="46"/>
  <c r="N58" i="46"/>
  <c r="N57" i="46"/>
  <c r="N56" i="46"/>
  <c r="N55" i="46"/>
  <c r="N54" i="46"/>
  <c r="N53" i="46"/>
  <c r="N52" i="46"/>
  <c r="N51" i="46"/>
  <c r="N50" i="46"/>
  <c r="M49" i="46"/>
  <c r="M45" i="46" s="1"/>
  <c r="L49" i="46"/>
  <c r="N48" i="46"/>
  <c r="N47" i="46"/>
  <c r="N46" i="46"/>
  <c r="L45" i="46"/>
  <c r="N44" i="46"/>
  <c r="N43" i="46"/>
  <c r="N42" i="46"/>
  <c r="N41" i="46"/>
  <c r="N40" i="46"/>
  <c r="N39" i="46"/>
  <c r="M38" i="46"/>
  <c r="L38" i="46"/>
  <c r="N37" i="46"/>
  <c r="N36" i="46"/>
  <c r="N35" i="46"/>
  <c r="M34" i="46"/>
  <c r="L34" i="46"/>
  <c r="N33" i="46"/>
  <c r="N32" i="46"/>
  <c r="M31" i="46"/>
  <c r="L31" i="46"/>
  <c r="L30" i="46" s="1"/>
  <c r="N29" i="46"/>
  <c r="N28" i="46"/>
  <c r="N27" i="46"/>
  <c r="M26" i="46"/>
  <c r="L26" i="46"/>
  <c r="N24" i="46"/>
  <c r="N23" i="46"/>
  <c r="M22" i="46"/>
  <c r="L22" i="46"/>
  <c r="N21" i="46"/>
  <c r="N20" i="46"/>
  <c r="N19" i="46"/>
  <c r="N18" i="46"/>
  <c r="N17" i="46"/>
  <c r="N16" i="46"/>
  <c r="N15" i="46"/>
  <c r="N14" i="46"/>
  <c r="N13" i="46"/>
  <c r="N12" i="46"/>
  <c r="N11" i="46"/>
  <c r="M10" i="46"/>
  <c r="M9" i="46" s="1"/>
  <c r="L10" i="46"/>
  <c r="L9" i="46" s="1"/>
  <c r="N150" i="22"/>
  <c r="N149" i="22"/>
  <c r="N148" i="22"/>
  <c r="N147" i="22"/>
  <c r="N145" i="22"/>
  <c r="N144" i="22"/>
  <c r="M143" i="22"/>
  <c r="L143" i="22"/>
  <c r="N141" i="22"/>
  <c r="N140" i="22"/>
  <c r="N139" i="22"/>
  <c r="N138" i="22"/>
  <c r="N137" i="22"/>
  <c r="N136" i="22"/>
  <c r="N135" i="22"/>
  <c r="M134" i="22"/>
  <c r="M128" i="22" s="1"/>
  <c r="L134" i="22"/>
  <c r="L128" i="22" s="1"/>
  <c r="N133" i="22"/>
  <c r="N132" i="22"/>
  <c r="N131" i="22"/>
  <c r="N130" i="22"/>
  <c r="N129" i="22"/>
  <c r="N127" i="22"/>
  <c r="N126" i="22"/>
  <c r="N125" i="22"/>
  <c r="M123" i="22"/>
  <c r="N122" i="22"/>
  <c r="N121" i="22"/>
  <c r="N120" i="22"/>
  <c r="N119" i="22"/>
  <c r="N118" i="22"/>
  <c r="N117" i="22"/>
  <c r="N116" i="22"/>
  <c r="M114" i="22"/>
  <c r="L113" i="22"/>
  <c r="N113" i="22" s="1"/>
  <c r="N112" i="22"/>
  <c r="N109" i="22"/>
  <c r="N108" i="22"/>
  <c r="N107" i="22"/>
  <c r="M105" i="22"/>
  <c r="L104" i="22"/>
  <c r="N104" i="22" s="1"/>
  <c r="N103" i="22"/>
  <c r="N102" i="22"/>
  <c r="M101" i="22"/>
  <c r="N99" i="22"/>
  <c r="N98" i="22"/>
  <c r="N97" i="22"/>
  <c r="N95" i="22"/>
  <c r="N94" i="22"/>
  <c r="N93" i="22"/>
  <c r="N92" i="22"/>
  <c r="N91" i="22"/>
  <c r="N90" i="22"/>
  <c r="M89" i="22"/>
  <c r="M88" i="22" s="1"/>
  <c r="N84" i="22"/>
  <c r="N83" i="22"/>
  <c r="N81" i="22"/>
  <c r="N80" i="22"/>
  <c r="M79" i="22"/>
  <c r="M75" i="22" s="1"/>
  <c r="M74" i="22" s="1"/>
  <c r="L79" i="22"/>
  <c r="N78" i="22"/>
  <c r="N77" i="22"/>
  <c r="N76" i="22"/>
  <c r="L75" i="22"/>
  <c r="L74" i="22" s="1"/>
  <c r="N72" i="22"/>
  <c r="N71" i="22"/>
  <c r="M70" i="22"/>
  <c r="L70" i="22"/>
  <c r="N69" i="22"/>
  <c r="N68" i="22"/>
  <c r="M67" i="22"/>
  <c r="L67" i="22"/>
  <c r="N66" i="22"/>
  <c r="N65" i="22"/>
  <c r="N64" i="22"/>
  <c r="N63" i="22"/>
  <c r="N62" i="22"/>
  <c r="M61" i="22"/>
  <c r="L61" i="22"/>
  <c r="N60" i="22"/>
  <c r="N59" i="22"/>
  <c r="N58" i="22"/>
  <c r="N57" i="22"/>
  <c r="N56" i="22"/>
  <c r="N55" i="22"/>
  <c r="N54" i="22"/>
  <c r="N53" i="22"/>
  <c r="N52" i="22"/>
  <c r="N51" i="22"/>
  <c r="N50" i="22"/>
  <c r="M49" i="22"/>
  <c r="M45" i="22" s="1"/>
  <c r="L49" i="22"/>
  <c r="N48" i="22"/>
  <c r="N46" i="22"/>
  <c r="N44" i="22"/>
  <c r="N43" i="22"/>
  <c r="N42" i="22"/>
  <c r="N41" i="22"/>
  <c r="N40" i="22"/>
  <c r="N39" i="22"/>
  <c r="M38" i="22"/>
  <c r="L38" i="22"/>
  <c r="N37" i="22"/>
  <c r="N36" i="22"/>
  <c r="N35" i="22"/>
  <c r="M34" i="22"/>
  <c r="L34" i="22"/>
  <c r="N33" i="22"/>
  <c r="N32" i="22"/>
  <c r="M31" i="22"/>
  <c r="M30" i="22" s="1"/>
  <c r="L31" i="22"/>
  <c r="L30" i="22" s="1"/>
  <c r="N29" i="22"/>
  <c r="N28" i="22"/>
  <c r="N27" i="22"/>
  <c r="M26" i="22"/>
  <c r="L26" i="22"/>
  <c r="N24" i="22"/>
  <c r="N23" i="22"/>
  <c r="M22" i="22"/>
  <c r="L22" i="22"/>
  <c r="N21" i="22"/>
  <c r="N20" i="22"/>
  <c r="N19" i="22"/>
  <c r="N18" i="22"/>
  <c r="N17" i="22"/>
  <c r="N16" i="22"/>
  <c r="N15" i="22"/>
  <c r="L14" i="22"/>
  <c r="N14" i="22" s="1"/>
  <c r="N13" i="22"/>
  <c r="N12" i="22"/>
  <c r="N11" i="22"/>
  <c r="M10" i="22"/>
  <c r="M9" i="22" s="1"/>
  <c r="M150" i="6"/>
  <c r="Y150" i="4" s="1"/>
  <c r="L150" i="6"/>
  <c r="X150" i="4" s="1"/>
  <c r="M149" i="6"/>
  <c r="Y149" i="4" s="1"/>
  <c r="L149" i="6"/>
  <c r="X149" i="4" s="1"/>
  <c r="M148" i="6"/>
  <c r="Y148" i="4" s="1"/>
  <c r="L148" i="6"/>
  <c r="X148" i="4" s="1"/>
  <c r="M147" i="6"/>
  <c r="Y147" i="4" s="1"/>
  <c r="L147" i="6"/>
  <c r="X147" i="4" s="1"/>
  <c r="N146" i="6"/>
  <c r="M146" i="6"/>
  <c r="Y146" i="4" s="1"/>
  <c r="L146" i="6"/>
  <c r="X146" i="4" s="1"/>
  <c r="M145" i="6"/>
  <c r="Y145" i="4" s="1"/>
  <c r="L145" i="6"/>
  <c r="X145" i="4" s="1"/>
  <c r="M144" i="6"/>
  <c r="Y144" i="4" s="1"/>
  <c r="L144" i="6"/>
  <c r="X144" i="4" s="1"/>
  <c r="M141" i="6"/>
  <c r="Y141" i="4" s="1"/>
  <c r="L141" i="6"/>
  <c r="X141" i="4" s="1"/>
  <c r="M140" i="6"/>
  <c r="Y140" i="4" s="1"/>
  <c r="L140" i="6"/>
  <c r="X140" i="4" s="1"/>
  <c r="M139" i="6"/>
  <c r="Y139" i="4" s="1"/>
  <c r="L139" i="6"/>
  <c r="X139" i="4" s="1"/>
  <c r="M138" i="6"/>
  <c r="Y138" i="4" s="1"/>
  <c r="L138" i="6"/>
  <c r="X138" i="4" s="1"/>
  <c r="M137" i="6"/>
  <c r="Y137" i="4" s="1"/>
  <c r="M136" i="6"/>
  <c r="Y136" i="4" s="1"/>
  <c r="L136" i="6"/>
  <c r="X136" i="4" s="1"/>
  <c r="M135" i="6"/>
  <c r="Y135" i="4" s="1"/>
  <c r="L135" i="6"/>
  <c r="X135" i="4" s="1"/>
  <c r="M133" i="6"/>
  <c r="Y133" i="4" s="1"/>
  <c r="L133" i="6"/>
  <c r="X133" i="4" s="1"/>
  <c r="M132" i="6"/>
  <c r="Y132" i="4" s="1"/>
  <c r="L132" i="6"/>
  <c r="X132" i="4" s="1"/>
  <c r="M131" i="6"/>
  <c r="Y131" i="4" s="1"/>
  <c r="L131" i="6"/>
  <c r="X131" i="4" s="1"/>
  <c r="M130" i="6"/>
  <c r="Y130" i="4" s="1"/>
  <c r="L130" i="6"/>
  <c r="X130" i="4" s="1"/>
  <c r="M129" i="6"/>
  <c r="Y129" i="4" s="1"/>
  <c r="L129" i="6"/>
  <c r="X129" i="4" s="1"/>
  <c r="M127" i="6"/>
  <c r="Y127" i="4" s="1"/>
  <c r="L127" i="6"/>
  <c r="X127" i="4" s="1"/>
  <c r="M126" i="6"/>
  <c r="Y126" i="4" s="1"/>
  <c r="M125" i="6"/>
  <c r="Y125" i="4" s="1"/>
  <c r="L125" i="6"/>
  <c r="X125" i="4" s="1"/>
  <c r="M124" i="6"/>
  <c r="Y124" i="4" s="1"/>
  <c r="M122" i="6"/>
  <c r="Y122" i="4" s="1"/>
  <c r="L122" i="6"/>
  <c r="X122" i="4" s="1"/>
  <c r="M121" i="6"/>
  <c r="Y121" i="4" s="1"/>
  <c r="L121" i="6"/>
  <c r="X121" i="4" s="1"/>
  <c r="M120" i="6"/>
  <c r="Y120" i="4" s="1"/>
  <c r="L120" i="6"/>
  <c r="X120" i="4" s="1"/>
  <c r="M119" i="6"/>
  <c r="Y119" i="4" s="1"/>
  <c r="L119" i="6"/>
  <c r="X119" i="4" s="1"/>
  <c r="M118" i="6"/>
  <c r="Y118" i="4" s="1"/>
  <c r="M117" i="6"/>
  <c r="Y117" i="4" s="1"/>
  <c r="L117" i="6"/>
  <c r="X117" i="4" s="1"/>
  <c r="M116" i="6"/>
  <c r="Y116" i="4" s="1"/>
  <c r="L116" i="6"/>
  <c r="X116" i="4" s="1"/>
  <c r="M115" i="6"/>
  <c r="Y115" i="4" s="1"/>
  <c r="M113" i="6"/>
  <c r="Y113" i="4" s="1"/>
  <c r="M112" i="6"/>
  <c r="Y112" i="4" s="1"/>
  <c r="L112" i="6"/>
  <c r="X112" i="4" s="1"/>
  <c r="M110" i="6"/>
  <c r="Y110" i="4" s="1"/>
  <c r="M109" i="6"/>
  <c r="Y109" i="4" s="1"/>
  <c r="L109" i="6"/>
  <c r="X109" i="4" s="1"/>
  <c r="M108" i="6"/>
  <c r="Y108" i="4" s="1"/>
  <c r="M107" i="6"/>
  <c r="Y107" i="4" s="1"/>
  <c r="L107" i="6"/>
  <c r="X107" i="4" s="1"/>
  <c r="M106" i="6"/>
  <c r="Y106" i="4" s="1"/>
  <c r="M104" i="6"/>
  <c r="Y104" i="4" s="1"/>
  <c r="M103" i="6"/>
  <c r="Y103" i="4" s="1"/>
  <c r="L103" i="6"/>
  <c r="X103" i="4" s="1"/>
  <c r="M102" i="6"/>
  <c r="Y102" i="4" s="1"/>
  <c r="L102" i="6"/>
  <c r="X102" i="4" s="1"/>
  <c r="M100" i="6"/>
  <c r="Y100" i="4" s="1"/>
  <c r="M99" i="6"/>
  <c r="Y99" i="4" s="1"/>
  <c r="L99" i="6"/>
  <c r="X99" i="4" s="1"/>
  <c r="M98" i="6"/>
  <c r="Y98" i="4" s="1"/>
  <c r="L98" i="6"/>
  <c r="X98" i="4" s="1"/>
  <c r="M97" i="6"/>
  <c r="Y97" i="4" s="1"/>
  <c r="L97" i="6"/>
  <c r="X97" i="4" s="1"/>
  <c r="M96" i="6"/>
  <c r="Y96" i="4" s="1"/>
  <c r="M95" i="6"/>
  <c r="Y95" i="4" s="1"/>
  <c r="L95" i="6"/>
  <c r="X95" i="4" s="1"/>
  <c r="M94" i="6"/>
  <c r="Y94" i="4" s="1"/>
  <c r="L94" i="6"/>
  <c r="X94" i="4" s="1"/>
  <c r="M93" i="6"/>
  <c r="Y93" i="4" s="1"/>
  <c r="M92" i="6"/>
  <c r="Y92" i="4" s="1"/>
  <c r="L92" i="6"/>
  <c r="X92" i="4" s="1"/>
  <c r="M91" i="6"/>
  <c r="Y91" i="4" s="1"/>
  <c r="M90" i="6"/>
  <c r="Y90" i="4" s="1"/>
  <c r="M84" i="6"/>
  <c r="Y84" i="4" s="1"/>
  <c r="L84" i="6"/>
  <c r="X84" i="4" s="1"/>
  <c r="M83" i="6"/>
  <c r="Y83" i="4" s="1"/>
  <c r="L83" i="6"/>
  <c r="X83" i="4" s="1"/>
  <c r="N82" i="6"/>
  <c r="M82" i="6"/>
  <c r="Y82" i="4" s="1"/>
  <c r="L82" i="6"/>
  <c r="X82" i="4" s="1"/>
  <c r="M81" i="6"/>
  <c r="Y81" i="4" s="1"/>
  <c r="L81" i="6"/>
  <c r="X81" i="4" s="1"/>
  <c r="M80" i="6"/>
  <c r="Y80" i="4" s="1"/>
  <c r="L80" i="6"/>
  <c r="X80" i="4" s="1"/>
  <c r="M78" i="6"/>
  <c r="Y78" i="4" s="1"/>
  <c r="L78" i="6"/>
  <c r="X78" i="4" s="1"/>
  <c r="M77" i="6"/>
  <c r="Y77" i="4" s="1"/>
  <c r="L77" i="6"/>
  <c r="X77" i="4" s="1"/>
  <c r="M76" i="6"/>
  <c r="Y76" i="4" s="1"/>
  <c r="L76" i="6"/>
  <c r="X76" i="4" s="1"/>
  <c r="N72" i="6"/>
  <c r="M71" i="6"/>
  <c r="Y71" i="4" s="1"/>
  <c r="L71" i="6"/>
  <c r="X71" i="4" s="1"/>
  <c r="M69" i="6"/>
  <c r="Y69" i="4" s="1"/>
  <c r="L69" i="6"/>
  <c r="X69" i="4" s="1"/>
  <c r="M68" i="6"/>
  <c r="Y68" i="4" s="1"/>
  <c r="L68" i="6"/>
  <c r="X68" i="4" s="1"/>
  <c r="M66" i="6"/>
  <c r="Y66" i="4" s="1"/>
  <c r="L66" i="6"/>
  <c r="X66" i="4" s="1"/>
  <c r="M65" i="6"/>
  <c r="Y65" i="4" s="1"/>
  <c r="L65" i="6"/>
  <c r="X65" i="4" s="1"/>
  <c r="M64" i="6"/>
  <c r="Y64" i="4" s="1"/>
  <c r="L64" i="6"/>
  <c r="X64" i="4" s="1"/>
  <c r="M63" i="6"/>
  <c r="Y63" i="4" s="1"/>
  <c r="L63" i="6"/>
  <c r="X63" i="4" s="1"/>
  <c r="M62" i="6"/>
  <c r="Y62" i="4" s="1"/>
  <c r="L62" i="6"/>
  <c r="X62" i="4" s="1"/>
  <c r="M60" i="6"/>
  <c r="Y60" i="4" s="1"/>
  <c r="L60" i="6"/>
  <c r="X60" i="4" s="1"/>
  <c r="M59" i="6"/>
  <c r="Y59" i="4" s="1"/>
  <c r="L59" i="6"/>
  <c r="X59" i="4" s="1"/>
  <c r="M58" i="6"/>
  <c r="Y58" i="4" s="1"/>
  <c r="L58" i="6"/>
  <c r="X58" i="4" s="1"/>
  <c r="M57" i="6"/>
  <c r="Y57" i="4" s="1"/>
  <c r="L57" i="6"/>
  <c r="X57" i="4" s="1"/>
  <c r="M56" i="6"/>
  <c r="Y56" i="4" s="1"/>
  <c r="L56" i="6"/>
  <c r="X56" i="4" s="1"/>
  <c r="M55" i="6"/>
  <c r="Y55" i="4" s="1"/>
  <c r="L55" i="6"/>
  <c r="X55" i="4" s="1"/>
  <c r="M54" i="6"/>
  <c r="Y54" i="4" s="1"/>
  <c r="L54" i="6"/>
  <c r="X54" i="4" s="1"/>
  <c r="M53" i="6"/>
  <c r="Y53" i="4" s="1"/>
  <c r="L53" i="6"/>
  <c r="X53" i="4" s="1"/>
  <c r="M52" i="6"/>
  <c r="Y52" i="4" s="1"/>
  <c r="L52" i="6"/>
  <c r="X52" i="4" s="1"/>
  <c r="M51" i="6"/>
  <c r="Y51" i="4" s="1"/>
  <c r="L51" i="6"/>
  <c r="X51" i="4" s="1"/>
  <c r="M50" i="6"/>
  <c r="Y50" i="4" s="1"/>
  <c r="L50" i="6"/>
  <c r="X50" i="4" s="1"/>
  <c r="M48" i="6"/>
  <c r="Y48" i="4" s="1"/>
  <c r="L48" i="6"/>
  <c r="X48" i="4" s="1"/>
  <c r="M47" i="6"/>
  <c r="Y47" i="4" s="1"/>
  <c r="M46" i="6"/>
  <c r="Y46" i="4" s="1"/>
  <c r="M44" i="6"/>
  <c r="Y44" i="4" s="1"/>
  <c r="L44" i="6"/>
  <c r="X44" i="4" s="1"/>
  <c r="M43" i="6"/>
  <c r="Y43" i="4" s="1"/>
  <c r="L43" i="6"/>
  <c r="X43" i="4" s="1"/>
  <c r="M42" i="6"/>
  <c r="Y42" i="4" s="1"/>
  <c r="L42" i="6"/>
  <c r="X42" i="4" s="1"/>
  <c r="M41" i="6"/>
  <c r="Y41" i="4" s="1"/>
  <c r="L41" i="6"/>
  <c r="X41" i="4" s="1"/>
  <c r="M40" i="6"/>
  <c r="Y40" i="4" s="1"/>
  <c r="L40" i="6"/>
  <c r="X40" i="4" s="1"/>
  <c r="M39" i="6"/>
  <c r="Y39" i="4" s="1"/>
  <c r="L39" i="6"/>
  <c r="X39" i="4" s="1"/>
  <c r="M37" i="6"/>
  <c r="Y37" i="4" s="1"/>
  <c r="L37" i="6"/>
  <c r="X37" i="4" s="1"/>
  <c r="M36" i="6"/>
  <c r="Y36" i="4" s="1"/>
  <c r="L36" i="6"/>
  <c r="X36" i="4" s="1"/>
  <c r="M35" i="6"/>
  <c r="Y35" i="4" s="1"/>
  <c r="L35" i="6"/>
  <c r="X35" i="4" s="1"/>
  <c r="M33" i="6"/>
  <c r="Y33" i="4" s="1"/>
  <c r="L33" i="6"/>
  <c r="X33" i="4" s="1"/>
  <c r="M32" i="6"/>
  <c r="Y32" i="4" s="1"/>
  <c r="L32" i="6"/>
  <c r="X32" i="4" s="1"/>
  <c r="M29" i="6"/>
  <c r="Y29" i="4" s="1"/>
  <c r="L29" i="6"/>
  <c r="X29" i="4" s="1"/>
  <c r="M28" i="6"/>
  <c r="Y28" i="4" s="1"/>
  <c r="L28" i="6"/>
  <c r="X28" i="4" s="1"/>
  <c r="M27" i="6"/>
  <c r="Y27" i="4" s="1"/>
  <c r="L27" i="6"/>
  <c r="X27" i="4" s="1"/>
  <c r="M24" i="6"/>
  <c r="Y24" i="4" s="1"/>
  <c r="L24" i="6"/>
  <c r="X24" i="4" s="1"/>
  <c r="M23" i="6"/>
  <c r="Y23" i="4" s="1"/>
  <c r="L23" i="6"/>
  <c r="X23" i="4" s="1"/>
  <c r="M21" i="6"/>
  <c r="Y21" i="4" s="1"/>
  <c r="L21" i="6"/>
  <c r="X21" i="4" s="1"/>
  <c r="M20" i="6"/>
  <c r="Y20" i="4" s="1"/>
  <c r="L20" i="6"/>
  <c r="X20" i="4" s="1"/>
  <c r="M19" i="6"/>
  <c r="Y19" i="4" s="1"/>
  <c r="L19" i="6"/>
  <c r="X19" i="4" s="1"/>
  <c r="M18" i="6"/>
  <c r="Y18" i="4" s="1"/>
  <c r="L18" i="6"/>
  <c r="X18" i="4" s="1"/>
  <c r="M17" i="6"/>
  <c r="Y17" i="4" s="1"/>
  <c r="L17" i="6"/>
  <c r="X17" i="4" s="1"/>
  <c r="M16" i="6"/>
  <c r="Y16" i="4" s="1"/>
  <c r="L16" i="6"/>
  <c r="X16" i="4" s="1"/>
  <c r="M15" i="6"/>
  <c r="Y15" i="4" s="1"/>
  <c r="L15" i="6"/>
  <c r="X15" i="4" s="1"/>
  <c r="M14" i="6"/>
  <c r="Y14" i="4" s="1"/>
  <c r="M13" i="6"/>
  <c r="Y13" i="4" s="1"/>
  <c r="L13" i="6"/>
  <c r="X13" i="4" s="1"/>
  <c r="M12" i="6"/>
  <c r="Y12" i="4" s="1"/>
  <c r="L12" i="6"/>
  <c r="X12" i="4" s="1"/>
  <c r="M11" i="6"/>
  <c r="Y11" i="4" s="1"/>
  <c r="L11" i="6"/>
  <c r="X11" i="4" s="1"/>
  <c r="N150" i="77"/>
  <c r="N149" i="77"/>
  <c r="N148" i="77"/>
  <c r="N147" i="77"/>
  <c r="N145" i="77"/>
  <c r="N144" i="77"/>
  <c r="M143" i="77"/>
  <c r="L143" i="77"/>
  <c r="N141" i="77"/>
  <c r="N140" i="77"/>
  <c r="N139" i="77"/>
  <c r="N138" i="77"/>
  <c r="N137" i="77"/>
  <c r="N136" i="77"/>
  <c r="N135" i="77"/>
  <c r="M134" i="77"/>
  <c r="M128" i="77" s="1"/>
  <c r="L134" i="77"/>
  <c r="N133" i="77"/>
  <c r="N132" i="77"/>
  <c r="N131" i="77"/>
  <c r="N130" i="77"/>
  <c r="N129" i="77"/>
  <c r="N127" i="77"/>
  <c r="N126" i="77"/>
  <c r="N125" i="77"/>
  <c r="N124" i="77"/>
  <c r="M123" i="77"/>
  <c r="L123" i="77"/>
  <c r="N122" i="77"/>
  <c r="N121" i="77"/>
  <c r="N120" i="77"/>
  <c r="N119" i="77"/>
  <c r="N118" i="77"/>
  <c r="N117" i="77"/>
  <c r="N116" i="77"/>
  <c r="N115" i="77"/>
  <c r="M114" i="77"/>
  <c r="L114" i="77"/>
  <c r="N113" i="77"/>
  <c r="L112" i="77"/>
  <c r="N112" i="77" s="1"/>
  <c r="N110" i="77"/>
  <c r="N109" i="77"/>
  <c r="N108" i="77"/>
  <c r="N107" i="77"/>
  <c r="L106" i="77"/>
  <c r="M105" i="77"/>
  <c r="L104" i="77"/>
  <c r="N104" i="77" s="1"/>
  <c r="N103" i="77"/>
  <c r="N102" i="77"/>
  <c r="M101" i="77"/>
  <c r="N100" i="77"/>
  <c r="N99" i="77"/>
  <c r="N98" i="77"/>
  <c r="N97" i="77"/>
  <c r="N96" i="77"/>
  <c r="N95" i="77"/>
  <c r="N94" i="77"/>
  <c r="N93" i="77"/>
  <c r="N92" i="77"/>
  <c r="N90" i="77"/>
  <c r="M89" i="77"/>
  <c r="N84" i="77"/>
  <c r="N83" i="77"/>
  <c r="N81" i="77"/>
  <c r="N80" i="77"/>
  <c r="M79" i="77"/>
  <c r="L79" i="77"/>
  <c r="N78" i="77"/>
  <c r="N77" i="77"/>
  <c r="N76" i="77"/>
  <c r="L75" i="77"/>
  <c r="L74" i="77" s="1"/>
  <c r="N72" i="77"/>
  <c r="N71" i="77"/>
  <c r="M70" i="77"/>
  <c r="L70" i="77"/>
  <c r="N69" i="77"/>
  <c r="N68" i="77"/>
  <c r="M67" i="77"/>
  <c r="L67" i="77"/>
  <c r="N66" i="77"/>
  <c r="N65" i="77"/>
  <c r="N64" i="77"/>
  <c r="N63" i="77"/>
  <c r="N62" i="77"/>
  <c r="M61" i="77"/>
  <c r="L61" i="77"/>
  <c r="N60" i="77"/>
  <c r="N59" i="77"/>
  <c r="N58" i="77"/>
  <c r="N57" i="77"/>
  <c r="N56" i="77"/>
  <c r="N55" i="77"/>
  <c r="N54" i="77"/>
  <c r="N53" i="77"/>
  <c r="N52" i="77"/>
  <c r="N51" i="77"/>
  <c r="N50" i="77"/>
  <c r="M49" i="77"/>
  <c r="L49" i="77"/>
  <c r="N48" i="77"/>
  <c r="N47" i="77"/>
  <c r="N46" i="77"/>
  <c r="L45" i="77"/>
  <c r="N44" i="77"/>
  <c r="N43" i="77"/>
  <c r="N42" i="77"/>
  <c r="N41" i="77"/>
  <c r="N40" i="77"/>
  <c r="N39" i="77"/>
  <c r="M38" i="77"/>
  <c r="L38" i="77"/>
  <c r="N37" i="77"/>
  <c r="N36" i="77"/>
  <c r="N35" i="77"/>
  <c r="M34" i="77"/>
  <c r="L34" i="77"/>
  <c r="N33" i="77"/>
  <c r="N32" i="77"/>
  <c r="M31" i="77"/>
  <c r="L31" i="77"/>
  <c r="L30" i="77" s="1"/>
  <c r="N29" i="77"/>
  <c r="N28" i="77"/>
  <c r="N27" i="77"/>
  <c r="M26" i="77"/>
  <c r="L26" i="77"/>
  <c r="N24" i="77"/>
  <c r="N23" i="77"/>
  <c r="M22" i="77"/>
  <c r="L22" i="77"/>
  <c r="N21" i="77"/>
  <c r="N20" i="77"/>
  <c r="N19" i="77"/>
  <c r="N18" i="77"/>
  <c r="N17" i="77"/>
  <c r="N16" i="77"/>
  <c r="N15" i="77"/>
  <c r="N14" i="77"/>
  <c r="N13" i="77"/>
  <c r="N12" i="77"/>
  <c r="N11" i="77"/>
  <c r="M10" i="77"/>
  <c r="L10" i="77"/>
  <c r="M9" i="77"/>
  <c r="N150" i="57"/>
  <c r="N149" i="57"/>
  <c r="N148" i="57"/>
  <c r="N147" i="57"/>
  <c r="N145" i="57"/>
  <c r="N144" i="57"/>
  <c r="M143" i="57"/>
  <c r="L143" i="57"/>
  <c r="N141" i="57"/>
  <c r="N140" i="57"/>
  <c r="N139" i="57"/>
  <c r="N138" i="57"/>
  <c r="N137" i="57"/>
  <c r="N136" i="57"/>
  <c r="N135" i="57"/>
  <c r="M134" i="57"/>
  <c r="M128" i="57" s="1"/>
  <c r="L134" i="57"/>
  <c r="N133" i="57"/>
  <c r="N132" i="57"/>
  <c r="N131" i="57"/>
  <c r="N130" i="57"/>
  <c r="N129" i="57"/>
  <c r="L128" i="57"/>
  <c r="N127" i="57"/>
  <c r="N126" i="57"/>
  <c r="N125" i="57"/>
  <c r="N124" i="57"/>
  <c r="M123" i="57"/>
  <c r="L123" i="57"/>
  <c r="N122" i="57"/>
  <c r="N121" i="57"/>
  <c r="N120" i="57"/>
  <c r="N119" i="57"/>
  <c r="N118" i="57"/>
  <c r="N117" i="57"/>
  <c r="N116" i="57"/>
  <c r="N115" i="57"/>
  <c r="M114" i="57"/>
  <c r="L114" i="57"/>
  <c r="L111" i="57" s="1"/>
  <c r="N113" i="57"/>
  <c r="N112" i="57"/>
  <c r="M111" i="57"/>
  <c r="N110" i="57"/>
  <c r="N109" i="57"/>
  <c r="N108" i="57"/>
  <c r="N107" i="57"/>
  <c r="N106" i="57"/>
  <c r="M105" i="57"/>
  <c r="L105" i="57"/>
  <c r="N104" i="57"/>
  <c r="N103" i="57"/>
  <c r="N102" i="57"/>
  <c r="M101" i="57"/>
  <c r="L101" i="57"/>
  <c r="N100" i="57"/>
  <c r="N99" i="57"/>
  <c r="N98" i="57"/>
  <c r="N97" i="57"/>
  <c r="N96" i="57"/>
  <c r="N95" i="57"/>
  <c r="N94" i="57"/>
  <c r="N93" i="57"/>
  <c r="N92" i="57"/>
  <c r="N90" i="57"/>
  <c r="M89" i="57"/>
  <c r="M88" i="57" s="1"/>
  <c r="L89" i="57"/>
  <c r="L88" i="57" s="1"/>
  <c r="N84" i="57"/>
  <c r="L83" i="57"/>
  <c r="L83" i="19" s="1"/>
  <c r="L83" i="5" s="1"/>
  <c r="L83" i="4" s="1"/>
  <c r="N81" i="57"/>
  <c r="N80" i="57"/>
  <c r="M79" i="57"/>
  <c r="M75" i="57" s="1"/>
  <c r="M74" i="57" s="1"/>
  <c r="L79" i="57"/>
  <c r="N78" i="57"/>
  <c r="N77" i="57"/>
  <c r="N76" i="57"/>
  <c r="L75" i="57"/>
  <c r="L74" i="57" s="1"/>
  <c r="N72" i="57"/>
  <c r="N71" i="57"/>
  <c r="M70" i="57"/>
  <c r="L70" i="57"/>
  <c r="N69" i="57"/>
  <c r="N68" i="57"/>
  <c r="M67" i="57"/>
  <c r="L67" i="57"/>
  <c r="N66" i="57"/>
  <c r="N65" i="57"/>
  <c r="N64" i="57"/>
  <c r="N63" i="57"/>
  <c r="N62" i="57"/>
  <c r="M61" i="57"/>
  <c r="L61" i="57"/>
  <c r="N60" i="57"/>
  <c r="N59" i="57"/>
  <c r="N58" i="57"/>
  <c r="N57" i="57"/>
  <c r="N56" i="57"/>
  <c r="N55" i="57"/>
  <c r="N54" i="57"/>
  <c r="N53" i="57"/>
  <c r="N52" i="57"/>
  <c r="N51" i="57"/>
  <c r="N50" i="57"/>
  <c r="M49" i="57"/>
  <c r="M45" i="57" s="1"/>
  <c r="L49" i="57"/>
  <c r="N48" i="57"/>
  <c r="N47" i="57"/>
  <c r="N46" i="57"/>
  <c r="L45" i="57"/>
  <c r="N44" i="57"/>
  <c r="N43" i="57"/>
  <c r="N42" i="57"/>
  <c r="N41" i="57"/>
  <c r="N40" i="57"/>
  <c r="N39" i="57"/>
  <c r="M38" i="57"/>
  <c r="L38" i="57"/>
  <c r="N37" i="57"/>
  <c r="N36" i="57"/>
  <c r="N35" i="57"/>
  <c r="M34" i="57"/>
  <c r="L34" i="57"/>
  <c r="N33" i="57"/>
  <c r="N32" i="57"/>
  <c r="M31" i="57"/>
  <c r="L31" i="57"/>
  <c r="L30" i="57" s="1"/>
  <c r="N29" i="57"/>
  <c r="N28" i="57"/>
  <c r="N27" i="57"/>
  <c r="M26" i="57"/>
  <c r="L26" i="57"/>
  <c r="N24" i="57"/>
  <c r="N23" i="57"/>
  <c r="M22" i="57"/>
  <c r="L22" i="57"/>
  <c r="N21" i="57"/>
  <c r="N20" i="57"/>
  <c r="N19" i="57"/>
  <c r="N18" i="57"/>
  <c r="N17" i="57"/>
  <c r="N16" i="57"/>
  <c r="N15" i="57"/>
  <c r="N14" i="57"/>
  <c r="N13" i="57"/>
  <c r="N12" i="57"/>
  <c r="N11" i="57"/>
  <c r="M10" i="57"/>
  <c r="M9" i="57" s="1"/>
  <c r="L10" i="57"/>
  <c r="L9" i="57" s="1"/>
  <c r="N150" i="18"/>
  <c r="N149" i="18"/>
  <c r="N148" i="18"/>
  <c r="N147" i="18"/>
  <c r="N145" i="18"/>
  <c r="N144" i="18"/>
  <c r="M143" i="18"/>
  <c r="L143" i="18"/>
  <c r="N141" i="18"/>
  <c r="N140" i="18"/>
  <c r="N139" i="18"/>
  <c r="N138" i="18"/>
  <c r="N137" i="18"/>
  <c r="N136" i="18"/>
  <c r="N135" i="18"/>
  <c r="M134" i="18"/>
  <c r="M128" i="18" s="1"/>
  <c r="L134" i="18"/>
  <c r="N133" i="18"/>
  <c r="N132" i="18"/>
  <c r="N131" i="18"/>
  <c r="N130" i="18"/>
  <c r="N129" i="18"/>
  <c r="L128" i="18"/>
  <c r="N127" i="18"/>
  <c r="N126" i="18"/>
  <c r="N125" i="18"/>
  <c r="N124" i="18"/>
  <c r="M123" i="18"/>
  <c r="L123" i="18"/>
  <c r="N122" i="18"/>
  <c r="N121" i="18"/>
  <c r="N120" i="18"/>
  <c r="N119" i="18"/>
  <c r="N118" i="18"/>
  <c r="N117" i="18"/>
  <c r="N116" i="18"/>
  <c r="N115" i="18"/>
  <c r="M114" i="18"/>
  <c r="L114" i="18"/>
  <c r="L111" i="18" s="1"/>
  <c r="N113" i="18"/>
  <c r="N112" i="18"/>
  <c r="L110" i="18"/>
  <c r="N110" i="18" s="1"/>
  <c r="N109" i="18"/>
  <c r="N108" i="18"/>
  <c r="N107" i="18"/>
  <c r="N106" i="18"/>
  <c r="M105" i="18"/>
  <c r="L105" i="18"/>
  <c r="N104" i="18"/>
  <c r="N103" i="18"/>
  <c r="N102" i="18"/>
  <c r="M101" i="18"/>
  <c r="L101" i="18"/>
  <c r="N100" i="18"/>
  <c r="N99" i="18"/>
  <c r="N98" i="18"/>
  <c r="N97" i="18"/>
  <c r="N96" i="18"/>
  <c r="N95" i="18"/>
  <c r="N94" i="18"/>
  <c r="N93" i="18"/>
  <c r="N92" i="18"/>
  <c r="N91" i="18"/>
  <c r="N90" i="18"/>
  <c r="M89" i="18"/>
  <c r="N84" i="18"/>
  <c r="N83" i="18"/>
  <c r="N81" i="18"/>
  <c r="N80" i="18"/>
  <c r="M79" i="18"/>
  <c r="M75" i="18" s="1"/>
  <c r="M74" i="18" s="1"/>
  <c r="L79" i="18"/>
  <c r="N78" i="18"/>
  <c r="N77" i="18"/>
  <c r="N76" i="18"/>
  <c r="N72" i="18"/>
  <c r="N71" i="18"/>
  <c r="M70" i="18"/>
  <c r="L70" i="18"/>
  <c r="N69" i="18"/>
  <c r="N68" i="18"/>
  <c r="M67" i="18"/>
  <c r="L67" i="18"/>
  <c r="N66" i="18"/>
  <c r="N65" i="18"/>
  <c r="N64" i="18"/>
  <c r="N63" i="18"/>
  <c r="N62" i="18"/>
  <c r="M61" i="18"/>
  <c r="L61" i="18"/>
  <c r="N60" i="18"/>
  <c r="N59" i="18"/>
  <c r="N58" i="18"/>
  <c r="N57" i="18"/>
  <c r="N56" i="18"/>
  <c r="N55" i="18"/>
  <c r="N54" i="18"/>
  <c r="N53" i="18"/>
  <c r="N52" i="18"/>
  <c r="N51" i="18"/>
  <c r="N50" i="18"/>
  <c r="M49" i="18"/>
  <c r="M45" i="18" s="1"/>
  <c r="L49" i="18"/>
  <c r="N48" i="18"/>
  <c r="N47" i="18"/>
  <c r="N46" i="18"/>
  <c r="N44" i="18"/>
  <c r="N43" i="18"/>
  <c r="N42" i="18"/>
  <c r="N41" i="18"/>
  <c r="N40" i="18"/>
  <c r="N39" i="18"/>
  <c r="M38" i="18"/>
  <c r="L38" i="18"/>
  <c r="N37" i="18"/>
  <c r="N36" i="18"/>
  <c r="N35" i="18"/>
  <c r="M34" i="18"/>
  <c r="L34" i="18"/>
  <c r="N33" i="18"/>
  <c r="N32" i="18"/>
  <c r="M31" i="18"/>
  <c r="M30" i="18" s="1"/>
  <c r="L31" i="18"/>
  <c r="L30" i="18" s="1"/>
  <c r="N29" i="18"/>
  <c r="N28" i="18"/>
  <c r="N27" i="18"/>
  <c r="M26" i="18"/>
  <c r="L26" i="18"/>
  <c r="N24" i="18"/>
  <c r="N23" i="18"/>
  <c r="M22" i="18"/>
  <c r="L22" i="18"/>
  <c r="N21" i="18"/>
  <c r="N20" i="18"/>
  <c r="N19" i="18"/>
  <c r="N18" i="18"/>
  <c r="N17" i="18"/>
  <c r="N16" i="18"/>
  <c r="N15" i="18"/>
  <c r="N14" i="18"/>
  <c r="N13" i="18"/>
  <c r="N12" i="18"/>
  <c r="N11" i="18"/>
  <c r="M10" i="18"/>
  <c r="M9" i="18" s="1"/>
  <c r="L10" i="18"/>
  <c r="N103" i="19"/>
  <c r="N150" i="19"/>
  <c r="N149" i="19"/>
  <c r="N148" i="19"/>
  <c r="N147" i="19"/>
  <c r="N145" i="19"/>
  <c r="N144" i="19"/>
  <c r="M143" i="19"/>
  <c r="L143" i="19"/>
  <c r="N141" i="19"/>
  <c r="N140" i="19"/>
  <c r="N139" i="19"/>
  <c r="N138" i="19"/>
  <c r="N136" i="19"/>
  <c r="N135" i="19"/>
  <c r="M134" i="19"/>
  <c r="M128" i="19" s="1"/>
  <c r="L134" i="19"/>
  <c r="L128" i="19" s="1"/>
  <c r="N133" i="19"/>
  <c r="N132" i="19"/>
  <c r="N131" i="19"/>
  <c r="N130" i="19"/>
  <c r="N129" i="19"/>
  <c r="N127" i="19"/>
  <c r="N126" i="19"/>
  <c r="N125" i="19"/>
  <c r="N124" i="19"/>
  <c r="M123" i="19"/>
  <c r="L123" i="19"/>
  <c r="N122" i="19"/>
  <c r="N121" i="19"/>
  <c r="N120" i="19"/>
  <c r="N119" i="19"/>
  <c r="N118" i="19"/>
  <c r="N117" i="19"/>
  <c r="N116" i="19"/>
  <c r="N115" i="19"/>
  <c r="M114" i="19"/>
  <c r="M111" i="19" s="1"/>
  <c r="N113" i="19"/>
  <c r="N112" i="19"/>
  <c r="N108" i="19"/>
  <c r="N107" i="19"/>
  <c r="M105" i="19"/>
  <c r="N104" i="19"/>
  <c r="N102" i="19"/>
  <c r="M101" i="19"/>
  <c r="N100" i="19"/>
  <c r="N99" i="19"/>
  <c r="N97" i="19"/>
  <c r="N96" i="19"/>
  <c r="N95" i="19"/>
  <c r="N94" i="19"/>
  <c r="N93" i="19"/>
  <c r="N92" i="19"/>
  <c r="N91" i="19"/>
  <c r="N90" i="19"/>
  <c r="M89" i="19"/>
  <c r="N84" i="19"/>
  <c r="N81" i="19"/>
  <c r="N80" i="19"/>
  <c r="M79" i="19"/>
  <c r="M75" i="19" s="1"/>
  <c r="M74" i="19" s="1"/>
  <c r="L79" i="19"/>
  <c r="N78" i="19"/>
  <c r="N77" i="19"/>
  <c r="N76" i="19"/>
  <c r="N72" i="19"/>
  <c r="N71" i="19"/>
  <c r="M70" i="19"/>
  <c r="L70" i="19"/>
  <c r="N69" i="19"/>
  <c r="N68" i="19"/>
  <c r="M67" i="19"/>
  <c r="L67" i="19"/>
  <c r="N66" i="19"/>
  <c r="N65" i="19"/>
  <c r="N64" i="19"/>
  <c r="N63" i="19"/>
  <c r="N62" i="19"/>
  <c r="M61" i="19"/>
  <c r="L61" i="19"/>
  <c r="N60" i="19"/>
  <c r="N59" i="19"/>
  <c r="N58" i="19"/>
  <c r="N57" i="19"/>
  <c r="N56" i="19"/>
  <c r="N55" i="19"/>
  <c r="N54" i="19"/>
  <c r="N53" i="19"/>
  <c r="N52" i="19"/>
  <c r="N51" i="19"/>
  <c r="N50" i="19"/>
  <c r="M49" i="19"/>
  <c r="M45" i="19" s="1"/>
  <c r="L49" i="19"/>
  <c r="N48" i="19"/>
  <c r="N47" i="19"/>
  <c r="N46" i="19"/>
  <c r="L45" i="19"/>
  <c r="N44" i="19"/>
  <c r="N43" i="19"/>
  <c r="N42" i="19"/>
  <c r="N41" i="19"/>
  <c r="N40" i="19"/>
  <c r="N39" i="19"/>
  <c r="M38" i="19"/>
  <c r="L38" i="19"/>
  <c r="N37" i="19"/>
  <c r="N36" i="19"/>
  <c r="N35" i="19"/>
  <c r="M34" i="19"/>
  <c r="L34" i="19"/>
  <c r="N33" i="19"/>
  <c r="N32" i="19"/>
  <c r="M31" i="19"/>
  <c r="L31" i="19"/>
  <c r="N29" i="19"/>
  <c r="N28" i="19"/>
  <c r="N27" i="19"/>
  <c r="M26" i="19"/>
  <c r="L26" i="19"/>
  <c r="N24" i="19"/>
  <c r="N23" i="19"/>
  <c r="M22" i="19"/>
  <c r="L22" i="19"/>
  <c r="N21" i="19"/>
  <c r="N20" i="19"/>
  <c r="N19" i="19"/>
  <c r="N18" i="19"/>
  <c r="N17" i="19"/>
  <c r="N16" i="19"/>
  <c r="N15" i="19"/>
  <c r="N14" i="19"/>
  <c r="N13" i="19"/>
  <c r="N12" i="19"/>
  <c r="N11" i="19"/>
  <c r="M10" i="19"/>
  <c r="L10" i="19"/>
  <c r="L9" i="19" s="1"/>
  <c r="M150" i="5"/>
  <c r="M150" i="4" s="1"/>
  <c r="L150" i="5"/>
  <c r="L150" i="4" s="1"/>
  <c r="M149" i="5"/>
  <c r="M149" i="4" s="1"/>
  <c r="L149" i="5"/>
  <c r="L149" i="4" s="1"/>
  <c r="M148" i="5"/>
  <c r="M148" i="4" s="1"/>
  <c r="L148" i="5"/>
  <c r="L148" i="4" s="1"/>
  <c r="M147" i="5"/>
  <c r="M147" i="4" s="1"/>
  <c r="L147" i="5"/>
  <c r="L147" i="4" s="1"/>
  <c r="N146" i="5"/>
  <c r="M146" i="5"/>
  <c r="M146" i="4" s="1"/>
  <c r="L146" i="5"/>
  <c r="L146" i="4" s="1"/>
  <c r="M145" i="5"/>
  <c r="M145" i="4" s="1"/>
  <c r="L145" i="5"/>
  <c r="L145" i="4" s="1"/>
  <c r="M144" i="5"/>
  <c r="M144" i="4" s="1"/>
  <c r="L144" i="5"/>
  <c r="L144" i="4" s="1"/>
  <c r="M141" i="5"/>
  <c r="M141" i="4" s="1"/>
  <c r="L141" i="5"/>
  <c r="L141" i="4" s="1"/>
  <c r="M140" i="5"/>
  <c r="M140" i="4" s="1"/>
  <c r="L140" i="5"/>
  <c r="L140" i="4" s="1"/>
  <c r="M139" i="5"/>
  <c r="M139" i="4" s="1"/>
  <c r="L139" i="5"/>
  <c r="L139" i="4" s="1"/>
  <c r="M138" i="5"/>
  <c r="M138" i="4" s="1"/>
  <c r="L138" i="5"/>
  <c r="L138" i="4" s="1"/>
  <c r="M137" i="5"/>
  <c r="M137" i="4" s="1"/>
  <c r="M136" i="5"/>
  <c r="M136" i="4" s="1"/>
  <c r="L136" i="5"/>
  <c r="L136" i="4" s="1"/>
  <c r="M135" i="5"/>
  <c r="M135" i="4" s="1"/>
  <c r="L135" i="5"/>
  <c r="L135" i="4" s="1"/>
  <c r="M133" i="5"/>
  <c r="M133" i="4" s="1"/>
  <c r="L133" i="5"/>
  <c r="L133" i="4" s="1"/>
  <c r="M132" i="5"/>
  <c r="M132" i="4" s="1"/>
  <c r="L132" i="5"/>
  <c r="L132" i="4" s="1"/>
  <c r="M131" i="5"/>
  <c r="M131" i="4" s="1"/>
  <c r="L131" i="5"/>
  <c r="L131" i="4" s="1"/>
  <c r="M130" i="5"/>
  <c r="M130" i="4" s="1"/>
  <c r="L130" i="5"/>
  <c r="L130" i="4" s="1"/>
  <c r="M129" i="5"/>
  <c r="M129" i="4" s="1"/>
  <c r="L129" i="5"/>
  <c r="L129" i="4" s="1"/>
  <c r="M127" i="5"/>
  <c r="M127" i="4" s="1"/>
  <c r="L127" i="5"/>
  <c r="L127" i="4" s="1"/>
  <c r="M126" i="5"/>
  <c r="M126" i="4" s="1"/>
  <c r="L126" i="5"/>
  <c r="L126" i="4" s="1"/>
  <c r="M125" i="5"/>
  <c r="M125" i="4" s="1"/>
  <c r="L125" i="5"/>
  <c r="L125" i="4" s="1"/>
  <c r="M124" i="5"/>
  <c r="M124" i="4" s="1"/>
  <c r="L124" i="5"/>
  <c r="L124" i="4" s="1"/>
  <c r="M122" i="5"/>
  <c r="M122" i="4" s="1"/>
  <c r="L122" i="5"/>
  <c r="L122" i="4" s="1"/>
  <c r="M121" i="5"/>
  <c r="M121" i="4" s="1"/>
  <c r="M120" i="5"/>
  <c r="M120" i="4" s="1"/>
  <c r="M119" i="5"/>
  <c r="M119" i="4" s="1"/>
  <c r="M118" i="5"/>
  <c r="M118" i="4" s="1"/>
  <c r="L118" i="5"/>
  <c r="L118" i="4" s="1"/>
  <c r="M117" i="5"/>
  <c r="M117" i="4" s="1"/>
  <c r="M116" i="5"/>
  <c r="M116" i="4" s="1"/>
  <c r="L116" i="5"/>
  <c r="L116" i="4" s="1"/>
  <c r="M115" i="5"/>
  <c r="M115" i="4" s="1"/>
  <c r="L115" i="5"/>
  <c r="L115" i="4" s="1"/>
  <c r="M113" i="5"/>
  <c r="M113" i="4" s="1"/>
  <c r="L113" i="5"/>
  <c r="L113" i="4" s="1"/>
  <c r="M112" i="5"/>
  <c r="M112" i="4" s="1"/>
  <c r="M110" i="5"/>
  <c r="M110" i="4" s="1"/>
  <c r="M109" i="5"/>
  <c r="M109" i="4" s="1"/>
  <c r="M108" i="5"/>
  <c r="M108" i="4" s="1"/>
  <c r="L108" i="5"/>
  <c r="L108" i="4" s="1"/>
  <c r="M107" i="5"/>
  <c r="M107" i="4" s="1"/>
  <c r="L107" i="5"/>
  <c r="L107" i="4" s="1"/>
  <c r="M106" i="5"/>
  <c r="M106" i="4" s="1"/>
  <c r="M104" i="5"/>
  <c r="M104" i="4" s="1"/>
  <c r="M103" i="5"/>
  <c r="M103" i="4" s="1"/>
  <c r="M102" i="5"/>
  <c r="M102" i="4" s="1"/>
  <c r="L102" i="5"/>
  <c r="L102" i="4" s="1"/>
  <c r="M100" i="5"/>
  <c r="M100" i="4" s="1"/>
  <c r="L100" i="5"/>
  <c r="L100" i="4" s="1"/>
  <c r="M99" i="5"/>
  <c r="M99" i="4" s="1"/>
  <c r="L99" i="5"/>
  <c r="L99" i="4" s="1"/>
  <c r="M98" i="5"/>
  <c r="M98" i="4" s="1"/>
  <c r="M97" i="5"/>
  <c r="M97" i="4" s="1"/>
  <c r="L97" i="5"/>
  <c r="L97" i="4" s="1"/>
  <c r="M96" i="5"/>
  <c r="M96" i="4" s="1"/>
  <c r="L96" i="5"/>
  <c r="L96" i="4" s="1"/>
  <c r="M95" i="5"/>
  <c r="M95" i="4" s="1"/>
  <c r="L95" i="5"/>
  <c r="L95" i="4" s="1"/>
  <c r="M94" i="5"/>
  <c r="M94" i="4" s="1"/>
  <c r="L94" i="5"/>
  <c r="L94" i="4" s="1"/>
  <c r="M93" i="5"/>
  <c r="M93" i="4" s="1"/>
  <c r="L93" i="5"/>
  <c r="L93" i="4" s="1"/>
  <c r="M92" i="5"/>
  <c r="M92" i="4" s="1"/>
  <c r="L92" i="5"/>
  <c r="L92" i="4" s="1"/>
  <c r="M91" i="5"/>
  <c r="M91" i="4" s="1"/>
  <c r="M90" i="5"/>
  <c r="M90" i="4" s="1"/>
  <c r="L90" i="5"/>
  <c r="L90" i="4" s="1"/>
  <c r="M84" i="5"/>
  <c r="M84" i="4" s="1"/>
  <c r="L84" i="5"/>
  <c r="L84" i="4" s="1"/>
  <c r="M83" i="5"/>
  <c r="M83" i="4" s="1"/>
  <c r="N82" i="5"/>
  <c r="M82" i="5"/>
  <c r="M82" i="4" s="1"/>
  <c r="L82" i="5"/>
  <c r="L82" i="4" s="1"/>
  <c r="M81" i="5"/>
  <c r="M81" i="4" s="1"/>
  <c r="L81" i="5"/>
  <c r="L81" i="4" s="1"/>
  <c r="M80" i="5"/>
  <c r="M80" i="4" s="1"/>
  <c r="L80" i="5"/>
  <c r="L80" i="4" s="1"/>
  <c r="M78" i="5"/>
  <c r="M78" i="4" s="1"/>
  <c r="L78" i="5"/>
  <c r="L78" i="4" s="1"/>
  <c r="M77" i="5"/>
  <c r="M77" i="4" s="1"/>
  <c r="L77" i="5"/>
  <c r="L77" i="4" s="1"/>
  <c r="M76" i="5"/>
  <c r="M76" i="4" s="1"/>
  <c r="L76" i="5"/>
  <c r="L76" i="4" s="1"/>
  <c r="N72" i="5"/>
  <c r="M71" i="5"/>
  <c r="M71" i="4" s="1"/>
  <c r="L71" i="5"/>
  <c r="L71" i="4" s="1"/>
  <c r="M69" i="5"/>
  <c r="M69" i="4" s="1"/>
  <c r="L69" i="5"/>
  <c r="L69" i="4" s="1"/>
  <c r="M68" i="5"/>
  <c r="M68" i="4" s="1"/>
  <c r="L68" i="5"/>
  <c r="L68" i="4" s="1"/>
  <c r="M66" i="5"/>
  <c r="M66" i="4" s="1"/>
  <c r="L66" i="5"/>
  <c r="L66" i="4" s="1"/>
  <c r="M65" i="5"/>
  <c r="M65" i="4" s="1"/>
  <c r="L65" i="5"/>
  <c r="L65" i="4" s="1"/>
  <c r="M64" i="5"/>
  <c r="M64" i="4" s="1"/>
  <c r="L64" i="5"/>
  <c r="L64" i="4" s="1"/>
  <c r="M63" i="5"/>
  <c r="M63" i="4" s="1"/>
  <c r="L63" i="5"/>
  <c r="L63" i="4" s="1"/>
  <c r="M62" i="5"/>
  <c r="M62" i="4" s="1"/>
  <c r="L62" i="5"/>
  <c r="L62" i="4" s="1"/>
  <c r="M60" i="5"/>
  <c r="M60" i="4" s="1"/>
  <c r="L60" i="5"/>
  <c r="L60" i="4" s="1"/>
  <c r="M59" i="5"/>
  <c r="M59" i="4" s="1"/>
  <c r="L59" i="5"/>
  <c r="L59" i="4" s="1"/>
  <c r="M58" i="5"/>
  <c r="M58" i="4" s="1"/>
  <c r="L58" i="5"/>
  <c r="L58" i="4" s="1"/>
  <c r="M57" i="5"/>
  <c r="M57" i="4" s="1"/>
  <c r="L57" i="5"/>
  <c r="L57" i="4" s="1"/>
  <c r="M56" i="5"/>
  <c r="M56" i="4" s="1"/>
  <c r="L56" i="5"/>
  <c r="L56" i="4" s="1"/>
  <c r="M55" i="5"/>
  <c r="M55" i="4" s="1"/>
  <c r="L55" i="5"/>
  <c r="L55" i="4" s="1"/>
  <c r="M54" i="5"/>
  <c r="M54" i="4" s="1"/>
  <c r="L54" i="5"/>
  <c r="L54" i="4" s="1"/>
  <c r="M53" i="5"/>
  <c r="M53" i="4" s="1"/>
  <c r="L53" i="5"/>
  <c r="L53" i="4" s="1"/>
  <c r="M52" i="5"/>
  <c r="M52" i="4" s="1"/>
  <c r="L52" i="5"/>
  <c r="L52" i="4" s="1"/>
  <c r="M51" i="5"/>
  <c r="M51" i="4" s="1"/>
  <c r="L51" i="5"/>
  <c r="L51" i="4" s="1"/>
  <c r="M50" i="5"/>
  <c r="M50" i="4" s="1"/>
  <c r="L50" i="5"/>
  <c r="L50" i="4" s="1"/>
  <c r="M48" i="5"/>
  <c r="M48" i="4" s="1"/>
  <c r="L48" i="5"/>
  <c r="L48" i="4" s="1"/>
  <c r="M47" i="5"/>
  <c r="M47" i="4" s="1"/>
  <c r="L47" i="5"/>
  <c r="L47" i="4" s="1"/>
  <c r="M46" i="5"/>
  <c r="M46" i="4" s="1"/>
  <c r="L46" i="5"/>
  <c r="L46" i="4" s="1"/>
  <c r="M44" i="5"/>
  <c r="M44" i="4" s="1"/>
  <c r="L44" i="5"/>
  <c r="L44" i="4" s="1"/>
  <c r="M43" i="5"/>
  <c r="M43" i="4" s="1"/>
  <c r="L43" i="5"/>
  <c r="L43" i="4" s="1"/>
  <c r="M42" i="5"/>
  <c r="M42" i="4" s="1"/>
  <c r="L42" i="5"/>
  <c r="L42" i="4" s="1"/>
  <c r="M41" i="5"/>
  <c r="M41" i="4" s="1"/>
  <c r="L41" i="5"/>
  <c r="L41" i="4" s="1"/>
  <c r="M40" i="5"/>
  <c r="M40" i="4" s="1"/>
  <c r="L40" i="5"/>
  <c r="L40" i="4" s="1"/>
  <c r="M39" i="5"/>
  <c r="M39" i="4" s="1"/>
  <c r="L39" i="5"/>
  <c r="L39" i="4" s="1"/>
  <c r="M37" i="5"/>
  <c r="M37" i="4" s="1"/>
  <c r="L37" i="5"/>
  <c r="L37" i="4" s="1"/>
  <c r="M36" i="5"/>
  <c r="M36" i="4" s="1"/>
  <c r="L36" i="5"/>
  <c r="L36" i="4" s="1"/>
  <c r="M35" i="5"/>
  <c r="M35" i="4" s="1"/>
  <c r="L35" i="5"/>
  <c r="L35" i="4" s="1"/>
  <c r="M33" i="5"/>
  <c r="M33" i="4" s="1"/>
  <c r="L33" i="5"/>
  <c r="L33" i="4" s="1"/>
  <c r="M32" i="5"/>
  <c r="M32" i="4" s="1"/>
  <c r="L32" i="5"/>
  <c r="L32" i="4" s="1"/>
  <c r="M29" i="5"/>
  <c r="M29" i="4" s="1"/>
  <c r="L29" i="5"/>
  <c r="L29" i="4" s="1"/>
  <c r="M28" i="5"/>
  <c r="M28" i="4" s="1"/>
  <c r="L28" i="5"/>
  <c r="L28" i="4" s="1"/>
  <c r="M27" i="5"/>
  <c r="M27" i="4" s="1"/>
  <c r="L27" i="5"/>
  <c r="L27" i="4" s="1"/>
  <c r="M24" i="5"/>
  <c r="M24" i="4" s="1"/>
  <c r="L24" i="5"/>
  <c r="L24" i="4" s="1"/>
  <c r="M23" i="5"/>
  <c r="M23" i="4" s="1"/>
  <c r="L23" i="5"/>
  <c r="L23" i="4" s="1"/>
  <c r="M21" i="5"/>
  <c r="M21" i="4" s="1"/>
  <c r="L21" i="5"/>
  <c r="L21" i="4" s="1"/>
  <c r="M20" i="5"/>
  <c r="M20" i="4" s="1"/>
  <c r="L20" i="5"/>
  <c r="L20" i="4" s="1"/>
  <c r="M19" i="5"/>
  <c r="M19" i="4" s="1"/>
  <c r="L19" i="5"/>
  <c r="L19" i="4" s="1"/>
  <c r="M18" i="5"/>
  <c r="M18" i="4" s="1"/>
  <c r="L18" i="5"/>
  <c r="L18" i="4" s="1"/>
  <c r="M17" i="5"/>
  <c r="M17" i="4" s="1"/>
  <c r="L17" i="5"/>
  <c r="L17" i="4" s="1"/>
  <c r="M16" i="5"/>
  <c r="M16" i="4" s="1"/>
  <c r="L16" i="5"/>
  <c r="L16" i="4" s="1"/>
  <c r="M15" i="5"/>
  <c r="M15" i="4" s="1"/>
  <c r="L15" i="5"/>
  <c r="L15" i="4" s="1"/>
  <c r="M14" i="5"/>
  <c r="M14" i="4" s="1"/>
  <c r="L14" i="5"/>
  <c r="L14" i="4" s="1"/>
  <c r="M13" i="5"/>
  <c r="M13" i="4" s="1"/>
  <c r="L13" i="5"/>
  <c r="L13" i="4" s="1"/>
  <c r="M12" i="5"/>
  <c r="M12" i="4" s="1"/>
  <c r="L12" i="5"/>
  <c r="L12" i="4" s="1"/>
  <c r="M11" i="5"/>
  <c r="M11" i="4" s="1"/>
  <c r="L11" i="5"/>
  <c r="L11" i="4" s="1"/>
  <c r="AK72" i="4"/>
  <c r="Y72" i="4"/>
  <c r="X72" i="4"/>
  <c r="M72" i="4"/>
  <c r="L72" i="4"/>
  <c r="L88" i="11" l="1"/>
  <c r="L137" i="5"/>
  <c r="L137" i="4" s="1"/>
  <c r="M88" i="77"/>
  <c r="L101" i="77"/>
  <c r="N101" i="77" s="1"/>
  <c r="M25" i="48"/>
  <c r="M73" i="48" s="1"/>
  <c r="M85" i="48" s="1"/>
  <c r="L112" i="5"/>
  <c r="L112" i="4" s="1"/>
  <c r="N112" i="4" s="1"/>
  <c r="L75" i="19"/>
  <c r="N75" i="19" s="1"/>
  <c r="N80" i="5"/>
  <c r="N83" i="19"/>
  <c r="N84" i="5"/>
  <c r="L104" i="5"/>
  <c r="L104" i="4" s="1"/>
  <c r="N104" i="4" s="1"/>
  <c r="L70" i="5"/>
  <c r="L70" i="4" s="1"/>
  <c r="L104" i="6"/>
  <c r="X104" i="4" s="1"/>
  <c r="Z104" i="4" s="1"/>
  <c r="N56" i="6"/>
  <c r="N150" i="6"/>
  <c r="N145" i="5"/>
  <c r="N148" i="5"/>
  <c r="N88" i="16"/>
  <c r="N22" i="50"/>
  <c r="N34" i="50"/>
  <c r="N79" i="50"/>
  <c r="N88" i="50"/>
  <c r="N30" i="33"/>
  <c r="N30" i="54"/>
  <c r="N20" i="5"/>
  <c r="N58" i="5"/>
  <c r="N113" i="5"/>
  <c r="N135" i="5"/>
  <c r="N139" i="5"/>
  <c r="N95" i="6"/>
  <c r="N133" i="6"/>
  <c r="L143" i="6"/>
  <c r="X143" i="4" s="1"/>
  <c r="N143" i="46"/>
  <c r="L25" i="20"/>
  <c r="M88" i="45"/>
  <c r="M111" i="17"/>
  <c r="N37" i="5"/>
  <c r="N26" i="50"/>
  <c r="N30" i="55"/>
  <c r="N127" i="5"/>
  <c r="N61" i="57"/>
  <c r="L25" i="22"/>
  <c r="N34" i="22"/>
  <c r="N40" i="6"/>
  <c r="N44" i="6"/>
  <c r="N62" i="6"/>
  <c r="M88" i="8"/>
  <c r="N34" i="9"/>
  <c r="N61" i="9"/>
  <c r="N9" i="10"/>
  <c r="N134" i="10"/>
  <c r="L10" i="11"/>
  <c r="L9" i="11" s="1"/>
  <c r="N9" i="11" s="1"/>
  <c r="N134" i="11"/>
  <c r="N31" i="12"/>
  <c r="N22" i="15"/>
  <c r="N34" i="15"/>
  <c r="N61" i="15"/>
  <c r="N105" i="15"/>
  <c r="L88" i="17"/>
  <c r="N49" i="30"/>
  <c r="N67" i="30"/>
  <c r="N70" i="30"/>
  <c r="N30" i="29"/>
  <c r="N61" i="29"/>
  <c r="N123" i="29"/>
  <c r="N134" i="29"/>
  <c r="N22" i="28"/>
  <c r="N67" i="28"/>
  <c r="N70" i="28"/>
  <c r="N30" i="27"/>
  <c r="N61" i="27"/>
  <c r="N88" i="27"/>
  <c r="N101" i="27"/>
  <c r="N134" i="27"/>
  <c r="N22" i="37"/>
  <c r="N49" i="37"/>
  <c r="N67" i="37"/>
  <c r="N70" i="37"/>
  <c r="N79" i="37"/>
  <c r="N105" i="37"/>
  <c r="N123" i="37"/>
  <c r="N88" i="34"/>
  <c r="N143" i="51"/>
  <c r="N22" i="47"/>
  <c r="N49" i="47"/>
  <c r="N67" i="47"/>
  <c r="N70" i="47"/>
  <c r="N79" i="47"/>
  <c r="N105" i="47"/>
  <c r="N114" i="47"/>
  <c r="N123" i="47"/>
  <c r="N134" i="47"/>
  <c r="N134" i="48"/>
  <c r="M30" i="45"/>
  <c r="M111" i="45"/>
  <c r="M142" i="45" s="1"/>
  <c r="M151" i="45" s="1"/>
  <c r="N28" i="5"/>
  <c r="N48" i="5"/>
  <c r="M67" i="5"/>
  <c r="M67" i="4" s="1"/>
  <c r="N94" i="5"/>
  <c r="N96" i="5"/>
  <c r="N125" i="5"/>
  <c r="N131" i="5"/>
  <c r="L25" i="18"/>
  <c r="N34" i="18"/>
  <c r="N79" i="18"/>
  <c r="N123" i="57"/>
  <c r="N134" i="77"/>
  <c r="N127" i="6"/>
  <c r="N141" i="6"/>
  <c r="N145" i="6"/>
  <c r="N148" i="6"/>
  <c r="L25" i="21"/>
  <c r="N61" i="21"/>
  <c r="M88" i="21"/>
  <c r="N101" i="21"/>
  <c r="N22" i="20"/>
  <c r="N67" i="20"/>
  <c r="N79" i="20"/>
  <c r="M88" i="20"/>
  <c r="N10" i="58"/>
  <c r="N61" i="58"/>
  <c r="N143" i="58"/>
  <c r="N22" i="8"/>
  <c r="N61" i="8"/>
  <c r="N143" i="9"/>
  <c r="N26" i="10"/>
  <c r="N38" i="10"/>
  <c r="N30" i="63"/>
  <c r="N61" i="63"/>
  <c r="N88" i="63"/>
  <c r="N101" i="63"/>
  <c r="N31" i="14"/>
  <c r="N34" i="14"/>
  <c r="N79" i="14"/>
  <c r="M88" i="14"/>
  <c r="M142" i="14" s="1"/>
  <c r="M151" i="14" s="1"/>
  <c r="N101" i="14"/>
  <c r="N30" i="49"/>
  <c r="N61" i="49"/>
  <c r="N88" i="49"/>
  <c r="N101" i="49"/>
  <c r="N22" i="16"/>
  <c r="N26" i="16"/>
  <c r="N79" i="16"/>
  <c r="N105" i="16"/>
  <c r="M88" i="17"/>
  <c r="N88" i="17" s="1"/>
  <c r="N101" i="17"/>
  <c r="N10" i="32"/>
  <c r="M25" i="32"/>
  <c r="N38" i="32"/>
  <c r="N89" i="32"/>
  <c r="N101" i="32"/>
  <c r="N111" i="32"/>
  <c r="N134" i="31"/>
  <c r="N88" i="30"/>
  <c r="N143" i="30"/>
  <c r="M111" i="28"/>
  <c r="N143" i="28"/>
  <c r="N49" i="26"/>
  <c r="N67" i="26"/>
  <c r="N70" i="26"/>
  <c r="N79" i="26"/>
  <c r="N88" i="26"/>
  <c r="N49" i="36"/>
  <c r="N67" i="36"/>
  <c r="N70" i="36"/>
  <c r="M88" i="36"/>
  <c r="N101" i="36"/>
  <c r="N30" i="35"/>
  <c r="N61" i="35"/>
  <c r="N88" i="35"/>
  <c r="N105" i="50"/>
  <c r="N143" i="50"/>
  <c r="N22" i="34"/>
  <c r="N26" i="34"/>
  <c r="N79" i="34"/>
  <c r="N105" i="34"/>
  <c r="N134" i="33"/>
  <c r="N38" i="54"/>
  <c r="N134" i="54"/>
  <c r="N134" i="53"/>
  <c r="N38" i="55"/>
  <c r="N134" i="55"/>
  <c r="N83" i="57"/>
  <c r="N83" i="5" s="1"/>
  <c r="M88" i="46"/>
  <c r="N38" i="11"/>
  <c r="N34" i="12"/>
  <c r="N26" i="15"/>
  <c r="N101" i="35"/>
  <c r="N137" i="5"/>
  <c r="N141" i="5"/>
  <c r="N150" i="5"/>
  <c r="N68" i="6"/>
  <c r="N34" i="16"/>
  <c r="M88" i="28"/>
  <c r="N34" i="34"/>
  <c r="N38" i="33"/>
  <c r="N38" i="53"/>
  <c r="N31" i="52"/>
  <c r="N34" i="52"/>
  <c r="N143" i="52"/>
  <c r="N22" i="51"/>
  <c r="N26" i="51"/>
  <c r="N34" i="51"/>
  <c r="N79" i="51"/>
  <c r="L88" i="51"/>
  <c r="N12" i="5"/>
  <c r="N22" i="19"/>
  <c r="N26" i="19"/>
  <c r="N38" i="19"/>
  <c r="N93" i="5"/>
  <c r="N121" i="5"/>
  <c r="N10" i="18"/>
  <c r="N49" i="18"/>
  <c r="N50" i="5"/>
  <c r="N67" i="18"/>
  <c r="N70" i="18"/>
  <c r="N71" i="5"/>
  <c r="N105" i="18"/>
  <c r="N143" i="18"/>
  <c r="N26" i="57"/>
  <c r="N38" i="57"/>
  <c r="N143" i="57"/>
  <c r="M49" i="6"/>
  <c r="Y49" i="4" s="1"/>
  <c r="L113" i="6"/>
  <c r="X113" i="4" s="1"/>
  <c r="Z113" i="4" s="1"/>
  <c r="L10" i="22"/>
  <c r="L9" i="22" s="1"/>
  <c r="N11" i="6"/>
  <c r="N49" i="22"/>
  <c r="N135" i="6"/>
  <c r="N28" i="6"/>
  <c r="N36" i="6"/>
  <c r="N38" i="46"/>
  <c r="N80" i="6"/>
  <c r="N22" i="21"/>
  <c r="N49" i="21"/>
  <c r="N89" i="21"/>
  <c r="N114" i="21"/>
  <c r="M111" i="21"/>
  <c r="N107" i="8"/>
  <c r="L105" i="8"/>
  <c r="N105" i="8" s="1"/>
  <c r="N63" i="10"/>
  <c r="L61" i="10"/>
  <c r="M88" i="15"/>
  <c r="N88" i="15" s="1"/>
  <c r="N133" i="16"/>
  <c r="M128" i="16"/>
  <c r="N128" i="16" s="1"/>
  <c r="N45" i="28"/>
  <c r="N123" i="27"/>
  <c r="L111" i="27"/>
  <c r="N38" i="58"/>
  <c r="N89" i="58"/>
  <c r="N105" i="58"/>
  <c r="N111" i="58"/>
  <c r="N123" i="58"/>
  <c r="N123" i="8"/>
  <c r="N79" i="9"/>
  <c r="N123" i="9"/>
  <c r="N61" i="11"/>
  <c r="N88" i="11"/>
  <c r="N101" i="11"/>
  <c r="N22" i="12"/>
  <c r="N49" i="12"/>
  <c r="N67" i="12"/>
  <c r="N70" i="12"/>
  <c r="N79" i="12"/>
  <c r="N105" i="12"/>
  <c r="N111" i="12"/>
  <c r="N123" i="12"/>
  <c r="N38" i="63"/>
  <c r="N134" i="63"/>
  <c r="N31" i="13"/>
  <c r="N34" i="13"/>
  <c r="N22" i="14"/>
  <c r="N45" i="14"/>
  <c r="N70" i="14"/>
  <c r="N114" i="14"/>
  <c r="N134" i="14"/>
  <c r="N38" i="49"/>
  <c r="N134" i="49"/>
  <c r="N114" i="15"/>
  <c r="N123" i="15"/>
  <c r="N134" i="15"/>
  <c r="N49" i="16"/>
  <c r="N67" i="16"/>
  <c r="N70" i="16"/>
  <c r="N114" i="16"/>
  <c r="N123" i="16"/>
  <c r="N61" i="32"/>
  <c r="N143" i="32"/>
  <c r="N10" i="31"/>
  <c r="M25" i="31"/>
  <c r="N38" i="31"/>
  <c r="N61" i="31"/>
  <c r="N88" i="31"/>
  <c r="N101" i="31"/>
  <c r="N22" i="30"/>
  <c r="N26" i="30"/>
  <c r="N34" i="30"/>
  <c r="N79" i="30"/>
  <c r="N105" i="30"/>
  <c r="N123" i="30"/>
  <c r="N38" i="29"/>
  <c r="L88" i="29"/>
  <c r="M88" i="29"/>
  <c r="M142" i="29" s="1"/>
  <c r="M151" i="29" s="1"/>
  <c r="N105" i="29"/>
  <c r="N31" i="28"/>
  <c r="N34" i="28"/>
  <c r="M142" i="28"/>
  <c r="M142" i="52"/>
  <c r="M151" i="52" s="1"/>
  <c r="N79" i="28"/>
  <c r="N101" i="28"/>
  <c r="N38" i="27"/>
  <c r="N22" i="26"/>
  <c r="N26" i="26"/>
  <c r="N34" i="26"/>
  <c r="N105" i="26"/>
  <c r="N123" i="26"/>
  <c r="N134" i="26"/>
  <c r="N31" i="37"/>
  <c r="N34" i="37"/>
  <c r="N143" i="37"/>
  <c r="N22" i="36"/>
  <c r="N26" i="36"/>
  <c r="N34" i="36"/>
  <c r="N79" i="36"/>
  <c r="L88" i="36"/>
  <c r="N88" i="36" s="1"/>
  <c r="N123" i="36"/>
  <c r="N134" i="36"/>
  <c r="N38" i="35"/>
  <c r="N134" i="35"/>
  <c r="N49" i="50"/>
  <c r="N67" i="50"/>
  <c r="N70" i="50"/>
  <c r="N114" i="50"/>
  <c r="N123" i="50"/>
  <c r="N49" i="34"/>
  <c r="N67" i="34"/>
  <c r="N70" i="34"/>
  <c r="N114" i="34"/>
  <c r="N123" i="34"/>
  <c r="N61" i="33"/>
  <c r="N88" i="33"/>
  <c r="N101" i="33"/>
  <c r="N61" i="54"/>
  <c r="N88" i="54"/>
  <c r="N101" i="54"/>
  <c r="N61" i="53"/>
  <c r="N88" i="53"/>
  <c r="N101" i="53"/>
  <c r="N61" i="55"/>
  <c r="N88" i="55"/>
  <c r="N101" i="55"/>
  <c r="N22" i="52"/>
  <c r="N49" i="52"/>
  <c r="N67" i="52"/>
  <c r="N70" i="52"/>
  <c r="N79" i="52"/>
  <c r="N105" i="52"/>
  <c r="N111" i="52"/>
  <c r="N123" i="52"/>
  <c r="N49" i="51"/>
  <c r="N67" i="51"/>
  <c r="N70" i="51"/>
  <c r="M88" i="51"/>
  <c r="M142" i="51" s="1"/>
  <c r="M151" i="51" s="1"/>
  <c r="N101" i="51"/>
  <c r="N31" i="47"/>
  <c r="N34" i="47"/>
  <c r="N61" i="48"/>
  <c r="N88" i="48"/>
  <c r="N101" i="48"/>
  <c r="N49" i="20"/>
  <c r="N73" i="59"/>
  <c r="N85" i="59" s="1"/>
  <c r="L12" i="45"/>
  <c r="N12" i="45" s="1"/>
  <c r="L16" i="45"/>
  <c r="N16" i="45" s="1"/>
  <c r="L20" i="45"/>
  <c r="N20" i="45" s="1"/>
  <c r="L28" i="45"/>
  <c r="N28" i="45" s="1"/>
  <c r="L35" i="45"/>
  <c r="N35" i="45" s="1"/>
  <c r="L40" i="45"/>
  <c r="N40" i="45" s="1"/>
  <c r="L44" i="45"/>
  <c r="N44" i="45" s="1"/>
  <c r="L50" i="45"/>
  <c r="N50" i="45" s="1"/>
  <c r="L54" i="45"/>
  <c r="N54" i="45" s="1"/>
  <c r="L58" i="45"/>
  <c r="N58" i="45" s="1"/>
  <c r="L63" i="45"/>
  <c r="N63" i="45" s="1"/>
  <c r="L68" i="45"/>
  <c r="N68" i="45" s="1"/>
  <c r="L76" i="45"/>
  <c r="N76" i="45" s="1"/>
  <c r="L83" i="45"/>
  <c r="N83" i="45" s="1"/>
  <c r="L103" i="45"/>
  <c r="N103" i="45" s="1"/>
  <c r="L11" i="45"/>
  <c r="N11" i="45" s="1"/>
  <c r="L13" i="45"/>
  <c r="N13" i="45" s="1"/>
  <c r="L15" i="45"/>
  <c r="N15" i="45" s="1"/>
  <c r="L17" i="45"/>
  <c r="N17" i="45" s="1"/>
  <c r="L19" i="45"/>
  <c r="N19" i="45" s="1"/>
  <c r="L23" i="45"/>
  <c r="N23" i="45" s="1"/>
  <c r="L27" i="45"/>
  <c r="N27" i="45" s="1"/>
  <c r="L29" i="45"/>
  <c r="N29" i="45" s="1"/>
  <c r="L33" i="45"/>
  <c r="N33" i="45" s="1"/>
  <c r="L36" i="45"/>
  <c r="N36" i="45" s="1"/>
  <c r="L39" i="45"/>
  <c r="N39" i="45" s="1"/>
  <c r="L41" i="45"/>
  <c r="N41" i="45" s="1"/>
  <c r="L43" i="45"/>
  <c r="N43" i="45" s="1"/>
  <c r="L46" i="45"/>
  <c r="N46" i="45" s="1"/>
  <c r="L48" i="45"/>
  <c r="N48" i="45" s="1"/>
  <c r="L51" i="45"/>
  <c r="N51" i="45" s="1"/>
  <c r="L53" i="45"/>
  <c r="N53" i="45" s="1"/>
  <c r="L55" i="45"/>
  <c r="N55" i="45" s="1"/>
  <c r="L57" i="45"/>
  <c r="N57" i="45" s="1"/>
  <c r="L59" i="45"/>
  <c r="N59" i="45" s="1"/>
  <c r="L62" i="45"/>
  <c r="N62" i="45" s="1"/>
  <c r="L64" i="45"/>
  <c r="L64" i="7" s="1"/>
  <c r="AJ64" i="4" s="1"/>
  <c r="AV64" i="4" s="1"/>
  <c r="L66" i="45"/>
  <c r="N66" i="45" s="1"/>
  <c r="L69" i="45"/>
  <c r="N69" i="45" s="1"/>
  <c r="L72" i="45"/>
  <c r="N72" i="45" s="1"/>
  <c r="L77" i="45"/>
  <c r="N77" i="45" s="1"/>
  <c r="L82" i="45"/>
  <c r="L82" i="7" s="1"/>
  <c r="L84" i="45"/>
  <c r="N84" i="45" s="1"/>
  <c r="L91" i="45"/>
  <c r="L91" i="7" s="1"/>
  <c r="AJ91" i="4" s="1"/>
  <c r="AL91" i="4" s="1"/>
  <c r="L93" i="45"/>
  <c r="N93" i="45" s="1"/>
  <c r="L95" i="45"/>
  <c r="N95" i="45" s="1"/>
  <c r="L97" i="45"/>
  <c r="N97" i="45" s="1"/>
  <c r="L99" i="45"/>
  <c r="N99" i="45" s="1"/>
  <c r="L102" i="45"/>
  <c r="N102" i="45" s="1"/>
  <c r="L104" i="45"/>
  <c r="N104" i="45" s="1"/>
  <c r="L107" i="45"/>
  <c r="N107" i="45" s="1"/>
  <c r="L109" i="45"/>
  <c r="N109" i="45" s="1"/>
  <c r="L113" i="45"/>
  <c r="N113" i="45" s="1"/>
  <c r="L116" i="45"/>
  <c r="N116" i="45" s="1"/>
  <c r="L118" i="45"/>
  <c r="N118" i="45" s="1"/>
  <c r="L125" i="45"/>
  <c r="N125" i="45" s="1"/>
  <c r="L129" i="45"/>
  <c r="N129" i="45" s="1"/>
  <c r="L131" i="45"/>
  <c r="N131" i="45" s="1"/>
  <c r="L133" i="45"/>
  <c r="N133" i="45" s="1"/>
  <c r="L136" i="45"/>
  <c r="N136" i="45" s="1"/>
  <c r="L144" i="45"/>
  <c r="N144" i="45" s="1"/>
  <c r="L146" i="45"/>
  <c r="L146" i="7" s="1"/>
  <c r="AJ146" i="4" s="1"/>
  <c r="AL146" i="4" s="1"/>
  <c r="AX146" i="4" s="1"/>
  <c r="J59" i="60" s="1"/>
  <c r="L149" i="45"/>
  <c r="N149" i="45" s="1"/>
  <c r="L122" i="45"/>
  <c r="N122" i="45" s="1"/>
  <c r="L14" i="45"/>
  <c r="N14" i="45" s="1"/>
  <c r="L18" i="45"/>
  <c r="N18" i="45" s="1"/>
  <c r="L24" i="45"/>
  <c r="N24" i="45" s="1"/>
  <c r="L32" i="45"/>
  <c r="L32" i="7" s="1"/>
  <c r="AJ32" i="4" s="1"/>
  <c r="AL32" i="4" s="1"/>
  <c r="L37" i="45"/>
  <c r="N37" i="45" s="1"/>
  <c r="L42" i="45"/>
  <c r="N42" i="45" s="1"/>
  <c r="L47" i="45"/>
  <c r="N47" i="45" s="1"/>
  <c r="L52" i="45"/>
  <c r="N52" i="45" s="1"/>
  <c r="L56" i="45"/>
  <c r="N56" i="45" s="1"/>
  <c r="L60" i="45"/>
  <c r="N60" i="45" s="1"/>
  <c r="L65" i="45"/>
  <c r="N65" i="45" s="1"/>
  <c r="L71" i="45"/>
  <c r="N71" i="45" s="1"/>
  <c r="L78" i="45"/>
  <c r="N78" i="45" s="1"/>
  <c r="L90" i="45"/>
  <c r="N90" i="45" s="1"/>
  <c r="L92" i="45"/>
  <c r="N92" i="45" s="1"/>
  <c r="L94" i="45"/>
  <c r="N94" i="45" s="1"/>
  <c r="L96" i="45"/>
  <c r="N96" i="45" s="1"/>
  <c r="L98" i="45"/>
  <c r="N98" i="45" s="1"/>
  <c r="L100" i="45"/>
  <c r="N100" i="45" s="1"/>
  <c r="L106" i="45"/>
  <c r="N106" i="45" s="1"/>
  <c r="L108" i="45"/>
  <c r="N108" i="45" s="1"/>
  <c r="L110" i="45"/>
  <c r="N110" i="45" s="1"/>
  <c r="L115" i="45"/>
  <c r="N115" i="45" s="1"/>
  <c r="L117" i="45"/>
  <c r="N117" i="45" s="1"/>
  <c r="L119" i="45"/>
  <c r="N119" i="45" s="1"/>
  <c r="L127" i="45"/>
  <c r="N127" i="45" s="1"/>
  <c r="L130" i="45"/>
  <c r="N130" i="45" s="1"/>
  <c r="L132" i="45"/>
  <c r="N132" i="45" s="1"/>
  <c r="L135" i="45"/>
  <c r="L135" i="7" s="1"/>
  <c r="AJ135" i="4" s="1"/>
  <c r="AV135" i="4" s="1"/>
  <c r="L141" i="45"/>
  <c r="N141" i="45" s="1"/>
  <c r="L145" i="45"/>
  <c r="N145" i="45" s="1"/>
  <c r="L148" i="45"/>
  <c r="N148" i="45" s="1"/>
  <c r="L150" i="45"/>
  <c r="L150" i="7" s="1"/>
  <c r="AJ150" i="4" s="1"/>
  <c r="AV150" i="4" s="1"/>
  <c r="N10" i="48"/>
  <c r="N111" i="37"/>
  <c r="M142" i="37"/>
  <c r="M151" i="37" s="1"/>
  <c r="N114" i="29"/>
  <c r="N88" i="10"/>
  <c r="N101" i="10"/>
  <c r="N26" i="8"/>
  <c r="N38" i="8"/>
  <c r="N97" i="6"/>
  <c r="N97" i="5"/>
  <c r="AW72" i="4"/>
  <c r="Z43" i="4"/>
  <c r="L89" i="19"/>
  <c r="N89" i="19" s="1"/>
  <c r="N14" i="5"/>
  <c r="N16" i="5"/>
  <c r="N18" i="5"/>
  <c r="L22" i="5"/>
  <c r="L22" i="4" s="1"/>
  <c r="L103" i="5"/>
  <c r="L103" i="4" s="1"/>
  <c r="N103" i="4" s="1"/>
  <c r="L117" i="5"/>
  <c r="L117" i="4" s="1"/>
  <c r="N117" i="4" s="1"/>
  <c r="L119" i="5"/>
  <c r="L119" i="4" s="1"/>
  <c r="N119" i="4" s="1"/>
  <c r="L120" i="5"/>
  <c r="L120" i="4" s="1"/>
  <c r="N120" i="4" s="1"/>
  <c r="L121" i="5"/>
  <c r="L121" i="4" s="1"/>
  <c r="N121" i="4" s="1"/>
  <c r="L101" i="19"/>
  <c r="L101" i="5" s="1"/>
  <c r="L101" i="4" s="1"/>
  <c r="L114" i="19"/>
  <c r="L111" i="19" s="1"/>
  <c r="N123" i="19"/>
  <c r="N35" i="5"/>
  <c r="M38" i="5"/>
  <c r="M38" i="4" s="1"/>
  <c r="N95" i="5"/>
  <c r="N99" i="5"/>
  <c r="N116" i="5"/>
  <c r="N122" i="5"/>
  <c r="M123" i="5"/>
  <c r="M123" i="4" s="1"/>
  <c r="N129" i="5"/>
  <c r="N133" i="5"/>
  <c r="M128" i="5"/>
  <c r="M128" i="4" s="1"/>
  <c r="N32" i="5"/>
  <c r="L34" i="5"/>
  <c r="L34" i="4" s="1"/>
  <c r="N40" i="5"/>
  <c r="N42" i="5"/>
  <c r="N44" i="5"/>
  <c r="M134" i="5"/>
  <c r="M134" i="4" s="1"/>
  <c r="N91" i="5"/>
  <c r="N107" i="5"/>
  <c r="L9" i="18"/>
  <c r="N9" i="18" s="1"/>
  <c r="L45" i="18"/>
  <c r="N45" i="18" s="1"/>
  <c r="N61" i="18"/>
  <c r="L75" i="18"/>
  <c r="L74" i="18" s="1"/>
  <c r="N74" i="18" s="1"/>
  <c r="L89" i="18"/>
  <c r="L88" i="18" s="1"/>
  <c r="L142" i="18" s="1"/>
  <c r="L151" i="18" s="1"/>
  <c r="N101" i="18"/>
  <c r="N114" i="18"/>
  <c r="N123" i="18"/>
  <c r="N134" i="18"/>
  <c r="N64" i="5"/>
  <c r="M30" i="57"/>
  <c r="N30" i="57" s="1"/>
  <c r="N45" i="57"/>
  <c r="N74" i="57"/>
  <c r="L142" i="57"/>
  <c r="L151" i="57" s="1"/>
  <c r="N46" i="5"/>
  <c r="M49" i="5"/>
  <c r="M49" i="4" s="1"/>
  <c r="N62" i="5"/>
  <c r="N66" i="5"/>
  <c r="N76" i="5"/>
  <c r="N78" i="5"/>
  <c r="M79" i="5"/>
  <c r="M79" i="4" s="1"/>
  <c r="L123" i="5"/>
  <c r="L123" i="4" s="1"/>
  <c r="L143" i="5"/>
  <c r="L143" i="4" s="1"/>
  <c r="N103" i="5"/>
  <c r="N115" i="5"/>
  <c r="N117" i="5"/>
  <c r="N119" i="5"/>
  <c r="N9" i="57"/>
  <c r="N22" i="57"/>
  <c r="L25" i="57"/>
  <c r="L73" i="57" s="1"/>
  <c r="L85" i="57" s="1"/>
  <c r="N49" i="57"/>
  <c r="N67" i="57"/>
  <c r="N79" i="57"/>
  <c r="N101" i="57"/>
  <c r="N134" i="57"/>
  <c r="N24" i="5"/>
  <c r="N36" i="5"/>
  <c r="L38" i="5"/>
  <c r="L38" i="4" s="1"/>
  <c r="N38" i="4" s="1"/>
  <c r="N52" i="5"/>
  <c r="N54" i="5"/>
  <c r="N56" i="5"/>
  <c r="N60" i="5"/>
  <c r="M61" i="5"/>
  <c r="M61" i="4" s="1"/>
  <c r="N68" i="5"/>
  <c r="N57" i="4"/>
  <c r="N11" i="5"/>
  <c r="N13" i="5"/>
  <c r="N15" i="5"/>
  <c r="N17" i="5"/>
  <c r="N19" i="5"/>
  <c r="N21" i="5"/>
  <c r="M22" i="5"/>
  <c r="M22" i="4" s="1"/>
  <c r="N31" i="77"/>
  <c r="M45" i="77"/>
  <c r="M45" i="5" s="1"/>
  <c r="M45" i="4" s="1"/>
  <c r="N49" i="77"/>
  <c r="N67" i="77"/>
  <c r="N70" i="77"/>
  <c r="L89" i="77"/>
  <c r="L88" i="77" s="1"/>
  <c r="L111" i="77"/>
  <c r="N114" i="77"/>
  <c r="N123" i="77"/>
  <c r="L128" i="77"/>
  <c r="N143" i="77"/>
  <c r="M111" i="77"/>
  <c r="M142" i="77" s="1"/>
  <c r="M151" i="77" s="1"/>
  <c r="Z72" i="4"/>
  <c r="Z103" i="4"/>
  <c r="Z19" i="4"/>
  <c r="L90" i="6"/>
  <c r="X90" i="4" s="1"/>
  <c r="Z90" i="4" s="1"/>
  <c r="L91" i="6"/>
  <c r="X91" i="4" s="1"/>
  <c r="Z91" i="4" s="1"/>
  <c r="L108" i="6"/>
  <c r="X108" i="4" s="1"/>
  <c r="Z108" i="4" s="1"/>
  <c r="L126" i="6"/>
  <c r="X126" i="4" s="1"/>
  <c r="Z126" i="4" s="1"/>
  <c r="N79" i="22"/>
  <c r="N101" i="22"/>
  <c r="N143" i="22"/>
  <c r="N64" i="6"/>
  <c r="M67" i="6"/>
  <c r="Y67" i="4" s="1"/>
  <c r="N24" i="6"/>
  <c r="N83" i="6"/>
  <c r="N31" i="46"/>
  <c r="N49" i="46"/>
  <c r="N67" i="46"/>
  <c r="L88" i="46"/>
  <c r="N105" i="46"/>
  <c r="N114" i="46"/>
  <c r="N123" i="46"/>
  <c r="N134" i="46"/>
  <c r="N16" i="6"/>
  <c r="N42" i="6"/>
  <c r="N125" i="6"/>
  <c r="Z11" i="4"/>
  <c r="L46" i="6"/>
  <c r="X46" i="4" s="1"/>
  <c r="Z46" i="4" s="1"/>
  <c r="L10" i="21"/>
  <c r="L9" i="21" s="1"/>
  <c r="N9" i="21" s="1"/>
  <c r="N26" i="21"/>
  <c r="M30" i="21"/>
  <c r="N30" i="21" s="1"/>
  <c r="N38" i="21"/>
  <c r="L45" i="21"/>
  <c r="N45" i="21" s="1"/>
  <c r="N67" i="21"/>
  <c r="L88" i="21"/>
  <c r="N105" i="21"/>
  <c r="N134" i="21"/>
  <c r="N107" i="6"/>
  <c r="N139" i="6"/>
  <c r="N27" i="6"/>
  <c r="Z15" i="4"/>
  <c r="N12" i="6"/>
  <c r="N14" i="6"/>
  <c r="N18" i="6"/>
  <c r="N20" i="6"/>
  <c r="L22" i="6"/>
  <c r="X22" i="4" s="1"/>
  <c r="N32" i="6"/>
  <c r="L34" i="6"/>
  <c r="X34" i="4" s="1"/>
  <c r="N50" i="6"/>
  <c r="N52" i="6"/>
  <c r="N54" i="6"/>
  <c r="N58" i="6"/>
  <c r="N60" i="6"/>
  <c r="M61" i="6"/>
  <c r="Y61" i="4" s="1"/>
  <c r="L70" i="6"/>
  <c r="X70" i="4" s="1"/>
  <c r="N26" i="20"/>
  <c r="N38" i="20"/>
  <c r="L45" i="20"/>
  <c r="N45" i="20" s="1"/>
  <c r="N61" i="20"/>
  <c r="L75" i="20"/>
  <c r="L74" i="20" s="1"/>
  <c r="N74" i="20" s="1"/>
  <c r="N143" i="20"/>
  <c r="N46" i="6"/>
  <c r="N48" i="6"/>
  <c r="N51" i="6"/>
  <c r="N66" i="6"/>
  <c r="N102" i="6"/>
  <c r="N91" i="6"/>
  <c r="L73" i="20"/>
  <c r="L85" i="20" s="1"/>
  <c r="L49" i="6"/>
  <c r="X49" i="4" s="1"/>
  <c r="N103" i="6"/>
  <c r="N45" i="58"/>
  <c r="N74" i="58"/>
  <c r="M25" i="58"/>
  <c r="M73" i="58" s="1"/>
  <c r="M85" i="58" s="1"/>
  <c r="Z35" i="4"/>
  <c r="L38" i="6"/>
  <c r="X38" i="4" s="1"/>
  <c r="N108" i="6"/>
  <c r="M45" i="6"/>
  <c r="Y45" i="4" s="1"/>
  <c r="N76" i="6"/>
  <c r="N78" i="6"/>
  <c r="M79" i="6"/>
  <c r="Y79" i="4" s="1"/>
  <c r="N117" i="6"/>
  <c r="N13" i="6"/>
  <c r="M34" i="6"/>
  <c r="Y34" i="4" s="1"/>
  <c r="N39" i="6"/>
  <c r="N41" i="6"/>
  <c r="N43" i="6"/>
  <c r="N53" i="6"/>
  <c r="N129" i="6"/>
  <c r="N131" i="6"/>
  <c r="M134" i="6"/>
  <c r="Y134" i="4" s="1"/>
  <c r="L9" i="58"/>
  <c r="N9" i="58" s="1"/>
  <c r="N22" i="58"/>
  <c r="N26" i="58"/>
  <c r="N34" i="58"/>
  <c r="N67" i="58"/>
  <c r="N70" i="58"/>
  <c r="N79" i="58"/>
  <c r="L88" i="58"/>
  <c r="L142" i="58" s="1"/>
  <c r="M88" i="58"/>
  <c r="M142" i="58" s="1"/>
  <c r="M151" i="58" s="1"/>
  <c r="N101" i="58"/>
  <c r="N134" i="58"/>
  <c r="L89" i="8"/>
  <c r="L114" i="8"/>
  <c r="N70" i="9"/>
  <c r="L75" i="9"/>
  <c r="L74" i="9" s="1"/>
  <c r="N74" i="9" s="1"/>
  <c r="N101" i="9"/>
  <c r="N134" i="9"/>
  <c r="M30" i="10"/>
  <c r="M25" i="10" s="1"/>
  <c r="M73" i="10" s="1"/>
  <c r="M85" i="10" s="1"/>
  <c r="N45" i="10"/>
  <c r="N75" i="10"/>
  <c r="M142" i="10"/>
  <c r="M151" i="10" s="1"/>
  <c r="N22" i="10"/>
  <c r="L25" i="10"/>
  <c r="N49" i="10"/>
  <c r="N67" i="10"/>
  <c r="N70" i="10"/>
  <c r="L74" i="10"/>
  <c r="N74" i="10" s="1"/>
  <c r="N79" i="10"/>
  <c r="N105" i="10"/>
  <c r="N111" i="10"/>
  <c r="N123" i="10"/>
  <c r="L128" i="10"/>
  <c r="L142" i="10" s="1"/>
  <c r="N143" i="10"/>
  <c r="M25" i="11"/>
  <c r="M73" i="11" s="1"/>
  <c r="M85" i="11" s="1"/>
  <c r="N30" i="11"/>
  <c r="N45" i="11"/>
  <c r="N75" i="11"/>
  <c r="M142" i="11"/>
  <c r="N22" i="11"/>
  <c r="L25" i="11"/>
  <c r="N31" i="11"/>
  <c r="N49" i="11"/>
  <c r="N67" i="11"/>
  <c r="N70" i="11"/>
  <c r="L74" i="11"/>
  <c r="N74" i="11" s="1"/>
  <c r="N79" i="11"/>
  <c r="N105" i="11"/>
  <c r="N111" i="11"/>
  <c r="N123" i="11"/>
  <c r="L128" i="11"/>
  <c r="L142" i="11" s="1"/>
  <c r="N143" i="11"/>
  <c r="M142" i="12"/>
  <c r="M151" i="12" s="1"/>
  <c r="L30" i="12"/>
  <c r="N30" i="12" s="1"/>
  <c r="M25" i="12"/>
  <c r="M73" i="12" s="1"/>
  <c r="M85" i="12" s="1"/>
  <c r="N38" i="12"/>
  <c r="L45" i="12"/>
  <c r="N45" i="12" s="1"/>
  <c r="N61" i="12"/>
  <c r="L75" i="12"/>
  <c r="N88" i="12"/>
  <c r="N101" i="12"/>
  <c r="N134" i="12"/>
  <c r="M25" i="63"/>
  <c r="N45" i="63"/>
  <c r="N75" i="63"/>
  <c r="M142" i="63"/>
  <c r="M73" i="63"/>
  <c r="M85" i="63" s="1"/>
  <c r="N22" i="63"/>
  <c r="L25" i="63"/>
  <c r="N25" i="63" s="1"/>
  <c r="N31" i="63"/>
  <c r="N34" i="63"/>
  <c r="N49" i="63"/>
  <c r="N67" i="63"/>
  <c r="N70" i="63"/>
  <c r="L74" i="63"/>
  <c r="N74" i="63" s="1"/>
  <c r="N79" i="63"/>
  <c r="N105" i="63"/>
  <c r="N111" i="63"/>
  <c r="N123" i="63"/>
  <c r="L128" i="63"/>
  <c r="L142" i="63" s="1"/>
  <c r="N143" i="63"/>
  <c r="N22" i="13"/>
  <c r="N49" i="13"/>
  <c r="N67" i="13"/>
  <c r="N70" i="13"/>
  <c r="N79" i="13"/>
  <c r="N105" i="13"/>
  <c r="L114" i="13"/>
  <c r="L111" i="13" s="1"/>
  <c r="N111" i="13" s="1"/>
  <c r="N123" i="13"/>
  <c r="N134" i="13"/>
  <c r="M142" i="13"/>
  <c r="M151" i="13" s="1"/>
  <c r="L30" i="13"/>
  <c r="N30" i="13" s="1"/>
  <c r="M25" i="13"/>
  <c r="M73" i="13" s="1"/>
  <c r="M85" i="13" s="1"/>
  <c r="N38" i="13"/>
  <c r="L45" i="13"/>
  <c r="N45" i="13" s="1"/>
  <c r="N61" i="13"/>
  <c r="L75" i="13"/>
  <c r="N88" i="13"/>
  <c r="N101" i="13"/>
  <c r="L128" i="13"/>
  <c r="L142" i="13" s="1"/>
  <c r="N143" i="13"/>
  <c r="L30" i="14"/>
  <c r="N30" i="14" s="1"/>
  <c r="M25" i="14"/>
  <c r="N38" i="14"/>
  <c r="N61" i="14"/>
  <c r="L75" i="14"/>
  <c r="L74" i="14" s="1"/>
  <c r="N74" i="14" s="1"/>
  <c r="L111" i="14"/>
  <c r="N111" i="14" s="1"/>
  <c r="L128" i="14"/>
  <c r="N128" i="14" s="1"/>
  <c r="N143" i="14"/>
  <c r="M25" i="49"/>
  <c r="N45" i="49"/>
  <c r="N75" i="49"/>
  <c r="M142" i="49"/>
  <c r="M73" i="49"/>
  <c r="M85" i="49" s="1"/>
  <c r="N22" i="49"/>
  <c r="L25" i="49"/>
  <c r="N25" i="49" s="1"/>
  <c r="N31" i="49"/>
  <c r="N34" i="49"/>
  <c r="N49" i="49"/>
  <c r="N67" i="49"/>
  <c r="N70" i="49"/>
  <c r="L74" i="49"/>
  <c r="N74" i="49" s="1"/>
  <c r="N79" i="49"/>
  <c r="N105" i="49"/>
  <c r="N111" i="49"/>
  <c r="N123" i="49"/>
  <c r="L128" i="49"/>
  <c r="L142" i="49" s="1"/>
  <c r="N143" i="49"/>
  <c r="N75" i="15"/>
  <c r="N10" i="15"/>
  <c r="M25" i="15"/>
  <c r="M73" i="15" s="1"/>
  <c r="M85" i="15" s="1"/>
  <c r="N38" i="15"/>
  <c r="N49" i="15"/>
  <c r="N67" i="15"/>
  <c r="N70" i="15"/>
  <c r="L74" i="15"/>
  <c r="N74" i="15" s="1"/>
  <c r="N79" i="15"/>
  <c r="N101" i="15"/>
  <c r="L111" i="15"/>
  <c r="N111" i="15" s="1"/>
  <c r="L128" i="15"/>
  <c r="N143" i="15"/>
  <c r="N10" i="16"/>
  <c r="M25" i="16"/>
  <c r="M73" i="16" s="1"/>
  <c r="M85" i="16" s="1"/>
  <c r="N38" i="16"/>
  <c r="L45" i="16"/>
  <c r="N45" i="16" s="1"/>
  <c r="N61" i="16"/>
  <c r="L75" i="16"/>
  <c r="L74" i="16" s="1"/>
  <c r="N74" i="16" s="1"/>
  <c r="N89" i="16"/>
  <c r="N101" i="16"/>
  <c r="L111" i="16"/>
  <c r="N111" i="16" s="1"/>
  <c r="N143" i="16"/>
  <c r="M25" i="17"/>
  <c r="M73" i="17" s="1"/>
  <c r="M85" i="17" s="1"/>
  <c r="L45" i="17"/>
  <c r="L75" i="17"/>
  <c r="L74" i="17" s="1"/>
  <c r="N89" i="17"/>
  <c r="N105" i="17"/>
  <c r="N134" i="17"/>
  <c r="N45" i="32"/>
  <c r="N74" i="32"/>
  <c r="L9" i="32"/>
  <c r="N9" i="32" s="1"/>
  <c r="N22" i="32"/>
  <c r="N26" i="32"/>
  <c r="N34" i="32"/>
  <c r="N49" i="32"/>
  <c r="N67" i="32"/>
  <c r="N70" i="32"/>
  <c r="N79" i="32"/>
  <c r="L88" i="32"/>
  <c r="N88" i="32" s="1"/>
  <c r="N105" i="32"/>
  <c r="N114" i="32"/>
  <c r="N123" i="32"/>
  <c r="N134" i="32"/>
  <c r="N45" i="31"/>
  <c r="N75" i="31"/>
  <c r="M142" i="31"/>
  <c r="M151" i="31" s="1"/>
  <c r="L9" i="31"/>
  <c r="N9" i="31" s="1"/>
  <c r="M73" i="31"/>
  <c r="M85" i="31" s="1"/>
  <c r="N22" i="31"/>
  <c r="N26" i="31"/>
  <c r="N34" i="31"/>
  <c r="N49" i="31"/>
  <c r="N67" i="31"/>
  <c r="N70" i="31"/>
  <c r="L74" i="31"/>
  <c r="N74" i="31" s="1"/>
  <c r="N79" i="31"/>
  <c r="N105" i="31"/>
  <c r="N111" i="31"/>
  <c r="N123" i="31"/>
  <c r="L128" i="31"/>
  <c r="N128" i="31" s="1"/>
  <c r="N143" i="31"/>
  <c r="N10" i="30"/>
  <c r="M25" i="30"/>
  <c r="M73" i="30" s="1"/>
  <c r="M85" i="30" s="1"/>
  <c r="N38" i="30"/>
  <c r="L45" i="30"/>
  <c r="N45" i="30" s="1"/>
  <c r="N61" i="30"/>
  <c r="L75" i="30"/>
  <c r="L74" i="30" s="1"/>
  <c r="N74" i="30" s="1"/>
  <c r="N89" i="30"/>
  <c r="N101" i="30"/>
  <c r="N134" i="30"/>
  <c r="M25" i="29"/>
  <c r="N45" i="29"/>
  <c r="N75" i="29"/>
  <c r="N22" i="29"/>
  <c r="L25" i="29"/>
  <c r="L73" i="29" s="1"/>
  <c r="N31" i="29"/>
  <c r="N34" i="29"/>
  <c r="N49" i="29"/>
  <c r="N67" i="29"/>
  <c r="N70" i="29"/>
  <c r="L74" i="29"/>
  <c r="N74" i="29" s="1"/>
  <c r="N79" i="29"/>
  <c r="N101" i="29"/>
  <c r="L111" i="29"/>
  <c r="N111" i="29" s="1"/>
  <c r="L128" i="29"/>
  <c r="N143" i="29"/>
  <c r="L30" i="28"/>
  <c r="N30" i="28" s="1"/>
  <c r="M25" i="28"/>
  <c r="M73" i="28" s="1"/>
  <c r="M85" i="28" s="1"/>
  <c r="N38" i="28"/>
  <c r="N61" i="28"/>
  <c r="L75" i="28"/>
  <c r="L88" i="28"/>
  <c r="N105" i="28"/>
  <c r="L114" i="28"/>
  <c r="N114" i="28" s="1"/>
  <c r="N134" i="28"/>
  <c r="M25" i="27"/>
  <c r="N45" i="27"/>
  <c r="N75" i="27"/>
  <c r="M142" i="27"/>
  <c r="M151" i="27" s="1"/>
  <c r="M73" i="27"/>
  <c r="M85" i="27" s="1"/>
  <c r="N22" i="27"/>
  <c r="L25" i="27"/>
  <c r="N25" i="27" s="1"/>
  <c r="N31" i="27"/>
  <c r="N34" i="27"/>
  <c r="N49" i="27"/>
  <c r="N67" i="27"/>
  <c r="N70" i="27"/>
  <c r="L74" i="27"/>
  <c r="N74" i="27" s="1"/>
  <c r="N79" i="27"/>
  <c r="N105" i="27"/>
  <c r="N111" i="27"/>
  <c r="L128" i="27"/>
  <c r="N143" i="27"/>
  <c r="N10" i="26"/>
  <c r="M25" i="26"/>
  <c r="M73" i="26" s="1"/>
  <c r="M85" i="26" s="1"/>
  <c r="N38" i="26"/>
  <c r="L45" i="26"/>
  <c r="N45" i="26" s="1"/>
  <c r="N61" i="26"/>
  <c r="L75" i="26"/>
  <c r="L74" i="26" s="1"/>
  <c r="N74" i="26" s="1"/>
  <c r="N89" i="26"/>
  <c r="N101" i="26"/>
  <c r="L128" i="26"/>
  <c r="N143" i="26"/>
  <c r="L30" i="37"/>
  <c r="N30" i="37" s="1"/>
  <c r="M25" i="37"/>
  <c r="M73" i="37" s="1"/>
  <c r="M85" i="37" s="1"/>
  <c r="N38" i="37"/>
  <c r="L45" i="37"/>
  <c r="N45" i="37" s="1"/>
  <c r="N61" i="37"/>
  <c r="L75" i="37"/>
  <c r="N88" i="37"/>
  <c r="N101" i="37"/>
  <c r="N134" i="37"/>
  <c r="N10" i="36"/>
  <c r="M25" i="36"/>
  <c r="M73" i="36" s="1"/>
  <c r="M85" i="36" s="1"/>
  <c r="N38" i="36"/>
  <c r="L45" i="36"/>
  <c r="N45" i="36" s="1"/>
  <c r="N61" i="36"/>
  <c r="L75" i="36"/>
  <c r="L74" i="36" s="1"/>
  <c r="N74" i="36" s="1"/>
  <c r="N89" i="36"/>
  <c r="N105" i="36"/>
  <c r="L111" i="36"/>
  <c r="N111" i="36" s="1"/>
  <c r="L128" i="36"/>
  <c r="N143" i="36"/>
  <c r="M25" i="35"/>
  <c r="N45" i="35"/>
  <c r="N75" i="35"/>
  <c r="M142" i="35"/>
  <c r="M151" i="35" s="1"/>
  <c r="N22" i="35"/>
  <c r="L25" i="35"/>
  <c r="L73" i="35" s="1"/>
  <c r="N31" i="35"/>
  <c r="N34" i="35"/>
  <c r="N49" i="35"/>
  <c r="N67" i="35"/>
  <c r="N70" i="35"/>
  <c r="L74" i="35"/>
  <c r="N74" i="35" s="1"/>
  <c r="N79" i="35"/>
  <c r="N105" i="35"/>
  <c r="N111" i="35"/>
  <c r="N123" i="35"/>
  <c r="L128" i="35"/>
  <c r="N128" i="35" s="1"/>
  <c r="N143" i="35"/>
  <c r="N10" i="50"/>
  <c r="M25" i="50"/>
  <c r="M73" i="50" s="1"/>
  <c r="M85" i="50" s="1"/>
  <c r="N38" i="50"/>
  <c r="L45" i="50"/>
  <c r="N45" i="50" s="1"/>
  <c r="N61" i="50"/>
  <c r="L75" i="50"/>
  <c r="L74" i="50" s="1"/>
  <c r="N74" i="50" s="1"/>
  <c r="N89" i="50"/>
  <c r="N101" i="50"/>
  <c r="L111" i="50"/>
  <c r="N111" i="50" s="1"/>
  <c r="N134" i="50"/>
  <c r="N128" i="50"/>
  <c r="N10" i="34"/>
  <c r="M25" i="34"/>
  <c r="N38" i="34"/>
  <c r="L45" i="34"/>
  <c r="N45" i="34" s="1"/>
  <c r="N61" i="34"/>
  <c r="L75" i="34"/>
  <c r="L74" i="34" s="1"/>
  <c r="N74" i="34" s="1"/>
  <c r="N89" i="34"/>
  <c r="N101" i="34"/>
  <c r="L111" i="34"/>
  <c r="N111" i="34" s="1"/>
  <c r="N143" i="34"/>
  <c r="M25" i="33"/>
  <c r="M73" i="33" s="1"/>
  <c r="M85" i="33" s="1"/>
  <c r="N45" i="33"/>
  <c r="N75" i="33"/>
  <c r="M142" i="33"/>
  <c r="N22" i="33"/>
  <c r="L25" i="33"/>
  <c r="N31" i="33"/>
  <c r="N34" i="33"/>
  <c r="N49" i="33"/>
  <c r="N67" i="33"/>
  <c r="N70" i="33"/>
  <c r="L74" i="33"/>
  <c r="N74" i="33" s="1"/>
  <c r="N79" i="33"/>
  <c r="N105" i="33"/>
  <c r="N111" i="33"/>
  <c r="N123" i="33"/>
  <c r="L128" i="33"/>
  <c r="L142" i="33" s="1"/>
  <c r="N143" i="33"/>
  <c r="M25" i="54"/>
  <c r="N45" i="54"/>
  <c r="N75" i="54"/>
  <c r="M142" i="54"/>
  <c r="M73" i="54"/>
  <c r="M85" i="54" s="1"/>
  <c r="N22" i="54"/>
  <c r="L25" i="54"/>
  <c r="N25" i="54" s="1"/>
  <c r="N31" i="54"/>
  <c r="N34" i="54"/>
  <c r="N49" i="54"/>
  <c r="N67" i="54"/>
  <c r="N70" i="54"/>
  <c r="L74" i="54"/>
  <c r="N74" i="54" s="1"/>
  <c r="N79" i="54"/>
  <c r="N105" i="54"/>
  <c r="N111" i="54"/>
  <c r="N123" i="54"/>
  <c r="L128" i="54"/>
  <c r="N143" i="54"/>
  <c r="M25" i="53"/>
  <c r="M73" i="53" s="1"/>
  <c r="M85" i="53" s="1"/>
  <c r="N30" i="53"/>
  <c r="N45" i="53"/>
  <c r="N75" i="53"/>
  <c r="M142" i="53"/>
  <c r="N22" i="53"/>
  <c r="L25" i="53"/>
  <c r="N31" i="53"/>
  <c r="N34" i="53"/>
  <c r="N49" i="53"/>
  <c r="N67" i="53"/>
  <c r="N70" i="53"/>
  <c r="L74" i="53"/>
  <c r="N74" i="53" s="1"/>
  <c r="N79" i="53"/>
  <c r="N105" i="53"/>
  <c r="N111" i="53"/>
  <c r="N123" i="53"/>
  <c r="L128" i="53"/>
  <c r="L142" i="53" s="1"/>
  <c r="N143" i="53"/>
  <c r="M25" i="55"/>
  <c r="N45" i="55"/>
  <c r="N75" i="55"/>
  <c r="M142" i="55"/>
  <c r="M73" i="55"/>
  <c r="M85" i="55" s="1"/>
  <c r="N22" i="55"/>
  <c r="L25" i="55"/>
  <c r="N25" i="55" s="1"/>
  <c r="N31" i="55"/>
  <c r="N34" i="55"/>
  <c r="N49" i="55"/>
  <c r="N67" i="55"/>
  <c r="N70" i="55"/>
  <c r="L74" i="55"/>
  <c r="N74" i="55" s="1"/>
  <c r="N79" i="55"/>
  <c r="N105" i="55"/>
  <c r="N111" i="55"/>
  <c r="N123" i="55"/>
  <c r="L128" i="55"/>
  <c r="N143" i="55"/>
  <c r="L30" i="52"/>
  <c r="N30" i="52" s="1"/>
  <c r="M25" i="52"/>
  <c r="M73" i="52" s="1"/>
  <c r="M85" i="52" s="1"/>
  <c r="N38" i="52"/>
  <c r="L45" i="52"/>
  <c r="N45" i="52" s="1"/>
  <c r="N61" i="52"/>
  <c r="L75" i="52"/>
  <c r="N88" i="52"/>
  <c r="N101" i="52"/>
  <c r="N134" i="52"/>
  <c r="N10" i="51"/>
  <c r="M25" i="51"/>
  <c r="M73" i="51" s="1"/>
  <c r="M85" i="51" s="1"/>
  <c r="N38" i="51"/>
  <c r="L45" i="51"/>
  <c r="N45" i="51" s="1"/>
  <c r="N61" i="51"/>
  <c r="L75" i="51"/>
  <c r="L74" i="51" s="1"/>
  <c r="N74" i="51" s="1"/>
  <c r="N89" i="51"/>
  <c r="N105" i="51"/>
  <c r="L114" i="51"/>
  <c r="L111" i="51" s="1"/>
  <c r="N111" i="51" s="1"/>
  <c r="N123" i="51"/>
  <c r="N134" i="51"/>
  <c r="M142" i="47"/>
  <c r="L30" i="47"/>
  <c r="N30" i="47" s="1"/>
  <c r="M25" i="47"/>
  <c r="N38" i="47"/>
  <c r="L45" i="47"/>
  <c r="N45" i="47" s="1"/>
  <c r="N61" i="47"/>
  <c r="L75" i="47"/>
  <c r="N88" i="47"/>
  <c r="N101" i="47"/>
  <c r="L128" i="47"/>
  <c r="N128" i="47" s="1"/>
  <c r="N143" i="47"/>
  <c r="N45" i="48"/>
  <c r="N75" i="48"/>
  <c r="M142" i="48"/>
  <c r="M151" i="48" s="1"/>
  <c r="L9" i="48"/>
  <c r="N9" i="48" s="1"/>
  <c r="N22" i="48"/>
  <c r="N26" i="48"/>
  <c r="N34" i="48"/>
  <c r="N49" i="48"/>
  <c r="N67" i="48"/>
  <c r="N70" i="48"/>
  <c r="L74" i="48"/>
  <c r="N74" i="48" s="1"/>
  <c r="N79" i="48"/>
  <c r="N105" i="48"/>
  <c r="N111" i="48"/>
  <c r="N123" i="48"/>
  <c r="L128" i="48"/>
  <c r="N143" i="48"/>
  <c r="BD111" i="59"/>
  <c r="Z123" i="59"/>
  <c r="AD114" i="59"/>
  <c r="AD111" i="59" s="1"/>
  <c r="AD142" i="59" s="1"/>
  <c r="AD151" i="59" s="1"/>
  <c r="BT22" i="59"/>
  <c r="BT31" i="59"/>
  <c r="BT38" i="59"/>
  <c r="BT61" i="59"/>
  <c r="BT70" i="59"/>
  <c r="BT105" i="59"/>
  <c r="BT21" i="59"/>
  <c r="BT67" i="59"/>
  <c r="BT120" i="59"/>
  <c r="N88" i="59"/>
  <c r="AJ88" i="59"/>
  <c r="AR9" i="59"/>
  <c r="AR88" i="59"/>
  <c r="AV88" i="59"/>
  <c r="BH30" i="59"/>
  <c r="BH25" i="59" s="1"/>
  <c r="BH73" i="59" s="1"/>
  <c r="BH85" i="59" s="1"/>
  <c r="BH88" i="59"/>
  <c r="R88" i="59"/>
  <c r="V88" i="59"/>
  <c r="AJ111" i="59"/>
  <c r="AJ142" i="59" s="1"/>
  <c r="AJ151" i="59" s="1"/>
  <c r="AN88" i="59"/>
  <c r="BL111" i="59"/>
  <c r="V111" i="59"/>
  <c r="V142" i="59" s="1"/>
  <c r="V151" i="59" s="1"/>
  <c r="V152" i="59" s="1"/>
  <c r="BT45" i="59"/>
  <c r="J88" i="59"/>
  <c r="N114" i="59"/>
  <c r="N111" i="59" s="1"/>
  <c r="R111" i="59"/>
  <c r="Z88" i="59"/>
  <c r="BT138" i="59"/>
  <c r="BT140" i="59"/>
  <c r="AR111" i="59"/>
  <c r="AV114" i="59"/>
  <c r="AV111" i="59" s="1"/>
  <c r="BT139" i="59"/>
  <c r="AZ88" i="59"/>
  <c r="BD30" i="59"/>
  <c r="BD25" i="59" s="1"/>
  <c r="BD73" i="59" s="1"/>
  <c r="BD85" i="59" s="1"/>
  <c r="BL30" i="59"/>
  <c r="BL25" i="59" s="1"/>
  <c r="BL73" i="59" s="1"/>
  <c r="BL85" i="59" s="1"/>
  <c r="BP88" i="59"/>
  <c r="F88" i="59"/>
  <c r="BT89" i="59"/>
  <c r="F123" i="59"/>
  <c r="F111" i="59" s="1"/>
  <c r="BT126" i="59"/>
  <c r="J75" i="59"/>
  <c r="Z79" i="59"/>
  <c r="Z75" i="59" s="1"/>
  <c r="Z74" i="59" s="1"/>
  <c r="BT81" i="59"/>
  <c r="BT80" i="59"/>
  <c r="AJ79" i="59"/>
  <c r="AJ75" i="59" s="1"/>
  <c r="AJ74" i="59" s="1"/>
  <c r="BT49" i="59"/>
  <c r="BT26" i="59"/>
  <c r="BT34" i="59"/>
  <c r="BT128" i="59"/>
  <c r="BT121" i="59"/>
  <c r="J123" i="59"/>
  <c r="BT124" i="59"/>
  <c r="J143" i="59"/>
  <c r="BT147" i="59"/>
  <c r="BT101" i="59"/>
  <c r="BT137" i="59"/>
  <c r="AN111" i="59"/>
  <c r="BH111" i="59"/>
  <c r="J9" i="59"/>
  <c r="J30" i="59"/>
  <c r="J25" i="59" s="1"/>
  <c r="R30" i="59"/>
  <c r="R25" i="59" s="1"/>
  <c r="R73" i="59" s="1"/>
  <c r="R85" i="59" s="1"/>
  <c r="Z30" i="59"/>
  <c r="Z25" i="59" s="1"/>
  <c r="Z73" i="59" s="1"/>
  <c r="Z114" i="59"/>
  <c r="AD30" i="59"/>
  <c r="AD25" i="59" s="1"/>
  <c r="AD73" i="59" s="1"/>
  <c r="AD85" i="59" s="1"/>
  <c r="AJ30" i="59"/>
  <c r="AJ25" i="59" s="1"/>
  <c r="AJ73" i="59" s="1"/>
  <c r="AN9" i="59"/>
  <c r="AN30" i="59"/>
  <c r="AN25" i="59" s="1"/>
  <c r="AR30" i="59"/>
  <c r="AR25" i="59" s="1"/>
  <c r="AV30" i="59"/>
  <c r="AV25" i="59" s="1"/>
  <c r="AV73" i="59" s="1"/>
  <c r="AV85" i="59" s="1"/>
  <c r="AZ9" i="59"/>
  <c r="AZ30" i="59"/>
  <c r="AZ25" i="59" s="1"/>
  <c r="AZ111" i="59"/>
  <c r="BD88" i="59"/>
  <c r="BL88" i="59"/>
  <c r="BP30" i="59"/>
  <c r="BP25" i="59" s="1"/>
  <c r="BP73" i="59" s="1"/>
  <c r="BP85" i="59" s="1"/>
  <c r="BP111" i="59"/>
  <c r="BT10" i="59"/>
  <c r="BT112" i="59"/>
  <c r="BT134" i="59"/>
  <c r="F30" i="59"/>
  <c r="J114" i="59"/>
  <c r="M25" i="45"/>
  <c r="N30" i="48"/>
  <c r="L25" i="48"/>
  <c r="L142" i="48"/>
  <c r="N31" i="48"/>
  <c r="N89" i="48"/>
  <c r="N114" i="48"/>
  <c r="N128" i="48"/>
  <c r="N9" i="47"/>
  <c r="M73" i="47"/>
  <c r="M85" i="47" s="1"/>
  <c r="M151" i="47"/>
  <c r="N10" i="47"/>
  <c r="N26" i="47"/>
  <c r="N89" i="47"/>
  <c r="L111" i="47"/>
  <c r="N111" i="47" s="1"/>
  <c r="N30" i="51"/>
  <c r="L25" i="51"/>
  <c r="N9" i="51"/>
  <c r="N31" i="51"/>
  <c r="N75" i="51"/>
  <c r="N128" i="51"/>
  <c r="L142" i="52"/>
  <c r="N9" i="52"/>
  <c r="N10" i="52"/>
  <c r="N26" i="52"/>
  <c r="N89" i="52"/>
  <c r="N114" i="52"/>
  <c r="N128" i="52"/>
  <c r="L142" i="55"/>
  <c r="N9" i="55"/>
  <c r="M151" i="55"/>
  <c r="N10" i="55"/>
  <c r="N26" i="55"/>
  <c r="N89" i="55"/>
  <c r="N114" i="55"/>
  <c r="N128" i="55"/>
  <c r="L73" i="53"/>
  <c r="N9" i="53"/>
  <c r="M151" i="53"/>
  <c r="N10" i="53"/>
  <c r="N26" i="53"/>
  <c r="N89" i="53"/>
  <c r="N114" i="53"/>
  <c r="L142" i="54"/>
  <c r="N9" i="54"/>
  <c r="M151" i="54"/>
  <c r="N10" i="54"/>
  <c r="N26" i="54"/>
  <c r="N89" i="54"/>
  <c r="N114" i="54"/>
  <c r="N128" i="54"/>
  <c r="L73" i="33"/>
  <c r="N9" i="33"/>
  <c r="M151" i="33"/>
  <c r="N10" i="33"/>
  <c r="N26" i="33"/>
  <c r="N89" i="33"/>
  <c r="N114" i="33"/>
  <c r="M73" i="34"/>
  <c r="M85" i="34" s="1"/>
  <c r="N30" i="34"/>
  <c r="L25" i="34"/>
  <c r="N25" i="34" s="1"/>
  <c r="M142" i="34"/>
  <c r="M151" i="34" s="1"/>
  <c r="N128" i="34"/>
  <c r="N9" i="34"/>
  <c r="N31" i="34"/>
  <c r="N75" i="34"/>
  <c r="N134" i="34"/>
  <c r="M133" i="7"/>
  <c r="AK133" i="4" s="1"/>
  <c r="AW133" i="4" s="1"/>
  <c r="Z21" i="76" s="1"/>
  <c r="N30" i="50"/>
  <c r="L25" i="50"/>
  <c r="M142" i="50"/>
  <c r="M151" i="50" s="1"/>
  <c r="N9" i="50"/>
  <c r="N31" i="50"/>
  <c r="L142" i="50"/>
  <c r="N9" i="35"/>
  <c r="M73" i="35"/>
  <c r="M85" i="35" s="1"/>
  <c r="L142" i="35"/>
  <c r="N10" i="35"/>
  <c r="N26" i="35"/>
  <c r="N89" i="35"/>
  <c r="N114" i="35"/>
  <c r="N30" i="36"/>
  <c r="L25" i="36"/>
  <c r="N25" i="36" s="1"/>
  <c r="M142" i="36"/>
  <c r="M151" i="36" s="1"/>
  <c r="N9" i="36"/>
  <c r="N31" i="36"/>
  <c r="N75" i="36"/>
  <c r="N114" i="36"/>
  <c r="N128" i="36"/>
  <c r="L142" i="37"/>
  <c r="N9" i="37"/>
  <c r="N10" i="37"/>
  <c r="N26" i="37"/>
  <c r="N89" i="37"/>
  <c r="N114" i="37"/>
  <c r="N128" i="37"/>
  <c r="N30" i="26"/>
  <c r="L25" i="26"/>
  <c r="M142" i="26"/>
  <c r="M151" i="26" s="1"/>
  <c r="N9" i="26"/>
  <c r="N31" i="26"/>
  <c r="N128" i="26"/>
  <c r="L114" i="26"/>
  <c r="L73" i="27"/>
  <c r="N9" i="27"/>
  <c r="N10" i="27"/>
  <c r="N26" i="27"/>
  <c r="N89" i="27"/>
  <c r="N114" i="27"/>
  <c r="N128" i="27"/>
  <c r="N9" i="28"/>
  <c r="M151" i="28"/>
  <c r="N10" i="28"/>
  <c r="N26" i="28"/>
  <c r="N49" i="28"/>
  <c r="N89" i="28"/>
  <c r="L123" i="28"/>
  <c r="N123" i="28" s="1"/>
  <c r="L128" i="28"/>
  <c r="N9" i="29"/>
  <c r="M73" i="29"/>
  <c r="M85" i="29" s="1"/>
  <c r="N10" i="29"/>
  <c r="N26" i="29"/>
  <c r="N89" i="29"/>
  <c r="N30" i="30"/>
  <c r="L25" i="30"/>
  <c r="N25" i="30" s="1"/>
  <c r="M142" i="30"/>
  <c r="M151" i="30" s="1"/>
  <c r="N9" i="30"/>
  <c r="N31" i="30"/>
  <c r="N75" i="30"/>
  <c r="N128" i="30"/>
  <c r="L114" i="30"/>
  <c r="N30" i="31"/>
  <c r="L25" i="31"/>
  <c r="N25" i="31" s="1"/>
  <c r="N31" i="31"/>
  <c r="N89" i="31"/>
  <c r="N114" i="31"/>
  <c r="M73" i="32"/>
  <c r="M85" i="32" s="1"/>
  <c r="N30" i="32"/>
  <c r="L25" i="32"/>
  <c r="N25" i="32" s="1"/>
  <c r="M142" i="32"/>
  <c r="M151" i="32" s="1"/>
  <c r="N31" i="32"/>
  <c r="N75" i="32"/>
  <c r="N128" i="32"/>
  <c r="M70" i="7"/>
  <c r="AK70" i="4" s="1"/>
  <c r="L25" i="17"/>
  <c r="N114" i="17"/>
  <c r="N143" i="17"/>
  <c r="M22" i="7"/>
  <c r="AK22" i="4" s="1"/>
  <c r="L123" i="17"/>
  <c r="N123" i="17" s="1"/>
  <c r="N128" i="17"/>
  <c r="N30" i="16"/>
  <c r="L25" i="16"/>
  <c r="M142" i="16"/>
  <c r="M151" i="16" s="1"/>
  <c r="L142" i="16"/>
  <c r="N9" i="16"/>
  <c r="N31" i="16"/>
  <c r="N134" i="16"/>
  <c r="N30" i="15"/>
  <c r="L25" i="15"/>
  <c r="N45" i="15"/>
  <c r="N9" i="15"/>
  <c r="N31" i="15"/>
  <c r="N89" i="15"/>
  <c r="N128" i="15"/>
  <c r="M38" i="7"/>
  <c r="AK38" i="4" s="1"/>
  <c r="L73" i="49"/>
  <c r="N9" i="49"/>
  <c r="M151" i="49"/>
  <c r="N10" i="49"/>
  <c r="N26" i="49"/>
  <c r="N89" i="49"/>
  <c r="N114" i="49"/>
  <c r="N9" i="14"/>
  <c r="M73" i="14"/>
  <c r="M85" i="14" s="1"/>
  <c r="N10" i="14"/>
  <c r="N26" i="14"/>
  <c r="N49" i="14"/>
  <c r="N67" i="14"/>
  <c r="N123" i="14"/>
  <c r="M89" i="7"/>
  <c r="AK89" i="4" s="1"/>
  <c r="M105" i="7"/>
  <c r="AK105" i="4" s="1"/>
  <c r="L89" i="14"/>
  <c r="L105" i="14"/>
  <c r="N9" i="13"/>
  <c r="N10" i="13"/>
  <c r="N26" i="13"/>
  <c r="N89" i="13"/>
  <c r="N128" i="13"/>
  <c r="L73" i="63"/>
  <c r="N9" i="63"/>
  <c r="M151" i="63"/>
  <c r="N10" i="63"/>
  <c r="N26" i="63"/>
  <c r="N89" i="63"/>
  <c r="N114" i="63"/>
  <c r="M45" i="7"/>
  <c r="AK45" i="4" s="1"/>
  <c r="M67" i="7"/>
  <c r="AK67" i="4" s="1"/>
  <c r="M123" i="7"/>
  <c r="AK123" i="4" s="1"/>
  <c r="L142" i="12"/>
  <c r="N9" i="12"/>
  <c r="N10" i="12"/>
  <c r="N26" i="12"/>
  <c r="N89" i="12"/>
  <c r="N114" i="12"/>
  <c r="N128" i="12"/>
  <c r="L73" i="11"/>
  <c r="M151" i="11"/>
  <c r="N26" i="11"/>
  <c r="N34" i="11"/>
  <c r="N89" i="11"/>
  <c r="N114" i="11"/>
  <c r="N128" i="11"/>
  <c r="M61" i="7"/>
  <c r="AK61" i="4" s="1"/>
  <c r="N30" i="10"/>
  <c r="N31" i="10"/>
  <c r="N61" i="10"/>
  <c r="N10" i="10"/>
  <c r="M26" i="7"/>
  <c r="AK26" i="4" s="1"/>
  <c r="N34" i="10"/>
  <c r="N89" i="10"/>
  <c r="N114" i="10"/>
  <c r="N128" i="10"/>
  <c r="AW113" i="4"/>
  <c r="M101" i="7"/>
  <c r="AK101" i="4" s="1"/>
  <c r="M30" i="9"/>
  <c r="M31" i="7"/>
  <c r="AK31" i="4" s="1"/>
  <c r="N45" i="9"/>
  <c r="N128" i="9"/>
  <c r="M49" i="7"/>
  <c r="AK49" i="4" s="1"/>
  <c r="M88" i="7"/>
  <c r="AK88" i="4" s="1"/>
  <c r="N9" i="9"/>
  <c r="N10" i="9"/>
  <c r="N22" i="9"/>
  <c r="L25" i="9"/>
  <c r="N26" i="9"/>
  <c r="N31" i="9"/>
  <c r="N38" i="9"/>
  <c r="N49" i="9"/>
  <c r="N67" i="9"/>
  <c r="N75" i="9"/>
  <c r="L88" i="9"/>
  <c r="N88" i="9" s="1"/>
  <c r="N89" i="9"/>
  <c r="N105" i="9"/>
  <c r="N111" i="9"/>
  <c r="N114" i="9"/>
  <c r="M142" i="9"/>
  <c r="M151" i="9" s="1"/>
  <c r="M79" i="7"/>
  <c r="AK79" i="4" s="1"/>
  <c r="M143" i="7"/>
  <c r="AK143" i="4" s="1"/>
  <c r="M9" i="8"/>
  <c r="M10" i="7"/>
  <c r="AK10" i="4" s="1"/>
  <c r="L30" i="8"/>
  <c r="N31" i="8"/>
  <c r="M30" i="8"/>
  <c r="M34" i="7"/>
  <c r="AK34" i="4" s="1"/>
  <c r="N45" i="8"/>
  <c r="N47" i="8"/>
  <c r="N49" i="8"/>
  <c r="N55" i="8"/>
  <c r="N80" i="8"/>
  <c r="L79" i="8"/>
  <c r="N104" i="8"/>
  <c r="L101" i="8"/>
  <c r="N135" i="8"/>
  <c r="L134" i="8"/>
  <c r="N10" i="8"/>
  <c r="N34" i="8"/>
  <c r="N48" i="8"/>
  <c r="N67" i="8"/>
  <c r="N70" i="8"/>
  <c r="M74" i="8"/>
  <c r="M74" i="7" s="1"/>
  <c r="AK74" i="4" s="1"/>
  <c r="M75" i="7"/>
  <c r="AK75" i="4" s="1"/>
  <c r="N89" i="8"/>
  <c r="M111" i="8"/>
  <c r="M114" i="7"/>
  <c r="AK114" i="4" s="1"/>
  <c r="M128" i="8"/>
  <c r="M134" i="7"/>
  <c r="AK134" i="4" s="1"/>
  <c r="AW134" i="4" s="1"/>
  <c r="Z22" i="76" s="1"/>
  <c r="N143" i="8"/>
  <c r="AW63" i="4"/>
  <c r="AW11" i="4"/>
  <c r="AW32" i="4"/>
  <c r="N30" i="58"/>
  <c r="L25" i="58"/>
  <c r="N25" i="58" s="1"/>
  <c r="N31" i="58"/>
  <c r="N49" i="58"/>
  <c r="N75" i="58"/>
  <c r="N114" i="58"/>
  <c r="N128" i="58"/>
  <c r="AW77" i="4"/>
  <c r="Z23" i="4"/>
  <c r="Z39" i="4"/>
  <c r="Z60" i="4"/>
  <c r="Z27" i="4"/>
  <c r="M89" i="6"/>
  <c r="Y89" i="4" s="1"/>
  <c r="N104" i="6"/>
  <c r="N92" i="6"/>
  <c r="N77" i="6"/>
  <c r="M101" i="6"/>
  <c r="Y101" i="4" s="1"/>
  <c r="M9" i="20"/>
  <c r="M10" i="6"/>
  <c r="Y10" i="4" s="1"/>
  <c r="N31" i="20"/>
  <c r="N124" i="20"/>
  <c r="L123" i="20"/>
  <c r="N123" i="20" s="1"/>
  <c r="AW107" i="4"/>
  <c r="Z48" i="4"/>
  <c r="Z92" i="4"/>
  <c r="L118" i="6"/>
  <c r="X118" i="4" s="1"/>
  <c r="Z118" i="4" s="1"/>
  <c r="N94" i="6"/>
  <c r="N98" i="6"/>
  <c r="N109" i="6"/>
  <c r="N23" i="6"/>
  <c r="N81" i="6"/>
  <c r="N84" i="6"/>
  <c r="N10" i="20"/>
  <c r="M30" i="20"/>
  <c r="M25" i="20" s="1"/>
  <c r="N34" i="20"/>
  <c r="N70" i="20"/>
  <c r="N93" i="20"/>
  <c r="N93" i="6" s="1"/>
  <c r="L89" i="20"/>
  <c r="L93" i="6"/>
  <c r="X93" i="4" s="1"/>
  <c r="Z93" i="4" s="1"/>
  <c r="N101" i="20"/>
  <c r="N106" i="20"/>
  <c r="L105" i="20"/>
  <c r="N105" i="20" s="1"/>
  <c r="N115" i="20"/>
  <c r="L114" i="20"/>
  <c r="M128" i="20"/>
  <c r="N134" i="20"/>
  <c r="N137" i="20"/>
  <c r="N137" i="6" s="1"/>
  <c r="L137" i="6"/>
  <c r="X137" i="4" s="1"/>
  <c r="Z137" i="4" s="1"/>
  <c r="AW60" i="4"/>
  <c r="AW62" i="4"/>
  <c r="AW68" i="4"/>
  <c r="AW106" i="4"/>
  <c r="Z16" i="4"/>
  <c r="Z68" i="4"/>
  <c r="Z77" i="4"/>
  <c r="Z112" i="4"/>
  <c r="N63" i="6"/>
  <c r="N65" i="6"/>
  <c r="L67" i="6"/>
  <c r="X67" i="4" s="1"/>
  <c r="N90" i="6"/>
  <c r="M105" i="6"/>
  <c r="Y105" i="4" s="1"/>
  <c r="M123" i="6"/>
  <c r="Y123" i="4" s="1"/>
  <c r="N119" i="6"/>
  <c r="N121" i="6"/>
  <c r="N29" i="6"/>
  <c r="N33" i="6"/>
  <c r="N71" i="6"/>
  <c r="L79" i="6"/>
  <c r="X79" i="4" s="1"/>
  <c r="Z95" i="4"/>
  <c r="N10" i="21"/>
  <c r="N31" i="21"/>
  <c r="L74" i="21"/>
  <c r="N74" i="21" s="1"/>
  <c r="N75" i="21"/>
  <c r="N79" i="21"/>
  <c r="N112" i="21"/>
  <c r="N112" i="6" s="1"/>
  <c r="N124" i="21"/>
  <c r="L123" i="21"/>
  <c r="N123" i="21" s="1"/>
  <c r="AW42" i="4"/>
  <c r="Z36" i="4"/>
  <c r="Z63" i="4"/>
  <c r="Z71" i="4"/>
  <c r="AW36" i="4"/>
  <c r="AW40" i="4"/>
  <c r="AW44" i="4"/>
  <c r="L14" i="6"/>
  <c r="X14" i="4" s="1"/>
  <c r="Z14" i="4" s="1"/>
  <c r="L31" i="6"/>
  <c r="X31" i="4" s="1"/>
  <c r="M25" i="21"/>
  <c r="M73" i="21" s="1"/>
  <c r="M85" i="21" s="1"/>
  <c r="N34" i="21"/>
  <c r="N70" i="21"/>
  <c r="N128" i="21"/>
  <c r="N143" i="21"/>
  <c r="Z20" i="4"/>
  <c r="Z32" i="4"/>
  <c r="Z40" i="4"/>
  <c r="Z44" i="4"/>
  <c r="Z56" i="4"/>
  <c r="N15" i="6"/>
  <c r="N17" i="6"/>
  <c r="N19" i="6"/>
  <c r="N21" i="6"/>
  <c r="M22" i="6"/>
  <c r="Y22" i="4" s="1"/>
  <c r="N35" i="6"/>
  <c r="N37" i="6"/>
  <c r="M38" i="6"/>
  <c r="Y38" i="4" s="1"/>
  <c r="N55" i="6"/>
  <c r="N57" i="6"/>
  <c r="N59" i="6"/>
  <c r="L61" i="6"/>
  <c r="X61" i="4" s="1"/>
  <c r="Z61" i="4" s="1"/>
  <c r="N69" i="6"/>
  <c r="M70" i="6"/>
  <c r="Y70" i="4" s="1"/>
  <c r="N116" i="6"/>
  <c r="N118" i="6"/>
  <c r="N120" i="6"/>
  <c r="N122" i="6"/>
  <c r="N130" i="6"/>
  <c r="N132" i="6"/>
  <c r="L134" i="6"/>
  <c r="X134" i="4" s="1"/>
  <c r="L30" i="6"/>
  <c r="X30" i="4" s="1"/>
  <c r="N99" i="6"/>
  <c r="L101" i="6"/>
  <c r="X101" i="4" s="1"/>
  <c r="AW41" i="4"/>
  <c r="Z99" i="4"/>
  <c r="Z107" i="4"/>
  <c r="N9" i="46"/>
  <c r="N10" i="46"/>
  <c r="N22" i="46"/>
  <c r="L25" i="46"/>
  <c r="L26" i="6"/>
  <c r="X26" i="4" s="1"/>
  <c r="N26" i="46"/>
  <c r="N34" i="46"/>
  <c r="N70" i="46"/>
  <c r="N89" i="46"/>
  <c r="N101" i="46"/>
  <c r="N128" i="46"/>
  <c r="AW24" i="4"/>
  <c r="AW28" i="4"/>
  <c r="AW64" i="4"/>
  <c r="AW95" i="4"/>
  <c r="Z12" i="4"/>
  <c r="Z52" i="4"/>
  <c r="Z81" i="4"/>
  <c r="Z98" i="4"/>
  <c r="M30" i="46"/>
  <c r="M25" i="46" s="1"/>
  <c r="M73" i="46" s="1"/>
  <c r="M31" i="6"/>
  <c r="Y31" i="4" s="1"/>
  <c r="N45" i="46"/>
  <c r="N61" i="46"/>
  <c r="M75" i="46"/>
  <c r="N79" i="46"/>
  <c r="M111" i="46"/>
  <c r="N111" i="46" s="1"/>
  <c r="M114" i="6"/>
  <c r="Y114" i="4" s="1"/>
  <c r="Z24" i="4"/>
  <c r="Z28" i="4"/>
  <c r="Z64" i="4"/>
  <c r="Z125" i="4"/>
  <c r="N113" i="6"/>
  <c r="N126" i="6"/>
  <c r="L128" i="6"/>
  <c r="X128" i="4" s="1"/>
  <c r="N136" i="6"/>
  <c r="N138" i="6"/>
  <c r="N140" i="6"/>
  <c r="N144" i="6"/>
  <c r="N147" i="6"/>
  <c r="N149" i="6"/>
  <c r="N74" i="22"/>
  <c r="N75" i="22"/>
  <c r="N110" i="22"/>
  <c r="N110" i="6" s="1"/>
  <c r="L110" i="6"/>
  <c r="X110" i="4" s="1"/>
  <c r="Z110" i="4" s="1"/>
  <c r="AW23" i="4"/>
  <c r="AW27" i="4"/>
  <c r="Z51" i="4"/>
  <c r="Z55" i="4"/>
  <c r="Z59" i="4"/>
  <c r="M25" i="22"/>
  <c r="M26" i="6"/>
  <c r="Y26" i="4" s="1"/>
  <c r="N47" i="22"/>
  <c r="N47" i="6" s="1"/>
  <c r="L45" i="22"/>
  <c r="L47" i="6"/>
  <c r="X47" i="4" s="1"/>
  <c r="Z47" i="4" s="1"/>
  <c r="N61" i="22"/>
  <c r="N67" i="22"/>
  <c r="N96" i="22"/>
  <c r="N96" i="6" s="1"/>
  <c r="L96" i="6"/>
  <c r="X96" i="4" s="1"/>
  <c r="Z96" i="4" s="1"/>
  <c r="L89" i="22"/>
  <c r="N100" i="22"/>
  <c r="N100" i="6" s="1"/>
  <c r="L100" i="6"/>
  <c r="X100" i="4" s="1"/>
  <c r="Z100" i="4" s="1"/>
  <c r="N115" i="22"/>
  <c r="L114" i="22"/>
  <c r="L115" i="6"/>
  <c r="X115" i="4" s="1"/>
  <c r="Z115" i="4" s="1"/>
  <c r="N128" i="22"/>
  <c r="N134" i="22"/>
  <c r="AW15" i="4"/>
  <c r="AW19" i="4"/>
  <c r="AW35" i="4"/>
  <c r="AW37" i="4"/>
  <c r="AW47" i="4"/>
  <c r="AW53" i="4"/>
  <c r="AW57" i="4"/>
  <c r="AW69" i="4"/>
  <c r="AW78" i="4"/>
  <c r="AW83" i="4"/>
  <c r="AW97" i="4"/>
  <c r="AW112" i="4"/>
  <c r="AW129" i="4"/>
  <c r="Z18" i="76" s="1"/>
  <c r="AW146" i="4"/>
  <c r="Z13" i="4"/>
  <c r="Z17" i="4"/>
  <c r="Z21" i="4"/>
  <c r="Z29" i="4"/>
  <c r="Z33" i="4"/>
  <c r="Z37" i="4"/>
  <c r="Z41" i="4"/>
  <c r="Z53" i="4"/>
  <c r="Z57" i="4"/>
  <c r="Z65" i="4"/>
  <c r="Z69" i="4"/>
  <c r="Z76" i="4"/>
  <c r="Z80" i="4"/>
  <c r="Z84" i="4"/>
  <c r="Z94" i="4"/>
  <c r="Z102" i="4"/>
  <c r="AW21" i="4"/>
  <c r="AW39" i="4"/>
  <c r="AW43" i="4"/>
  <c r="AW59" i="4"/>
  <c r="AW76" i="4"/>
  <c r="AW91" i="4"/>
  <c r="AW93" i="4"/>
  <c r="AW94" i="4"/>
  <c r="AW108" i="4"/>
  <c r="AW110" i="4"/>
  <c r="AW122" i="4"/>
  <c r="AW126" i="4"/>
  <c r="AW138" i="4"/>
  <c r="AW149" i="4"/>
  <c r="Z129" i="4"/>
  <c r="Z133" i="4"/>
  <c r="N9" i="22"/>
  <c r="N22" i="22"/>
  <c r="N26" i="22"/>
  <c r="N30" i="22"/>
  <c r="N31" i="22"/>
  <c r="N38" i="22"/>
  <c r="N70" i="22"/>
  <c r="N106" i="22"/>
  <c r="L105" i="22"/>
  <c r="L106" i="6"/>
  <c r="X106" i="4" s="1"/>
  <c r="Z106" i="4" s="1"/>
  <c r="M111" i="22"/>
  <c r="M142" i="22" s="1"/>
  <c r="M151" i="22" s="1"/>
  <c r="N124" i="22"/>
  <c r="L123" i="22"/>
  <c r="L124" i="6"/>
  <c r="X124" i="4" s="1"/>
  <c r="M143" i="6"/>
  <c r="Y143" i="4" s="1"/>
  <c r="Z143" i="4" s="1"/>
  <c r="AW132" i="4"/>
  <c r="AW135" i="4"/>
  <c r="Z119" i="4"/>
  <c r="Z127" i="4"/>
  <c r="Z131" i="4"/>
  <c r="Z135" i="4"/>
  <c r="AW12" i="4"/>
  <c r="AW16" i="4"/>
  <c r="AW20" i="4"/>
  <c r="AW48" i="4"/>
  <c r="AW50" i="4"/>
  <c r="AW54" i="4"/>
  <c r="AW58" i="4"/>
  <c r="AW80" i="4"/>
  <c r="AW84" i="4"/>
  <c r="AW92" i="4"/>
  <c r="AW96" i="4"/>
  <c r="AW127" i="4"/>
  <c r="Z16" i="76" s="1"/>
  <c r="AW139" i="4"/>
  <c r="AW150" i="4"/>
  <c r="Z116" i="4"/>
  <c r="Z120" i="4"/>
  <c r="Z122" i="4"/>
  <c r="Z130" i="4"/>
  <c r="Z132" i="4"/>
  <c r="Z136" i="4"/>
  <c r="AW13" i="4"/>
  <c r="AW14" i="4"/>
  <c r="AW17" i="4"/>
  <c r="AW18" i="4"/>
  <c r="AW29" i="4"/>
  <c r="AW33" i="4"/>
  <c r="AW46" i="4"/>
  <c r="AW51" i="4"/>
  <c r="AW52" i="4"/>
  <c r="AW55" i="4"/>
  <c r="AW56" i="4"/>
  <c r="AW65" i="4"/>
  <c r="AW66" i="4"/>
  <c r="AW71" i="4"/>
  <c r="AW81" i="4"/>
  <c r="AW82" i="4"/>
  <c r="AW90" i="4"/>
  <c r="AW98" i="4"/>
  <c r="AW99" i="4"/>
  <c r="AW100" i="4"/>
  <c r="AW102" i="4"/>
  <c r="AW103" i="4"/>
  <c r="AW104" i="4"/>
  <c r="AW109" i="4"/>
  <c r="AW115" i="4"/>
  <c r="AW116" i="4"/>
  <c r="AW117" i="4"/>
  <c r="AW118" i="4"/>
  <c r="AW119" i="4"/>
  <c r="AW120" i="4"/>
  <c r="AW121" i="4"/>
  <c r="AW124" i="4"/>
  <c r="AW125" i="4"/>
  <c r="AW130" i="4"/>
  <c r="AW131" i="4"/>
  <c r="Z20" i="76" s="1"/>
  <c r="AW136" i="4"/>
  <c r="AW137" i="4"/>
  <c r="AW140" i="4"/>
  <c r="AW141" i="4"/>
  <c r="Z26" i="76" s="1"/>
  <c r="AW144" i="4"/>
  <c r="AW145" i="4"/>
  <c r="AW147" i="4"/>
  <c r="AW148" i="4"/>
  <c r="N19" i="4"/>
  <c r="N27" i="4"/>
  <c r="L9" i="77"/>
  <c r="L10" i="5"/>
  <c r="L10" i="4" s="1"/>
  <c r="N10" i="77"/>
  <c r="N22" i="77"/>
  <c r="L25" i="77"/>
  <c r="L26" i="5"/>
  <c r="L26" i="4" s="1"/>
  <c r="N26" i="77"/>
  <c r="N34" i="77"/>
  <c r="N38" i="77"/>
  <c r="N128" i="77"/>
  <c r="N15" i="4"/>
  <c r="N41" i="4"/>
  <c r="N53" i="4"/>
  <c r="M30" i="77"/>
  <c r="M25" i="77" s="1"/>
  <c r="M31" i="5"/>
  <c r="M31" i="4" s="1"/>
  <c r="N61" i="77"/>
  <c r="M75" i="77"/>
  <c r="N79" i="77"/>
  <c r="N106" i="77"/>
  <c r="L105" i="77"/>
  <c r="N105" i="77" s="1"/>
  <c r="N17" i="4"/>
  <c r="N21" i="4"/>
  <c r="N92" i="5"/>
  <c r="N112" i="5"/>
  <c r="N118" i="5"/>
  <c r="N120" i="5"/>
  <c r="N23" i="4"/>
  <c r="N37" i="4"/>
  <c r="N31" i="57"/>
  <c r="N75" i="57"/>
  <c r="N128" i="57"/>
  <c r="N13" i="4"/>
  <c r="N102" i="5"/>
  <c r="M105" i="5"/>
  <c r="M105" i="4" s="1"/>
  <c r="N147" i="5"/>
  <c r="N149" i="5"/>
  <c r="N10" i="57"/>
  <c r="N34" i="57"/>
  <c r="N70" i="57"/>
  <c r="N88" i="57"/>
  <c r="N89" i="57"/>
  <c r="N105" i="57"/>
  <c r="N111" i="57"/>
  <c r="N114" i="57"/>
  <c r="M142" i="57"/>
  <c r="M151" i="57" s="1"/>
  <c r="N23" i="5"/>
  <c r="N27" i="5"/>
  <c r="N29" i="5"/>
  <c r="N33" i="5"/>
  <c r="N39" i="5"/>
  <c r="N41" i="5"/>
  <c r="N43" i="5"/>
  <c r="N51" i="5"/>
  <c r="N53" i="5"/>
  <c r="N55" i="5"/>
  <c r="N57" i="5"/>
  <c r="N59" i="5"/>
  <c r="L61" i="5"/>
  <c r="L61" i="4" s="1"/>
  <c r="N69" i="5"/>
  <c r="M70" i="5"/>
  <c r="M70" i="4" s="1"/>
  <c r="N81" i="5"/>
  <c r="N100" i="5"/>
  <c r="M101" i="5"/>
  <c r="M101" i="4" s="1"/>
  <c r="N104" i="5"/>
  <c r="N124" i="5"/>
  <c r="N126" i="5"/>
  <c r="L128" i="5"/>
  <c r="L128" i="4" s="1"/>
  <c r="N136" i="5"/>
  <c r="N138" i="5"/>
  <c r="N140" i="5"/>
  <c r="N144" i="5"/>
  <c r="N29" i="4"/>
  <c r="M25" i="18"/>
  <c r="N25" i="18" s="1"/>
  <c r="M26" i="5"/>
  <c r="M26" i="4" s="1"/>
  <c r="M88" i="18"/>
  <c r="N88" i="18" s="1"/>
  <c r="M89" i="5"/>
  <c r="M89" i="4" s="1"/>
  <c r="N128" i="18"/>
  <c r="N33" i="4"/>
  <c r="N11" i="4"/>
  <c r="N22" i="18"/>
  <c r="N26" i="18"/>
  <c r="N30" i="18"/>
  <c r="N31" i="18"/>
  <c r="N38" i="18"/>
  <c r="M111" i="18"/>
  <c r="M111" i="5" s="1"/>
  <c r="M111" i="4" s="1"/>
  <c r="M114" i="5"/>
  <c r="M114" i="4" s="1"/>
  <c r="N47" i="5"/>
  <c r="L49" i="5"/>
  <c r="L49" i="4" s="1"/>
  <c r="N63" i="5"/>
  <c r="N65" i="5"/>
  <c r="L67" i="5"/>
  <c r="L67" i="4" s="1"/>
  <c r="N67" i="4" s="1"/>
  <c r="N77" i="5"/>
  <c r="L79" i="5"/>
  <c r="L79" i="4" s="1"/>
  <c r="N90" i="5"/>
  <c r="N108" i="5"/>
  <c r="N130" i="5"/>
  <c r="N132" i="5"/>
  <c r="L134" i="5"/>
  <c r="L134" i="4" s="1"/>
  <c r="L88" i="19"/>
  <c r="L88" i="5" s="1"/>
  <c r="L88" i="4" s="1"/>
  <c r="L91" i="5"/>
  <c r="L91" i="4" s="1"/>
  <c r="N35" i="4"/>
  <c r="N39" i="4"/>
  <c r="N43" i="4"/>
  <c r="N47" i="4"/>
  <c r="N51" i="4"/>
  <c r="N55" i="4"/>
  <c r="L74" i="19"/>
  <c r="N79" i="19"/>
  <c r="N109" i="19"/>
  <c r="N109" i="5" s="1"/>
  <c r="L109" i="5"/>
  <c r="L109" i="4" s="1"/>
  <c r="N109" i="4" s="1"/>
  <c r="M143" i="5"/>
  <c r="M143" i="4" s="1"/>
  <c r="M9" i="19"/>
  <c r="M10" i="5"/>
  <c r="M10" i="4" s="1"/>
  <c r="L30" i="19"/>
  <c r="L31" i="5"/>
  <c r="L31" i="4" s="1"/>
  <c r="N31" i="19"/>
  <c r="M30" i="19"/>
  <c r="M34" i="5"/>
  <c r="M34" i="4" s="1"/>
  <c r="N45" i="19"/>
  <c r="N49" i="19"/>
  <c r="N61" i="19"/>
  <c r="N67" i="19"/>
  <c r="M88" i="19"/>
  <c r="M142" i="19" s="1"/>
  <c r="N10" i="19"/>
  <c r="N34" i="19"/>
  <c r="N70" i="19"/>
  <c r="N98" i="19"/>
  <c r="N98" i="5" s="1"/>
  <c r="L98" i="5"/>
  <c r="L98" i="4" s="1"/>
  <c r="N98" i="4" s="1"/>
  <c r="N106" i="19"/>
  <c r="L105" i="19"/>
  <c r="L106" i="5"/>
  <c r="L106" i="4" s="1"/>
  <c r="N110" i="19"/>
  <c r="N110" i="5" s="1"/>
  <c r="L110" i="5"/>
  <c r="L110" i="4" s="1"/>
  <c r="N128" i="19"/>
  <c r="N134" i="19"/>
  <c r="N143" i="19"/>
  <c r="N14" i="4"/>
  <c r="N18" i="4"/>
  <c r="N42" i="4"/>
  <c r="N46" i="4"/>
  <c r="N50" i="4"/>
  <c r="N54" i="4"/>
  <c r="N58" i="4"/>
  <c r="N59" i="4"/>
  <c r="N62" i="4"/>
  <c r="N63" i="4"/>
  <c r="N65" i="4"/>
  <c r="N66" i="4"/>
  <c r="N69" i="4"/>
  <c r="N71" i="4"/>
  <c r="N77" i="4"/>
  <c r="N78" i="4"/>
  <c r="N81" i="4"/>
  <c r="N83" i="4"/>
  <c r="N84" i="4"/>
  <c r="N90" i="4"/>
  <c r="N92" i="4"/>
  <c r="N93" i="4"/>
  <c r="N94" i="4"/>
  <c r="N96" i="4"/>
  <c r="N97" i="4"/>
  <c r="N100" i="4"/>
  <c r="N102" i="4"/>
  <c r="N108" i="4"/>
  <c r="N113" i="4"/>
  <c r="N116" i="4"/>
  <c r="N118" i="4"/>
  <c r="N122" i="4"/>
  <c r="N124" i="4"/>
  <c r="N125" i="4"/>
  <c r="N126" i="4"/>
  <c r="N127" i="4"/>
  <c r="N129" i="4"/>
  <c r="N130" i="4"/>
  <c r="N131" i="4"/>
  <c r="N132" i="4"/>
  <c r="N133" i="4"/>
  <c r="N135" i="4"/>
  <c r="N136" i="4"/>
  <c r="N137" i="4"/>
  <c r="N138" i="4"/>
  <c r="N139" i="4"/>
  <c r="N140" i="4"/>
  <c r="N141" i="4"/>
  <c r="N144" i="4"/>
  <c r="N145" i="4"/>
  <c r="N147" i="4"/>
  <c r="N148" i="4"/>
  <c r="N149" i="4"/>
  <c r="N150" i="4"/>
  <c r="Z138" i="4"/>
  <c r="Z139" i="4"/>
  <c r="Z140" i="4"/>
  <c r="Z141" i="4"/>
  <c r="Z144" i="4"/>
  <c r="Z145" i="4"/>
  <c r="Z147" i="4"/>
  <c r="Z148" i="4"/>
  <c r="Z149" i="4"/>
  <c r="Z150" i="4"/>
  <c r="Z18" i="4"/>
  <c r="Z42" i="4"/>
  <c r="Z50" i="4"/>
  <c r="Z54" i="4"/>
  <c r="Z58" i="4"/>
  <c r="Z62" i="4"/>
  <c r="Z66" i="4"/>
  <c r="Z78" i="4"/>
  <c r="Z83" i="4"/>
  <c r="Z97" i="4"/>
  <c r="Z109" i="4"/>
  <c r="Z117" i="4"/>
  <c r="Z121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95" i="4"/>
  <c r="N99" i="4"/>
  <c r="N107" i="4"/>
  <c r="N115" i="4"/>
  <c r="J133" i="34"/>
  <c r="L142" i="34" l="1"/>
  <c r="N128" i="33"/>
  <c r="L132" i="7"/>
  <c r="AJ132" i="4" s="1"/>
  <c r="AL132" i="4" s="1"/>
  <c r="AX132" i="4" s="1"/>
  <c r="M142" i="15"/>
  <c r="M151" i="15" s="1"/>
  <c r="N114" i="19"/>
  <c r="N114" i="5" s="1"/>
  <c r="L9" i="5"/>
  <c r="L9" i="4" s="1"/>
  <c r="N38" i="6"/>
  <c r="N22" i="6"/>
  <c r="N128" i="63"/>
  <c r="N114" i="13"/>
  <c r="N75" i="14"/>
  <c r="L142" i="31"/>
  <c r="N142" i="31" s="1"/>
  <c r="N25" i="48"/>
  <c r="N88" i="77"/>
  <c r="N123" i="5"/>
  <c r="L73" i="21"/>
  <c r="N73" i="21" s="1"/>
  <c r="L142" i="29"/>
  <c r="L151" i="29" s="1"/>
  <c r="N151" i="29" s="1"/>
  <c r="N143" i="5"/>
  <c r="N67" i="5"/>
  <c r="N26" i="5"/>
  <c r="N70" i="4"/>
  <c r="N45" i="77"/>
  <c r="M73" i="77"/>
  <c r="N101" i="6"/>
  <c r="N143" i="6"/>
  <c r="L75" i="6"/>
  <c r="X75" i="4" s="1"/>
  <c r="N25" i="20"/>
  <c r="N75" i="20"/>
  <c r="N10" i="11"/>
  <c r="AW67" i="4"/>
  <c r="N25" i="15"/>
  <c r="L73" i="16"/>
  <c r="L85" i="16" s="1"/>
  <c r="N85" i="16" s="1"/>
  <c r="N128" i="29"/>
  <c r="N75" i="26"/>
  <c r="N25" i="26"/>
  <c r="L142" i="36"/>
  <c r="N142" i="36" s="1"/>
  <c r="L73" i="54"/>
  <c r="N73" i="54" s="1"/>
  <c r="N128" i="53"/>
  <c r="L73" i="55"/>
  <c r="N73" i="55" s="1"/>
  <c r="AZ142" i="59"/>
  <c r="AZ151" i="59" s="1"/>
  <c r="N88" i="28"/>
  <c r="N88" i="21"/>
  <c r="N88" i="46"/>
  <c r="M142" i="21"/>
  <c r="M151" i="21" s="1"/>
  <c r="N88" i="51"/>
  <c r="N25" i="33"/>
  <c r="N25" i="11"/>
  <c r="L9" i="6"/>
  <c r="X9" i="4" s="1"/>
  <c r="M88" i="6"/>
  <c r="Y88" i="4" s="1"/>
  <c r="N61" i="6"/>
  <c r="N88" i="29"/>
  <c r="L75" i="5"/>
  <c r="L75" i="4" s="1"/>
  <c r="N49" i="4"/>
  <c r="N75" i="18"/>
  <c r="L45" i="5"/>
  <c r="L45" i="4" s="1"/>
  <c r="N45" i="4" s="1"/>
  <c r="N89" i="77"/>
  <c r="N10" i="22"/>
  <c r="N10" i="6" s="1"/>
  <c r="N67" i="6"/>
  <c r="Z22" i="4"/>
  <c r="L10" i="6"/>
  <c r="X10" i="4" s="1"/>
  <c r="N49" i="6"/>
  <c r="M111" i="7"/>
  <c r="AK111" i="4" s="1"/>
  <c r="AW49" i="4"/>
  <c r="N142" i="12"/>
  <c r="N25" i="29"/>
  <c r="N75" i="50"/>
  <c r="N25" i="50"/>
  <c r="BD142" i="59"/>
  <c r="BD151" i="59" s="1"/>
  <c r="BD152" i="59" s="1"/>
  <c r="Z49" i="4"/>
  <c r="M142" i="17"/>
  <c r="M151" i="17" s="1"/>
  <c r="M142" i="46"/>
  <c r="N106" i="5"/>
  <c r="Z24" i="76"/>
  <c r="M30" i="6"/>
  <c r="Y30" i="4" s="1"/>
  <c r="Z30" i="4" s="1"/>
  <c r="N142" i="59"/>
  <c r="N151" i="59" s="1"/>
  <c r="N152" i="59" s="1"/>
  <c r="L25" i="52"/>
  <c r="N25" i="52" s="1"/>
  <c r="N25" i="53"/>
  <c r="N25" i="35"/>
  <c r="N70" i="5"/>
  <c r="N10" i="5"/>
  <c r="M73" i="18"/>
  <c r="M85" i="18" s="1"/>
  <c r="Z10" i="4"/>
  <c r="N25" i="10"/>
  <c r="N88" i="19"/>
  <c r="N88" i="5" s="1"/>
  <c r="N34" i="5"/>
  <c r="N45" i="5"/>
  <c r="M30" i="5"/>
  <c r="M30" i="4" s="1"/>
  <c r="N38" i="5"/>
  <c r="Z25" i="76"/>
  <c r="Z27" i="76" s="1"/>
  <c r="Z19" i="76"/>
  <c r="Z17" i="76" s="1"/>
  <c r="L74" i="6"/>
  <c r="X74" i="4" s="1"/>
  <c r="N34" i="6"/>
  <c r="AN142" i="59"/>
  <c r="AN151" i="59" s="1"/>
  <c r="L25" i="37"/>
  <c r="L73" i="37" s="1"/>
  <c r="N73" i="37" s="1"/>
  <c r="L25" i="28"/>
  <c r="L73" i="28" s="1"/>
  <c r="L25" i="14"/>
  <c r="L88" i="8"/>
  <c r="N88" i="8" s="1"/>
  <c r="N88" i="58"/>
  <c r="L111" i="5"/>
  <c r="L111" i="4" s="1"/>
  <c r="N111" i="4" s="1"/>
  <c r="L44" i="7"/>
  <c r="AJ44" i="4" s="1"/>
  <c r="AL44" i="4" s="1"/>
  <c r="AX44" i="4" s="1"/>
  <c r="L76" i="7"/>
  <c r="AJ76" i="4" s="1"/>
  <c r="AL76" i="4" s="1"/>
  <c r="AX76" i="4" s="1"/>
  <c r="L51" i="7"/>
  <c r="AJ51" i="4" s="1"/>
  <c r="AL51" i="4" s="1"/>
  <c r="AX51" i="4" s="1"/>
  <c r="BT143" i="59"/>
  <c r="AJ82" i="4"/>
  <c r="N82" i="7"/>
  <c r="L73" i="52"/>
  <c r="N73" i="52" s="1"/>
  <c r="L41" i="7"/>
  <c r="AJ41" i="4" s="1"/>
  <c r="AV41" i="4" s="1"/>
  <c r="L115" i="7"/>
  <c r="AJ115" i="4" s="1"/>
  <c r="AL115" i="4" s="1"/>
  <c r="AX115" i="4" s="1"/>
  <c r="L106" i="7"/>
  <c r="AJ106" i="4" s="1"/>
  <c r="AL106" i="4" s="1"/>
  <c r="L109" i="7"/>
  <c r="AJ109" i="4" s="1"/>
  <c r="AL109" i="4" s="1"/>
  <c r="AX109" i="4" s="1"/>
  <c r="L12" i="7"/>
  <c r="AJ12" i="4" s="1"/>
  <c r="AL12" i="4" s="1"/>
  <c r="AX12" i="4" s="1"/>
  <c r="L35" i="7"/>
  <c r="AJ35" i="4" s="1"/>
  <c r="AV35" i="4" s="1"/>
  <c r="L54" i="7"/>
  <c r="AJ54" i="4" s="1"/>
  <c r="AL54" i="4" s="1"/>
  <c r="AX54" i="4" s="1"/>
  <c r="L27" i="7"/>
  <c r="AJ27" i="4" s="1"/>
  <c r="AV27" i="4" s="1"/>
  <c r="L59" i="7"/>
  <c r="AJ59" i="4" s="1"/>
  <c r="AV59" i="4" s="1"/>
  <c r="L20" i="7"/>
  <c r="AJ20" i="4" s="1"/>
  <c r="AV20" i="4" s="1"/>
  <c r="L58" i="7"/>
  <c r="AJ58" i="4" s="1"/>
  <c r="AL58" i="4" s="1"/>
  <c r="AX58" i="4" s="1"/>
  <c r="L94" i="7"/>
  <c r="AJ94" i="4" s="1"/>
  <c r="AL94" i="4" s="1"/>
  <c r="AX94" i="4" s="1"/>
  <c r="L129" i="7"/>
  <c r="AJ129" i="4" s="1"/>
  <c r="AL129" i="4" s="1"/>
  <c r="AX129" i="4" s="1"/>
  <c r="L125" i="7"/>
  <c r="AJ125" i="4" s="1"/>
  <c r="AL125" i="4" s="1"/>
  <c r="AX125" i="4" s="1"/>
  <c r="L97" i="7"/>
  <c r="AJ97" i="4" s="1"/>
  <c r="AV97" i="4" s="1"/>
  <c r="L149" i="7"/>
  <c r="N149" i="7" s="1"/>
  <c r="L90" i="7"/>
  <c r="AJ90" i="4" s="1"/>
  <c r="AV90" i="4" s="1"/>
  <c r="L148" i="7"/>
  <c r="N148" i="7" s="1"/>
  <c r="N64" i="45"/>
  <c r="AV146" i="4"/>
  <c r="Y29" i="76" s="1"/>
  <c r="AA29" i="76" s="1"/>
  <c r="N146" i="7"/>
  <c r="L48" i="7"/>
  <c r="AJ48" i="4" s="1"/>
  <c r="AL48" i="4" s="1"/>
  <c r="AX48" i="4" s="1"/>
  <c r="L55" i="7"/>
  <c r="AJ55" i="4" s="1"/>
  <c r="L63" i="7"/>
  <c r="AJ63" i="4" s="1"/>
  <c r="AV63" i="4" s="1"/>
  <c r="L108" i="7"/>
  <c r="N108" i="7" s="1"/>
  <c r="L133" i="7"/>
  <c r="AJ133" i="4" s="1"/>
  <c r="AV133" i="4" s="1"/>
  <c r="L98" i="7"/>
  <c r="AJ98" i="4" s="1"/>
  <c r="AL98" i="4" s="1"/>
  <c r="AX98" i="4" s="1"/>
  <c r="L83" i="7"/>
  <c r="AJ83" i="4" s="1"/>
  <c r="AV83" i="4" s="1"/>
  <c r="L50" i="7"/>
  <c r="AJ50" i="4" s="1"/>
  <c r="AL50" i="4" s="1"/>
  <c r="AX50" i="4" s="1"/>
  <c r="L33" i="7"/>
  <c r="AJ33" i="4" s="1"/>
  <c r="AV33" i="4" s="1"/>
  <c r="L118" i="7"/>
  <c r="AJ118" i="4" s="1"/>
  <c r="AL118" i="4" s="1"/>
  <c r="AX118" i="4" s="1"/>
  <c r="L71" i="7"/>
  <c r="AJ71" i="4" s="1"/>
  <c r="AL71" i="4" s="1"/>
  <c r="AX71" i="4" s="1"/>
  <c r="L53" i="7"/>
  <c r="AJ53" i="4" s="1"/>
  <c r="AL53" i="4" s="1"/>
  <c r="AX53" i="4" s="1"/>
  <c r="L24" i="7"/>
  <c r="AJ24" i="4" s="1"/>
  <c r="AL24" i="4" s="1"/>
  <c r="AX24" i="4" s="1"/>
  <c r="L107" i="7"/>
  <c r="AJ107" i="4" s="1"/>
  <c r="AL107" i="4" s="1"/>
  <c r="AX107" i="4" s="1"/>
  <c r="L60" i="7"/>
  <c r="AJ60" i="4" s="1"/>
  <c r="AL60" i="4" s="1"/>
  <c r="AX60" i="4" s="1"/>
  <c r="L16" i="7"/>
  <c r="AJ16" i="4" s="1"/>
  <c r="AL16" i="4" s="1"/>
  <c r="AX16" i="4" s="1"/>
  <c r="L136" i="7"/>
  <c r="AJ136" i="4" s="1"/>
  <c r="AL136" i="4" s="1"/>
  <c r="AX136" i="4" s="1"/>
  <c r="L99" i="7"/>
  <c r="AJ99" i="4" s="1"/>
  <c r="AV99" i="4" s="1"/>
  <c r="L66" i="7"/>
  <c r="AJ66" i="4" s="1"/>
  <c r="AV66" i="4" s="1"/>
  <c r="L15" i="7"/>
  <c r="N15" i="7" s="1"/>
  <c r="L141" i="7"/>
  <c r="AJ141" i="4" s="1"/>
  <c r="AL141" i="4" s="1"/>
  <c r="AX141" i="4" s="1"/>
  <c r="J43" i="60" s="1"/>
  <c r="L102" i="7"/>
  <c r="AJ102" i="4" s="1"/>
  <c r="AV102" i="4" s="1"/>
  <c r="L127" i="7"/>
  <c r="AJ127" i="4" s="1"/>
  <c r="AL127" i="4" s="1"/>
  <c r="AX127" i="4" s="1"/>
  <c r="L77" i="7"/>
  <c r="AJ77" i="4" s="1"/>
  <c r="AV77" i="4" s="1"/>
  <c r="L13" i="7"/>
  <c r="AJ13" i="4" s="1"/>
  <c r="AL13" i="4" s="1"/>
  <c r="AX13" i="4" s="1"/>
  <c r="N32" i="45"/>
  <c r="N150" i="45"/>
  <c r="F142" i="59"/>
  <c r="F151" i="59" s="1"/>
  <c r="BT9" i="59"/>
  <c r="L9" i="45" s="1"/>
  <c r="L47" i="7"/>
  <c r="AJ47" i="4" s="1"/>
  <c r="AL47" i="4" s="1"/>
  <c r="AX47" i="4" s="1"/>
  <c r="L119" i="7"/>
  <c r="AJ119" i="4" s="1"/>
  <c r="AV119" i="4" s="1"/>
  <c r="L116" i="7"/>
  <c r="N116" i="7" s="1"/>
  <c r="L122" i="7"/>
  <c r="AJ122" i="4" s="1"/>
  <c r="AL122" i="4" s="1"/>
  <c r="AX122" i="4" s="1"/>
  <c r="L100" i="7"/>
  <c r="AJ100" i="4" s="1"/>
  <c r="AL100" i="4" s="1"/>
  <c r="AX100" i="4" s="1"/>
  <c r="L96" i="7"/>
  <c r="AJ96" i="4" s="1"/>
  <c r="AL96" i="4" s="1"/>
  <c r="AX96" i="4" s="1"/>
  <c r="L92" i="7"/>
  <c r="AJ92" i="4" s="1"/>
  <c r="AL92" i="4" s="1"/>
  <c r="AX92" i="4" s="1"/>
  <c r="L68" i="7"/>
  <c r="AJ68" i="4" s="1"/>
  <c r="AV68" i="4" s="1"/>
  <c r="L52" i="7"/>
  <c r="AJ52" i="4" s="1"/>
  <c r="AV52" i="4" s="1"/>
  <c r="L43" i="7"/>
  <c r="AJ43" i="4" s="1"/>
  <c r="AV43" i="4" s="1"/>
  <c r="L39" i="7"/>
  <c r="AJ39" i="4" s="1"/>
  <c r="AV39" i="4" s="1"/>
  <c r="L29" i="7"/>
  <c r="AJ29" i="4" s="1"/>
  <c r="AL29" i="4" s="1"/>
  <c r="AX29" i="4" s="1"/>
  <c r="L23" i="7"/>
  <c r="AJ23" i="4" s="1"/>
  <c r="AV23" i="4" s="1"/>
  <c r="L113" i="7"/>
  <c r="AJ113" i="4" s="1"/>
  <c r="AL113" i="4" s="1"/>
  <c r="AX113" i="4" s="1"/>
  <c r="L72" i="7"/>
  <c r="AJ72" i="4" s="1"/>
  <c r="AL72" i="4" s="1"/>
  <c r="AX72" i="4" s="1"/>
  <c r="L62" i="7"/>
  <c r="AJ62" i="4" s="1"/>
  <c r="AL62" i="4" s="1"/>
  <c r="AX62" i="4" s="1"/>
  <c r="L57" i="7"/>
  <c r="AJ57" i="4" s="1"/>
  <c r="AL57" i="4" s="1"/>
  <c r="AX57" i="4" s="1"/>
  <c r="L46" i="7"/>
  <c r="AJ46" i="4" s="1"/>
  <c r="AV46" i="4" s="1"/>
  <c r="L40" i="7"/>
  <c r="AJ40" i="4" s="1"/>
  <c r="AL40" i="4" s="1"/>
  <c r="AX40" i="4" s="1"/>
  <c r="L78" i="7"/>
  <c r="AJ78" i="4" s="1"/>
  <c r="AL78" i="4" s="1"/>
  <c r="AX78" i="4" s="1"/>
  <c r="L65" i="7"/>
  <c r="AJ65" i="4" s="1"/>
  <c r="AV65" i="4" s="1"/>
  <c r="L56" i="7"/>
  <c r="AJ56" i="4" s="1"/>
  <c r="AV56" i="4" s="1"/>
  <c r="L18" i="7"/>
  <c r="N18" i="7" s="1"/>
  <c r="L14" i="7"/>
  <c r="N14" i="7" s="1"/>
  <c r="L145" i="7"/>
  <c r="N145" i="7" s="1"/>
  <c r="L131" i="7"/>
  <c r="AJ131" i="4" s="1"/>
  <c r="AL131" i="4" s="1"/>
  <c r="AX131" i="4" s="1"/>
  <c r="L117" i="7"/>
  <c r="AJ117" i="4" s="1"/>
  <c r="AL117" i="4" s="1"/>
  <c r="AX117" i="4" s="1"/>
  <c r="L95" i="7"/>
  <c r="AJ95" i="4" s="1"/>
  <c r="AL95" i="4" s="1"/>
  <c r="AX95" i="4" s="1"/>
  <c r="L84" i="7"/>
  <c r="AJ84" i="4" s="1"/>
  <c r="AV84" i="4" s="1"/>
  <c r="L37" i="7"/>
  <c r="AJ37" i="4" s="1"/>
  <c r="AV37" i="4" s="1"/>
  <c r="L19" i="7"/>
  <c r="N19" i="7" s="1"/>
  <c r="L11" i="7"/>
  <c r="AJ11" i="4" s="1"/>
  <c r="AV11" i="4" s="1"/>
  <c r="L144" i="7"/>
  <c r="N144" i="7" s="1"/>
  <c r="L130" i="7"/>
  <c r="AJ130" i="4" s="1"/>
  <c r="AV130" i="4" s="1"/>
  <c r="L104" i="7"/>
  <c r="N104" i="7" s="1"/>
  <c r="L93" i="7"/>
  <c r="AJ93" i="4" s="1"/>
  <c r="AV93" i="4" s="1"/>
  <c r="L36" i="7"/>
  <c r="AJ36" i="4" s="1"/>
  <c r="AL36" i="4" s="1"/>
  <c r="AX36" i="4" s="1"/>
  <c r="L28" i="7"/>
  <c r="AJ28" i="4" s="1"/>
  <c r="AL28" i="4" s="1"/>
  <c r="AX28" i="4" s="1"/>
  <c r="L110" i="7"/>
  <c r="AJ110" i="4" s="1"/>
  <c r="AL110" i="4" s="1"/>
  <c r="L69" i="7"/>
  <c r="AJ69" i="4" s="1"/>
  <c r="AL69" i="4" s="1"/>
  <c r="AX69" i="4" s="1"/>
  <c r="L42" i="7"/>
  <c r="AJ42" i="4" s="1"/>
  <c r="AL42" i="4" s="1"/>
  <c r="AX42" i="4" s="1"/>
  <c r="L17" i="7"/>
  <c r="AJ17" i="4" s="1"/>
  <c r="AV17" i="4" s="1"/>
  <c r="N135" i="45"/>
  <c r="L103" i="7"/>
  <c r="AJ103" i="4" s="1"/>
  <c r="AL103" i="4" s="1"/>
  <c r="AX103" i="4" s="1"/>
  <c r="L10" i="45"/>
  <c r="N10" i="45" s="1"/>
  <c r="L101" i="45"/>
  <c r="N101" i="45" s="1"/>
  <c r="L143" i="45"/>
  <c r="L128" i="45"/>
  <c r="N128" i="45" s="1"/>
  <c r="L26" i="45"/>
  <c r="N26" i="45" s="1"/>
  <c r="L81" i="45"/>
  <c r="N81" i="45" s="1"/>
  <c r="L140" i="45"/>
  <c r="N140" i="45" s="1"/>
  <c r="L45" i="45"/>
  <c r="N45" i="45" s="1"/>
  <c r="L120" i="45"/>
  <c r="N120" i="45" s="1"/>
  <c r="L21" i="45"/>
  <c r="N21" i="45" s="1"/>
  <c r="L70" i="45"/>
  <c r="N70" i="45" s="1"/>
  <c r="L38" i="45"/>
  <c r="N38" i="45" s="1"/>
  <c r="L22" i="45"/>
  <c r="N22" i="45" s="1"/>
  <c r="L134" i="45"/>
  <c r="N134" i="45" s="1"/>
  <c r="L112" i="45"/>
  <c r="N112" i="45" s="1"/>
  <c r="L137" i="45"/>
  <c r="N137" i="45" s="1"/>
  <c r="L147" i="45"/>
  <c r="N147" i="45" s="1"/>
  <c r="L147" i="12" s="1"/>
  <c r="L124" i="45"/>
  <c r="N124" i="45" s="1"/>
  <c r="L121" i="45"/>
  <c r="N121" i="45" s="1"/>
  <c r="L34" i="45"/>
  <c r="N34" i="45" s="1"/>
  <c r="L49" i="45"/>
  <c r="N49" i="45" s="1"/>
  <c r="L80" i="45"/>
  <c r="N80" i="45" s="1"/>
  <c r="L126" i="45"/>
  <c r="N126" i="45" s="1"/>
  <c r="L89" i="45"/>
  <c r="N89" i="45" s="1"/>
  <c r="L139" i="45"/>
  <c r="L138" i="45"/>
  <c r="N138" i="45" s="1"/>
  <c r="L67" i="45"/>
  <c r="N67" i="45" s="1"/>
  <c r="L105" i="45"/>
  <c r="N105" i="45" s="1"/>
  <c r="L61" i="45"/>
  <c r="N61" i="45" s="1"/>
  <c r="L31" i="45"/>
  <c r="N31" i="45" s="1"/>
  <c r="N114" i="51"/>
  <c r="L142" i="51"/>
  <c r="AL135" i="4"/>
  <c r="AX135" i="4" s="1"/>
  <c r="N111" i="19"/>
  <c r="L114" i="5"/>
  <c r="L114" i="4" s="1"/>
  <c r="N114" i="4" s="1"/>
  <c r="N101" i="19"/>
  <c r="N101" i="5" s="1"/>
  <c r="Z70" i="4"/>
  <c r="Z38" i="4"/>
  <c r="Z67" i="4"/>
  <c r="AW45" i="4"/>
  <c r="Z34" i="4"/>
  <c r="N22" i="4"/>
  <c r="N34" i="4"/>
  <c r="N134" i="4"/>
  <c r="N128" i="4"/>
  <c r="Z134" i="4"/>
  <c r="Z79" i="4"/>
  <c r="AW61" i="4"/>
  <c r="N123" i="4"/>
  <c r="N79" i="4"/>
  <c r="L142" i="19"/>
  <c r="M25" i="19"/>
  <c r="N134" i="5"/>
  <c r="M88" i="5"/>
  <c r="M88" i="4" s="1"/>
  <c r="AW88" i="4" s="1"/>
  <c r="Z13" i="76" s="1"/>
  <c r="N61" i="5"/>
  <c r="N143" i="4"/>
  <c r="L89" i="5"/>
  <c r="L89" i="4" s="1"/>
  <c r="N89" i="4" s="1"/>
  <c r="N101" i="4"/>
  <c r="N89" i="18"/>
  <c r="L73" i="18"/>
  <c r="L85" i="18" s="1"/>
  <c r="N85" i="18" s="1"/>
  <c r="N49" i="5"/>
  <c r="N31" i="5"/>
  <c r="N61" i="4"/>
  <c r="M25" i="57"/>
  <c r="M73" i="57" s="1"/>
  <c r="N73" i="57" s="1"/>
  <c r="AW79" i="4"/>
  <c r="N135" i="7"/>
  <c r="N79" i="5"/>
  <c r="N22" i="5"/>
  <c r="N111" i="77"/>
  <c r="L142" i="77"/>
  <c r="N142" i="77" s="1"/>
  <c r="N30" i="46"/>
  <c r="N79" i="6"/>
  <c r="L142" i="46"/>
  <c r="L151" i="46" s="1"/>
  <c r="N25" i="21"/>
  <c r="N124" i="6"/>
  <c r="N106" i="6"/>
  <c r="N115" i="6"/>
  <c r="Z101" i="4"/>
  <c r="AW123" i="4"/>
  <c r="N114" i="8"/>
  <c r="L111" i="8"/>
  <c r="N111" i="8" s="1"/>
  <c r="M30" i="7"/>
  <c r="AK30" i="4" s="1"/>
  <c r="L142" i="9"/>
  <c r="N142" i="9" s="1"/>
  <c r="L73" i="10"/>
  <c r="N73" i="10" s="1"/>
  <c r="L25" i="12"/>
  <c r="N75" i="12"/>
  <c r="L74" i="12"/>
  <c r="N74" i="12" s="1"/>
  <c r="N91" i="7"/>
  <c r="N75" i="13"/>
  <c r="L74" i="13"/>
  <c r="N74" i="13" s="1"/>
  <c r="AV91" i="4"/>
  <c r="L25" i="13"/>
  <c r="N128" i="49"/>
  <c r="L142" i="15"/>
  <c r="L151" i="15" s="1"/>
  <c r="N151" i="15" s="1"/>
  <c r="AL64" i="4"/>
  <c r="AX64" i="4" s="1"/>
  <c r="J32" i="60" s="1"/>
  <c r="AL150" i="4"/>
  <c r="AX150" i="4" s="1"/>
  <c r="N75" i="16"/>
  <c r="N25" i="16"/>
  <c r="L142" i="32"/>
  <c r="N75" i="28"/>
  <c r="L74" i="28"/>
  <c r="N74" i="28" s="1"/>
  <c r="AV32" i="4"/>
  <c r="N150" i="7"/>
  <c r="N64" i="7"/>
  <c r="L142" i="27"/>
  <c r="L151" i="27" s="1"/>
  <c r="N151" i="27" s="1"/>
  <c r="N75" i="37"/>
  <c r="L74" i="37"/>
  <c r="N74" i="37" s="1"/>
  <c r="N32" i="7"/>
  <c r="N75" i="52"/>
  <c r="L74" i="52"/>
  <c r="N74" i="52" s="1"/>
  <c r="N25" i="51"/>
  <c r="N75" i="47"/>
  <c r="L74" i="47"/>
  <c r="N74" i="47" s="1"/>
  <c r="L25" i="47"/>
  <c r="Z111" i="59"/>
  <c r="Z142" i="59" s="1"/>
  <c r="Z151" i="59" s="1"/>
  <c r="AR142" i="59"/>
  <c r="AR151" i="59" s="1"/>
  <c r="BP142" i="59"/>
  <c r="BP151" i="59" s="1"/>
  <c r="BP152" i="59" s="1"/>
  <c r="AR73" i="59"/>
  <c r="AR85" i="59" s="1"/>
  <c r="AR152" i="59" s="1"/>
  <c r="AV142" i="59"/>
  <c r="AV151" i="59" s="1"/>
  <c r="AV152" i="59" s="1"/>
  <c r="R142" i="59"/>
  <c r="R151" i="59" s="1"/>
  <c r="R152" i="59" s="1"/>
  <c r="J111" i="59"/>
  <c r="J142" i="59" s="1"/>
  <c r="J151" i="59" s="1"/>
  <c r="BL142" i="59"/>
  <c r="BL151" i="59" s="1"/>
  <c r="BL152" i="59" s="1"/>
  <c r="AJ85" i="59"/>
  <c r="AJ152" i="59" s="1"/>
  <c r="BH142" i="59"/>
  <c r="BH151" i="59" s="1"/>
  <c r="BH152" i="59" s="1"/>
  <c r="AZ73" i="59"/>
  <c r="AN73" i="59"/>
  <c r="AN85" i="59" s="1"/>
  <c r="AN152" i="59" s="1"/>
  <c r="BT114" i="59"/>
  <c r="J74" i="59"/>
  <c r="BT74" i="59" s="1"/>
  <c r="BT75" i="59"/>
  <c r="F25" i="59"/>
  <c r="BT30" i="59"/>
  <c r="J73" i="59"/>
  <c r="Z85" i="59"/>
  <c r="AD152" i="59"/>
  <c r="BT79" i="59"/>
  <c r="BT123" i="59"/>
  <c r="BT88" i="59"/>
  <c r="AV76" i="4"/>
  <c r="L151" i="48"/>
  <c r="N151" i="48" s="1"/>
  <c r="N142" i="48"/>
  <c r="L73" i="48"/>
  <c r="L142" i="47"/>
  <c r="L73" i="51"/>
  <c r="L151" i="52"/>
  <c r="N151" i="52" s="1"/>
  <c r="N142" i="52"/>
  <c r="L85" i="55"/>
  <c r="N85" i="55" s="1"/>
  <c r="L151" i="55"/>
  <c r="N151" i="55" s="1"/>
  <c r="N142" i="55"/>
  <c r="N73" i="53"/>
  <c r="L85" i="53"/>
  <c r="N85" i="53" s="1"/>
  <c r="L151" i="53"/>
  <c r="N151" i="53" s="1"/>
  <c r="N142" i="53"/>
  <c r="L85" i="54"/>
  <c r="N85" i="54" s="1"/>
  <c r="L151" i="54"/>
  <c r="N151" i="54" s="1"/>
  <c r="N142" i="54"/>
  <c r="N73" i="33"/>
  <c r="L85" i="33"/>
  <c r="N85" i="33" s="1"/>
  <c r="L151" i="33"/>
  <c r="N151" i="33" s="1"/>
  <c r="N142" i="33"/>
  <c r="L151" i="34"/>
  <c r="N151" i="34" s="1"/>
  <c r="N142" i="34"/>
  <c r="L73" i="34"/>
  <c r="L151" i="50"/>
  <c r="N151" i="50" s="1"/>
  <c r="N142" i="50"/>
  <c r="L73" i="50"/>
  <c r="L151" i="35"/>
  <c r="N151" i="35" s="1"/>
  <c r="N142" i="35"/>
  <c r="N73" i="35"/>
  <c r="L85" i="35"/>
  <c r="N85" i="35" s="1"/>
  <c r="L73" i="36"/>
  <c r="L151" i="37"/>
  <c r="N151" i="37" s="1"/>
  <c r="N142" i="37"/>
  <c r="N114" i="26"/>
  <c r="L111" i="26"/>
  <c r="L73" i="26"/>
  <c r="N73" i="27"/>
  <c r="L85" i="27"/>
  <c r="N85" i="27" s="1"/>
  <c r="L111" i="28"/>
  <c r="N111" i="28" s="1"/>
  <c r="N73" i="28"/>
  <c r="N128" i="28"/>
  <c r="N142" i="29"/>
  <c r="N73" i="29"/>
  <c r="L85" i="29"/>
  <c r="N85" i="29" s="1"/>
  <c r="N114" i="30"/>
  <c r="L111" i="30"/>
  <c r="L73" i="30"/>
  <c r="L151" i="31"/>
  <c r="N151" i="31" s="1"/>
  <c r="L73" i="31"/>
  <c r="AW22" i="4"/>
  <c r="L73" i="32"/>
  <c r="L73" i="17"/>
  <c r="L111" i="17"/>
  <c r="L151" i="16"/>
  <c r="N151" i="16" s="1"/>
  <c r="N142" i="16"/>
  <c r="N73" i="16"/>
  <c r="AW38" i="4"/>
  <c r="N142" i="15"/>
  <c r="L73" i="15"/>
  <c r="L151" i="49"/>
  <c r="N151" i="49" s="1"/>
  <c r="N142" i="49"/>
  <c r="AW34" i="4"/>
  <c r="N73" i="49"/>
  <c r="L85" i="49"/>
  <c r="N85" i="49" s="1"/>
  <c r="N105" i="14"/>
  <c r="AW89" i="4"/>
  <c r="N89" i="14"/>
  <c r="L88" i="14"/>
  <c r="N88" i="14" s="1"/>
  <c r="L151" i="13"/>
  <c r="N151" i="13" s="1"/>
  <c r="N142" i="13"/>
  <c r="L151" i="63"/>
  <c r="N151" i="63" s="1"/>
  <c r="N142" i="63"/>
  <c r="N73" i="63"/>
  <c r="L85" i="63"/>
  <c r="N85" i="63" s="1"/>
  <c r="L151" i="11"/>
  <c r="N151" i="11" s="1"/>
  <c r="N142" i="11"/>
  <c r="AW101" i="4"/>
  <c r="N73" i="11"/>
  <c r="L85" i="11"/>
  <c r="N85" i="11" s="1"/>
  <c r="N153" i="11" s="1"/>
  <c r="L151" i="10"/>
  <c r="N151" i="10" s="1"/>
  <c r="N142" i="10"/>
  <c r="AW31" i="4"/>
  <c r="L151" i="9"/>
  <c r="N151" i="9" s="1"/>
  <c r="AX32" i="4"/>
  <c r="L73" i="9"/>
  <c r="N30" i="9"/>
  <c r="M25" i="9"/>
  <c r="M73" i="9" s="1"/>
  <c r="M85" i="9" s="1"/>
  <c r="M142" i="8"/>
  <c r="M128" i="7"/>
  <c r="AK128" i="4" s="1"/>
  <c r="N134" i="8"/>
  <c r="L128" i="8"/>
  <c r="N101" i="8"/>
  <c r="AW10" i="4"/>
  <c r="M25" i="8"/>
  <c r="N79" i="8"/>
  <c r="L75" i="8"/>
  <c r="N30" i="8"/>
  <c r="L25" i="8"/>
  <c r="N9" i="8"/>
  <c r="L151" i="58"/>
  <c r="N151" i="58" s="1"/>
  <c r="N142" i="58"/>
  <c r="AW105" i="4"/>
  <c r="Z14" i="76" s="1"/>
  <c r="Z124" i="4"/>
  <c r="L73" i="58"/>
  <c r="N114" i="20"/>
  <c r="L111" i="20"/>
  <c r="N89" i="20"/>
  <c r="L88" i="20"/>
  <c r="N88" i="20" s="1"/>
  <c r="N30" i="20"/>
  <c r="M73" i="20"/>
  <c r="N9" i="20"/>
  <c r="N9" i="6" s="1"/>
  <c r="AW143" i="4"/>
  <c r="AW114" i="4"/>
  <c r="N134" i="6"/>
  <c r="Z31" i="4"/>
  <c r="M9" i="6"/>
  <c r="Y9" i="4" s="1"/>
  <c r="Z9" i="4" s="1"/>
  <c r="M142" i="20"/>
  <c r="M151" i="20" s="1"/>
  <c r="M128" i="6"/>
  <c r="Y128" i="4" s="1"/>
  <c r="N128" i="20"/>
  <c r="N128" i="6" s="1"/>
  <c r="L85" i="21"/>
  <c r="N85" i="21" s="1"/>
  <c r="L111" i="21"/>
  <c r="AW70" i="4"/>
  <c r="N31" i="6"/>
  <c r="Z26" i="4"/>
  <c r="M74" i="46"/>
  <c r="M75" i="6"/>
  <c r="Y75" i="4" s="1"/>
  <c r="N25" i="46"/>
  <c r="L25" i="6"/>
  <c r="X25" i="4" s="1"/>
  <c r="L73" i="46"/>
  <c r="M111" i="6"/>
  <c r="Y111" i="4" s="1"/>
  <c r="N70" i="6"/>
  <c r="N26" i="6"/>
  <c r="M151" i="46"/>
  <c r="N75" i="46"/>
  <c r="L45" i="6"/>
  <c r="X45" i="4" s="1"/>
  <c r="N45" i="22"/>
  <c r="N45" i="6" s="1"/>
  <c r="AW26" i="4"/>
  <c r="N123" i="22"/>
  <c r="N123" i="6" s="1"/>
  <c r="L123" i="6"/>
  <c r="X123" i="4" s="1"/>
  <c r="N105" i="22"/>
  <c r="N105" i="6" s="1"/>
  <c r="L105" i="6"/>
  <c r="X105" i="4" s="1"/>
  <c r="Z105" i="4" s="1"/>
  <c r="L73" i="22"/>
  <c r="N114" i="22"/>
  <c r="L114" i="6"/>
  <c r="X114" i="4" s="1"/>
  <c r="Z114" i="4" s="1"/>
  <c r="L111" i="22"/>
  <c r="L88" i="22"/>
  <c r="N89" i="22"/>
  <c r="L89" i="6"/>
  <c r="X89" i="4" s="1"/>
  <c r="N25" i="22"/>
  <c r="M25" i="6"/>
  <c r="Y25" i="4" s="1"/>
  <c r="M73" i="22"/>
  <c r="M74" i="77"/>
  <c r="M75" i="5"/>
  <c r="M75" i="4" s="1"/>
  <c r="N75" i="77"/>
  <c r="N25" i="77"/>
  <c r="L73" i="77"/>
  <c r="N9" i="77"/>
  <c r="N30" i="77"/>
  <c r="N142" i="57"/>
  <c r="N151" i="57"/>
  <c r="M142" i="18"/>
  <c r="M142" i="5" s="1"/>
  <c r="M142" i="4" s="1"/>
  <c r="N91" i="4"/>
  <c r="AX91" i="4" s="1"/>
  <c r="N106" i="4"/>
  <c r="N26" i="4"/>
  <c r="N10" i="4"/>
  <c r="N128" i="5"/>
  <c r="N111" i="18"/>
  <c r="N110" i="4"/>
  <c r="N105" i="19"/>
  <c r="N105" i="5" s="1"/>
  <c r="L105" i="5"/>
  <c r="L105" i="4" s="1"/>
  <c r="N30" i="19"/>
  <c r="L30" i="5"/>
  <c r="L30" i="4" s="1"/>
  <c r="L25" i="19"/>
  <c r="M9" i="5"/>
  <c r="M9" i="4" s="1"/>
  <c r="N9" i="19"/>
  <c r="M151" i="19"/>
  <c r="N74" i="19"/>
  <c r="L74" i="5"/>
  <c r="L74" i="4" s="1"/>
  <c r="N31" i="4"/>
  <c r="C4" i="57"/>
  <c r="C3" i="77" s="1"/>
  <c r="D4" i="6" s="1"/>
  <c r="C4" i="22" s="1"/>
  <c r="C4" i="46" s="1"/>
  <c r="C4" i="21" s="1"/>
  <c r="C4" i="20" s="1"/>
  <c r="C4" i="58" s="1"/>
  <c r="D4" i="7" s="1"/>
  <c r="C4" i="8" s="1"/>
  <c r="C4" i="9" s="1"/>
  <c r="C4" i="10" s="1"/>
  <c r="C4" i="11" s="1"/>
  <c r="C4" i="12" s="1"/>
  <c r="C4" i="63" s="1"/>
  <c r="C4" i="13" s="1"/>
  <c r="C4" i="14" s="1"/>
  <c r="C4" i="49" s="1"/>
  <c r="C4" i="15" s="1"/>
  <c r="C4" i="16" s="1"/>
  <c r="C4" i="17" s="1"/>
  <c r="C4" i="32" s="1"/>
  <c r="C4" i="31" s="1"/>
  <c r="C4" i="30" s="1"/>
  <c r="C4" i="29" s="1"/>
  <c r="C4" i="28" s="1"/>
  <c r="C4" i="27" s="1"/>
  <c r="C4" i="26" s="1"/>
  <c r="C4" i="37" s="1"/>
  <c r="C4" i="36" s="1"/>
  <c r="C4" i="35" s="1"/>
  <c r="C4" i="50" s="1"/>
  <c r="C4" i="34" s="1"/>
  <c r="C4" i="33" s="1"/>
  <c r="C4" i="54" s="1"/>
  <c r="C4" i="53" s="1"/>
  <c r="C4" i="55" s="1"/>
  <c r="C4" i="52" s="1"/>
  <c r="C4" i="51" s="1"/>
  <c r="C4" i="47" s="1"/>
  <c r="C4" i="48" s="1"/>
  <c r="C4" i="45" s="1"/>
  <c r="C4" i="18"/>
  <c r="C4" i="19"/>
  <c r="C4" i="5"/>
  <c r="AN1" i="4"/>
  <c r="H3" i="60"/>
  <c r="P5" i="76" s="1"/>
  <c r="B1" i="2"/>
  <c r="AV132" i="4" l="1"/>
  <c r="Y19" i="76" s="1"/>
  <c r="M85" i="57"/>
  <c r="N85" i="57" s="1"/>
  <c r="L151" i="36"/>
  <c r="N151" i="36" s="1"/>
  <c r="N153" i="16"/>
  <c r="N25" i="57"/>
  <c r="N75" i="5"/>
  <c r="N75" i="6"/>
  <c r="Z75" i="4"/>
  <c r="N25" i="37"/>
  <c r="L151" i="77"/>
  <c r="N151" i="77" s="1"/>
  <c r="M25" i="7"/>
  <c r="AK25" i="4" s="1"/>
  <c r="L85" i="10"/>
  <c r="N85" i="10" s="1"/>
  <c r="L85" i="28"/>
  <c r="N85" i="28" s="1"/>
  <c r="N30" i="6"/>
  <c r="N132" i="7"/>
  <c r="N25" i="28"/>
  <c r="N142" i="27"/>
  <c r="L85" i="37"/>
  <c r="N85" i="37" s="1"/>
  <c r="M73" i="8"/>
  <c r="N73" i="18"/>
  <c r="AW111" i="4"/>
  <c r="Z15" i="76" s="1"/>
  <c r="N51" i="7"/>
  <c r="AV51" i="4"/>
  <c r="N89" i="5"/>
  <c r="L85" i="52"/>
  <c r="N85" i="52" s="1"/>
  <c r="AW30" i="4"/>
  <c r="N25" i="6"/>
  <c r="N89" i="6"/>
  <c r="M151" i="6"/>
  <c r="Y151" i="4" s="1"/>
  <c r="N153" i="63"/>
  <c r="N153" i="35"/>
  <c r="N153" i="55"/>
  <c r="L73" i="14"/>
  <c r="N25" i="14"/>
  <c r="B1" i="69"/>
  <c r="O1" i="42"/>
  <c r="H1" i="83" s="1"/>
  <c r="F1" i="40" s="1"/>
  <c r="H1" i="39" s="1"/>
  <c r="E1" i="41" s="1"/>
  <c r="C1" i="38" s="1"/>
  <c r="E1" i="81" s="1"/>
  <c r="E1" i="79" s="1"/>
  <c r="M1" i="80" s="1"/>
  <c r="D1" i="82" s="1"/>
  <c r="M1" i="23" s="1"/>
  <c r="M25" i="5"/>
  <c r="M25" i="4" s="1"/>
  <c r="AV82" i="4"/>
  <c r="AL82" i="4"/>
  <c r="AV44" i="4"/>
  <c r="N44" i="7"/>
  <c r="N76" i="7"/>
  <c r="AV115" i="4"/>
  <c r="L138" i="7"/>
  <c r="AJ138" i="4" s="1"/>
  <c r="AL138" i="4" s="1"/>
  <c r="AX138" i="4" s="1"/>
  <c r="N147" i="12"/>
  <c r="L143" i="12"/>
  <c r="L143" i="7" s="1"/>
  <c r="AJ143" i="4" s="1"/>
  <c r="AA16" i="76"/>
  <c r="J26" i="60"/>
  <c r="AA18" i="76"/>
  <c r="J23" i="60"/>
  <c r="AA20" i="76"/>
  <c r="J22" i="60"/>
  <c r="N139" i="45"/>
  <c r="N129" i="7"/>
  <c r="L121" i="7"/>
  <c r="AJ121" i="4" s="1"/>
  <c r="AL121" i="4" s="1"/>
  <c r="AX121" i="4" s="1"/>
  <c r="L34" i="7"/>
  <c r="AJ34" i="4" s="1"/>
  <c r="AV34" i="4" s="1"/>
  <c r="AX106" i="4"/>
  <c r="N41" i="7"/>
  <c r="AL41" i="4"/>
  <c r="AX41" i="4" s="1"/>
  <c r="N50" i="7"/>
  <c r="AV58" i="4"/>
  <c r="N12" i="7"/>
  <c r="N115" i="7"/>
  <c r="N35" i="7"/>
  <c r="AV125" i="4"/>
  <c r="N20" i="7"/>
  <c r="AL20" i="4"/>
  <c r="AX20" i="4" s="1"/>
  <c r="N109" i="7"/>
  <c r="AV109" i="4"/>
  <c r="N125" i="7"/>
  <c r="AV106" i="4"/>
  <c r="N47" i="7"/>
  <c r="N106" i="7"/>
  <c r="N59" i="7"/>
  <c r="AV54" i="4"/>
  <c r="AL59" i="4"/>
  <c r="AX59" i="4" s="1"/>
  <c r="N54" i="7"/>
  <c r="N58" i="7"/>
  <c r="AV129" i="4"/>
  <c r="Y18" i="76" s="1"/>
  <c r="AV12" i="4"/>
  <c r="N97" i="7"/>
  <c r="AL97" i="4"/>
  <c r="AX97" i="4" s="1"/>
  <c r="N57" i="7"/>
  <c r="AL27" i="4"/>
  <c r="AX27" i="4" s="1"/>
  <c r="AV94" i="4"/>
  <c r="N27" i="7"/>
  <c r="N94" i="7"/>
  <c r="AL35" i="4"/>
  <c r="AX35" i="4" s="1"/>
  <c r="AV100" i="4"/>
  <c r="AV57" i="4"/>
  <c r="AJ18" i="4"/>
  <c r="AV18" i="4" s="1"/>
  <c r="AL65" i="4"/>
  <c r="AX65" i="4" s="1"/>
  <c r="AX110" i="4"/>
  <c r="N55" i="7"/>
  <c r="AV72" i="4"/>
  <c r="J36" i="60" s="1"/>
  <c r="N52" i="7"/>
  <c r="N100" i="7"/>
  <c r="N16" i="7"/>
  <c r="AV36" i="4"/>
  <c r="AJ19" i="4"/>
  <c r="AL19" i="4" s="1"/>
  <c r="AX19" i="4" s="1"/>
  <c r="AL23" i="4"/>
  <c r="AX23" i="4" s="1"/>
  <c r="AV50" i="4"/>
  <c r="N40" i="7"/>
  <c r="N90" i="7"/>
  <c r="N99" i="7"/>
  <c r="AL102" i="4"/>
  <c r="AX102" i="4" s="1"/>
  <c r="N84" i="7"/>
  <c r="N102" i="7"/>
  <c r="AV40" i="4"/>
  <c r="AL84" i="4"/>
  <c r="AX84" i="4" s="1"/>
  <c r="AJ104" i="4"/>
  <c r="AV104" i="4" s="1"/>
  <c r="N77" i="7"/>
  <c r="AL77" i="4"/>
  <c r="AX77" i="4" s="1"/>
  <c r="N42" i="7"/>
  <c r="L22" i="7"/>
  <c r="AJ22" i="4" s="1"/>
  <c r="AV22" i="4" s="1"/>
  <c r="L137" i="7"/>
  <c r="N137" i="7" s="1"/>
  <c r="L140" i="7"/>
  <c r="AJ140" i="4" s="1"/>
  <c r="AL140" i="4" s="1"/>
  <c r="AX140" i="4" s="1"/>
  <c r="L45" i="7"/>
  <c r="AJ45" i="4" s="1"/>
  <c r="AL45" i="4" s="1"/>
  <c r="N143" i="45"/>
  <c r="L112" i="7"/>
  <c r="AJ112" i="4" s="1"/>
  <c r="AV112" i="4" s="1"/>
  <c r="L89" i="7"/>
  <c r="AJ89" i="4" s="1"/>
  <c r="AL89" i="4" s="1"/>
  <c r="L124" i="7"/>
  <c r="N124" i="7" s="1"/>
  <c r="AL66" i="4"/>
  <c r="AX66" i="4" s="1"/>
  <c r="AV136" i="4"/>
  <c r="N141" i="7"/>
  <c r="N46" i="7"/>
  <c r="Y30" i="76"/>
  <c r="AA30" i="76" s="1"/>
  <c r="AV98" i="4"/>
  <c r="AV110" i="4"/>
  <c r="L101" i="7"/>
  <c r="AJ101" i="4" s="1"/>
  <c r="L134" i="7"/>
  <c r="N134" i="7" s="1"/>
  <c r="AV107" i="4"/>
  <c r="L105" i="7"/>
  <c r="AJ105" i="4" s="1"/>
  <c r="AL105" i="4" s="1"/>
  <c r="AJ108" i="4"/>
  <c r="AL108" i="4" s="1"/>
  <c r="AX108" i="4" s="1"/>
  <c r="AJ116" i="4"/>
  <c r="AL116" i="4" s="1"/>
  <c r="AX116" i="4" s="1"/>
  <c r="N98" i="7"/>
  <c r="N23" i="7"/>
  <c r="AV92" i="4"/>
  <c r="AL39" i="4"/>
  <c r="AX39" i="4" s="1"/>
  <c r="N118" i="7"/>
  <c r="AV118" i="4"/>
  <c r="AV53" i="4"/>
  <c r="N92" i="7"/>
  <c r="N39" i="7"/>
  <c r="N65" i="7"/>
  <c r="N53" i="7"/>
  <c r="AJ145" i="4"/>
  <c r="AL145" i="4" s="1"/>
  <c r="AX145" i="4" s="1"/>
  <c r="AL99" i="4"/>
  <c r="AX99" i="4" s="1"/>
  <c r="N72" i="7"/>
  <c r="N117" i="7"/>
  <c r="AL52" i="4"/>
  <c r="AX52" i="4" s="1"/>
  <c r="AV16" i="4"/>
  <c r="AV117" i="4"/>
  <c r="AJ144" i="4"/>
  <c r="AL144" i="4" s="1"/>
  <c r="AX144" i="4" s="1"/>
  <c r="N107" i="7"/>
  <c r="AL90" i="4"/>
  <c r="AX90" i="4" s="1"/>
  <c r="AJ15" i="4"/>
  <c r="AV15" i="4" s="1"/>
  <c r="N36" i="7"/>
  <c r="AV42" i="4"/>
  <c r="L147" i="7"/>
  <c r="N147" i="7" s="1"/>
  <c r="L21" i="7"/>
  <c r="AJ21" i="4" s="1"/>
  <c r="AL21" i="4" s="1"/>
  <c r="AX21" i="4" s="1"/>
  <c r="L120" i="7"/>
  <c r="N120" i="7" s="1"/>
  <c r="L10" i="7"/>
  <c r="AJ10" i="4" s="1"/>
  <c r="AL10" i="4" s="1"/>
  <c r="AX10" i="4" s="1"/>
  <c r="J13" i="60" s="1"/>
  <c r="L81" i="7"/>
  <c r="AJ81" i="4" s="1"/>
  <c r="AL81" i="4" s="1"/>
  <c r="AX81" i="4" s="1"/>
  <c r="K26" i="76" s="1"/>
  <c r="M26" i="76" s="1"/>
  <c r="L38" i="7"/>
  <c r="AJ38" i="4" s="1"/>
  <c r="AV38" i="4" s="1"/>
  <c r="N110" i="7"/>
  <c r="L61" i="7"/>
  <c r="AJ61" i="4" s="1"/>
  <c r="AV61" i="4" s="1"/>
  <c r="L31" i="7"/>
  <c r="N31" i="7" s="1"/>
  <c r="L26" i="7"/>
  <c r="AJ26" i="4" s="1"/>
  <c r="AL26" i="4" s="1"/>
  <c r="AX26" i="4" s="1"/>
  <c r="L70" i="7"/>
  <c r="AJ70" i="4" s="1"/>
  <c r="AV70" i="4" s="1"/>
  <c r="L139" i="7"/>
  <c r="AJ139" i="4" s="1"/>
  <c r="AV139" i="4" s="1"/>
  <c r="N43" i="7"/>
  <c r="N68" i="7"/>
  <c r="N24" i="7"/>
  <c r="AV24" i="4"/>
  <c r="AL33" i="4"/>
  <c r="AX33" i="4" s="1"/>
  <c r="N78" i="7"/>
  <c r="N96" i="7"/>
  <c r="N113" i="7"/>
  <c r="AV122" i="4"/>
  <c r="N131" i="7"/>
  <c r="N66" i="7"/>
  <c r="AL83" i="4"/>
  <c r="AX83" i="4" s="1"/>
  <c r="N56" i="7"/>
  <c r="N13" i="7"/>
  <c r="AV141" i="4"/>
  <c r="Y26" i="76" s="1"/>
  <c r="AA26" i="76" s="1"/>
  <c r="AL63" i="4"/>
  <c r="AX63" i="4" s="1"/>
  <c r="J31" i="60" s="1"/>
  <c r="J30" i="60" s="1"/>
  <c r="AV48" i="4"/>
  <c r="N133" i="7"/>
  <c r="N122" i="7"/>
  <c r="AV96" i="4"/>
  <c r="N83" i="7"/>
  <c r="AL56" i="4"/>
  <c r="AX56" i="4" s="1"/>
  <c r="AJ14" i="4"/>
  <c r="AV14" i="4" s="1"/>
  <c r="AV60" i="4"/>
  <c r="N11" i="7"/>
  <c r="N37" i="7"/>
  <c r="AV95" i="4"/>
  <c r="AL43" i="4"/>
  <c r="AX43" i="4" s="1"/>
  <c r="N127" i="7"/>
  <c r="N95" i="7"/>
  <c r="AL46" i="4"/>
  <c r="AX46" i="4" s="1"/>
  <c r="AV127" i="4"/>
  <c r="N17" i="7"/>
  <c r="AV13" i="4"/>
  <c r="AL133" i="4"/>
  <c r="AX133" i="4" s="1"/>
  <c r="N48" i="7"/>
  <c r="AV103" i="4"/>
  <c r="N63" i="7"/>
  <c r="AL119" i="4"/>
  <c r="AX119" i="4" s="1"/>
  <c r="N119" i="7"/>
  <c r="N33" i="7"/>
  <c r="N29" i="7"/>
  <c r="N71" i="7"/>
  <c r="AL68" i="4"/>
  <c r="AX68" i="4" s="1"/>
  <c r="AV78" i="4"/>
  <c r="AV29" i="4"/>
  <c r="AV71" i="4"/>
  <c r="AV131" i="4"/>
  <c r="N136" i="7"/>
  <c r="N62" i="7"/>
  <c r="AV113" i="4"/>
  <c r="AL11" i="4"/>
  <c r="AX11" i="4" s="1"/>
  <c r="N93" i="7"/>
  <c r="N28" i="7"/>
  <c r="N60" i="7"/>
  <c r="AL37" i="4"/>
  <c r="AX37" i="4" s="1"/>
  <c r="AV62" i="4"/>
  <c r="N130" i="7"/>
  <c r="AJ148" i="4"/>
  <c r="AL148" i="4" s="1"/>
  <c r="AX148" i="4" s="1"/>
  <c r="AJ149" i="4"/>
  <c r="AL149" i="4" s="1"/>
  <c r="AX149" i="4" s="1"/>
  <c r="AL17" i="4"/>
  <c r="AX17" i="4" s="1"/>
  <c r="AV69" i="4"/>
  <c r="AL130" i="4"/>
  <c r="AX130" i="4" s="1"/>
  <c r="N103" i="7"/>
  <c r="AV28" i="4"/>
  <c r="N69" i="7"/>
  <c r="AL93" i="4"/>
  <c r="AX93" i="4" s="1"/>
  <c r="L80" i="7"/>
  <c r="AJ80" i="4" s="1"/>
  <c r="AL80" i="4" s="1"/>
  <c r="AX80" i="4" s="1"/>
  <c r="K24" i="76" s="1"/>
  <c r="L67" i="7"/>
  <c r="AJ67" i="4" s="1"/>
  <c r="AL67" i="4" s="1"/>
  <c r="AX67" i="4" s="1"/>
  <c r="L49" i="7"/>
  <c r="AJ49" i="4" s="1"/>
  <c r="AL49" i="4" s="1"/>
  <c r="AX49" i="4" s="1"/>
  <c r="L126" i="7"/>
  <c r="AJ126" i="4" s="1"/>
  <c r="AL126" i="4" s="1"/>
  <c r="AX126" i="4" s="1"/>
  <c r="AZ85" i="59"/>
  <c r="L88" i="45"/>
  <c r="N88" i="45" s="1"/>
  <c r="L79" i="45"/>
  <c r="N79" i="45" s="1"/>
  <c r="L30" i="45"/>
  <c r="N30" i="45" s="1"/>
  <c r="L74" i="45"/>
  <c r="N74" i="45" s="1"/>
  <c r="L123" i="45"/>
  <c r="L123" i="7" s="1"/>
  <c r="L75" i="45"/>
  <c r="N75" i="45" s="1"/>
  <c r="L114" i="45"/>
  <c r="N114" i="45" s="1"/>
  <c r="N142" i="51"/>
  <c r="L151" i="51"/>
  <c r="N151" i="51" s="1"/>
  <c r="N153" i="52"/>
  <c r="N153" i="54"/>
  <c r="N153" i="37"/>
  <c r="N153" i="10"/>
  <c r="Z23" i="76"/>
  <c r="Z28" i="76" s="1"/>
  <c r="Z31" i="76" s="1"/>
  <c r="N114" i="6"/>
  <c r="L142" i="5"/>
  <c r="L142" i="4" s="1"/>
  <c r="N111" i="5"/>
  <c r="L151" i="19"/>
  <c r="N151" i="19" s="1"/>
  <c r="N142" i="19"/>
  <c r="Y21" i="76"/>
  <c r="N88" i="4"/>
  <c r="M73" i="19"/>
  <c r="M73" i="5" s="1"/>
  <c r="M73" i="4" s="1"/>
  <c r="N153" i="57"/>
  <c r="N9" i="5"/>
  <c r="N142" i="46"/>
  <c r="N25" i="12"/>
  <c r="L73" i="12"/>
  <c r="L73" i="13"/>
  <c r="N25" i="13"/>
  <c r="L151" i="32"/>
  <c r="N151" i="32" s="1"/>
  <c r="N142" i="32"/>
  <c r="N153" i="53"/>
  <c r="N25" i="47"/>
  <c r="L73" i="47"/>
  <c r="N9" i="45"/>
  <c r="L9" i="7"/>
  <c r="AJ9" i="4" s="1"/>
  <c r="AV9" i="4" s="1"/>
  <c r="Z152" i="59"/>
  <c r="J85" i="59"/>
  <c r="J152" i="59" s="1"/>
  <c r="BT142" i="59"/>
  <c r="BT111" i="59"/>
  <c r="BT151" i="59"/>
  <c r="F73" i="59"/>
  <c r="BT25" i="59"/>
  <c r="N73" i="48"/>
  <c r="L85" i="48"/>
  <c r="N85" i="48" s="1"/>
  <c r="N153" i="48" s="1"/>
  <c r="L151" i="47"/>
  <c r="N151" i="47" s="1"/>
  <c r="N142" i="47"/>
  <c r="L85" i="51"/>
  <c r="N85" i="51" s="1"/>
  <c r="N153" i="51" s="1"/>
  <c r="N73" i="51"/>
  <c r="N153" i="33"/>
  <c r="L85" i="34"/>
  <c r="N85" i="34" s="1"/>
  <c r="N153" i="34" s="1"/>
  <c r="N73" i="34"/>
  <c r="L85" i="50"/>
  <c r="N85" i="50" s="1"/>
  <c r="N153" i="50" s="1"/>
  <c r="N73" i="50"/>
  <c r="L85" i="36"/>
  <c r="N85" i="36" s="1"/>
  <c r="N153" i="36" s="1"/>
  <c r="N73" i="36"/>
  <c r="L85" i="26"/>
  <c r="N85" i="26" s="1"/>
  <c r="N73" i="26"/>
  <c r="N111" i="26"/>
  <c r="L142" i="26"/>
  <c r="N153" i="27"/>
  <c r="L142" i="28"/>
  <c r="N153" i="29"/>
  <c r="L85" i="30"/>
  <c r="N85" i="30" s="1"/>
  <c r="N73" i="30"/>
  <c r="N111" i="30"/>
  <c r="L142" i="30"/>
  <c r="N73" i="31"/>
  <c r="L85" i="31"/>
  <c r="N85" i="31" s="1"/>
  <c r="N153" i="31" s="1"/>
  <c r="L85" i="32"/>
  <c r="N85" i="32" s="1"/>
  <c r="N153" i="32" s="1"/>
  <c r="N73" i="32"/>
  <c r="L85" i="17"/>
  <c r="N111" i="17"/>
  <c r="L142" i="17"/>
  <c r="N73" i="15"/>
  <c r="L85" i="15"/>
  <c r="N85" i="15" s="1"/>
  <c r="N153" i="15" s="1"/>
  <c r="N153" i="49"/>
  <c r="L142" i="14"/>
  <c r="AV47" i="4"/>
  <c r="N73" i="9"/>
  <c r="L85" i="9"/>
  <c r="N85" i="9" s="1"/>
  <c r="N153" i="9" s="1"/>
  <c r="N25" i="9"/>
  <c r="M85" i="8"/>
  <c r="AV55" i="4"/>
  <c r="AL55" i="4"/>
  <c r="AX55" i="4" s="1"/>
  <c r="L142" i="8"/>
  <c r="N128" i="8"/>
  <c r="L128" i="7"/>
  <c r="N25" i="8"/>
  <c r="L73" i="8"/>
  <c r="N75" i="8"/>
  <c r="L74" i="8"/>
  <c r="M142" i="7"/>
  <c r="AK142" i="4" s="1"/>
  <c r="M151" i="8"/>
  <c r="M151" i="7" s="1"/>
  <c r="AK151" i="4" s="1"/>
  <c r="L85" i="58"/>
  <c r="N85" i="58" s="1"/>
  <c r="N153" i="58" s="1"/>
  <c r="N73" i="58"/>
  <c r="Z25" i="4"/>
  <c r="M85" i="20"/>
  <c r="N85" i="20" s="1"/>
  <c r="N73" i="20"/>
  <c r="N111" i="20"/>
  <c r="L142" i="20"/>
  <c r="M142" i="6"/>
  <c r="Y142" i="4" s="1"/>
  <c r="AW128" i="4"/>
  <c r="Z128" i="4"/>
  <c r="N111" i="21"/>
  <c r="L142" i="21"/>
  <c r="N73" i="46"/>
  <c r="L85" i="46"/>
  <c r="M74" i="6"/>
  <c r="Y74" i="4" s="1"/>
  <c r="Z74" i="4" s="1"/>
  <c r="N74" i="46"/>
  <c r="N74" i="6" s="1"/>
  <c r="M85" i="46"/>
  <c r="N151" i="46"/>
  <c r="Z89" i="4"/>
  <c r="N88" i="22"/>
  <c r="N88" i="6" s="1"/>
  <c r="L88" i="6"/>
  <c r="X88" i="4" s="1"/>
  <c r="L73" i="6"/>
  <c r="X73" i="4" s="1"/>
  <c r="L85" i="22"/>
  <c r="N73" i="22"/>
  <c r="AW25" i="4"/>
  <c r="M85" i="22"/>
  <c r="M73" i="6"/>
  <c r="Y73" i="4" s="1"/>
  <c r="L111" i="6"/>
  <c r="X111" i="4" s="1"/>
  <c r="N111" i="22"/>
  <c r="L142" i="22"/>
  <c r="Z123" i="4"/>
  <c r="Z45" i="4"/>
  <c r="N73" i="77"/>
  <c r="L85" i="77"/>
  <c r="N74" i="77"/>
  <c r="N74" i="5" s="1"/>
  <c r="M74" i="5"/>
  <c r="M74" i="4" s="1"/>
  <c r="N30" i="5"/>
  <c r="AW75" i="4"/>
  <c r="N75" i="4"/>
  <c r="M85" i="77"/>
  <c r="M151" i="18"/>
  <c r="N151" i="18" s="1"/>
  <c r="N153" i="18" s="1"/>
  <c r="N142" i="18"/>
  <c r="N142" i="5" s="1"/>
  <c r="N74" i="4"/>
  <c r="N9" i="4"/>
  <c r="N25" i="19"/>
  <c r="N25" i="5" s="1"/>
  <c r="L25" i="5"/>
  <c r="L25" i="4" s="1"/>
  <c r="L73" i="19"/>
  <c r="L151" i="5"/>
  <c r="L151" i="4" s="1"/>
  <c r="M85" i="19"/>
  <c r="N30" i="4"/>
  <c r="N105" i="4"/>
  <c r="N142" i="4"/>
  <c r="I83" i="22"/>
  <c r="I147" i="12"/>
  <c r="I14" i="11"/>
  <c r="I14" i="21"/>
  <c r="M151" i="5" l="1"/>
  <c r="M151" i="4" s="1"/>
  <c r="N111" i="6"/>
  <c r="F1" i="43"/>
  <c r="E1" i="59" s="1"/>
  <c r="D1" i="85" s="1"/>
  <c r="M85" i="6"/>
  <c r="Y85" i="4" s="1"/>
  <c r="N85" i="46"/>
  <c r="N153" i="46" s="1"/>
  <c r="N73" i="14"/>
  <c r="L85" i="14"/>
  <c r="N85" i="14" s="1"/>
  <c r="AX82" i="4"/>
  <c r="AV138" i="4"/>
  <c r="N121" i="7"/>
  <c r="N138" i="7"/>
  <c r="N143" i="7"/>
  <c r="N143" i="12"/>
  <c r="L151" i="12"/>
  <c r="N151" i="12" s="1"/>
  <c r="AL143" i="4"/>
  <c r="AX143" i="4" s="1"/>
  <c r="AV143" i="4"/>
  <c r="AL34" i="4"/>
  <c r="AX34" i="4" s="1"/>
  <c r="AA19" i="76"/>
  <c r="J25" i="60"/>
  <c r="AA21" i="76"/>
  <c r="J24" i="60"/>
  <c r="K16" i="76"/>
  <c r="M16" i="76" s="1"/>
  <c r="J16" i="60"/>
  <c r="AV140" i="4"/>
  <c r="Y25" i="76" s="1"/>
  <c r="N34" i="7"/>
  <c r="AV121" i="4"/>
  <c r="AX89" i="4"/>
  <c r="AL104" i="4"/>
  <c r="AX104" i="4" s="1"/>
  <c r="AL18" i="4"/>
  <c r="AX18" i="4" s="1"/>
  <c r="J14" i="60" s="1"/>
  <c r="AL15" i="4"/>
  <c r="AX15" i="4" s="1"/>
  <c r="N80" i="7"/>
  <c r="AV45" i="4"/>
  <c r="AV19" i="4"/>
  <c r="AJ134" i="4"/>
  <c r="AV134" i="4" s="1"/>
  <c r="N105" i="7"/>
  <c r="AL61" i="4"/>
  <c r="AX61" i="4" s="1"/>
  <c r="M24" i="76"/>
  <c r="Y16" i="76"/>
  <c r="N81" i="7"/>
  <c r="N70" i="7"/>
  <c r="AL70" i="4"/>
  <c r="AX70" i="4" s="1"/>
  <c r="N45" i="7"/>
  <c r="AV81" i="4"/>
  <c r="AL112" i="4"/>
  <c r="AX112" i="4" s="1"/>
  <c r="K27" i="76"/>
  <c r="AV89" i="4"/>
  <c r="AV116" i="4"/>
  <c r="AV145" i="4"/>
  <c r="AL22" i="4"/>
  <c r="AX22" i="4" s="1"/>
  <c r="AL38" i="4"/>
  <c r="AX38" i="4" s="1"/>
  <c r="N26" i="7"/>
  <c r="N10" i="7"/>
  <c r="Y20" i="76"/>
  <c r="AX45" i="4"/>
  <c r="N101" i="7"/>
  <c r="L88" i="7"/>
  <c r="AJ88" i="4" s="1"/>
  <c r="AL88" i="4" s="1"/>
  <c r="AV108" i="4"/>
  <c r="AL14" i="4"/>
  <c r="AX14" i="4" s="1"/>
  <c r="AV148" i="4"/>
  <c r="AJ137" i="4"/>
  <c r="AL137" i="4" s="1"/>
  <c r="AX137" i="4" s="1"/>
  <c r="AJ147" i="4"/>
  <c r="AL147" i="4" s="1"/>
  <c r="AX147" i="4" s="1"/>
  <c r="N112" i="7"/>
  <c r="AJ124" i="4"/>
  <c r="AJ31" i="4"/>
  <c r="AL31" i="4" s="1"/>
  <c r="AX31" i="4" s="1"/>
  <c r="AV149" i="4"/>
  <c r="AV21" i="4"/>
  <c r="N140" i="7"/>
  <c r="N38" i="7"/>
  <c r="N89" i="7"/>
  <c r="AV26" i="4"/>
  <c r="N21" i="7"/>
  <c r="N61" i="7"/>
  <c r="AV10" i="4"/>
  <c r="AV80" i="4"/>
  <c r="N22" i="7"/>
  <c r="L114" i="7"/>
  <c r="AJ114" i="4" s="1"/>
  <c r="AV144" i="4"/>
  <c r="AJ120" i="4"/>
  <c r="N67" i="7"/>
  <c r="AV67" i="4"/>
  <c r="AV49" i="4"/>
  <c r="N49" i="7"/>
  <c r="AV126" i="4"/>
  <c r="N139" i="7"/>
  <c r="AL139" i="4"/>
  <c r="AX139" i="4" s="1"/>
  <c r="L30" i="7"/>
  <c r="N30" i="7" s="1"/>
  <c r="N123" i="45"/>
  <c r="N126" i="7"/>
  <c r="AZ152" i="59"/>
  <c r="L25" i="45"/>
  <c r="N25" i="45" s="1"/>
  <c r="L111" i="45"/>
  <c r="N111" i="45" s="1"/>
  <c r="L75" i="7"/>
  <c r="N75" i="7" s="1"/>
  <c r="L151" i="45"/>
  <c r="N151" i="45" s="1"/>
  <c r="L142" i="45"/>
  <c r="N142" i="45" s="1"/>
  <c r="L79" i="7"/>
  <c r="AJ79" i="4" s="1"/>
  <c r="AV79" i="4" s="1"/>
  <c r="N151" i="5"/>
  <c r="M85" i="5"/>
  <c r="M153" i="5" s="1"/>
  <c r="N73" i="12"/>
  <c r="L85" i="12"/>
  <c r="N85" i="12" s="1"/>
  <c r="L85" i="13"/>
  <c r="N85" i="13" s="1"/>
  <c r="N153" i="13" s="1"/>
  <c r="N73" i="13"/>
  <c r="L85" i="47"/>
  <c r="N85" i="47" s="1"/>
  <c r="N153" i="47" s="1"/>
  <c r="N73" i="47"/>
  <c r="AJ123" i="4"/>
  <c r="N123" i="7"/>
  <c r="F85" i="59"/>
  <c r="BT73" i="59"/>
  <c r="AW142" i="4"/>
  <c r="L151" i="26"/>
  <c r="N151" i="26" s="1"/>
  <c r="N142" i="26"/>
  <c r="N153" i="26"/>
  <c r="AW151" i="4"/>
  <c r="L151" i="28"/>
  <c r="N151" i="28" s="1"/>
  <c r="N153" i="28" s="1"/>
  <c r="N142" i="28"/>
  <c r="L151" i="30"/>
  <c r="N151" i="30" s="1"/>
  <c r="N153" i="30" s="1"/>
  <c r="N142" i="30"/>
  <c r="AV105" i="4"/>
  <c r="N142" i="17"/>
  <c r="L151" i="17"/>
  <c r="N151" i="17" s="1"/>
  <c r="AX105" i="4"/>
  <c r="L151" i="14"/>
  <c r="N151" i="14" s="1"/>
  <c r="N142" i="14"/>
  <c r="AL101" i="4"/>
  <c r="AX101" i="4" s="1"/>
  <c r="AV101" i="4"/>
  <c r="N74" i="8"/>
  <c r="L74" i="7"/>
  <c r="L85" i="8"/>
  <c r="N73" i="8"/>
  <c r="N128" i="7"/>
  <c r="AJ128" i="4"/>
  <c r="L151" i="8"/>
  <c r="N142" i="8"/>
  <c r="N142" i="20"/>
  <c r="L151" i="20"/>
  <c r="N151" i="20" s="1"/>
  <c r="N73" i="6"/>
  <c r="N153" i="20"/>
  <c r="L151" i="21"/>
  <c r="N151" i="21" s="1"/>
  <c r="N153" i="21" s="1"/>
  <c r="N142" i="21"/>
  <c r="AW74" i="4"/>
  <c r="Z73" i="4"/>
  <c r="L142" i="6"/>
  <c r="X142" i="4" s="1"/>
  <c r="N142" i="22"/>
  <c r="L151" i="22"/>
  <c r="Z111" i="4"/>
  <c r="N85" i="22"/>
  <c r="L85" i="6"/>
  <c r="X85" i="4" s="1"/>
  <c r="Z88" i="4"/>
  <c r="N85" i="77"/>
  <c r="N153" i="77" s="1"/>
  <c r="N151" i="4"/>
  <c r="N25" i="4"/>
  <c r="L85" i="19"/>
  <c r="N73" i="19"/>
  <c r="N73" i="5" s="1"/>
  <c r="L73" i="5"/>
  <c r="L73" i="4" s="1"/>
  <c r="J53" i="60" l="1"/>
  <c r="K23" i="76"/>
  <c r="K25" i="76" s="1"/>
  <c r="Z85" i="4"/>
  <c r="N153" i="14"/>
  <c r="M27" i="76"/>
  <c r="AV137" i="4"/>
  <c r="Y24" i="76" s="1"/>
  <c r="Y27" i="76" s="1"/>
  <c r="AA27" i="76" s="1"/>
  <c r="N153" i="12"/>
  <c r="K20" i="76"/>
  <c r="M20" i="76" s="1"/>
  <c r="AA24" i="76"/>
  <c r="J39" i="60"/>
  <c r="AA25" i="76"/>
  <c r="J38" i="60"/>
  <c r="K19" i="76"/>
  <c r="M19" i="76" s="1"/>
  <c r="J35" i="60"/>
  <c r="K18" i="76"/>
  <c r="M18" i="76" s="1"/>
  <c r="J34" i="60"/>
  <c r="K15" i="76"/>
  <c r="M15" i="76" s="1"/>
  <c r="J11" i="60"/>
  <c r="AA14" i="76"/>
  <c r="J20" i="60"/>
  <c r="AL134" i="4"/>
  <c r="AX134" i="4" s="1"/>
  <c r="AA22" i="76" s="1"/>
  <c r="N114" i="7"/>
  <c r="N88" i="7"/>
  <c r="AJ30" i="4"/>
  <c r="AL30" i="4" s="1"/>
  <c r="AX30" i="4" s="1"/>
  <c r="AX88" i="4"/>
  <c r="AV31" i="4"/>
  <c r="N79" i="7"/>
  <c r="AL79" i="4"/>
  <c r="AX79" i="4" s="1"/>
  <c r="J52" i="60" s="1"/>
  <c r="L142" i="7"/>
  <c r="N142" i="7" s="1"/>
  <c r="AV88" i="4"/>
  <c r="Y13" i="76" s="1"/>
  <c r="AL124" i="4"/>
  <c r="AX124" i="4" s="1"/>
  <c r="AV124" i="4"/>
  <c r="AV147" i="4"/>
  <c r="AJ75" i="4"/>
  <c r="AV75" i="4" s="1"/>
  <c r="L25" i="7"/>
  <c r="N25" i="7" s="1"/>
  <c r="AL120" i="4"/>
  <c r="AX120" i="4" s="1"/>
  <c r="AV120" i="4"/>
  <c r="L73" i="45"/>
  <c r="L73" i="7" s="1"/>
  <c r="AJ73" i="4" s="1"/>
  <c r="AV73" i="4" s="1"/>
  <c r="L111" i="7"/>
  <c r="AJ111" i="4" s="1"/>
  <c r="AL111" i="4" s="1"/>
  <c r="AX111" i="4" s="1"/>
  <c r="J21" i="60" s="1"/>
  <c r="J27" i="60"/>
  <c r="Y22" i="76"/>
  <c r="Y17" i="76" s="1"/>
  <c r="AA17" i="76" s="1"/>
  <c r="Y14" i="76"/>
  <c r="M85" i="4"/>
  <c r="N142" i="6"/>
  <c r="AL114" i="4"/>
  <c r="AX114" i="4" s="1"/>
  <c r="AV114" i="4"/>
  <c r="AL123" i="4"/>
  <c r="AX123" i="4" s="1"/>
  <c r="AV123" i="4"/>
  <c r="F152" i="59"/>
  <c r="BT85" i="59"/>
  <c r="AL128" i="4"/>
  <c r="AX128" i="4" s="1"/>
  <c r="AV128" i="4"/>
  <c r="N85" i="8"/>
  <c r="N151" i="8"/>
  <c r="L151" i="7"/>
  <c r="N74" i="7"/>
  <c r="AJ74" i="4"/>
  <c r="N85" i="6"/>
  <c r="N151" i="22"/>
  <c r="N151" i="6" s="1"/>
  <c r="L151" i="6"/>
  <c r="X151" i="4" s="1"/>
  <c r="Z142" i="4"/>
  <c r="N73" i="4"/>
  <c r="N85" i="19"/>
  <c r="L85" i="5"/>
  <c r="G62" i="40"/>
  <c r="G61" i="40"/>
  <c r="I11" i="11"/>
  <c r="BC121" i="59"/>
  <c r="BC137" i="59"/>
  <c r="BC138" i="59"/>
  <c r="I26" i="39"/>
  <c r="I14" i="22"/>
  <c r="I83" i="19"/>
  <c r="I83" i="57"/>
  <c r="I70" i="8"/>
  <c r="M23" i="76" l="1"/>
  <c r="J37" i="60"/>
  <c r="K21" i="76"/>
  <c r="K30" i="76" s="1"/>
  <c r="M30" i="76" s="1"/>
  <c r="AV30" i="4"/>
  <c r="AA13" i="76"/>
  <c r="J19" i="60"/>
  <c r="AJ142" i="4"/>
  <c r="AL142" i="4" s="1"/>
  <c r="AX142" i="4" s="1"/>
  <c r="AJ25" i="4"/>
  <c r="AL25" i="4" s="1"/>
  <c r="AX25" i="4" s="1"/>
  <c r="AL75" i="4"/>
  <c r="AX75" i="4" s="1"/>
  <c r="AV111" i="4"/>
  <c r="Y15" i="76" s="1"/>
  <c r="L85" i="45"/>
  <c r="L85" i="7" s="1"/>
  <c r="AJ85" i="4" s="1"/>
  <c r="N111" i="7"/>
  <c r="N151" i="7"/>
  <c r="AJ151" i="4"/>
  <c r="AL151" i="4" s="1"/>
  <c r="AL74" i="4"/>
  <c r="AX74" i="4" s="1"/>
  <c r="AV74" i="4"/>
  <c r="N153" i="8"/>
  <c r="N153" i="6"/>
  <c r="Z151" i="4"/>
  <c r="N153" i="22"/>
  <c r="L153" i="5"/>
  <c r="L85" i="4"/>
  <c r="N153" i="19"/>
  <c r="N85" i="5"/>
  <c r="N153" i="5" s="1"/>
  <c r="M25" i="76" l="1"/>
  <c r="K28" i="76"/>
  <c r="M28" i="76" s="1"/>
  <c r="M21" i="76"/>
  <c r="K14" i="76"/>
  <c r="M14" i="76" s="1"/>
  <c r="J12" i="60"/>
  <c r="AV142" i="4"/>
  <c r="J28" i="60"/>
  <c r="AV25" i="4"/>
  <c r="AA15" i="76"/>
  <c r="Y23" i="76"/>
  <c r="AV151" i="4"/>
  <c r="Z152" i="4"/>
  <c r="AX151" i="4"/>
  <c r="AV85" i="4"/>
  <c r="N85" i="4"/>
  <c r="G44" i="40"/>
  <c r="AA23" i="76" l="1"/>
  <c r="Y28" i="76"/>
  <c r="AV152" i="4"/>
  <c r="N152" i="4"/>
  <c r="I36" i="39"/>
  <c r="G25" i="40"/>
  <c r="G12" i="40"/>
  <c r="M137" i="59"/>
  <c r="AA28" i="76" l="1"/>
  <c r="Y31" i="76"/>
  <c r="AA31" i="76" s="1"/>
  <c r="G16" i="40"/>
  <c r="G31" i="40" l="1"/>
  <c r="F70" i="40"/>
  <c r="F64" i="40"/>
  <c r="F32" i="40"/>
  <c r="G11" i="40"/>
  <c r="G26" i="40"/>
  <c r="I49" i="39"/>
  <c r="F57" i="40" l="1"/>
  <c r="F58" i="40" s="1"/>
  <c r="F72" i="40" s="1"/>
  <c r="F71" i="40" l="1"/>
  <c r="I120" i="8"/>
  <c r="I120" i="28"/>
  <c r="I121" i="28"/>
  <c r="I133" i="8"/>
  <c r="AU120" i="59"/>
  <c r="I15" i="39" l="1"/>
  <c r="I34" i="39"/>
  <c r="I33" i="39"/>
  <c r="I27" i="39"/>
  <c r="I21" i="39"/>
  <c r="I20" i="39"/>
  <c r="I45" i="39" l="1"/>
  <c r="I50" i="39" l="1"/>
  <c r="I51" i="39"/>
  <c r="C16" i="69"/>
  <c r="C17" i="69" s="1"/>
  <c r="D16" i="69"/>
  <c r="D17" i="69" s="1"/>
  <c r="C18" i="69"/>
  <c r="C34" i="69" s="1"/>
  <c r="D18" i="69"/>
  <c r="D34" i="69" s="1"/>
  <c r="D35" i="69" l="1"/>
  <c r="C35" i="69"/>
  <c r="F61" i="41"/>
  <c r="F50" i="41"/>
  <c r="F41" i="41"/>
  <c r="F25" i="41"/>
  <c r="F30" i="41" s="1"/>
  <c r="F12" i="41"/>
  <c r="F17" i="41" s="1"/>
  <c r="F57" i="41" l="1"/>
  <c r="M121" i="59"/>
  <c r="I121" i="19"/>
  <c r="I114" i="37" l="1"/>
  <c r="J120" i="7"/>
  <c r="K120" i="37"/>
  <c r="I124" i="28"/>
  <c r="Y120" i="59"/>
  <c r="Y126" i="59"/>
  <c r="I121" i="59"/>
  <c r="I124" i="59"/>
  <c r="I21" i="59"/>
  <c r="AU82" i="4"/>
  <c r="J23" i="76"/>
  <c r="AY112" i="59"/>
  <c r="BS90" i="59"/>
  <c r="BS91" i="59"/>
  <c r="BS92" i="59"/>
  <c r="BS93" i="59"/>
  <c r="BS94" i="59"/>
  <c r="BS95" i="59"/>
  <c r="BS96" i="59"/>
  <c r="BS97" i="59"/>
  <c r="BS98" i="59"/>
  <c r="BS99" i="59"/>
  <c r="BS100" i="59"/>
  <c r="BS102" i="59"/>
  <c r="BS103" i="59"/>
  <c r="BS104" i="59"/>
  <c r="BS106" i="59"/>
  <c r="BS107" i="59"/>
  <c r="BS108" i="59"/>
  <c r="BS109" i="59"/>
  <c r="BS110" i="59"/>
  <c r="BS112" i="59"/>
  <c r="BS113" i="59"/>
  <c r="BS115" i="59"/>
  <c r="BS116" i="59"/>
  <c r="BS117" i="59"/>
  <c r="BS118" i="59"/>
  <c r="BS119" i="59"/>
  <c r="BS125" i="59"/>
  <c r="BS127" i="59"/>
  <c r="BS129" i="59"/>
  <c r="BS130" i="59"/>
  <c r="BS131" i="59"/>
  <c r="BS132" i="59"/>
  <c r="BS133" i="59"/>
  <c r="BS135" i="59"/>
  <c r="BS136" i="59"/>
  <c r="BS141" i="59"/>
  <c r="BS144" i="59"/>
  <c r="BS145" i="59"/>
  <c r="BS146" i="59"/>
  <c r="BS148" i="59"/>
  <c r="BS149" i="59"/>
  <c r="BS150" i="59"/>
  <c r="BS23" i="59"/>
  <c r="BS24" i="59"/>
  <c r="BS27" i="59"/>
  <c r="BS28" i="59"/>
  <c r="BS29" i="59"/>
  <c r="BS32" i="59"/>
  <c r="BS33" i="59"/>
  <c r="BS35" i="59"/>
  <c r="BS36" i="59"/>
  <c r="BS37" i="59"/>
  <c r="BS39" i="59"/>
  <c r="BS40" i="59"/>
  <c r="BS41" i="59"/>
  <c r="BS42" i="59"/>
  <c r="BS43" i="59"/>
  <c r="BS44" i="59"/>
  <c r="BS46" i="59"/>
  <c r="BS47" i="59"/>
  <c r="BS48" i="59"/>
  <c r="BS50" i="59"/>
  <c r="BS51" i="59"/>
  <c r="BS52" i="59"/>
  <c r="BS53" i="59"/>
  <c r="BS54" i="59"/>
  <c r="BS55" i="59"/>
  <c r="BS56" i="59"/>
  <c r="BS57" i="59"/>
  <c r="BS58" i="59"/>
  <c r="BS59" i="59"/>
  <c r="BS60" i="59"/>
  <c r="BS62" i="59"/>
  <c r="BS63" i="59"/>
  <c r="BS64" i="59"/>
  <c r="BS65" i="59"/>
  <c r="BS66" i="59"/>
  <c r="BS68" i="59"/>
  <c r="BS69" i="59"/>
  <c r="BS71" i="59"/>
  <c r="BS72" i="59"/>
  <c r="BS76" i="59"/>
  <c r="BS77" i="59"/>
  <c r="BS78" i="59"/>
  <c r="BS82" i="59"/>
  <c r="BS83" i="59"/>
  <c r="BS84" i="59"/>
  <c r="BS11" i="59"/>
  <c r="BS12" i="59"/>
  <c r="BS13" i="59"/>
  <c r="BS14" i="59"/>
  <c r="BS15" i="59"/>
  <c r="BS16" i="59"/>
  <c r="BS17" i="59"/>
  <c r="BS18" i="59"/>
  <c r="BS19" i="59"/>
  <c r="BS20" i="59"/>
  <c r="I137" i="50"/>
  <c r="L45" i="59"/>
  <c r="L73" i="59" s="1"/>
  <c r="M45" i="59"/>
  <c r="M73" i="59" s="1"/>
  <c r="AI121" i="59"/>
  <c r="AI138" i="59"/>
  <c r="AI137" i="59"/>
  <c r="Y124" i="59" l="1"/>
  <c r="I47" i="14" l="1"/>
  <c r="J133" i="16"/>
  <c r="I133" i="28"/>
  <c r="I122" i="8"/>
  <c r="I120" i="59"/>
  <c r="AU121" i="59"/>
  <c r="BO143" i="59"/>
  <c r="BN143" i="59"/>
  <c r="BM143" i="59"/>
  <c r="BO134" i="59"/>
  <c r="BO128" i="59" s="1"/>
  <c r="BN134" i="59"/>
  <c r="BN128" i="59" s="1"/>
  <c r="BM134" i="59"/>
  <c r="BM128" i="59" s="1"/>
  <c r="BO123" i="59"/>
  <c r="BN123" i="59"/>
  <c r="BM123" i="59"/>
  <c r="BO114" i="59"/>
  <c r="BN114" i="59"/>
  <c r="BM114" i="59"/>
  <c r="BO105" i="59"/>
  <c r="BN105" i="59"/>
  <c r="BM105" i="59"/>
  <c r="BO101" i="59"/>
  <c r="BN101" i="59"/>
  <c r="BM101" i="59"/>
  <c r="BO89" i="59"/>
  <c r="BN89" i="59"/>
  <c r="BM89" i="59"/>
  <c r="BO79" i="59"/>
  <c r="BO75" i="59" s="1"/>
  <c r="BO74" i="59" s="1"/>
  <c r="BN79" i="59"/>
  <c r="BM79" i="59"/>
  <c r="BM75" i="59" s="1"/>
  <c r="BM74" i="59" s="1"/>
  <c r="BN75" i="59"/>
  <c r="BN74" i="59" s="1"/>
  <c r="BO70" i="59"/>
  <c r="BN70" i="59"/>
  <c r="BM70" i="59"/>
  <c r="BO67" i="59"/>
  <c r="BN67" i="59"/>
  <c r="BM67" i="59"/>
  <c r="BO61" i="59"/>
  <c r="BN61" i="59"/>
  <c r="BM61" i="59"/>
  <c r="BO49" i="59"/>
  <c r="BO45" i="59" s="1"/>
  <c r="BN49" i="59"/>
  <c r="BN45" i="59" s="1"/>
  <c r="BM49" i="59"/>
  <c r="BM45" i="59" s="1"/>
  <c r="BO38" i="59"/>
  <c r="BN38" i="59"/>
  <c r="BM38" i="59"/>
  <c r="BO34" i="59"/>
  <c r="BN34" i="59"/>
  <c r="BM34" i="59"/>
  <c r="BO31" i="59"/>
  <c r="BN31" i="59"/>
  <c r="BM31" i="59"/>
  <c r="BO26" i="59"/>
  <c r="BN26" i="59"/>
  <c r="BM26" i="59"/>
  <c r="BO22" i="59"/>
  <c r="BN22" i="59"/>
  <c r="BM22" i="59"/>
  <c r="BO10" i="59"/>
  <c r="BO9" i="59" s="1"/>
  <c r="BN10" i="59"/>
  <c r="BN9" i="59" s="1"/>
  <c r="BM10" i="59"/>
  <c r="BM9" i="59" s="1"/>
  <c r="I119" i="28"/>
  <c r="BM111" i="59" l="1"/>
  <c r="BO111" i="59"/>
  <c r="BN111" i="59"/>
  <c r="BM30" i="59"/>
  <c r="BM25" i="59" s="1"/>
  <c r="BM73" i="59" s="1"/>
  <c r="BM85" i="59" s="1"/>
  <c r="BO30" i="59"/>
  <c r="BO25" i="59" s="1"/>
  <c r="BO73" i="59" s="1"/>
  <c r="BN30" i="59"/>
  <c r="BN25" i="59" s="1"/>
  <c r="BN73" i="59" s="1"/>
  <c r="BN85" i="59" s="1"/>
  <c r="BM88" i="59"/>
  <c r="BM142" i="59" s="1"/>
  <c r="BM151" i="59" s="1"/>
  <c r="BO88" i="59"/>
  <c r="BN88" i="59"/>
  <c r="BN142" i="59" s="1"/>
  <c r="BN151" i="59" s="1"/>
  <c r="BO142" i="59"/>
  <c r="BO151" i="59" s="1"/>
  <c r="I117" i="30"/>
  <c r="I116" i="51"/>
  <c r="I115" i="28"/>
  <c r="I115" i="36"/>
  <c r="AQ121" i="59"/>
  <c r="BM152" i="59" l="1"/>
  <c r="BN152" i="59"/>
  <c r="BO85" i="59"/>
  <c r="AY124" i="59"/>
  <c r="AY138" i="59"/>
  <c r="AY137" i="59"/>
  <c r="AU124" i="59"/>
  <c r="AU140" i="59"/>
  <c r="AU139" i="59"/>
  <c r="AU138" i="59"/>
  <c r="AU137" i="59"/>
  <c r="AT133" i="59"/>
  <c r="AQ124" i="59"/>
  <c r="AQ138" i="59"/>
  <c r="AQ137" i="59"/>
  <c r="AC138" i="59"/>
  <c r="AC137" i="59"/>
  <c r="BS138" i="59" l="1"/>
  <c r="BO152" i="59"/>
  <c r="AC140" i="59"/>
  <c r="BS140" i="59" s="1"/>
  <c r="AC139" i="59"/>
  <c r="BS139" i="59" s="1"/>
  <c r="AC121" i="59"/>
  <c r="AC120" i="59"/>
  <c r="Q121" i="59"/>
  <c r="M120" i="59"/>
  <c r="BS120" i="59" s="1"/>
  <c r="I122" i="59"/>
  <c r="BS122" i="59" s="1"/>
  <c r="E126" i="59" l="1"/>
  <c r="BS126" i="59" s="1"/>
  <c r="AM124" i="59"/>
  <c r="AM121" i="59"/>
  <c r="I106" i="8"/>
  <c r="I108" i="14"/>
  <c r="I110" i="8"/>
  <c r="I108" i="8"/>
  <c r="I107" i="8"/>
  <c r="I103" i="28" l="1"/>
  <c r="I104" i="8"/>
  <c r="I101" i="15"/>
  <c r="I100" i="8"/>
  <c r="I97" i="29"/>
  <c r="I96" i="8"/>
  <c r="I91" i="8"/>
  <c r="I90" i="8"/>
  <c r="K91" i="51"/>
  <c r="K91" i="36"/>
  <c r="K91" i="28"/>
  <c r="I90" i="14"/>
  <c r="I96" i="29"/>
  <c r="K91" i="29"/>
  <c r="I97" i="15"/>
  <c r="I91" i="14"/>
  <c r="H91" i="14"/>
  <c r="K91" i="14"/>
  <c r="J79" i="45"/>
  <c r="J75" i="45" s="1"/>
  <c r="J74" i="45" s="1"/>
  <c r="J70" i="45"/>
  <c r="J67" i="45"/>
  <c r="J61" i="45"/>
  <c r="J49" i="45"/>
  <c r="J45" i="45" s="1"/>
  <c r="J38" i="45"/>
  <c r="J34" i="45"/>
  <c r="J31" i="45"/>
  <c r="J26" i="45"/>
  <c r="J22" i="45"/>
  <c r="J10" i="45"/>
  <c r="J9" i="45" s="1"/>
  <c r="I120" i="19"/>
  <c r="I119" i="19"/>
  <c r="I117" i="19"/>
  <c r="I115" i="19"/>
  <c r="I112" i="19"/>
  <c r="I112" i="77"/>
  <c r="I109" i="19"/>
  <c r="I110" i="18"/>
  <c r="I110" i="19"/>
  <c r="I106" i="19"/>
  <c r="I106" i="77"/>
  <c r="I104" i="19"/>
  <c r="I104" i="77"/>
  <c r="I92" i="77"/>
  <c r="I103" i="19"/>
  <c r="I90" i="19"/>
  <c r="J30" i="45" l="1"/>
  <c r="J25" i="45" s="1"/>
  <c r="J73" i="45" s="1"/>
  <c r="J85" i="45" s="1"/>
  <c r="I91" i="22"/>
  <c r="K91" i="21"/>
  <c r="G91" i="6"/>
  <c r="J91" i="6"/>
  <c r="I140" i="20"/>
  <c r="I139" i="20"/>
  <c r="I137" i="20"/>
  <c r="I126" i="21"/>
  <c r="I126" i="22"/>
  <c r="I124" i="22"/>
  <c r="I122" i="22"/>
  <c r="I121" i="22"/>
  <c r="I121" i="20"/>
  <c r="I118" i="22"/>
  <c r="I118" i="20"/>
  <c r="I117" i="22"/>
  <c r="I115" i="20"/>
  <c r="I113" i="21"/>
  <c r="I113" i="22"/>
  <c r="I113" i="20"/>
  <c r="I112" i="22"/>
  <c r="I112" i="20"/>
  <c r="I106" i="22"/>
  <c r="I106" i="20"/>
  <c r="I104" i="22"/>
  <c r="I100" i="22"/>
  <c r="I93" i="21"/>
  <c r="I93" i="22"/>
  <c r="I93" i="20"/>
  <c r="I97" i="22"/>
  <c r="I96" i="22"/>
  <c r="I91" i="20"/>
  <c r="I90" i="22"/>
  <c r="I150" i="45" l="1"/>
  <c r="K150" i="45" s="1"/>
  <c r="I149" i="45"/>
  <c r="I149" i="7" s="1"/>
  <c r="AG149" i="4" s="1"/>
  <c r="I148" i="45"/>
  <c r="K148" i="45" s="1"/>
  <c r="I146" i="45"/>
  <c r="I146" i="7" s="1"/>
  <c r="I145" i="45"/>
  <c r="K145" i="45" s="1"/>
  <c r="I144" i="45"/>
  <c r="K144" i="45" s="1"/>
  <c r="I141" i="45"/>
  <c r="K141" i="45" s="1"/>
  <c r="I136" i="45"/>
  <c r="K136" i="45" s="1"/>
  <c r="I135" i="45"/>
  <c r="K135" i="45" s="1"/>
  <c r="I132" i="45"/>
  <c r="K132" i="45" s="1"/>
  <c r="I131" i="45"/>
  <c r="K131" i="45" s="1"/>
  <c r="I130" i="45"/>
  <c r="K130" i="45" s="1"/>
  <c r="I129" i="45"/>
  <c r="K129" i="45" s="1"/>
  <c r="I127" i="45"/>
  <c r="K127" i="45" s="1"/>
  <c r="I125" i="45"/>
  <c r="K125" i="45" s="1"/>
  <c r="I122" i="45"/>
  <c r="K122" i="45" s="1"/>
  <c r="I120" i="45"/>
  <c r="I119" i="45"/>
  <c r="K119" i="45" s="1"/>
  <c r="I118" i="45"/>
  <c r="K118" i="45" s="1"/>
  <c r="I117" i="45"/>
  <c r="K117" i="45" s="1"/>
  <c r="I116" i="45"/>
  <c r="K116" i="45" s="1"/>
  <c r="I115" i="45"/>
  <c r="K115" i="45" s="1"/>
  <c r="I113" i="45"/>
  <c r="K113" i="45" s="1"/>
  <c r="I112" i="45"/>
  <c r="K112" i="45" s="1"/>
  <c r="I110" i="45"/>
  <c r="K110" i="45" s="1"/>
  <c r="I109" i="45"/>
  <c r="K109" i="45" s="1"/>
  <c r="I108" i="45"/>
  <c r="K108" i="45" s="1"/>
  <c r="I107" i="45"/>
  <c r="K107" i="45" s="1"/>
  <c r="I106" i="45"/>
  <c r="K106" i="45" s="1"/>
  <c r="I104" i="45"/>
  <c r="I104" i="7" s="1"/>
  <c r="AG104" i="4" s="1"/>
  <c r="I103" i="45"/>
  <c r="K103" i="45" s="1"/>
  <c r="I102" i="45"/>
  <c r="K102" i="45" s="1"/>
  <c r="I100" i="45"/>
  <c r="K100" i="45" s="1"/>
  <c r="I99" i="45"/>
  <c r="K99" i="45" s="1"/>
  <c r="I98" i="45"/>
  <c r="K98" i="45" s="1"/>
  <c r="I97" i="45"/>
  <c r="K97" i="45" s="1"/>
  <c r="I96" i="45"/>
  <c r="K96" i="45" s="1"/>
  <c r="I95" i="45"/>
  <c r="K95" i="45" s="1"/>
  <c r="I94" i="45"/>
  <c r="K94" i="45" s="1"/>
  <c r="I93" i="45"/>
  <c r="K93" i="45" s="1"/>
  <c r="I92" i="45"/>
  <c r="K92" i="45" s="1"/>
  <c r="I91" i="45"/>
  <c r="I91" i="7" s="1"/>
  <c r="I90" i="45"/>
  <c r="K90" i="45" s="1"/>
  <c r="I84" i="45"/>
  <c r="K84" i="45" s="1"/>
  <c r="I83" i="45"/>
  <c r="K83" i="45" s="1"/>
  <c r="I82" i="45"/>
  <c r="I82" i="7" s="1"/>
  <c r="AG82" i="4" s="1"/>
  <c r="I78" i="45"/>
  <c r="K78" i="45" s="1"/>
  <c r="I77" i="45"/>
  <c r="K77" i="45" s="1"/>
  <c r="I76" i="45"/>
  <c r="K76" i="45" s="1"/>
  <c r="I72" i="45"/>
  <c r="K72" i="45" s="1"/>
  <c r="I71" i="45"/>
  <c r="K71" i="45" s="1"/>
  <c r="I69" i="45"/>
  <c r="K69" i="45" s="1"/>
  <c r="I68" i="45"/>
  <c r="K68" i="45" s="1"/>
  <c r="I66" i="45"/>
  <c r="K66" i="45" s="1"/>
  <c r="I65" i="45"/>
  <c r="K65" i="45" s="1"/>
  <c r="I64" i="45"/>
  <c r="K64" i="45" s="1"/>
  <c r="I63" i="45"/>
  <c r="K63" i="45" s="1"/>
  <c r="I62" i="45"/>
  <c r="K62" i="45" s="1"/>
  <c r="I60" i="45"/>
  <c r="K60" i="45" s="1"/>
  <c r="I59" i="45"/>
  <c r="K59" i="45" s="1"/>
  <c r="I58" i="45"/>
  <c r="K58" i="45" s="1"/>
  <c r="I57" i="45"/>
  <c r="K57" i="45" s="1"/>
  <c r="I56" i="45"/>
  <c r="K56" i="45" s="1"/>
  <c r="I55" i="45"/>
  <c r="K55" i="45" s="1"/>
  <c r="I54" i="45"/>
  <c r="K54" i="45" s="1"/>
  <c r="I53" i="45"/>
  <c r="K53" i="45" s="1"/>
  <c r="I52" i="45"/>
  <c r="K52" i="45" s="1"/>
  <c r="I51" i="45"/>
  <c r="K51" i="45" s="1"/>
  <c r="I50" i="45"/>
  <c r="K50" i="45" s="1"/>
  <c r="I48" i="45"/>
  <c r="K48" i="45" s="1"/>
  <c r="I47" i="45"/>
  <c r="K47" i="45" s="1"/>
  <c r="I46" i="45"/>
  <c r="K46" i="45" s="1"/>
  <c r="I44" i="45"/>
  <c r="K44" i="45" s="1"/>
  <c r="I43" i="45"/>
  <c r="K43" i="45" s="1"/>
  <c r="I42" i="45"/>
  <c r="K42" i="45" s="1"/>
  <c r="I41" i="45"/>
  <c r="K41" i="45" s="1"/>
  <c r="I40" i="45"/>
  <c r="K40" i="45" s="1"/>
  <c r="I39" i="45"/>
  <c r="K39" i="45" s="1"/>
  <c r="I37" i="45"/>
  <c r="K37" i="45" s="1"/>
  <c r="I36" i="45"/>
  <c r="K36" i="45" s="1"/>
  <c r="I35" i="45"/>
  <c r="K35" i="45" s="1"/>
  <c r="I33" i="45"/>
  <c r="K33" i="45" s="1"/>
  <c r="I32" i="45"/>
  <c r="K32" i="45" s="1"/>
  <c r="I29" i="45"/>
  <c r="K29" i="45" s="1"/>
  <c r="I28" i="45"/>
  <c r="K28" i="45" s="1"/>
  <c r="I27" i="45"/>
  <c r="K27" i="45" s="1"/>
  <c r="I24" i="45"/>
  <c r="K24" i="45" s="1"/>
  <c r="I20" i="45"/>
  <c r="K20" i="45" s="1"/>
  <c r="I19" i="45"/>
  <c r="K19" i="45" s="1"/>
  <c r="I18" i="45"/>
  <c r="K18" i="45" s="1"/>
  <c r="I17" i="45"/>
  <c r="K17" i="45" s="1"/>
  <c r="I16" i="45"/>
  <c r="I15" i="45"/>
  <c r="K15" i="45" s="1"/>
  <c r="I14" i="45"/>
  <c r="K14" i="45" s="1"/>
  <c r="I13" i="45"/>
  <c r="K13" i="45" s="1"/>
  <c r="I12" i="45"/>
  <c r="K12" i="45" s="1"/>
  <c r="I11" i="45"/>
  <c r="K11" i="45" s="1"/>
  <c r="BK143" i="59"/>
  <c r="BK134" i="59"/>
  <c r="BK128" i="59" s="1"/>
  <c r="BK123" i="59"/>
  <c r="BK114" i="59"/>
  <c r="BK105" i="59"/>
  <c r="BK101" i="59"/>
  <c r="BK89" i="59"/>
  <c r="BK79" i="59"/>
  <c r="BK75" i="59" s="1"/>
  <c r="BK74" i="59" s="1"/>
  <c r="BK70" i="59"/>
  <c r="BK67" i="59"/>
  <c r="BK61" i="59"/>
  <c r="BK49" i="59"/>
  <c r="BK45" i="59" s="1"/>
  <c r="BK38" i="59"/>
  <c r="BK34" i="59"/>
  <c r="BK31" i="59"/>
  <c r="BK26" i="59"/>
  <c r="BK22" i="59"/>
  <c r="BK10" i="59"/>
  <c r="BK9" i="59" s="1"/>
  <c r="BG143" i="59"/>
  <c r="BG134" i="59"/>
  <c r="BG128" i="59" s="1"/>
  <c r="BG124" i="59"/>
  <c r="BG114" i="59"/>
  <c r="BG105" i="59"/>
  <c r="BG101" i="59"/>
  <c r="BG89" i="59"/>
  <c r="BG79" i="59"/>
  <c r="BG75" i="59" s="1"/>
  <c r="BG74" i="59" s="1"/>
  <c r="BG70" i="59"/>
  <c r="BG67" i="59"/>
  <c r="BG61" i="59"/>
  <c r="BG49" i="59"/>
  <c r="BG45" i="59" s="1"/>
  <c r="BG38" i="59"/>
  <c r="BG34" i="59"/>
  <c r="BG31" i="59"/>
  <c r="BG26" i="59"/>
  <c r="BG22" i="59"/>
  <c r="BG10" i="59"/>
  <c r="BG9" i="59" s="1"/>
  <c r="BC143" i="59"/>
  <c r="BC134" i="59"/>
  <c r="BC128" i="59" s="1"/>
  <c r="BC124" i="59"/>
  <c r="BC123" i="59" s="1"/>
  <c r="BC114" i="59"/>
  <c r="BC105" i="59"/>
  <c r="BC101" i="59"/>
  <c r="BC89" i="59"/>
  <c r="BC79" i="59"/>
  <c r="BC75" i="59" s="1"/>
  <c r="BC74" i="59" s="1"/>
  <c r="BC70" i="59"/>
  <c r="BC67" i="59"/>
  <c r="BC61" i="59"/>
  <c r="BC49" i="59"/>
  <c r="BC45" i="59" s="1"/>
  <c r="BC38" i="59"/>
  <c r="BC34" i="59"/>
  <c r="BC31" i="59"/>
  <c r="BC26" i="59"/>
  <c r="I23" i="45"/>
  <c r="K23" i="45" s="1"/>
  <c r="BC10" i="59"/>
  <c r="BC9" i="59" s="1"/>
  <c r="AY143" i="59"/>
  <c r="AY134" i="59"/>
  <c r="AY128" i="59" s="1"/>
  <c r="AY123" i="59"/>
  <c r="AY114" i="59"/>
  <c r="AY105" i="59"/>
  <c r="AY101" i="59"/>
  <c r="AY89" i="59"/>
  <c r="AY79" i="59"/>
  <c r="AY75" i="59" s="1"/>
  <c r="AY74" i="59" s="1"/>
  <c r="AY70" i="59"/>
  <c r="AY67" i="59"/>
  <c r="AY61" i="59"/>
  <c r="AY49" i="59"/>
  <c r="AY45" i="59" s="1"/>
  <c r="AY38" i="59"/>
  <c r="AY34" i="59"/>
  <c r="AY31" i="59"/>
  <c r="AY26" i="59"/>
  <c r="AY22" i="59"/>
  <c r="AY21" i="59"/>
  <c r="AY10" i="59"/>
  <c r="AU143" i="59"/>
  <c r="AU134" i="59"/>
  <c r="AU128" i="59" s="1"/>
  <c r="AU123" i="59"/>
  <c r="AU114" i="59"/>
  <c r="AU105" i="59"/>
  <c r="AU101" i="59"/>
  <c r="AU89" i="59"/>
  <c r="AU79" i="59"/>
  <c r="AU75" i="59" s="1"/>
  <c r="AU74" i="59" s="1"/>
  <c r="AU70" i="59"/>
  <c r="AU67" i="59"/>
  <c r="AU61" i="59"/>
  <c r="AU49" i="59"/>
  <c r="AU45" i="59" s="1"/>
  <c r="AU38" i="59"/>
  <c r="AU34" i="59"/>
  <c r="AU31" i="59"/>
  <c r="AU26" i="59"/>
  <c r="AU22" i="59"/>
  <c r="AU10" i="59"/>
  <c r="AQ143" i="59"/>
  <c r="AQ134" i="59"/>
  <c r="AQ128" i="59" s="1"/>
  <c r="AQ123" i="59"/>
  <c r="AQ114" i="59"/>
  <c r="AQ105" i="59"/>
  <c r="AQ101" i="59"/>
  <c r="AQ89" i="59"/>
  <c r="AQ79" i="59"/>
  <c r="AQ75" i="59" s="1"/>
  <c r="AQ74" i="59" s="1"/>
  <c r="AQ70" i="59"/>
  <c r="AQ67" i="59"/>
  <c r="AQ61" i="59"/>
  <c r="AQ49" i="59"/>
  <c r="AQ45" i="59" s="1"/>
  <c r="AQ38" i="59"/>
  <c r="AQ34" i="59"/>
  <c r="AQ31" i="59"/>
  <c r="AQ26" i="59"/>
  <c r="AQ22" i="59"/>
  <c r="AQ21" i="59"/>
  <c r="AQ10" i="59"/>
  <c r="AM143" i="59"/>
  <c r="AM134" i="59"/>
  <c r="AM128" i="59" s="1"/>
  <c r="AM123" i="59"/>
  <c r="AM114" i="59"/>
  <c r="AM105" i="59"/>
  <c r="AM101" i="59"/>
  <c r="AM89" i="59"/>
  <c r="AM79" i="59"/>
  <c r="AM75" i="59" s="1"/>
  <c r="AM74" i="59" s="1"/>
  <c r="AM70" i="59"/>
  <c r="AM67" i="59"/>
  <c r="AM61" i="59"/>
  <c r="AM49" i="59"/>
  <c r="AM45" i="59" s="1"/>
  <c r="AM38" i="59"/>
  <c r="AM34" i="59"/>
  <c r="AM31" i="59"/>
  <c r="AM26" i="59"/>
  <c r="AM22" i="59"/>
  <c r="AM21" i="59"/>
  <c r="AM10" i="59"/>
  <c r="AI143" i="59"/>
  <c r="AI134" i="59"/>
  <c r="AI128" i="59" s="1"/>
  <c r="AI123" i="59"/>
  <c r="AI114" i="59"/>
  <c r="AI105" i="59"/>
  <c r="AI101" i="59"/>
  <c r="AI89" i="59"/>
  <c r="AI81" i="59"/>
  <c r="AI80" i="59"/>
  <c r="AI70" i="59"/>
  <c r="AI67" i="59"/>
  <c r="AI61" i="59"/>
  <c r="AI49" i="59"/>
  <c r="AI45" i="59" s="1"/>
  <c r="AI38" i="59"/>
  <c r="AI34" i="59"/>
  <c r="AI31" i="59"/>
  <c r="AI26" i="59"/>
  <c r="AI22" i="59"/>
  <c r="AI10" i="59"/>
  <c r="AI9" i="59" s="1"/>
  <c r="AC143" i="59"/>
  <c r="AC134" i="59"/>
  <c r="AC128" i="59" s="1"/>
  <c r="AC124" i="59"/>
  <c r="AC123" i="59" s="1"/>
  <c r="AC114" i="59"/>
  <c r="AC79" i="59"/>
  <c r="AC75" i="59" s="1"/>
  <c r="AC74" i="59" s="1"/>
  <c r="AC70" i="59"/>
  <c r="AC67" i="59"/>
  <c r="AC61" i="59"/>
  <c r="AC49" i="59"/>
  <c r="AC45" i="59" s="1"/>
  <c r="AC38" i="59"/>
  <c r="AC34" i="59"/>
  <c r="AC31" i="59"/>
  <c r="AC26" i="59"/>
  <c r="AC22" i="59"/>
  <c r="AC10" i="59"/>
  <c r="AC9" i="59" s="1"/>
  <c r="Y143" i="59"/>
  <c r="Y137" i="59"/>
  <c r="BS137" i="59" s="1"/>
  <c r="Y134" i="59"/>
  <c r="Y128" i="59" s="1"/>
  <c r="Y121" i="59"/>
  <c r="Y105" i="59"/>
  <c r="Y101" i="59"/>
  <c r="Y89" i="59"/>
  <c r="Y81" i="59"/>
  <c r="Y79" i="59" s="1"/>
  <c r="Y75" i="59" s="1"/>
  <c r="Y74" i="59" s="1"/>
  <c r="Y70" i="59"/>
  <c r="Y67" i="59"/>
  <c r="Y61" i="59"/>
  <c r="Y49" i="59"/>
  <c r="Y45" i="59" s="1"/>
  <c r="Y38" i="59"/>
  <c r="Y34" i="59"/>
  <c r="Y31" i="59"/>
  <c r="Y26" i="59"/>
  <c r="Y22" i="59"/>
  <c r="Y10" i="59"/>
  <c r="Y9" i="59" s="1"/>
  <c r="U143" i="59"/>
  <c r="U134" i="59"/>
  <c r="U128" i="59" s="1"/>
  <c r="U124" i="59"/>
  <c r="U114" i="59"/>
  <c r="U105" i="59"/>
  <c r="U101" i="59"/>
  <c r="U89" i="59"/>
  <c r="U79" i="59"/>
  <c r="U75" i="59" s="1"/>
  <c r="U74" i="59" s="1"/>
  <c r="U85" i="59" s="1"/>
  <c r="Q143" i="59"/>
  <c r="Q134" i="59"/>
  <c r="Q128" i="59" s="1"/>
  <c r="Q123" i="59"/>
  <c r="Q114" i="59"/>
  <c r="Q105" i="59"/>
  <c r="Q101" i="59"/>
  <c r="Q89" i="59"/>
  <c r="Q79" i="59"/>
  <c r="Q75" i="59" s="1"/>
  <c r="Q74" i="59" s="1"/>
  <c r="Q70" i="59"/>
  <c r="Q67" i="59"/>
  <c r="Q61" i="59"/>
  <c r="Q49" i="59"/>
  <c r="Q45" i="59" s="1"/>
  <c r="Q38" i="59"/>
  <c r="Q34" i="59"/>
  <c r="Q31" i="59"/>
  <c r="Q26" i="59"/>
  <c r="Q22" i="59"/>
  <c r="Q10" i="59"/>
  <c r="Q9" i="59" s="1"/>
  <c r="M143" i="59"/>
  <c r="M134" i="59"/>
  <c r="M128" i="59" s="1"/>
  <c r="M123" i="59"/>
  <c r="M114" i="59"/>
  <c r="M105" i="59"/>
  <c r="M101" i="59"/>
  <c r="M89" i="59"/>
  <c r="M81" i="59"/>
  <c r="BS81" i="59" s="1"/>
  <c r="I147" i="59"/>
  <c r="I134" i="59"/>
  <c r="I128" i="59" s="1"/>
  <c r="I123" i="59"/>
  <c r="I114" i="59"/>
  <c r="I105" i="59"/>
  <c r="I101" i="59"/>
  <c r="I89" i="59"/>
  <c r="I79" i="59"/>
  <c r="I75" i="59" s="1"/>
  <c r="I74" i="59" s="1"/>
  <c r="I70" i="59"/>
  <c r="I67" i="59"/>
  <c r="I61" i="59"/>
  <c r="I49" i="59"/>
  <c r="I45" i="59" s="1"/>
  <c r="I38" i="59"/>
  <c r="I34" i="59"/>
  <c r="I31" i="59"/>
  <c r="I26" i="59"/>
  <c r="I22" i="59"/>
  <c r="I10" i="59"/>
  <c r="E143" i="59"/>
  <c r="E134" i="59"/>
  <c r="E123" i="59"/>
  <c r="E114" i="59"/>
  <c r="E105" i="59"/>
  <c r="E101" i="59"/>
  <c r="E89" i="59"/>
  <c r="E79" i="59"/>
  <c r="E70" i="59"/>
  <c r="E67" i="59"/>
  <c r="E61" i="59"/>
  <c r="E49" i="59"/>
  <c r="E38" i="59"/>
  <c r="E34" i="59"/>
  <c r="E31" i="59"/>
  <c r="E26" i="59"/>
  <c r="E22" i="59"/>
  <c r="J143" i="45"/>
  <c r="J134" i="45"/>
  <c r="J128" i="45" s="1"/>
  <c r="J123" i="45"/>
  <c r="J114" i="45"/>
  <c r="J105" i="45"/>
  <c r="J101" i="45"/>
  <c r="J89" i="45"/>
  <c r="K150" i="48"/>
  <c r="K149" i="48"/>
  <c r="K148" i="48"/>
  <c r="K147" i="48"/>
  <c r="K145" i="48"/>
  <c r="K144" i="48"/>
  <c r="J143" i="48"/>
  <c r="I143" i="48"/>
  <c r="K141" i="48"/>
  <c r="K140" i="48"/>
  <c r="K139" i="48"/>
  <c r="K138" i="48"/>
  <c r="K137" i="48"/>
  <c r="K136" i="48"/>
  <c r="K135" i="48"/>
  <c r="J134" i="48"/>
  <c r="J128" i="48" s="1"/>
  <c r="I134" i="48"/>
  <c r="K133" i="48"/>
  <c r="K132" i="48"/>
  <c r="K131" i="48"/>
  <c r="K130" i="48"/>
  <c r="K129" i="48"/>
  <c r="K127" i="48"/>
  <c r="K126" i="48"/>
  <c r="K125" i="48"/>
  <c r="K124" i="48"/>
  <c r="J123" i="48"/>
  <c r="I123" i="48"/>
  <c r="K122" i="48"/>
  <c r="K121" i="48"/>
  <c r="K120" i="48"/>
  <c r="K119" i="48"/>
  <c r="K118" i="48"/>
  <c r="K117" i="48"/>
  <c r="K116" i="48"/>
  <c r="K115" i="48"/>
  <c r="J114" i="48"/>
  <c r="I114" i="48"/>
  <c r="I111" i="48" s="1"/>
  <c r="K113" i="48"/>
  <c r="K112" i="48"/>
  <c r="J111" i="48"/>
  <c r="K110" i="48"/>
  <c r="K109" i="48"/>
  <c r="K108" i="48"/>
  <c r="K107" i="48"/>
  <c r="K106" i="48"/>
  <c r="J105" i="48"/>
  <c r="I105" i="48"/>
  <c r="K104" i="48"/>
  <c r="K103" i="48"/>
  <c r="K102" i="48"/>
  <c r="J101" i="48"/>
  <c r="I101" i="48"/>
  <c r="K100" i="48"/>
  <c r="K99" i="48"/>
  <c r="K98" i="48"/>
  <c r="K97" i="48"/>
  <c r="K96" i="48"/>
  <c r="K95" i="48"/>
  <c r="K94" i="48"/>
  <c r="K93" i="48"/>
  <c r="K92" i="48"/>
  <c r="K90" i="48"/>
  <c r="J89" i="48"/>
  <c r="J88" i="48" s="1"/>
  <c r="I89" i="48"/>
  <c r="I88" i="48" s="1"/>
  <c r="K84" i="48"/>
  <c r="K83" i="48"/>
  <c r="K81" i="48"/>
  <c r="K80" i="48"/>
  <c r="J79" i="48"/>
  <c r="J75" i="48" s="1"/>
  <c r="J74" i="48" s="1"/>
  <c r="I79" i="48"/>
  <c r="K78" i="48"/>
  <c r="K77" i="48"/>
  <c r="K76" i="48"/>
  <c r="I75" i="48"/>
  <c r="K72" i="48"/>
  <c r="K71" i="48"/>
  <c r="J70" i="48"/>
  <c r="I70" i="48"/>
  <c r="K69" i="48"/>
  <c r="K68" i="48"/>
  <c r="J67" i="48"/>
  <c r="I67" i="48"/>
  <c r="K66" i="48"/>
  <c r="K65" i="48"/>
  <c r="K64" i="48"/>
  <c r="K63" i="48"/>
  <c r="K62" i="48"/>
  <c r="J61" i="48"/>
  <c r="I61" i="48"/>
  <c r="K60" i="48"/>
  <c r="K59" i="48"/>
  <c r="K58" i="48"/>
  <c r="K57" i="48"/>
  <c r="K56" i="48"/>
  <c r="K55" i="48"/>
  <c r="K54" i="48"/>
  <c r="K53" i="48"/>
  <c r="K52" i="48"/>
  <c r="K51" i="48"/>
  <c r="K50" i="48"/>
  <c r="J49" i="48"/>
  <c r="J45" i="48" s="1"/>
  <c r="I49" i="48"/>
  <c r="K48" i="48"/>
  <c r="K47" i="48"/>
  <c r="K46" i="48"/>
  <c r="I45" i="48"/>
  <c r="K44" i="48"/>
  <c r="K43" i="48"/>
  <c r="K42" i="48"/>
  <c r="K41" i="48"/>
  <c r="K40" i="48"/>
  <c r="K39" i="48"/>
  <c r="J38" i="48"/>
  <c r="K38" i="48" s="1"/>
  <c r="K37" i="48"/>
  <c r="K36" i="48"/>
  <c r="K35" i="48"/>
  <c r="J34" i="48"/>
  <c r="I34" i="48"/>
  <c r="K33" i="48"/>
  <c r="K32" i="48"/>
  <c r="J31" i="48"/>
  <c r="J30" i="48" s="1"/>
  <c r="I31" i="48"/>
  <c r="I30" i="48" s="1"/>
  <c r="K29" i="48"/>
  <c r="K28" i="48"/>
  <c r="K27" i="48"/>
  <c r="J26" i="48"/>
  <c r="I26" i="48"/>
  <c r="K24" i="48"/>
  <c r="K23" i="48"/>
  <c r="J22" i="48"/>
  <c r="I22" i="48"/>
  <c r="K21" i="48"/>
  <c r="K20" i="48"/>
  <c r="K19" i="48"/>
  <c r="K18" i="48"/>
  <c r="K17" i="48"/>
  <c r="K16" i="48"/>
  <c r="K15" i="48"/>
  <c r="K14" i="48"/>
  <c r="K13" i="48"/>
  <c r="K12" i="48"/>
  <c r="K11" i="48"/>
  <c r="J10" i="48"/>
  <c r="J9" i="48" s="1"/>
  <c r="I10" i="48"/>
  <c r="K150" i="47"/>
  <c r="K149" i="47"/>
  <c r="K148" i="47"/>
  <c r="K147" i="47"/>
  <c r="K145" i="47"/>
  <c r="K144" i="47"/>
  <c r="J143" i="47"/>
  <c r="I143" i="47"/>
  <c r="K141" i="47"/>
  <c r="K140" i="47"/>
  <c r="K139" i="47"/>
  <c r="K138" i="47"/>
  <c r="K137" i="47"/>
  <c r="K136" i="47"/>
  <c r="K135" i="47"/>
  <c r="J134" i="47"/>
  <c r="J128" i="47" s="1"/>
  <c r="I134" i="47"/>
  <c r="K133" i="47"/>
  <c r="K132" i="47"/>
  <c r="K131" i="47"/>
  <c r="K130" i="47"/>
  <c r="K129" i="47"/>
  <c r="K127" i="47"/>
  <c r="K126" i="47"/>
  <c r="K125" i="47"/>
  <c r="I124" i="47"/>
  <c r="K124" i="47" s="1"/>
  <c r="J123" i="47"/>
  <c r="I123" i="47"/>
  <c r="K122" i="47"/>
  <c r="K121" i="47"/>
  <c r="K120" i="47"/>
  <c r="K119" i="47"/>
  <c r="K118" i="47"/>
  <c r="K117" i="47"/>
  <c r="K116" i="47"/>
  <c r="K115" i="47"/>
  <c r="J114" i="47"/>
  <c r="I114" i="47"/>
  <c r="K113" i="47"/>
  <c r="I112" i="47"/>
  <c r="K112" i="47" s="1"/>
  <c r="J111" i="47"/>
  <c r="K110" i="47"/>
  <c r="K109" i="47"/>
  <c r="K108" i="47"/>
  <c r="K107" i="47"/>
  <c r="K106" i="47"/>
  <c r="J105" i="47"/>
  <c r="I105" i="47"/>
  <c r="K104" i="47"/>
  <c r="K103" i="47"/>
  <c r="K102" i="47"/>
  <c r="J101" i="47"/>
  <c r="I101" i="47"/>
  <c r="K100" i="47"/>
  <c r="K99" i="47"/>
  <c r="K98" i="47"/>
  <c r="K97" i="47"/>
  <c r="K96" i="47"/>
  <c r="K95" i="47"/>
  <c r="K94" i="47"/>
  <c r="K93" i="47"/>
  <c r="K92" i="47"/>
  <c r="K90" i="47"/>
  <c r="J89" i="47"/>
  <c r="J88" i="47" s="1"/>
  <c r="I89" i="47"/>
  <c r="I88" i="47" s="1"/>
  <c r="K84" i="47"/>
  <c r="K83" i="47"/>
  <c r="K81" i="47"/>
  <c r="K80" i="47"/>
  <c r="J79" i="47"/>
  <c r="J75" i="47" s="1"/>
  <c r="J74" i="47" s="1"/>
  <c r="I79" i="47"/>
  <c r="K78" i="47"/>
  <c r="K77" i="47"/>
  <c r="K76" i="47"/>
  <c r="K72" i="47"/>
  <c r="K71" i="47"/>
  <c r="J70" i="47"/>
  <c r="I70" i="47"/>
  <c r="K69" i="47"/>
  <c r="K68" i="47"/>
  <c r="J67" i="47"/>
  <c r="I67" i="47"/>
  <c r="K66" i="47"/>
  <c r="K65" i="47"/>
  <c r="K64" i="47"/>
  <c r="K63" i="47"/>
  <c r="K62" i="47"/>
  <c r="J61" i="47"/>
  <c r="I61" i="47"/>
  <c r="K60" i="47"/>
  <c r="K59" i="47"/>
  <c r="K58" i="47"/>
  <c r="K57" i="47"/>
  <c r="K56" i="47"/>
  <c r="K55" i="47"/>
  <c r="K54" i="47"/>
  <c r="K53" i="47"/>
  <c r="K52" i="47"/>
  <c r="K51" i="47"/>
  <c r="K50" i="47"/>
  <c r="J49" i="47"/>
  <c r="J45" i="47" s="1"/>
  <c r="I49" i="47"/>
  <c r="K48" i="47"/>
  <c r="K47" i="47"/>
  <c r="K46" i="47"/>
  <c r="K44" i="47"/>
  <c r="K43" i="47"/>
  <c r="K42" i="47"/>
  <c r="K41" i="47"/>
  <c r="K40" i="47"/>
  <c r="K39" i="47"/>
  <c r="J38" i="47"/>
  <c r="I38" i="47"/>
  <c r="K37" i="47"/>
  <c r="K36" i="47"/>
  <c r="K35" i="47"/>
  <c r="J34" i="47"/>
  <c r="I34" i="47"/>
  <c r="K33" i="47"/>
  <c r="K32" i="47"/>
  <c r="J31" i="47"/>
  <c r="J30" i="47" s="1"/>
  <c r="I31" i="47"/>
  <c r="K29" i="47"/>
  <c r="K28" i="47"/>
  <c r="K27" i="47"/>
  <c r="J26" i="47"/>
  <c r="I26" i="47"/>
  <c r="K24" i="47"/>
  <c r="K23" i="47"/>
  <c r="J22" i="47"/>
  <c r="I22" i="47"/>
  <c r="K21" i="47"/>
  <c r="K20" i="47"/>
  <c r="K19" i="47"/>
  <c r="K18" i="47"/>
  <c r="K17" i="47"/>
  <c r="K16" i="47"/>
  <c r="K15" i="47"/>
  <c r="K14" i="47"/>
  <c r="K13" i="47"/>
  <c r="K12" i="47"/>
  <c r="K11" i="47"/>
  <c r="J10" i="47"/>
  <c r="I10" i="47"/>
  <c r="I9" i="47" s="1"/>
  <c r="J9" i="47"/>
  <c r="K150" i="51"/>
  <c r="K149" i="51"/>
  <c r="K148" i="51"/>
  <c r="K147" i="51"/>
  <c r="K145" i="51"/>
  <c r="K144" i="51"/>
  <c r="J143" i="51"/>
  <c r="I143" i="51"/>
  <c r="K141" i="51"/>
  <c r="K140" i="51"/>
  <c r="K139" i="51"/>
  <c r="K138" i="51"/>
  <c r="K137" i="51"/>
  <c r="K136" i="51"/>
  <c r="K135" i="51"/>
  <c r="J134" i="51"/>
  <c r="J128" i="51" s="1"/>
  <c r="I134" i="51"/>
  <c r="K133" i="51"/>
  <c r="K132" i="51"/>
  <c r="K131" i="51"/>
  <c r="K130" i="51"/>
  <c r="K129" i="51"/>
  <c r="I128" i="51"/>
  <c r="K127" i="51"/>
  <c r="K126" i="51"/>
  <c r="K125" i="51"/>
  <c r="I124" i="51"/>
  <c r="K124" i="51" s="1"/>
  <c r="J123" i="51"/>
  <c r="I123" i="51"/>
  <c r="K122" i="51"/>
  <c r="K121" i="51"/>
  <c r="K120" i="51"/>
  <c r="K119" i="51"/>
  <c r="K118" i="51"/>
  <c r="K117" i="51"/>
  <c r="K115" i="51"/>
  <c r="J114" i="51"/>
  <c r="K113" i="51"/>
  <c r="K112" i="51"/>
  <c r="K110" i="51"/>
  <c r="K109" i="51"/>
  <c r="K108" i="51"/>
  <c r="K107" i="51"/>
  <c r="K106" i="51"/>
  <c r="J105" i="51"/>
  <c r="I105" i="51"/>
  <c r="K104" i="51"/>
  <c r="K103" i="51"/>
  <c r="K102" i="51"/>
  <c r="J101" i="51"/>
  <c r="I101" i="51"/>
  <c r="K100" i="51"/>
  <c r="K99" i="51"/>
  <c r="K98" i="51"/>
  <c r="K97" i="51"/>
  <c r="K96" i="51"/>
  <c r="K95" i="51"/>
  <c r="K94" i="51"/>
  <c r="K93" i="51"/>
  <c r="K92" i="51"/>
  <c r="K90" i="51"/>
  <c r="J89" i="51"/>
  <c r="J88" i="51" s="1"/>
  <c r="I89" i="51"/>
  <c r="I88" i="51" s="1"/>
  <c r="K84" i="51"/>
  <c r="K83" i="51"/>
  <c r="K81" i="51"/>
  <c r="K80" i="51"/>
  <c r="J79" i="51"/>
  <c r="J75" i="51" s="1"/>
  <c r="J74" i="51" s="1"/>
  <c r="I79" i="51"/>
  <c r="K78" i="51"/>
  <c r="K77" i="51"/>
  <c r="K76" i="51"/>
  <c r="I75" i="51"/>
  <c r="K72" i="51"/>
  <c r="K71" i="51"/>
  <c r="J70" i="51"/>
  <c r="I70" i="51"/>
  <c r="K69" i="51"/>
  <c r="K68" i="51"/>
  <c r="J67" i="51"/>
  <c r="I67" i="51"/>
  <c r="K66" i="51"/>
  <c r="K65" i="51"/>
  <c r="K64" i="51"/>
  <c r="K63" i="51"/>
  <c r="K62" i="51"/>
  <c r="J61" i="51"/>
  <c r="I61" i="51"/>
  <c r="K60" i="51"/>
  <c r="K59" i="51"/>
  <c r="K58" i="51"/>
  <c r="K57" i="51"/>
  <c r="K56" i="51"/>
  <c r="I55" i="51"/>
  <c r="K55" i="51" s="1"/>
  <c r="I54" i="51"/>
  <c r="K54" i="51" s="1"/>
  <c r="K53" i="51"/>
  <c r="K52" i="51"/>
  <c r="K51" i="51"/>
  <c r="K50" i="51"/>
  <c r="J49" i="51"/>
  <c r="J45" i="51" s="1"/>
  <c r="I49" i="51"/>
  <c r="K48" i="51"/>
  <c r="K47" i="51"/>
  <c r="K46" i="51"/>
  <c r="K44" i="51"/>
  <c r="K43" i="51"/>
  <c r="K42" i="51"/>
  <c r="K41" i="51"/>
  <c r="K40" i="51"/>
  <c r="K39" i="51"/>
  <c r="J38" i="51"/>
  <c r="I38" i="51"/>
  <c r="K37" i="51"/>
  <c r="K36" i="51"/>
  <c r="K35" i="51"/>
  <c r="J34" i="51"/>
  <c r="I34" i="51"/>
  <c r="K33" i="51"/>
  <c r="K32" i="51"/>
  <c r="J31" i="51"/>
  <c r="J30" i="51" s="1"/>
  <c r="I31" i="51"/>
  <c r="K29" i="51"/>
  <c r="K28" i="51"/>
  <c r="K27" i="51"/>
  <c r="J26" i="51"/>
  <c r="I26" i="51"/>
  <c r="K24" i="51"/>
  <c r="K23" i="51"/>
  <c r="J22" i="51"/>
  <c r="I22" i="51"/>
  <c r="K21" i="51"/>
  <c r="K20" i="51"/>
  <c r="K19" i="51"/>
  <c r="K18" i="51"/>
  <c r="K17" i="51"/>
  <c r="K16" i="51"/>
  <c r="K15" i="51"/>
  <c r="K14" i="51"/>
  <c r="K13" i="51"/>
  <c r="K12" i="51"/>
  <c r="K11" i="51"/>
  <c r="J10" i="51"/>
  <c r="I10" i="51"/>
  <c r="I9" i="51" s="1"/>
  <c r="J9" i="51"/>
  <c r="K150" i="52"/>
  <c r="K149" i="52"/>
  <c r="K148" i="52"/>
  <c r="K147" i="52"/>
  <c r="K145" i="52"/>
  <c r="K144" i="52"/>
  <c r="J143" i="52"/>
  <c r="I143" i="52"/>
  <c r="K141" i="52"/>
  <c r="K140" i="52"/>
  <c r="K139" i="52"/>
  <c r="K138" i="52"/>
  <c r="K137" i="52"/>
  <c r="K136" i="52"/>
  <c r="K135" i="52"/>
  <c r="J134" i="52"/>
  <c r="J128" i="52" s="1"/>
  <c r="I134" i="52"/>
  <c r="K133" i="52"/>
  <c r="K132" i="52"/>
  <c r="K131" i="52"/>
  <c r="K130" i="52"/>
  <c r="K129" i="52"/>
  <c r="I128" i="52"/>
  <c r="K127" i="52"/>
  <c r="K126" i="52"/>
  <c r="K125" i="52"/>
  <c r="K124" i="52"/>
  <c r="J123" i="52"/>
  <c r="I123" i="52"/>
  <c r="K122" i="52"/>
  <c r="K121" i="52"/>
  <c r="K120" i="52"/>
  <c r="K119" i="52"/>
  <c r="K118" i="52"/>
  <c r="K117" i="52"/>
  <c r="K116" i="52"/>
  <c r="K115" i="52"/>
  <c r="J114" i="52"/>
  <c r="I114" i="52"/>
  <c r="I111" i="52" s="1"/>
  <c r="K113" i="52"/>
  <c r="K112" i="52"/>
  <c r="J111" i="52"/>
  <c r="K110" i="52"/>
  <c r="K109" i="52"/>
  <c r="K108" i="52"/>
  <c r="K107" i="52"/>
  <c r="K106" i="52"/>
  <c r="J105" i="52"/>
  <c r="I105" i="52"/>
  <c r="K104" i="52"/>
  <c r="K103" i="52"/>
  <c r="K102" i="52"/>
  <c r="J101" i="52"/>
  <c r="I101" i="52"/>
  <c r="K100" i="52"/>
  <c r="K99" i="52"/>
  <c r="K98" i="52"/>
  <c r="K97" i="52"/>
  <c r="K96" i="52"/>
  <c r="K95" i="52"/>
  <c r="K94" i="52"/>
  <c r="K93" i="52"/>
  <c r="K92" i="52"/>
  <c r="K90" i="52"/>
  <c r="J89" i="52"/>
  <c r="J88" i="52" s="1"/>
  <c r="I89" i="52"/>
  <c r="I88" i="52" s="1"/>
  <c r="K84" i="52"/>
  <c r="K83" i="52"/>
  <c r="K81" i="52"/>
  <c r="K80" i="52"/>
  <c r="J79" i="52"/>
  <c r="J75" i="52" s="1"/>
  <c r="J74" i="52" s="1"/>
  <c r="I79" i="52"/>
  <c r="K78" i="52"/>
  <c r="K77" i="52"/>
  <c r="K76" i="52"/>
  <c r="K72" i="52"/>
  <c r="K71" i="52"/>
  <c r="J70" i="52"/>
  <c r="I70" i="52"/>
  <c r="K69" i="52"/>
  <c r="K68" i="52"/>
  <c r="J67" i="52"/>
  <c r="I67" i="52"/>
  <c r="K66" i="52"/>
  <c r="K65" i="52"/>
  <c r="K64" i="52"/>
  <c r="K63" i="52"/>
  <c r="K62" i="52"/>
  <c r="J61" i="52"/>
  <c r="I61" i="52"/>
  <c r="K60" i="52"/>
  <c r="K59" i="52"/>
  <c r="K58" i="52"/>
  <c r="K57" i="52"/>
  <c r="K56" i="52"/>
  <c r="K55" i="52"/>
  <c r="K54" i="52"/>
  <c r="K53" i="52"/>
  <c r="K52" i="52"/>
  <c r="K51" i="52"/>
  <c r="K50" i="52"/>
  <c r="J49" i="52"/>
  <c r="J45" i="52" s="1"/>
  <c r="I49" i="52"/>
  <c r="K48" i="52"/>
  <c r="K47" i="52"/>
  <c r="K46" i="52"/>
  <c r="K44" i="52"/>
  <c r="K43" i="52"/>
  <c r="K42" i="52"/>
  <c r="K41" i="52"/>
  <c r="K40" i="52"/>
  <c r="K39" i="52"/>
  <c r="J38" i="52"/>
  <c r="I38" i="52"/>
  <c r="K37" i="52"/>
  <c r="K36" i="52"/>
  <c r="K35" i="52"/>
  <c r="J34" i="52"/>
  <c r="I34" i="52"/>
  <c r="K33" i="52"/>
  <c r="K32" i="52"/>
  <c r="J31" i="52"/>
  <c r="J30" i="52" s="1"/>
  <c r="I31" i="52"/>
  <c r="K29" i="52"/>
  <c r="K28" i="52"/>
  <c r="K27" i="52"/>
  <c r="J26" i="52"/>
  <c r="I26" i="52"/>
  <c r="K24" i="52"/>
  <c r="K23" i="52"/>
  <c r="J22" i="52"/>
  <c r="I22" i="52"/>
  <c r="K21" i="52"/>
  <c r="K20" i="52"/>
  <c r="K19" i="52"/>
  <c r="K18" i="52"/>
  <c r="K17" i="52"/>
  <c r="K16" i="52"/>
  <c r="K15" i="52"/>
  <c r="K14" i="52"/>
  <c r="K13" i="52"/>
  <c r="K12" i="52"/>
  <c r="K11" i="52"/>
  <c r="J10" i="52"/>
  <c r="I10" i="52"/>
  <c r="I9" i="52" s="1"/>
  <c r="J9" i="52"/>
  <c r="K150" i="55"/>
  <c r="K149" i="55"/>
  <c r="K148" i="55"/>
  <c r="K147" i="55"/>
  <c r="K145" i="55"/>
  <c r="K144" i="55"/>
  <c r="J143" i="55"/>
  <c r="I143" i="55"/>
  <c r="K141" i="55"/>
  <c r="K140" i="55"/>
  <c r="K139" i="55"/>
  <c r="K138" i="55"/>
  <c r="K137" i="55"/>
  <c r="K136" i="55"/>
  <c r="K135" i="55"/>
  <c r="J134" i="55"/>
  <c r="J128" i="55" s="1"/>
  <c r="I134" i="55"/>
  <c r="K133" i="55"/>
  <c r="K132" i="55"/>
  <c r="K131" i="55"/>
  <c r="K130" i="55"/>
  <c r="K129" i="55"/>
  <c r="I128" i="55"/>
  <c r="K127" i="55"/>
  <c r="K126" i="55"/>
  <c r="K125" i="55"/>
  <c r="K124" i="55"/>
  <c r="J123" i="55"/>
  <c r="I123" i="55"/>
  <c r="K122" i="55"/>
  <c r="K121" i="55"/>
  <c r="K120" i="55"/>
  <c r="K119" i="55"/>
  <c r="K118" i="55"/>
  <c r="K117" i="55"/>
  <c r="K116" i="55"/>
  <c r="K115" i="55"/>
  <c r="J114" i="55"/>
  <c r="I114" i="55"/>
  <c r="I111" i="55" s="1"/>
  <c r="K113" i="55"/>
  <c r="K112" i="55"/>
  <c r="J111" i="55"/>
  <c r="K110" i="55"/>
  <c r="K109" i="55"/>
  <c r="K108" i="55"/>
  <c r="K107" i="55"/>
  <c r="K106" i="55"/>
  <c r="J105" i="55"/>
  <c r="I105" i="55"/>
  <c r="K104" i="55"/>
  <c r="K103" i="55"/>
  <c r="K102" i="55"/>
  <c r="J101" i="55"/>
  <c r="I101" i="55"/>
  <c r="K100" i="55"/>
  <c r="K99" i="55"/>
  <c r="K98" i="55"/>
  <c r="K97" i="55"/>
  <c r="K96" i="55"/>
  <c r="K95" i="55"/>
  <c r="K94" i="55"/>
  <c r="K93" i="55"/>
  <c r="K92" i="55"/>
  <c r="K90" i="55"/>
  <c r="J89" i="55"/>
  <c r="J88" i="55" s="1"/>
  <c r="I89" i="55"/>
  <c r="I88" i="55" s="1"/>
  <c r="K84" i="55"/>
  <c r="K83" i="55"/>
  <c r="K81" i="55"/>
  <c r="K80" i="55"/>
  <c r="J79" i="55"/>
  <c r="J75" i="55" s="1"/>
  <c r="J74" i="55" s="1"/>
  <c r="I79" i="55"/>
  <c r="K78" i="55"/>
  <c r="K77" i="55"/>
  <c r="K76" i="55"/>
  <c r="K72" i="55"/>
  <c r="K71" i="55"/>
  <c r="J70" i="55"/>
  <c r="I70" i="55"/>
  <c r="K69" i="55"/>
  <c r="K68" i="55"/>
  <c r="J67" i="55"/>
  <c r="I67" i="55"/>
  <c r="K66" i="55"/>
  <c r="K65" i="55"/>
  <c r="K64" i="55"/>
  <c r="K63" i="55"/>
  <c r="K62" i="55"/>
  <c r="J61" i="55"/>
  <c r="I61" i="55"/>
  <c r="K60" i="55"/>
  <c r="K59" i="55"/>
  <c r="K58" i="55"/>
  <c r="K57" i="55"/>
  <c r="K56" i="55"/>
  <c r="K55" i="55"/>
  <c r="K54" i="55"/>
  <c r="K53" i="55"/>
  <c r="K52" i="55"/>
  <c r="K51" i="55"/>
  <c r="K50" i="55"/>
  <c r="J49" i="55"/>
  <c r="J45" i="55" s="1"/>
  <c r="I49" i="55"/>
  <c r="K48" i="55"/>
  <c r="K47" i="55"/>
  <c r="K46" i="55"/>
  <c r="K44" i="55"/>
  <c r="K43" i="55"/>
  <c r="K42" i="55"/>
  <c r="K41" i="55"/>
  <c r="K40" i="55"/>
  <c r="K39" i="55"/>
  <c r="J38" i="55"/>
  <c r="I38" i="55"/>
  <c r="K37" i="55"/>
  <c r="K36" i="55"/>
  <c r="K35" i="55"/>
  <c r="J34" i="55"/>
  <c r="I34" i="55"/>
  <c r="K33" i="55"/>
  <c r="K32" i="55"/>
  <c r="J31" i="55"/>
  <c r="J30" i="55" s="1"/>
  <c r="I31" i="55"/>
  <c r="K29" i="55"/>
  <c r="K28" i="55"/>
  <c r="K27" i="55"/>
  <c r="J26" i="55"/>
  <c r="I26" i="55"/>
  <c r="K24" i="55"/>
  <c r="K23" i="55"/>
  <c r="J22" i="55"/>
  <c r="I22" i="55"/>
  <c r="K21" i="55"/>
  <c r="K20" i="55"/>
  <c r="K19" i="55"/>
  <c r="K18" i="55"/>
  <c r="K17" i="55"/>
  <c r="K16" i="55"/>
  <c r="K15" i="55"/>
  <c r="K14" i="55"/>
  <c r="K13" i="55"/>
  <c r="K12" i="55"/>
  <c r="K11" i="55"/>
  <c r="J10" i="55"/>
  <c r="I10" i="55"/>
  <c r="I9" i="55" s="1"/>
  <c r="J9" i="55"/>
  <c r="K150" i="53"/>
  <c r="K149" i="53"/>
  <c r="K148" i="53"/>
  <c r="K147" i="53"/>
  <c r="K145" i="53"/>
  <c r="K144" i="53"/>
  <c r="J143" i="53"/>
  <c r="I143" i="53"/>
  <c r="K141" i="53"/>
  <c r="K140" i="53"/>
  <c r="K139" i="53"/>
  <c r="K138" i="53"/>
  <c r="K137" i="53"/>
  <c r="K136" i="53"/>
  <c r="K135" i="53"/>
  <c r="J134" i="53"/>
  <c r="J128" i="53" s="1"/>
  <c r="I134" i="53"/>
  <c r="K133" i="53"/>
  <c r="K132" i="53"/>
  <c r="K131" i="53"/>
  <c r="K130" i="53"/>
  <c r="K129" i="53"/>
  <c r="I128" i="53"/>
  <c r="K127" i="53"/>
  <c r="K126" i="53"/>
  <c r="K125" i="53"/>
  <c r="K124" i="53"/>
  <c r="J123" i="53"/>
  <c r="I123" i="53"/>
  <c r="K122" i="53"/>
  <c r="K121" i="53"/>
  <c r="K120" i="53"/>
  <c r="K119" i="53"/>
  <c r="K118" i="53"/>
  <c r="K117" i="53"/>
  <c r="K116" i="53"/>
  <c r="K115" i="53"/>
  <c r="J114" i="53"/>
  <c r="I114" i="53"/>
  <c r="I111" i="53" s="1"/>
  <c r="K113" i="53"/>
  <c r="K112" i="53"/>
  <c r="J111" i="53"/>
  <c r="K110" i="53"/>
  <c r="K109" i="53"/>
  <c r="K108" i="53"/>
  <c r="K107" i="53"/>
  <c r="K106" i="53"/>
  <c r="J105" i="53"/>
  <c r="I105" i="53"/>
  <c r="K104" i="53"/>
  <c r="K103" i="53"/>
  <c r="K102" i="53"/>
  <c r="J101" i="53"/>
  <c r="I101" i="53"/>
  <c r="K100" i="53"/>
  <c r="K99" i="53"/>
  <c r="K98" i="53"/>
  <c r="K97" i="53"/>
  <c r="K96" i="53"/>
  <c r="K95" i="53"/>
  <c r="K94" i="53"/>
  <c r="K93" i="53"/>
  <c r="K92" i="53"/>
  <c r="K90" i="53"/>
  <c r="J89" i="53"/>
  <c r="J88" i="53" s="1"/>
  <c r="I89" i="53"/>
  <c r="K84" i="53"/>
  <c r="K83" i="53"/>
  <c r="K81" i="53"/>
  <c r="K80" i="53"/>
  <c r="J79" i="53"/>
  <c r="J75" i="53" s="1"/>
  <c r="J74" i="53" s="1"/>
  <c r="I79" i="53"/>
  <c r="K78" i="53"/>
  <c r="K77" i="53"/>
  <c r="K76" i="53"/>
  <c r="K72" i="53"/>
  <c r="K71" i="53"/>
  <c r="J70" i="53"/>
  <c r="I70" i="53"/>
  <c r="K69" i="53"/>
  <c r="K68" i="53"/>
  <c r="J67" i="53"/>
  <c r="I67" i="53"/>
  <c r="K66" i="53"/>
  <c r="K65" i="53"/>
  <c r="K64" i="53"/>
  <c r="K63" i="53"/>
  <c r="K62" i="53"/>
  <c r="J61" i="53"/>
  <c r="I61" i="53"/>
  <c r="K60" i="53"/>
  <c r="K59" i="53"/>
  <c r="K58" i="53"/>
  <c r="K57" i="53"/>
  <c r="K56" i="53"/>
  <c r="K55" i="53"/>
  <c r="K54" i="53"/>
  <c r="K53" i="53"/>
  <c r="K52" i="53"/>
  <c r="K51" i="53"/>
  <c r="K50" i="53"/>
  <c r="J49" i="53"/>
  <c r="J45" i="53" s="1"/>
  <c r="I49" i="53"/>
  <c r="K48" i="53"/>
  <c r="K47" i="53"/>
  <c r="K46" i="53"/>
  <c r="K44" i="53"/>
  <c r="K43" i="53"/>
  <c r="K42" i="53"/>
  <c r="K41" i="53"/>
  <c r="K40" i="53"/>
  <c r="K39" i="53"/>
  <c r="J38" i="53"/>
  <c r="I38" i="53"/>
  <c r="K37" i="53"/>
  <c r="K36" i="53"/>
  <c r="K35" i="53"/>
  <c r="J34" i="53"/>
  <c r="I34" i="53"/>
  <c r="K33" i="53"/>
  <c r="K32" i="53"/>
  <c r="J31" i="53"/>
  <c r="J30" i="53" s="1"/>
  <c r="I31" i="53"/>
  <c r="K29" i="53"/>
  <c r="K28" i="53"/>
  <c r="K27" i="53"/>
  <c r="J26" i="53"/>
  <c r="I26" i="53"/>
  <c r="K24" i="53"/>
  <c r="K23" i="53"/>
  <c r="J22" i="53"/>
  <c r="I22" i="53"/>
  <c r="K21" i="53"/>
  <c r="K20" i="53"/>
  <c r="K19" i="53"/>
  <c r="K18" i="53"/>
  <c r="K17" i="53"/>
  <c r="K16" i="53"/>
  <c r="K15" i="53"/>
  <c r="K14" i="53"/>
  <c r="K13" i="53"/>
  <c r="K12" i="53"/>
  <c r="K11" i="53"/>
  <c r="J10" i="53"/>
  <c r="I10" i="53"/>
  <c r="I9" i="53" s="1"/>
  <c r="J9" i="53"/>
  <c r="K150" i="54"/>
  <c r="K149" i="54"/>
  <c r="K148" i="54"/>
  <c r="K147" i="54"/>
  <c r="K145" i="54"/>
  <c r="K144" i="54"/>
  <c r="J143" i="54"/>
  <c r="I143" i="54"/>
  <c r="K141" i="54"/>
  <c r="K140" i="54"/>
  <c r="K139" i="54"/>
  <c r="K138" i="54"/>
  <c r="K137" i="54"/>
  <c r="K136" i="54"/>
  <c r="K135" i="54"/>
  <c r="J134" i="54"/>
  <c r="J128" i="54" s="1"/>
  <c r="I134" i="54"/>
  <c r="K133" i="54"/>
  <c r="K132" i="54"/>
  <c r="K131" i="54"/>
  <c r="K130" i="54"/>
  <c r="K129" i="54"/>
  <c r="I128" i="54"/>
  <c r="K127" i="54"/>
  <c r="K126" i="54"/>
  <c r="K125" i="54"/>
  <c r="K124" i="54"/>
  <c r="J123" i="54"/>
  <c r="I123" i="54"/>
  <c r="K122" i="54"/>
  <c r="K121" i="54"/>
  <c r="K120" i="54"/>
  <c r="K119" i="54"/>
  <c r="K118" i="54"/>
  <c r="K117" i="54"/>
  <c r="K116" i="54"/>
  <c r="K115" i="54"/>
  <c r="J114" i="54"/>
  <c r="I114" i="54"/>
  <c r="I111" i="54" s="1"/>
  <c r="K113" i="54"/>
  <c r="K112" i="54"/>
  <c r="J111" i="54"/>
  <c r="K110" i="54"/>
  <c r="K109" i="54"/>
  <c r="K108" i="54"/>
  <c r="K107" i="54"/>
  <c r="K106" i="54"/>
  <c r="J105" i="54"/>
  <c r="I105" i="54"/>
  <c r="K104" i="54"/>
  <c r="K103" i="54"/>
  <c r="K102" i="54"/>
  <c r="J101" i="54"/>
  <c r="I101" i="54"/>
  <c r="K100" i="54"/>
  <c r="K99" i="54"/>
  <c r="K98" i="54"/>
  <c r="K97" i="54"/>
  <c r="K96" i="54"/>
  <c r="K95" i="54"/>
  <c r="K94" i="54"/>
  <c r="K93" i="54"/>
  <c r="K92" i="54"/>
  <c r="K90" i="54"/>
  <c r="J89" i="54"/>
  <c r="J88" i="54" s="1"/>
  <c r="I89" i="54"/>
  <c r="I88" i="54" s="1"/>
  <c r="K84" i="54"/>
  <c r="K83" i="54"/>
  <c r="K81" i="54"/>
  <c r="K80" i="54"/>
  <c r="J79" i="54"/>
  <c r="J75" i="54" s="1"/>
  <c r="J74" i="54" s="1"/>
  <c r="I79" i="54"/>
  <c r="K78" i="54"/>
  <c r="K77" i="54"/>
  <c r="K76" i="54"/>
  <c r="K72" i="54"/>
  <c r="K71" i="54"/>
  <c r="J70" i="54"/>
  <c r="I70" i="54"/>
  <c r="K69" i="54"/>
  <c r="K68" i="54"/>
  <c r="J67" i="54"/>
  <c r="I67" i="54"/>
  <c r="K66" i="54"/>
  <c r="K65" i="54"/>
  <c r="K64" i="54"/>
  <c r="K63" i="54"/>
  <c r="K62" i="54"/>
  <c r="J61" i="54"/>
  <c r="I61" i="54"/>
  <c r="K60" i="54"/>
  <c r="K59" i="54"/>
  <c r="K58" i="54"/>
  <c r="K57" i="54"/>
  <c r="K56" i="54"/>
  <c r="K55" i="54"/>
  <c r="K54" i="54"/>
  <c r="K53" i="54"/>
  <c r="K52" i="54"/>
  <c r="K51" i="54"/>
  <c r="K50" i="54"/>
  <c r="J49" i="54"/>
  <c r="J45" i="54" s="1"/>
  <c r="I49" i="54"/>
  <c r="K48" i="54"/>
  <c r="K47" i="54"/>
  <c r="K46" i="54"/>
  <c r="K44" i="54"/>
  <c r="K43" i="54"/>
  <c r="K42" i="54"/>
  <c r="K41" i="54"/>
  <c r="K40" i="54"/>
  <c r="K39" i="54"/>
  <c r="J38" i="54"/>
  <c r="I38" i="54"/>
  <c r="K37" i="54"/>
  <c r="K36" i="54"/>
  <c r="K35" i="54"/>
  <c r="J34" i="54"/>
  <c r="I34" i="54"/>
  <c r="K33" i="54"/>
  <c r="K32" i="54"/>
  <c r="J31" i="54"/>
  <c r="J30" i="54" s="1"/>
  <c r="I31" i="54"/>
  <c r="K29" i="54"/>
  <c r="K28" i="54"/>
  <c r="K27" i="54"/>
  <c r="J26" i="54"/>
  <c r="I26" i="54"/>
  <c r="K24" i="54"/>
  <c r="K23" i="54"/>
  <c r="J22" i="54"/>
  <c r="I22" i="54"/>
  <c r="K21" i="54"/>
  <c r="K20" i="54"/>
  <c r="K19" i="54"/>
  <c r="K18" i="54"/>
  <c r="K17" i="54"/>
  <c r="K16" i="54"/>
  <c r="K15" i="54"/>
  <c r="K14" i="54"/>
  <c r="K13" i="54"/>
  <c r="K12" i="54"/>
  <c r="K11" i="54"/>
  <c r="J10" i="54"/>
  <c r="J9" i="54" s="1"/>
  <c r="I10" i="54"/>
  <c r="I9" i="54" s="1"/>
  <c r="K150" i="33"/>
  <c r="K149" i="33"/>
  <c r="K148" i="33"/>
  <c r="K147" i="33"/>
  <c r="K145" i="33"/>
  <c r="K144" i="33"/>
  <c r="J143" i="33"/>
  <c r="I143" i="33"/>
  <c r="K141" i="33"/>
  <c r="K140" i="33"/>
  <c r="K139" i="33"/>
  <c r="K138" i="33"/>
  <c r="K137" i="33"/>
  <c r="K136" i="33"/>
  <c r="K135" i="33"/>
  <c r="J134" i="33"/>
  <c r="J128" i="33" s="1"/>
  <c r="I134" i="33"/>
  <c r="K133" i="33"/>
  <c r="K132" i="33"/>
  <c r="K131" i="33"/>
  <c r="K130" i="33"/>
  <c r="K129" i="33"/>
  <c r="I128" i="33"/>
  <c r="K127" i="33"/>
  <c r="K126" i="33"/>
  <c r="K125" i="33"/>
  <c r="K124" i="33"/>
  <c r="J123" i="33"/>
  <c r="I123" i="33"/>
  <c r="K122" i="33"/>
  <c r="K121" i="33"/>
  <c r="K120" i="33"/>
  <c r="K119" i="33"/>
  <c r="K118" i="33"/>
  <c r="K117" i="33"/>
  <c r="K116" i="33"/>
  <c r="K115" i="33"/>
  <c r="J114" i="33"/>
  <c r="I114" i="33"/>
  <c r="I111" i="33" s="1"/>
  <c r="K113" i="33"/>
  <c r="K112" i="33"/>
  <c r="J111" i="33"/>
  <c r="K110" i="33"/>
  <c r="K109" i="33"/>
  <c r="K108" i="33"/>
  <c r="K107" i="33"/>
  <c r="K106" i="33"/>
  <c r="J105" i="33"/>
  <c r="I105" i="33"/>
  <c r="K104" i="33"/>
  <c r="K103" i="33"/>
  <c r="K102" i="33"/>
  <c r="J101" i="33"/>
  <c r="I101" i="33"/>
  <c r="K100" i="33"/>
  <c r="K99" i="33"/>
  <c r="K98" i="33"/>
  <c r="K97" i="33"/>
  <c r="K96" i="33"/>
  <c r="K95" i="33"/>
  <c r="K94" i="33"/>
  <c r="K93" i="33"/>
  <c r="K92" i="33"/>
  <c r="K90" i="33"/>
  <c r="J89" i="33"/>
  <c r="I89" i="33"/>
  <c r="I88" i="33" s="1"/>
  <c r="J88" i="33"/>
  <c r="K84" i="33"/>
  <c r="K83" i="33"/>
  <c r="K81" i="33"/>
  <c r="K80" i="33"/>
  <c r="J79" i="33"/>
  <c r="J75" i="33" s="1"/>
  <c r="J74" i="33" s="1"/>
  <c r="I79" i="33"/>
  <c r="K78" i="33"/>
  <c r="K77" i="33"/>
  <c r="K76" i="33"/>
  <c r="K72" i="33"/>
  <c r="K71" i="33"/>
  <c r="J70" i="33"/>
  <c r="I70" i="33"/>
  <c r="K69" i="33"/>
  <c r="K68" i="33"/>
  <c r="J67" i="33"/>
  <c r="I67" i="33"/>
  <c r="K66" i="33"/>
  <c r="K65" i="33"/>
  <c r="K64" i="33"/>
  <c r="K63" i="33"/>
  <c r="K62" i="33"/>
  <c r="J61" i="33"/>
  <c r="I61" i="33"/>
  <c r="K60" i="33"/>
  <c r="K59" i="33"/>
  <c r="K58" i="33"/>
  <c r="K57" i="33"/>
  <c r="K56" i="33"/>
  <c r="K55" i="33"/>
  <c r="K54" i="33"/>
  <c r="K53" i="33"/>
  <c r="K52" i="33"/>
  <c r="K51" i="33"/>
  <c r="K50" i="33"/>
  <c r="J49" i="33"/>
  <c r="J45" i="33" s="1"/>
  <c r="I49" i="33"/>
  <c r="K48" i="33"/>
  <c r="K47" i="33"/>
  <c r="K46" i="33"/>
  <c r="K44" i="33"/>
  <c r="K43" i="33"/>
  <c r="K42" i="33"/>
  <c r="K41" i="33"/>
  <c r="K40" i="33"/>
  <c r="K39" i="33"/>
  <c r="J38" i="33"/>
  <c r="I38" i="33"/>
  <c r="K37" i="33"/>
  <c r="K36" i="33"/>
  <c r="K35" i="33"/>
  <c r="J34" i="33"/>
  <c r="I34" i="33"/>
  <c r="K33" i="33"/>
  <c r="K32" i="33"/>
  <c r="J31" i="33"/>
  <c r="J30" i="33" s="1"/>
  <c r="I31" i="33"/>
  <c r="K29" i="33"/>
  <c r="K28" i="33"/>
  <c r="K27" i="33"/>
  <c r="J26" i="33"/>
  <c r="I26" i="33"/>
  <c r="K24" i="33"/>
  <c r="K23" i="33"/>
  <c r="J22" i="33"/>
  <c r="I22" i="33"/>
  <c r="K21" i="33"/>
  <c r="K20" i="33"/>
  <c r="K19" i="33"/>
  <c r="K18" i="33"/>
  <c r="K17" i="33"/>
  <c r="K16" i="33"/>
  <c r="K15" i="33"/>
  <c r="K14" i="33"/>
  <c r="K13" i="33"/>
  <c r="K12" i="33"/>
  <c r="K11" i="33"/>
  <c r="J10" i="33"/>
  <c r="J9" i="33" s="1"/>
  <c r="I10" i="33"/>
  <c r="I9" i="33" s="1"/>
  <c r="K150" i="34"/>
  <c r="K149" i="34"/>
  <c r="K148" i="34"/>
  <c r="K147" i="34"/>
  <c r="K145" i="34"/>
  <c r="K144" i="34"/>
  <c r="J143" i="34"/>
  <c r="I143" i="34"/>
  <c r="K141" i="34"/>
  <c r="K140" i="34"/>
  <c r="K139" i="34"/>
  <c r="K138" i="34"/>
  <c r="K137" i="34"/>
  <c r="K136" i="34"/>
  <c r="K135" i="34"/>
  <c r="J134" i="34"/>
  <c r="J128" i="34" s="1"/>
  <c r="I134" i="34"/>
  <c r="K133" i="34"/>
  <c r="K132" i="34"/>
  <c r="K131" i="34"/>
  <c r="K130" i="34"/>
  <c r="K129" i="34"/>
  <c r="I128" i="34"/>
  <c r="K127" i="34"/>
  <c r="K126" i="34"/>
  <c r="K125" i="34"/>
  <c r="K124" i="34"/>
  <c r="J123" i="34"/>
  <c r="I123" i="34"/>
  <c r="K122" i="34"/>
  <c r="K121" i="34"/>
  <c r="K120" i="34"/>
  <c r="K119" i="34"/>
  <c r="K118" i="34"/>
  <c r="K117" i="34"/>
  <c r="K116" i="34"/>
  <c r="K115" i="34"/>
  <c r="J114" i="34"/>
  <c r="I114" i="34"/>
  <c r="I111" i="34" s="1"/>
  <c r="K113" i="34"/>
  <c r="K112" i="34"/>
  <c r="J111" i="34"/>
  <c r="K110" i="34"/>
  <c r="K109" i="34"/>
  <c r="K108" i="34"/>
  <c r="K107" i="34"/>
  <c r="K106" i="34"/>
  <c r="J105" i="34"/>
  <c r="I105" i="34"/>
  <c r="K104" i="34"/>
  <c r="K103" i="34"/>
  <c r="K102" i="34"/>
  <c r="J101" i="34"/>
  <c r="I101" i="34"/>
  <c r="K100" i="34"/>
  <c r="K99" i="34"/>
  <c r="K98" i="34"/>
  <c r="K97" i="34"/>
  <c r="K96" i="34"/>
  <c r="K95" i="34"/>
  <c r="K94" i="34"/>
  <c r="K93" i="34"/>
  <c r="K92" i="34"/>
  <c r="K90" i="34"/>
  <c r="J89" i="34"/>
  <c r="J88" i="34" s="1"/>
  <c r="I89" i="34"/>
  <c r="I88" i="34" s="1"/>
  <c r="K84" i="34"/>
  <c r="K83" i="34"/>
  <c r="K81" i="34"/>
  <c r="K80" i="34"/>
  <c r="J79" i="34"/>
  <c r="J75" i="34" s="1"/>
  <c r="J74" i="34" s="1"/>
  <c r="I79" i="34"/>
  <c r="K78" i="34"/>
  <c r="K77" i="34"/>
  <c r="K76" i="34"/>
  <c r="K72" i="34"/>
  <c r="K71" i="34"/>
  <c r="J70" i="34"/>
  <c r="I70" i="34"/>
  <c r="K69" i="34"/>
  <c r="K68" i="34"/>
  <c r="J67" i="34"/>
  <c r="I67" i="34"/>
  <c r="K66" i="34"/>
  <c r="K65" i="34"/>
  <c r="K64" i="34"/>
  <c r="K63" i="34"/>
  <c r="K62" i="34"/>
  <c r="J61" i="34"/>
  <c r="I61" i="34"/>
  <c r="K60" i="34"/>
  <c r="K59" i="34"/>
  <c r="K58" i="34"/>
  <c r="K57" i="34"/>
  <c r="K56" i="34"/>
  <c r="K55" i="34"/>
  <c r="K54" i="34"/>
  <c r="K53" i="34"/>
  <c r="K52" i="34"/>
  <c r="K51" i="34"/>
  <c r="K50" i="34"/>
  <c r="J49" i="34"/>
  <c r="J45" i="34" s="1"/>
  <c r="I49" i="34"/>
  <c r="K48" i="34"/>
  <c r="K47" i="34"/>
  <c r="K46" i="34"/>
  <c r="K44" i="34"/>
  <c r="K43" i="34"/>
  <c r="K42" i="34"/>
  <c r="K41" i="34"/>
  <c r="K40" i="34"/>
  <c r="K39" i="34"/>
  <c r="J38" i="34"/>
  <c r="I38" i="34"/>
  <c r="K37" i="34"/>
  <c r="K36" i="34"/>
  <c r="K35" i="34"/>
  <c r="J34" i="34"/>
  <c r="I34" i="34"/>
  <c r="K33" i="34"/>
  <c r="K32" i="34"/>
  <c r="J31" i="34"/>
  <c r="J30" i="34" s="1"/>
  <c r="I31" i="34"/>
  <c r="K29" i="34"/>
  <c r="K28" i="34"/>
  <c r="K27" i="34"/>
  <c r="J26" i="34"/>
  <c r="I26" i="34"/>
  <c r="K24" i="34"/>
  <c r="K23" i="34"/>
  <c r="J22" i="34"/>
  <c r="I22" i="34"/>
  <c r="K21" i="34"/>
  <c r="K20" i="34"/>
  <c r="K19" i="34"/>
  <c r="K18" i="34"/>
  <c r="K17" i="34"/>
  <c r="K16" i="34"/>
  <c r="K15" i="34"/>
  <c r="K14" i="34"/>
  <c r="K13" i="34"/>
  <c r="K12" i="34"/>
  <c r="K11" i="34"/>
  <c r="J10" i="34"/>
  <c r="I10" i="34"/>
  <c r="I9" i="34" s="1"/>
  <c r="J9" i="34"/>
  <c r="K150" i="50"/>
  <c r="K149" i="50"/>
  <c r="K148" i="50"/>
  <c r="K147" i="50"/>
  <c r="K145" i="50"/>
  <c r="K144" i="50"/>
  <c r="J143" i="50"/>
  <c r="I143" i="50"/>
  <c r="K141" i="50"/>
  <c r="K140" i="50"/>
  <c r="K139" i="50"/>
  <c r="K138" i="50"/>
  <c r="K137" i="50"/>
  <c r="K136" i="50"/>
  <c r="K135" i="50"/>
  <c r="J134" i="50"/>
  <c r="J128" i="50" s="1"/>
  <c r="I134" i="50"/>
  <c r="K133" i="50"/>
  <c r="K132" i="50"/>
  <c r="K131" i="50"/>
  <c r="K130" i="50"/>
  <c r="K129" i="50"/>
  <c r="I128" i="50"/>
  <c r="K127" i="50"/>
  <c r="K126" i="50"/>
  <c r="K125" i="50"/>
  <c r="K124" i="50"/>
  <c r="J123" i="50"/>
  <c r="I123" i="50"/>
  <c r="K122" i="50"/>
  <c r="K121" i="50"/>
  <c r="K120" i="50"/>
  <c r="K119" i="50"/>
  <c r="K118" i="50"/>
  <c r="K117" i="50"/>
  <c r="K116" i="50"/>
  <c r="K115" i="50"/>
  <c r="J114" i="50"/>
  <c r="I114" i="50"/>
  <c r="I111" i="50" s="1"/>
  <c r="K113" i="50"/>
  <c r="K112" i="50"/>
  <c r="J111" i="50"/>
  <c r="K110" i="50"/>
  <c r="K109" i="50"/>
  <c r="K108" i="50"/>
  <c r="K107" i="50"/>
  <c r="K106" i="50"/>
  <c r="J105" i="50"/>
  <c r="I105" i="50"/>
  <c r="K104" i="50"/>
  <c r="K103" i="50"/>
  <c r="K102" i="50"/>
  <c r="J101" i="50"/>
  <c r="I101" i="50"/>
  <c r="K100" i="50"/>
  <c r="K99" i="50"/>
  <c r="K98" i="50"/>
  <c r="K97" i="50"/>
  <c r="K96" i="50"/>
  <c r="K95" i="50"/>
  <c r="K94" i="50"/>
  <c r="K93" i="50"/>
  <c r="K92" i="50"/>
  <c r="K90" i="50"/>
  <c r="J89" i="50"/>
  <c r="J88" i="50" s="1"/>
  <c r="I89" i="50"/>
  <c r="I88" i="50" s="1"/>
  <c r="K84" i="50"/>
  <c r="K83" i="50"/>
  <c r="K81" i="50"/>
  <c r="K80" i="50"/>
  <c r="J79" i="50"/>
  <c r="J75" i="50" s="1"/>
  <c r="J74" i="50" s="1"/>
  <c r="I79" i="50"/>
  <c r="K78" i="50"/>
  <c r="K77" i="50"/>
  <c r="K76" i="50"/>
  <c r="K72" i="50"/>
  <c r="K71" i="50"/>
  <c r="J70" i="50"/>
  <c r="I70" i="50"/>
  <c r="K69" i="50"/>
  <c r="K68" i="50"/>
  <c r="J67" i="50"/>
  <c r="I67" i="50"/>
  <c r="K66" i="50"/>
  <c r="K65" i="50"/>
  <c r="K64" i="50"/>
  <c r="K63" i="50"/>
  <c r="K62" i="50"/>
  <c r="J61" i="50"/>
  <c r="I61" i="50"/>
  <c r="K60" i="50"/>
  <c r="K59" i="50"/>
  <c r="K58" i="50"/>
  <c r="K57" i="50"/>
  <c r="K56" i="50"/>
  <c r="K55" i="50"/>
  <c r="K54" i="50"/>
  <c r="K53" i="50"/>
  <c r="K52" i="50"/>
  <c r="K51" i="50"/>
  <c r="K50" i="50"/>
  <c r="J49" i="50"/>
  <c r="J45" i="50" s="1"/>
  <c r="I49" i="50"/>
  <c r="K48" i="50"/>
  <c r="K47" i="50"/>
  <c r="K46" i="50"/>
  <c r="K44" i="50"/>
  <c r="K43" i="50"/>
  <c r="K42" i="50"/>
  <c r="K41" i="50"/>
  <c r="K40" i="50"/>
  <c r="K39" i="50"/>
  <c r="J38" i="50"/>
  <c r="I38" i="50"/>
  <c r="K37" i="50"/>
  <c r="K36" i="50"/>
  <c r="K35" i="50"/>
  <c r="J34" i="50"/>
  <c r="I34" i="50"/>
  <c r="K33" i="50"/>
  <c r="K32" i="50"/>
  <c r="J31" i="50"/>
  <c r="J30" i="50" s="1"/>
  <c r="I31" i="50"/>
  <c r="K29" i="50"/>
  <c r="K28" i="50"/>
  <c r="K27" i="50"/>
  <c r="J26" i="50"/>
  <c r="I26" i="50"/>
  <c r="K24" i="50"/>
  <c r="K23" i="50"/>
  <c r="J22" i="50"/>
  <c r="I22" i="50"/>
  <c r="K21" i="50"/>
  <c r="K20" i="50"/>
  <c r="K19" i="50"/>
  <c r="K18" i="50"/>
  <c r="K17" i="50"/>
  <c r="K16" i="50"/>
  <c r="K15" i="50"/>
  <c r="K14" i="50"/>
  <c r="K13" i="50"/>
  <c r="K12" i="50"/>
  <c r="K11" i="50"/>
  <c r="J10" i="50"/>
  <c r="J9" i="50" s="1"/>
  <c r="I10" i="50"/>
  <c r="I9" i="50" s="1"/>
  <c r="K150" i="35"/>
  <c r="K149" i="35"/>
  <c r="K148" i="35"/>
  <c r="K147" i="35"/>
  <c r="K145" i="35"/>
  <c r="K144" i="35"/>
  <c r="J143" i="35"/>
  <c r="I143" i="35"/>
  <c r="K141" i="35"/>
  <c r="K140" i="35"/>
  <c r="K139" i="35"/>
  <c r="K138" i="35"/>
  <c r="K137" i="35"/>
  <c r="K136" i="35"/>
  <c r="K135" i="35"/>
  <c r="J134" i="35"/>
  <c r="J128" i="35" s="1"/>
  <c r="I134" i="35"/>
  <c r="K133" i="35"/>
  <c r="K132" i="35"/>
  <c r="K131" i="35"/>
  <c r="K130" i="35"/>
  <c r="K129" i="35"/>
  <c r="I128" i="35"/>
  <c r="K127" i="35"/>
  <c r="K126" i="35"/>
  <c r="K125" i="35"/>
  <c r="K124" i="35"/>
  <c r="J123" i="35"/>
  <c r="I123" i="35"/>
  <c r="K122" i="35"/>
  <c r="K121" i="35"/>
  <c r="K120" i="35"/>
  <c r="K119" i="35"/>
  <c r="K118" i="35"/>
  <c r="K117" i="35"/>
  <c r="K116" i="35"/>
  <c r="K115" i="35"/>
  <c r="J114" i="35"/>
  <c r="I114" i="35"/>
  <c r="I111" i="35" s="1"/>
  <c r="K113" i="35"/>
  <c r="K112" i="35"/>
  <c r="J111" i="35"/>
  <c r="K110" i="35"/>
  <c r="K109" i="35"/>
  <c r="K108" i="35"/>
  <c r="K107" i="35"/>
  <c r="K106" i="35"/>
  <c r="J105" i="35"/>
  <c r="I105" i="35"/>
  <c r="K104" i="35"/>
  <c r="K103" i="35"/>
  <c r="K102" i="35"/>
  <c r="J101" i="35"/>
  <c r="I101" i="35"/>
  <c r="K100" i="35"/>
  <c r="K99" i="35"/>
  <c r="K98" i="35"/>
  <c r="K97" i="35"/>
  <c r="K96" i="35"/>
  <c r="K95" i="35"/>
  <c r="K94" i="35"/>
  <c r="K93" i="35"/>
  <c r="K92" i="35"/>
  <c r="K90" i="35"/>
  <c r="J89" i="35"/>
  <c r="J88" i="35" s="1"/>
  <c r="I89" i="35"/>
  <c r="I88" i="35" s="1"/>
  <c r="K84" i="35"/>
  <c r="K83" i="35"/>
  <c r="K81" i="35"/>
  <c r="K80" i="35"/>
  <c r="J79" i="35"/>
  <c r="J75" i="35" s="1"/>
  <c r="J74" i="35" s="1"/>
  <c r="I79" i="35"/>
  <c r="K78" i="35"/>
  <c r="K77" i="35"/>
  <c r="K76" i="35"/>
  <c r="K72" i="35"/>
  <c r="K71" i="35"/>
  <c r="J70" i="35"/>
  <c r="I70" i="35"/>
  <c r="K69" i="35"/>
  <c r="K68" i="35"/>
  <c r="J67" i="35"/>
  <c r="I67" i="35"/>
  <c r="K66" i="35"/>
  <c r="K65" i="35"/>
  <c r="K64" i="35"/>
  <c r="K63" i="35"/>
  <c r="K62" i="35"/>
  <c r="J61" i="35"/>
  <c r="I61" i="35"/>
  <c r="K60" i="35"/>
  <c r="K59" i="35"/>
  <c r="K58" i="35"/>
  <c r="K57" i="35"/>
  <c r="K56" i="35"/>
  <c r="K55" i="35"/>
  <c r="K54" i="35"/>
  <c r="K53" i="35"/>
  <c r="K52" i="35"/>
  <c r="K51" i="35"/>
  <c r="K50" i="35"/>
  <c r="J49" i="35"/>
  <c r="J45" i="35" s="1"/>
  <c r="I49" i="35"/>
  <c r="K48" i="35"/>
  <c r="K47" i="35"/>
  <c r="K46" i="35"/>
  <c r="K44" i="35"/>
  <c r="K43" i="35"/>
  <c r="K42" i="35"/>
  <c r="K41" i="35"/>
  <c r="K40" i="35"/>
  <c r="K39" i="35"/>
  <c r="J38" i="35"/>
  <c r="I38" i="35"/>
  <c r="K37" i="35"/>
  <c r="K36" i="35"/>
  <c r="K35" i="35"/>
  <c r="J34" i="35"/>
  <c r="I34" i="35"/>
  <c r="K33" i="35"/>
  <c r="K32" i="35"/>
  <c r="J31" i="35"/>
  <c r="J30" i="35" s="1"/>
  <c r="I31" i="35"/>
  <c r="K29" i="35"/>
  <c r="K28" i="35"/>
  <c r="K27" i="35"/>
  <c r="J26" i="35"/>
  <c r="I26" i="35"/>
  <c r="K24" i="35"/>
  <c r="K23" i="35"/>
  <c r="J22" i="35"/>
  <c r="I22" i="35"/>
  <c r="K21" i="35"/>
  <c r="K20" i="35"/>
  <c r="K19" i="35"/>
  <c r="K18" i="35"/>
  <c r="K17" i="35"/>
  <c r="K16" i="35"/>
  <c r="K15" i="35"/>
  <c r="K14" i="35"/>
  <c r="K13" i="35"/>
  <c r="K12" i="35"/>
  <c r="K11" i="35"/>
  <c r="J10" i="35"/>
  <c r="J9" i="35" s="1"/>
  <c r="I10" i="35"/>
  <c r="I9" i="35" s="1"/>
  <c r="K150" i="36"/>
  <c r="K149" i="36"/>
  <c r="K148" i="36"/>
  <c r="K147" i="36"/>
  <c r="K145" i="36"/>
  <c r="K144" i="36"/>
  <c r="J143" i="36"/>
  <c r="I143" i="36"/>
  <c r="K141" i="36"/>
  <c r="K140" i="36"/>
  <c r="K139" i="36"/>
  <c r="K138" i="36"/>
  <c r="K137" i="36"/>
  <c r="K136" i="36"/>
  <c r="K135" i="36"/>
  <c r="J134" i="36"/>
  <c r="J128" i="36" s="1"/>
  <c r="I134" i="36"/>
  <c r="K133" i="36"/>
  <c r="K132" i="36"/>
  <c r="K131" i="36"/>
  <c r="K130" i="36"/>
  <c r="K129" i="36"/>
  <c r="I128" i="36"/>
  <c r="K127" i="36"/>
  <c r="K126" i="36"/>
  <c r="K125" i="36"/>
  <c r="I124" i="36"/>
  <c r="K124" i="36" s="1"/>
  <c r="J123" i="36"/>
  <c r="K122" i="36"/>
  <c r="K121" i="36"/>
  <c r="K120" i="36"/>
  <c r="K119" i="36"/>
  <c r="K118" i="36"/>
  <c r="K117" i="36"/>
  <c r="K116" i="36"/>
  <c r="K115" i="36"/>
  <c r="J114" i="36"/>
  <c r="I114" i="36"/>
  <c r="K113" i="36"/>
  <c r="K112" i="36"/>
  <c r="K110" i="36"/>
  <c r="K109" i="36"/>
  <c r="K108" i="36"/>
  <c r="K107" i="36"/>
  <c r="K106" i="36"/>
  <c r="J105" i="36"/>
  <c r="I105" i="36"/>
  <c r="K104" i="36"/>
  <c r="K103" i="36"/>
  <c r="K102" i="36"/>
  <c r="J101" i="36"/>
  <c r="I101" i="36"/>
  <c r="K100" i="36"/>
  <c r="K99" i="36"/>
  <c r="K98" i="36"/>
  <c r="K97" i="36"/>
  <c r="K96" i="36"/>
  <c r="K95" i="36"/>
  <c r="K94" i="36"/>
  <c r="K93" i="36"/>
  <c r="K92" i="36"/>
  <c r="K90" i="36"/>
  <c r="J89" i="36"/>
  <c r="I89" i="36"/>
  <c r="I88" i="36" s="1"/>
  <c r="J88" i="36"/>
  <c r="K84" i="36"/>
  <c r="K83" i="36"/>
  <c r="K81" i="36"/>
  <c r="K80" i="36"/>
  <c r="J79" i="36"/>
  <c r="J75" i="36" s="1"/>
  <c r="J74" i="36" s="1"/>
  <c r="I79" i="36"/>
  <c r="K78" i="36"/>
  <c r="K77" i="36"/>
  <c r="K76" i="36"/>
  <c r="K72" i="36"/>
  <c r="K71" i="36"/>
  <c r="J70" i="36"/>
  <c r="I70" i="36"/>
  <c r="K69" i="36"/>
  <c r="K68" i="36"/>
  <c r="J67" i="36"/>
  <c r="I67" i="36"/>
  <c r="K66" i="36"/>
  <c r="K65" i="36"/>
  <c r="K64" i="36"/>
  <c r="K63" i="36"/>
  <c r="K62" i="36"/>
  <c r="J61" i="36"/>
  <c r="I61" i="36"/>
  <c r="K60" i="36"/>
  <c r="K59" i="36"/>
  <c r="K58" i="36"/>
  <c r="K57" i="36"/>
  <c r="K56" i="36"/>
  <c r="K55" i="36"/>
  <c r="K54" i="36"/>
  <c r="K53" i="36"/>
  <c r="K52" i="36"/>
  <c r="K51" i="36"/>
  <c r="K50" i="36"/>
  <c r="J49" i="36"/>
  <c r="J45" i="36" s="1"/>
  <c r="I49" i="36"/>
  <c r="K48" i="36"/>
  <c r="K47" i="36"/>
  <c r="K46" i="36"/>
  <c r="K44" i="36"/>
  <c r="K43" i="36"/>
  <c r="K42" i="36"/>
  <c r="K41" i="36"/>
  <c r="K40" i="36"/>
  <c r="K39" i="36"/>
  <c r="J38" i="36"/>
  <c r="I38" i="36"/>
  <c r="K37" i="36"/>
  <c r="K36" i="36"/>
  <c r="K35" i="36"/>
  <c r="J34" i="36"/>
  <c r="I34" i="36"/>
  <c r="K33" i="36"/>
  <c r="K32" i="36"/>
  <c r="J31" i="36"/>
  <c r="J30" i="36" s="1"/>
  <c r="I31" i="36"/>
  <c r="K29" i="36"/>
  <c r="K28" i="36"/>
  <c r="K27" i="36"/>
  <c r="J26" i="36"/>
  <c r="I26" i="36"/>
  <c r="K24" i="36"/>
  <c r="K23" i="36"/>
  <c r="J22" i="36"/>
  <c r="I22" i="36"/>
  <c r="K21" i="36"/>
  <c r="K20" i="36"/>
  <c r="K19" i="36"/>
  <c r="K18" i="36"/>
  <c r="K17" i="36"/>
  <c r="K16" i="36"/>
  <c r="K15" i="36"/>
  <c r="K14" i="36"/>
  <c r="K13" i="36"/>
  <c r="K12" i="36"/>
  <c r="K11" i="36"/>
  <c r="J10" i="36"/>
  <c r="J9" i="36" s="1"/>
  <c r="I10" i="36"/>
  <c r="I9" i="36" s="1"/>
  <c r="K150" i="37"/>
  <c r="K149" i="37"/>
  <c r="K148" i="37"/>
  <c r="K147" i="37"/>
  <c r="K145" i="37"/>
  <c r="K144" i="37"/>
  <c r="J143" i="37"/>
  <c r="I143" i="37"/>
  <c r="K141" i="37"/>
  <c r="K140" i="37"/>
  <c r="K139" i="37"/>
  <c r="K138" i="37"/>
  <c r="K137" i="37"/>
  <c r="K136" i="37"/>
  <c r="K135" i="37"/>
  <c r="J134" i="37"/>
  <c r="J128" i="37" s="1"/>
  <c r="I134" i="37"/>
  <c r="K133" i="37"/>
  <c r="K132" i="37"/>
  <c r="K131" i="37"/>
  <c r="K130" i="37"/>
  <c r="K129" i="37"/>
  <c r="I128" i="37"/>
  <c r="K127" i="37"/>
  <c r="K126" i="37"/>
  <c r="K125" i="37"/>
  <c r="K124" i="37"/>
  <c r="J123" i="37"/>
  <c r="I123" i="37"/>
  <c r="I111" i="37" s="1"/>
  <c r="K122" i="37"/>
  <c r="K121" i="37"/>
  <c r="K119" i="37"/>
  <c r="K118" i="37"/>
  <c r="K117" i="37"/>
  <c r="K116" i="37"/>
  <c r="K115" i="37"/>
  <c r="J114" i="37"/>
  <c r="K113" i="37"/>
  <c r="K112" i="37"/>
  <c r="K110" i="37"/>
  <c r="K109" i="37"/>
  <c r="K108" i="37"/>
  <c r="K107" i="37"/>
  <c r="K106" i="37"/>
  <c r="J105" i="37"/>
  <c r="I105" i="37"/>
  <c r="K104" i="37"/>
  <c r="K103" i="37"/>
  <c r="K102" i="37"/>
  <c r="J101" i="37"/>
  <c r="I101" i="37"/>
  <c r="K100" i="37"/>
  <c r="K99" i="37"/>
  <c r="K98" i="37"/>
  <c r="K97" i="37"/>
  <c r="K96" i="37"/>
  <c r="K95" i="37"/>
  <c r="K94" i="37"/>
  <c r="K93" i="37"/>
  <c r="K92" i="37"/>
  <c r="K90" i="37"/>
  <c r="J89" i="37"/>
  <c r="J88" i="37" s="1"/>
  <c r="I89" i="37"/>
  <c r="I88" i="37" s="1"/>
  <c r="K84" i="37"/>
  <c r="K83" i="37"/>
  <c r="K81" i="37"/>
  <c r="K80" i="37"/>
  <c r="J79" i="37"/>
  <c r="J75" i="37" s="1"/>
  <c r="J74" i="37" s="1"/>
  <c r="I79" i="37"/>
  <c r="K78" i="37"/>
  <c r="K77" i="37"/>
  <c r="K76" i="37"/>
  <c r="K72" i="37"/>
  <c r="K71" i="37"/>
  <c r="J70" i="37"/>
  <c r="I70" i="37"/>
  <c r="K69" i="37"/>
  <c r="K68" i="37"/>
  <c r="J67" i="37"/>
  <c r="I67" i="37"/>
  <c r="K66" i="37"/>
  <c r="K65" i="37"/>
  <c r="K64" i="37"/>
  <c r="K63" i="37"/>
  <c r="K62" i="37"/>
  <c r="J61" i="37"/>
  <c r="I61" i="37"/>
  <c r="K60" i="37"/>
  <c r="K59" i="37"/>
  <c r="K58" i="37"/>
  <c r="K57" i="37"/>
  <c r="K56" i="37"/>
  <c r="K55" i="37"/>
  <c r="K54" i="37"/>
  <c r="K53" i="37"/>
  <c r="K52" i="37"/>
  <c r="K51" i="37"/>
  <c r="K50" i="37"/>
  <c r="J49" i="37"/>
  <c r="J45" i="37" s="1"/>
  <c r="I49" i="37"/>
  <c r="K48" i="37"/>
  <c r="K47" i="37"/>
  <c r="K46" i="37"/>
  <c r="I45" i="37"/>
  <c r="K44" i="37"/>
  <c r="K43" i="37"/>
  <c r="K42" i="37"/>
  <c r="K41" i="37"/>
  <c r="K40" i="37"/>
  <c r="K39" i="37"/>
  <c r="J38" i="37"/>
  <c r="I38" i="37"/>
  <c r="K37" i="37"/>
  <c r="K36" i="37"/>
  <c r="K35" i="37"/>
  <c r="J34" i="37"/>
  <c r="I34" i="37"/>
  <c r="K33" i="37"/>
  <c r="K32" i="37"/>
  <c r="J31" i="37"/>
  <c r="J30" i="37" s="1"/>
  <c r="I31" i="37"/>
  <c r="K29" i="37"/>
  <c r="K28" i="37"/>
  <c r="K27" i="37"/>
  <c r="J26" i="37"/>
  <c r="I26" i="37"/>
  <c r="K24" i="37"/>
  <c r="K23" i="37"/>
  <c r="J22" i="37"/>
  <c r="I22" i="37"/>
  <c r="K21" i="37"/>
  <c r="K20" i="37"/>
  <c r="K19" i="37"/>
  <c r="K18" i="37"/>
  <c r="K17" i="37"/>
  <c r="K16" i="37"/>
  <c r="K15" i="37"/>
  <c r="K14" i="37"/>
  <c r="K13" i="37"/>
  <c r="K12" i="37"/>
  <c r="K11" i="37"/>
  <c r="J10" i="37"/>
  <c r="I10" i="37"/>
  <c r="J9" i="37"/>
  <c r="I9" i="37"/>
  <c r="K150" i="26"/>
  <c r="K149" i="26"/>
  <c r="K148" i="26"/>
  <c r="K147" i="26"/>
  <c r="K145" i="26"/>
  <c r="K144" i="26"/>
  <c r="J143" i="26"/>
  <c r="I143" i="26"/>
  <c r="K141" i="26"/>
  <c r="K140" i="26"/>
  <c r="K139" i="26"/>
  <c r="K138" i="26"/>
  <c r="K137" i="26"/>
  <c r="K136" i="26"/>
  <c r="K135" i="26"/>
  <c r="J134" i="26"/>
  <c r="J128" i="26" s="1"/>
  <c r="I134" i="26"/>
  <c r="K133" i="26"/>
  <c r="K132" i="26"/>
  <c r="K131" i="26"/>
  <c r="K130" i="26"/>
  <c r="K129" i="26"/>
  <c r="I128" i="26"/>
  <c r="K127" i="26"/>
  <c r="K126" i="26"/>
  <c r="K125" i="26"/>
  <c r="I124" i="26"/>
  <c r="K124" i="26" s="1"/>
  <c r="J123" i="26"/>
  <c r="K122" i="26"/>
  <c r="K121" i="26"/>
  <c r="I120" i="26"/>
  <c r="K120" i="26" s="1"/>
  <c r="K119" i="26"/>
  <c r="K118" i="26"/>
  <c r="K117" i="26"/>
  <c r="K116" i="26"/>
  <c r="I115" i="26"/>
  <c r="K115" i="26" s="1"/>
  <c r="J114" i="26"/>
  <c r="K113" i="26"/>
  <c r="K112" i="26"/>
  <c r="K110" i="26"/>
  <c r="K109" i="26"/>
  <c r="K108" i="26"/>
  <c r="K107" i="26"/>
  <c r="K106" i="26"/>
  <c r="J105" i="26"/>
  <c r="I105" i="26"/>
  <c r="K104" i="26"/>
  <c r="K103" i="26"/>
  <c r="K102" i="26"/>
  <c r="J101" i="26"/>
  <c r="I101" i="26"/>
  <c r="K100" i="26"/>
  <c r="K99" i="26"/>
  <c r="K98" i="26"/>
  <c r="K97" i="26"/>
  <c r="K96" i="26"/>
  <c r="K95" i="26"/>
  <c r="K94" i="26"/>
  <c r="K93" i="26"/>
  <c r="K92" i="26"/>
  <c r="K90" i="26"/>
  <c r="J89" i="26"/>
  <c r="I89" i="26"/>
  <c r="I88" i="26" s="1"/>
  <c r="J88" i="26"/>
  <c r="K84" i="26"/>
  <c r="K83" i="26"/>
  <c r="K81" i="26"/>
  <c r="K80" i="26"/>
  <c r="J79" i="26"/>
  <c r="J75" i="26" s="1"/>
  <c r="J74" i="26" s="1"/>
  <c r="I79" i="26"/>
  <c r="K78" i="26"/>
  <c r="K77" i="26"/>
  <c r="K76" i="26"/>
  <c r="I75" i="26"/>
  <c r="K72" i="26"/>
  <c r="K71" i="26"/>
  <c r="J70" i="26"/>
  <c r="I70" i="26"/>
  <c r="K69" i="26"/>
  <c r="K68" i="26"/>
  <c r="J67" i="26"/>
  <c r="I67" i="26"/>
  <c r="K66" i="26"/>
  <c r="K65" i="26"/>
  <c r="K64" i="26"/>
  <c r="K63" i="26"/>
  <c r="K62" i="26"/>
  <c r="J61" i="26"/>
  <c r="I61" i="26"/>
  <c r="K60" i="26"/>
  <c r="K59" i="26"/>
  <c r="K58" i="26"/>
  <c r="K57" i="26"/>
  <c r="K56" i="26"/>
  <c r="K55" i="26"/>
  <c r="K54" i="26"/>
  <c r="K53" i="26"/>
  <c r="K52" i="26"/>
  <c r="K51" i="26"/>
  <c r="K50" i="26"/>
  <c r="J49" i="26"/>
  <c r="J45" i="26" s="1"/>
  <c r="I49" i="26"/>
  <c r="K48" i="26"/>
  <c r="K47" i="26"/>
  <c r="K46" i="26"/>
  <c r="I45" i="26"/>
  <c r="K44" i="26"/>
  <c r="K43" i="26"/>
  <c r="K42" i="26"/>
  <c r="K41" i="26"/>
  <c r="K40" i="26"/>
  <c r="K39" i="26"/>
  <c r="J38" i="26"/>
  <c r="I38" i="26"/>
  <c r="K37" i="26"/>
  <c r="K36" i="26"/>
  <c r="K35" i="26"/>
  <c r="J34" i="26"/>
  <c r="I34" i="26"/>
  <c r="K33" i="26"/>
  <c r="K32" i="26"/>
  <c r="J31" i="26"/>
  <c r="J30" i="26" s="1"/>
  <c r="I31" i="26"/>
  <c r="I30" i="26" s="1"/>
  <c r="K29" i="26"/>
  <c r="K28" i="26"/>
  <c r="K27" i="26"/>
  <c r="J26" i="26"/>
  <c r="I26" i="26"/>
  <c r="K24" i="26"/>
  <c r="K23" i="26"/>
  <c r="J22" i="26"/>
  <c r="I22" i="26"/>
  <c r="K21" i="26"/>
  <c r="K20" i="26"/>
  <c r="K19" i="26"/>
  <c r="K18" i="26"/>
  <c r="K17" i="26"/>
  <c r="K16" i="26"/>
  <c r="K15" i="26"/>
  <c r="K14" i="26"/>
  <c r="K13" i="26"/>
  <c r="K12" i="26"/>
  <c r="K11" i="26"/>
  <c r="J10" i="26"/>
  <c r="I10" i="26"/>
  <c r="I9" i="26" s="1"/>
  <c r="J9" i="26"/>
  <c r="K150" i="27"/>
  <c r="K149" i="27"/>
  <c r="K148" i="27"/>
  <c r="K147" i="27"/>
  <c r="K145" i="27"/>
  <c r="K144" i="27"/>
  <c r="J143" i="27"/>
  <c r="I143" i="27"/>
  <c r="K141" i="27"/>
  <c r="K140" i="27"/>
  <c r="K139" i="27"/>
  <c r="K138" i="27"/>
  <c r="K137" i="27"/>
  <c r="K136" i="27"/>
  <c r="K135" i="27"/>
  <c r="J134" i="27"/>
  <c r="J128" i="27" s="1"/>
  <c r="I134" i="27"/>
  <c r="K133" i="27"/>
  <c r="K132" i="27"/>
  <c r="K131" i="27"/>
  <c r="K130" i="27"/>
  <c r="K129" i="27"/>
  <c r="K127" i="27"/>
  <c r="K126" i="27"/>
  <c r="K125" i="27"/>
  <c r="I124" i="27"/>
  <c r="K124" i="27" s="1"/>
  <c r="J123" i="27"/>
  <c r="I123" i="27"/>
  <c r="K122" i="27"/>
  <c r="K121" i="27"/>
  <c r="K120" i="27"/>
  <c r="K119" i="27"/>
  <c r="K118" i="27"/>
  <c r="K117" i="27"/>
  <c r="K116" i="27"/>
  <c r="I115" i="27"/>
  <c r="K115" i="27" s="1"/>
  <c r="J114" i="27"/>
  <c r="K113" i="27"/>
  <c r="K112" i="27"/>
  <c r="K110" i="27"/>
  <c r="K109" i="27"/>
  <c r="K108" i="27"/>
  <c r="K107" i="27"/>
  <c r="K106" i="27"/>
  <c r="J105" i="27"/>
  <c r="I105" i="27"/>
  <c r="K104" i="27"/>
  <c r="K103" i="27"/>
  <c r="K102" i="27"/>
  <c r="J101" i="27"/>
  <c r="I101" i="27"/>
  <c r="K100" i="27"/>
  <c r="K99" i="27"/>
  <c r="K98" i="27"/>
  <c r="K97" i="27"/>
  <c r="K96" i="27"/>
  <c r="K95" i="27"/>
  <c r="K94" i="27"/>
  <c r="K93" i="27"/>
  <c r="K92" i="27"/>
  <c r="K90" i="27"/>
  <c r="J89" i="27"/>
  <c r="J88" i="27" s="1"/>
  <c r="I89" i="27"/>
  <c r="I88" i="27" s="1"/>
  <c r="K84" i="27"/>
  <c r="K83" i="27"/>
  <c r="K81" i="27"/>
  <c r="K80" i="27"/>
  <c r="J79" i="27"/>
  <c r="J75" i="27" s="1"/>
  <c r="J74" i="27" s="1"/>
  <c r="I79" i="27"/>
  <c r="K78" i="27"/>
  <c r="K77" i="27"/>
  <c r="K76" i="27"/>
  <c r="I75" i="27"/>
  <c r="K72" i="27"/>
  <c r="K71" i="27"/>
  <c r="J70" i="27"/>
  <c r="I70" i="27"/>
  <c r="K69" i="27"/>
  <c r="K68" i="27"/>
  <c r="J67" i="27"/>
  <c r="I67" i="27"/>
  <c r="K66" i="27"/>
  <c r="K65" i="27"/>
  <c r="K64" i="27"/>
  <c r="K63" i="27"/>
  <c r="K62" i="27"/>
  <c r="J61" i="27"/>
  <c r="I61" i="27"/>
  <c r="K60" i="27"/>
  <c r="K59" i="27"/>
  <c r="K58" i="27"/>
  <c r="K57" i="27"/>
  <c r="K56" i="27"/>
  <c r="K55" i="27"/>
  <c r="K54" i="27"/>
  <c r="K53" i="27"/>
  <c r="K52" i="27"/>
  <c r="K51" i="27"/>
  <c r="K50" i="27"/>
  <c r="J49" i="27"/>
  <c r="J45" i="27" s="1"/>
  <c r="I49" i="27"/>
  <c r="K48" i="27"/>
  <c r="K47" i="27"/>
  <c r="K46" i="27"/>
  <c r="I45" i="27"/>
  <c r="K44" i="27"/>
  <c r="K43" i="27"/>
  <c r="K42" i="27"/>
  <c r="K41" i="27"/>
  <c r="K40" i="27"/>
  <c r="K39" i="27"/>
  <c r="J38" i="27"/>
  <c r="I38" i="27"/>
  <c r="K37" i="27"/>
  <c r="K36" i="27"/>
  <c r="K35" i="27"/>
  <c r="J34" i="27"/>
  <c r="I34" i="27"/>
  <c r="K33" i="27"/>
  <c r="K32" i="27"/>
  <c r="J31" i="27"/>
  <c r="J30" i="27" s="1"/>
  <c r="I31" i="27"/>
  <c r="K29" i="27"/>
  <c r="K28" i="27"/>
  <c r="K27" i="27"/>
  <c r="J26" i="27"/>
  <c r="I26" i="27"/>
  <c r="K24" i="27"/>
  <c r="K23" i="27"/>
  <c r="J22" i="27"/>
  <c r="I22" i="27"/>
  <c r="K21" i="27"/>
  <c r="K20" i="27"/>
  <c r="K19" i="27"/>
  <c r="K18" i="27"/>
  <c r="K17" i="27"/>
  <c r="K16" i="27"/>
  <c r="K15" i="27"/>
  <c r="K14" i="27"/>
  <c r="K13" i="27"/>
  <c r="K12" i="27"/>
  <c r="K11" i="27"/>
  <c r="J10" i="27"/>
  <c r="J9" i="27" s="1"/>
  <c r="I10" i="27"/>
  <c r="I9" i="27" s="1"/>
  <c r="K150" i="28"/>
  <c r="K149" i="28"/>
  <c r="K148" i="28"/>
  <c r="K147" i="28"/>
  <c r="K145" i="28"/>
  <c r="K144" i="28"/>
  <c r="J143" i="28"/>
  <c r="I143" i="28"/>
  <c r="K141" i="28"/>
  <c r="K140" i="28"/>
  <c r="K139" i="28"/>
  <c r="K138" i="28"/>
  <c r="K137" i="28"/>
  <c r="K136" i="28"/>
  <c r="K135" i="28"/>
  <c r="J134" i="28"/>
  <c r="J128" i="28" s="1"/>
  <c r="I134" i="28"/>
  <c r="K133" i="28"/>
  <c r="K132" i="28"/>
  <c r="K131" i="28"/>
  <c r="K130" i="28"/>
  <c r="K129" i="28"/>
  <c r="K127" i="28"/>
  <c r="K126" i="28"/>
  <c r="K125" i="28"/>
  <c r="K124" i="28"/>
  <c r="J123" i="28"/>
  <c r="K122" i="28"/>
  <c r="K121" i="28"/>
  <c r="K120" i="28"/>
  <c r="K119" i="28"/>
  <c r="K118" i="28"/>
  <c r="K117" i="28"/>
  <c r="K116" i="28"/>
  <c r="K115" i="28"/>
  <c r="J114" i="28"/>
  <c r="K113" i="28"/>
  <c r="K112" i="28"/>
  <c r="K110" i="28"/>
  <c r="K109" i="28"/>
  <c r="K108" i="28"/>
  <c r="K107" i="28"/>
  <c r="K106" i="28"/>
  <c r="J105" i="28"/>
  <c r="I105" i="28"/>
  <c r="K104" i="28"/>
  <c r="K103" i="28"/>
  <c r="K102" i="28"/>
  <c r="J101" i="28"/>
  <c r="I101" i="28"/>
  <c r="K100" i="28"/>
  <c r="K99" i="28"/>
  <c r="K98" i="28"/>
  <c r="K97" i="28"/>
  <c r="K96" i="28"/>
  <c r="K95" i="28"/>
  <c r="K94" i="28"/>
  <c r="K93" i="28"/>
  <c r="K92" i="28"/>
  <c r="K90" i="28"/>
  <c r="J89" i="28"/>
  <c r="J88" i="28" s="1"/>
  <c r="I89" i="28"/>
  <c r="K84" i="28"/>
  <c r="K83" i="28"/>
  <c r="K81" i="28"/>
  <c r="K80" i="28"/>
  <c r="J79" i="28"/>
  <c r="J75" i="28" s="1"/>
  <c r="J74" i="28" s="1"/>
  <c r="I79" i="28"/>
  <c r="K78" i="28"/>
  <c r="K77" i="28"/>
  <c r="K76" i="28"/>
  <c r="K72" i="28"/>
  <c r="K71" i="28"/>
  <c r="J70" i="28"/>
  <c r="I70" i="28"/>
  <c r="K69" i="28"/>
  <c r="K68" i="28"/>
  <c r="J67" i="28"/>
  <c r="I67" i="28"/>
  <c r="K66" i="28"/>
  <c r="K65" i="28"/>
  <c r="K64" i="28"/>
  <c r="K63" i="28"/>
  <c r="K62" i="28"/>
  <c r="J61" i="28"/>
  <c r="I61" i="28"/>
  <c r="K60" i="28"/>
  <c r="K59" i="28"/>
  <c r="K58" i="28"/>
  <c r="K57" i="28"/>
  <c r="K56" i="28"/>
  <c r="I55" i="28"/>
  <c r="K54" i="28"/>
  <c r="K53" i="28"/>
  <c r="K52" i="28"/>
  <c r="K51" i="28"/>
  <c r="K50" i="28"/>
  <c r="J49" i="28"/>
  <c r="J45" i="28" s="1"/>
  <c r="I49" i="28"/>
  <c r="K48" i="28"/>
  <c r="I47" i="28"/>
  <c r="K47" i="28" s="1"/>
  <c r="K46" i="28"/>
  <c r="K44" i="28"/>
  <c r="K43" i="28"/>
  <c r="K42" i="28"/>
  <c r="K41" i="28"/>
  <c r="K40" i="28"/>
  <c r="K39" i="28"/>
  <c r="J38" i="28"/>
  <c r="I38" i="28"/>
  <c r="K37" i="28"/>
  <c r="K36" i="28"/>
  <c r="K35" i="28"/>
  <c r="J34" i="28"/>
  <c r="I34" i="28"/>
  <c r="K33" i="28"/>
  <c r="K32" i="28"/>
  <c r="J31" i="28"/>
  <c r="I31" i="28"/>
  <c r="I30" i="28" s="1"/>
  <c r="J30" i="28"/>
  <c r="K29" i="28"/>
  <c r="K28" i="28"/>
  <c r="K27" i="28"/>
  <c r="J26" i="28"/>
  <c r="I26" i="28"/>
  <c r="K24" i="28"/>
  <c r="K23" i="28"/>
  <c r="J22" i="28"/>
  <c r="I22" i="28"/>
  <c r="K21" i="28"/>
  <c r="K20" i="28"/>
  <c r="K19" i="28"/>
  <c r="K18" i="28"/>
  <c r="K17" i="28"/>
  <c r="K16" i="28"/>
  <c r="K15" i="28"/>
  <c r="K14" i="28"/>
  <c r="K13" i="28"/>
  <c r="K12" i="28"/>
  <c r="K11" i="28"/>
  <c r="J10" i="28"/>
  <c r="J9" i="28" s="1"/>
  <c r="I10" i="28"/>
  <c r="I9" i="28" s="1"/>
  <c r="K150" i="29"/>
  <c r="K149" i="29"/>
  <c r="K148" i="29"/>
  <c r="K147" i="29"/>
  <c r="K145" i="29"/>
  <c r="K144" i="29"/>
  <c r="J143" i="29"/>
  <c r="I143" i="29"/>
  <c r="K141" i="29"/>
  <c r="K140" i="29"/>
  <c r="K139" i="29"/>
  <c r="K138" i="29"/>
  <c r="K137" i="29"/>
  <c r="K136" i="29"/>
  <c r="K135" i="29"/>
  <c r="J134" i="29"/>
  <c r="J128" i="29" s="1"/>
  <c r="I134" i="29"/>
  <c r="K133" i="29"/>
  <c r="K132" i="29"/>
  <c r="K131" i="29"/>
  <c r="K130" i="29"/>
  <c r="K129" i="29"/>
  <c r="I128" i="29"/>
  <c r="K127" i="29"/>
  <c r="K126" i="29"/>
  <c r="K125" i="29"/>
  <c r="I124" i="29"/>
  <c r="K124" i="29" s="1"/>
  <c r="J123" i="29"/>
  <c r="K122" i="29"/>
  <c r="K121" i="29"/>
  <c r="K120" i="29"/>
  <c r="K119" i="29"/>
  <c r="K118" i="29"/>
  <c r="K117" i="29"/>
  <c r="K116" i="29"/>
  <c r="K115" i="29"/>
  <c r="J114" i="29"/>
  <c r="I114" i="29"/>
  <c r="K113" i="29"/>
  <c r="K112" i="29"/>
  <c r="K110" i="29"/>
  <c r="K109" i="29"/>
  <c r="K108" i="29"/>
  <c r="K107" i="29"/>
  <c r="K106" i="29"/>
  <c r="J105" i="29"/>
  <c r="I105" i="29"/>
  <c r="K104" i="29"/>
  <c r="K103" i="29"/>
  <c r="K102" i="29"/>
  <c r="J101" i="29"/>
  <c r="I101" i="29"/>
  <c r="K100" i="29"/>
  <c r="K99" i="29"/>
  <c r="K98" i="29"/>
  <c r="K97" i="29"/>
  <c r="K96" i="29"/>
  <c r="K95" i="29"/>
  <c r="K94" i="29"/>
  <c r="K93" i="29"/>
  <c r="K92" i="29"/>
  <c r="K90" i="29"/>
  <c r="J89" i="29"/>
  <c r="J88" i="29" s="1"/>
  <c r="I89" i="29"/>
  <c r="I88" i="29" s="1"/>
  <c r="K84" i="29"/>
  <c r="K83" i="29"/>
  <c r="K81" i="29"/>
  <c r="K80" i="29"/>
  <c r="J79" i="29"/>
  <c r="J75" i="29" s="1"/>
  <c r="J74" i="29" s="1"/>
  <c r="I79" i="29"/>
  <c r="K78" i="29"/>
  <c r="K77" i="29"/>
  <c r="K76" i="29"/>
  <c r="K72" i="29"/>
  <c r="K71" i="29"/>
  <c r="J70" i="29"/>
  <c r="I70" i="29"/>
  <c r="K69" i="29"/>
  <c r="K68" i="29"/>
  <c r="J67" i="29"/>
  <c r="I67" i="29"/>
  <c r="K66" i="29"/>
  <c r="K65" i="29"/>
  <c r="K64" i="29"/>
  <c r="K63" i="29"/>
  <c r="K62" i="29"/>
  <c r="J61" i="29"/>
  <c r="I61" i="29"/>
  <c r="K60" i="29"/>
  <c r="K59" i="29"/>
  <c r="K58" i="29"/>
  <c r="K57" i="29"/>
  <c r="K56" i="29"/>
  <c r="K55" i="29"/>
  <c r="K54" i="29"/>
  <c r="K53" i="29"/>
  <c r="K52" i="29"/>
  <c r="K51" i="29"/>
  <c r="K50" i="29"/>
  <c r="J49" i="29"/>
  <c r="J45" i="29" s="1"/>
  <c r="I49" i="29"/>
  <c r="K48" i="29"/>
  <c r="K47" i="29"/>
  <c r="K46" i="29"/>
  <c r="K44" i="29"/>
  <c r="K43" i="29"/>
  <c r="K42" i="29"/>
  <c r="K41" i="29"/>
  <c r="K40" i="29"/>
  <c r="K39" i="29"/>
  <c r="J38" i="29"/>
  <c r="I38" i="29"/>
  <c r="K37" i="29"/>
  <c r="K36" i="29"/>
  <c r="K35" i="29"/>
  <c r="J34" i="29"/>
  <c r="I34" i="29"/>
  <c r="K33" i="29"/>
  <c r="K32" i="29"/>
  <c r="J31" i="29"/>
  <c r="J30" i="29" s="1"/>
  <c r="I31" i="29"/>
  <c r="K29" i="29"/>
  <c r="K28" i="29"/>
  <c r="K27" i="29"/>
  <c r="J26" i="29"/>
  <c r="I26" i="29"/>
  <c r="K24" i="29"/>
  <c r="K23" i="29"/>
  <c r="J22" i="29"/>
  <c r="I22" i="29"/>
  <c r="K21" i="29"/>
  <c r="K20" i="29"/>
  <c r="K19" i="29"/>
  <c r="K18" i="29"/>
  <c r="K17" i="29"/>
  <c r="K16" i="29"/>
  <c r="K15" i="29"/>
  <c r="K14" i="29"/>
  <c r="K13" i="29"/>
  <c r="K12" i="29"/>
  <c r="K11" i="29"/>
  <c r="J10" i="29"/>
  <c r="I10" i="29"/>
  <c r="I9" i="29" s="1"/>
  <c r="J9" i="29"/>
  <c r="K150" i="30"/>
  <c r="K149" i="30"/>
  <c r="K148" i="30"/>
  <c r="K147" i="30"/>
  <c r="K145" i="30"/>
  <c r="K144" i="30"/>
  <c r="J143" i="30"/>
  <c r="I143" i="30"/>
  <c r="K141" i="30"/>
  <c r="K140" i="30"/>
  <c r="K139" i="30"/>
  <c r="K138" i="30"/>
  <c r="K137" i="30"/>
  <c r="K136" i="30"/>
  <c r="K135" i="30"/>
  <c r="J134" i="30"/>
  <c r="J128" i="30" s="1"/>
  <c r="I134" i="30"/>
  <c r="K133" i="30"/>
  <c r="K132" i="30"/>
  <c r="K131" i="30"/>
  <c r="K130" i="30"/>
  <c r="K129" i="30"/>
  <c r="I128" i="30"/>
  <c r="K127" i="30"/>
  <c r="K126" i="30"/>
  <c r="K125" i="30"/>
  <c r="K124" i="30"/>
  <c r="J123" i="30"/>
  <c r="I123" i="30"/>
  <c r="K122" i="30"/>
  <c r="K121" i="30"/>
  <c r="K120" i="30"/>
  <c r="K119" i="30"/>
  <c r="K118" i="30"/>
  <c r="K117" i="30"/>
  <c r="K116" i="30"/>
  <c r="K115" i="30"/>
  <c r="J114" i="30"/>
  <c r="I114" i="30"/>
  <c r="I111" i="30" s="1"/>
  <c r="K113" i="30"/>
  <c r="K112" i="30"/>
  <c r="J111" i="30"/>
  <c r="K110" i="30"/>
  <c r="K109" i="30"/>
  <c r="K108" i="30"/>
  <c r="K107" i="30"/>
  <c r="K106" i="30"/>
  <c r="J105" i="30"/>
  <c r="I105" i="30"/>
  <c r="K104" i="30"/>
  <c r="K103" i="30"/>
  <c r="K102" i="30"/>
  <c r="J101" i="30"/>
  <c r="I101" i="30"/>
  <c r="K100" i="30"/>
  <c r="K99" i="30"/>
  <c r="K98" i="30"/>
  <c r="K97" i="30"/>
  <c r="K96" i="30"/>
  <c r="K95" i="30"/>
  <c r="K94" i="30"/>
  <c r="K93" i="30"/>
  <c r="K92" i="30"/>
  <c r="K90" i="30"/>
  <c r="J89" i="30"/>
  <c r="J88" i="30" s="1"/>
  <c r="I89" i="30"/>
  <c r="I88" i="30" s="1"/>
  <c r="K84" i="30"/>
  <c r="K83" i="30"/>
  <c r="K81" i="30"/>
  <c r="K80" i="30"/>
  <c r="J79" i="30"/>
  <c r="J75" i="30" s="1"/>
  <c r="J74" i="30" s="1"/>
  <c r="I79" i="30"/>
  <c r="K78" i="30"/>
  <c r="K77" i="30"/>
  <c r="K76" i="30"/>
  <c r="K72" i="30"/>
  <c r="K71" i="30"/>
  <c r="J70" i="30"/>
  <c r="I70" i="30"/>
  <c r="K69" i="30"/>
  <c r="K68" i="30"/>
  <c r="J67" i="30"/>
  <c r="I67" i="30"/>
  <c r="K66" i="30"/>
  <c r="K65" i="30"/>
  <c r="K64" i="30"/>
  <c r="K63" i="30"/>
  <c r="K62" i="30"/>
  <c r="J61" i="30"/>
  <c r="I61" i="30"/>
  <c r="K60" i="30"/>
  <c r="K59" i="30"/>
  <c r="K58" i="30"/>
  <c r="K57" i="30"/>
  <c r="K56" i="30"/>
  <c r="K55" i="30"/>
  <c r="K54" i="30"/>
  <c r="K53" i="30"/>
  <c r="K52" i="30"/>
  <c r="K51" i="30"/>
  <c r="K50" i="30"/>
  <c r="J49" i="30"/>
  <c r="J45" i="30" s="1"/>
  <c r="I49" i="30"/>
  <c r="K48" i="30"/>
  <c r="K47" i="30"/>
  <c r="K46" i="30"/>
  <c r="K44" i="30"/>
  <c r="K43" i="30"/>
  <c r="K42" i="30"/>
  <c r="K41" i="30"/>
  <c r="K40" i="30"/>
  <c r="K39" i="30"/>
  <c r="J38" i="30"/>
  <c r="I38" i="30"/>
  <c r="K37" i="30"/>
  <c r="K36" i="30"/>
  <c r="K35" i="30"/>
  <c r="J34" i="30"/>
  <c r="I34" i="30"/>
  <c r="K33" i="30"/>
  <c r="K32" i="30"/>
  <c r="J31" i="30"/>
  <c r="J30" i="30" s="1"/>
  <c r="I31" i="30"/>
  <c r="K29" i="30"/>
  <c r="K28" i="30"/>
  <c r="K27" i="30"/>
  <c r="J26" i="30"/>
  <c r="I26" i="30"/>
  <c r="K24" i="30"/>
  <c r="K23" i="30"/>
  <c r="J22" i="30"/>
  <c r="I22" i="30"/>
  <c r="K21" i="30"/>
  <c r="K20" i="30"/>
  <c r="K19" i="30"/>
  <c r="K18" i="30"/>
  <c r="K17" i="30"/>
  <c r="K16" i="30"/>
  <c r="K15" i="30"/>
  <c r="K14" i="30"/>
  <c r="K13" i="30"/>
  <c r="K12" i="30"/>
  <c r="K11" i="30"/>
  <c r="J10" i="30"/>
  <c r="J9" i="30" s="1"/>
  <c r="I10" i="30"/>
  <c r="I9" i="30" s="1"/>
  <c r="K150" i="31"/>
  <c r="K149" i="31"/>
  <c r="K148" i="31"/>
  <c r="K147" i="31"/>
  <c r="K145" i="31"/>
  <c r="K144" i="31"/>
  <c r="J143" i="31"/>
  <c r="I143" i="31"/>
  <c r="K141" i="31"/>
  <c r="K140" i="31"/>
  <c r="K139" i="31"/>
  <c r="K138" i="31"/>
  <c r="K137" i="31"/>
  <c r="K136" i="31"/>
  <c r="K135" i="31"/>
  <c r="J134" i="31"/>
  <c r="J128" i="31" s="1"/>
  <c r="I134" i="31"/>
  <c r="K133" i="31"/>
  <c r="K132" i="31"/>
  <c r="K131" i="31"/>
  <c r="K130" i="31"/>
  <c r="K129" i="31"/>
  <c r="I128" i="31"/>
  <c r="K127" i="31"/>
  <c r="K126" i="31"/>
  <c r="K125" i="31"/>
  <c r="K124" i="31"/>
  <c r="J123" i="31"/>
  <c r="I123" i="31"/>
  <c r="K122" i="31"/>
  <c r="K121" i="31"/>
  <c r="K120" i="31"/>
  <c r="K119" i="31"/>
  <c r="K118" i="31"/>
  <c r="K117" i="31"/>
  <c r="K116" i="31"/>
  <c r="K115" i="31"/>
  <c r="J114" i="31"/>
  <c r="I114" i="31"/>
  <c r="I111" i="31" s="1"/>
  <c r="K113" i="31"/>
  <c r="K112" i="31"/>
  <c r="K110" i="31"/>
  <c r="K109" i="31"/>
  <c r="K108" i="31"/>
  <c r="K107" i="31"/>
  <c r="K106" i="31"/>
  <c r="J105" i="31"/>
  <c r="I105" i="31"/>
  <c r="K104" i="31"/>
  <c r="K103" i="31"/>
  <c r="K102" i="31"/>
  <c r="J101" i="31"/>
  <c r="I101" i="31"/>
  <c r="K100" i="31"/>
  <c r="K99" i="31"/>
  <c r="K98" i="31"/>
  <c r="K97" i="31"/>
  <c r="K96" i="31"/>
  <c r="K95" i="31"/>
  <c r="K94" i="31"/>
  <c r="K93" i="31"/>
  <c r="K92" i="31"/>
  <c r="K90" i="31"/>
  <c r="J89" i="31"/>
  <c r="J88" i="31" s="1"/>
  <c r="I89" i="31"/>
  <c r="I88" i="31" s="1"/>
  <c r="K84" i="31"/>
  <c r="K83" i="31"/>
  <c r="K81" i="31"/>
  <c r="K80" i="31"/>
  <c r="J79" i="31"/>
  <c r="J75" i="31" s="1"/>
  <c r="J74" i="31" s="1"/>
  <c r="I79" i="31"/>
  <c r="K78" i="31"/>
  <c r="K77" i="31"/>
  <c r="K76" i="31"/>
  <c r="K72" i="31"/>
  <c r="K71" i="31"/>
  <c r="J70" i="31"/>
  <c r="I70" i="31"/>
  <c r="K69" i="31"/>
  <c r="K68" i="31"/>
  <c r="J67" i="31"/>
  <c r="I67" i="31"/>
  <c r="K66" i="31"/>
  <c r="K65" i="31"/>
  <c r="K64" i="31"/>
  <c r="K63" i="31"/>
  <c r="K62" i="31"/>
  <c r="J61" i="31"/>
  <c r="I61" i="31"/>
  <c r="K60" i="31"/>
  <c r="K59" i="31"/>
  <c r="K58" i="31"/>
  <c r="K57" i="31"/>
  <c r="K56" i="31"/>
  <c r="I55" i="31"/>
  <c r="K55" i="31" s="1"/>
  <c r="K54" i="31"/>
  <c r="K53" i="31"/>
  <c r="K52" i="31"/>
  <c r="K51" i="31"/>
  <c r="K50" i="31"/>
  <c r="J49" i="31"/>
  <c r="J45" i="31" s="1"/>
  <c r="I49" i="31"/>
  <c r="K48" i="31"/>
  <c r="K47" i="31"/>
  <c r="K46" i="31"/>
  <c r="K44" i="31"/>
  <c r="K43" i="31"/>
  <c r="K42" i="31"/>
  <c r="K41" i="31"/>
  <c r="K40" i="31"/>
  <c r="K39" i="31"/>
  <c r="J38" i="31"/>
  <c r="I38" i="31"/>
  <c r="K37" i="31"/>
  <c r="K36" i="31"/>
  <c r="K35" i="31"/>
  <c r="J34" i="31"/>
  <c r="I34" i="31"/>
  <c r="K33" i="31"/>
  <c r="K32" i="31"/>
  <c r="J31" i="31"/>
  <c r="J30" i="31" s="1"/>
  <c r="I31" i="31"/>
  <c r="I30" i="31" s="1"/>
  <c r="K29" i="31"/>
  <c r="K28" i="31"/>
  <c r="K27" i="31"/>
  <c r="J26" i="31"/>
  <c r="I26" i="31"/>
  <c r="K24" i="31"/>
  <c r="K23" i="31"/>
  <c r="J22" i="31"/>
  <c r="I22" i="31"/>
  <c r="K21" i="31"/>
  <c r="K20" i="31"/>
  <c r="K19" i="31"/>
  <c r="K18" i="31"/>
  <c r="K17" i="31"/>
  <c r="K16" i="31"/>
  <c r="K15" i="31"/>
  <c r="K14" i="31"/>
  <c r="K13" i="31"/>
  <c r="K12" i="31"/>
  <c r="K11" i="31"/>
  <c r="J10" i="31"/>
  <c r="J9" i="31" s="1"/>
  <c r="I10" i="31"/>
  <c r="I9" i="31" s="1"/>
  <c r="K150" i="32"/>
  <c r="K149" i="32"/>
  <c r="K148" i="32"/>
  <c r="K147" i="32"/>
  <c r="K145" i="32"/>
  <c r="K144" i="32"/>
  <c r="J143" i="32"/>
  <c r="I143" i="32"/>
  <c r="K141" i="32"/>
  <c r="K140" i="32"/>
  <c r="K139" i="32"/>
  <c r="K138" i="32"/>
  <c r="K137" i="32"/>
  <c r="K136" i="32"/>
  <c r="K135" i="32"/>
  <c r="J134" i="32"/>
  <c r="J128" i="32" s="1"/>
  <c r="I134" i="32"/>
  <c r="K133" i="32"/>
  <c r="K132" i="32"/>
  <c r="K131" i="32"/>
  <c r="K130" i="32"/>
  <c r="K129" i="32"/>
  <c r="I128" i="32"/>
  <c r="K127" i="32"/>
  <c r="K126" i="32"/>
  <c r="K125" i="32"/>
  <c r="I124" i="32"/>
  <c r="K124" i="32" s="1"/>
  <c r="J123" i="32"/>
  <c r="K122" i="32"/>
  <c r="K121" i="32"/>
  <c r="K120" i="32"/>
  <c r="K119" i="32"/>
  <c r="K118" i="32"/>
  <c r="K117" i="32"/>
  <c r="K116" i="32"/>
  <c r="K115" i="32"/>
  <c r="J114" i="32"/>
  <c r="I114" i="32"/>
  <c r="K113" i="32"/>
  <c r="K112" i="32"/>
  <c r="K110" i="32"/>
  <c r="K109" i="32"/>
  <c r="K108" i="32"/>
  <c r="K107" i="32"/>
  <c r="K106" i="32"/>
  <c r="J105" i="32"/>
  <c r="I105" i="32"/>
  <c r="K104" i="32"/>
  <c r="K103" i="32"/>
  <c r="K102" i="32"/>
  <c r="J101" i="32"/>
  <c r="I101" i="32"/>
  <c r="K100" i="32"/>
  <c r="K99" i="32"/>
  <c r="K98" i="32"/>
  <c r="K97" i="32"/>
  <c r="K96" i="32"/>
  <c r="K95" i="32"/>
  <c r="K94" i="32"/>
  <c r="K93" i="32"/>
  <c r="K92" i="32"/>
  <c r="K90" i="32"/>
  <c r="J89" i="32"/>
  <c r="J88" i="32" s="1"/>
  <c r="I89" i="32"/>
  <c r="K84" i="32"/>
  <c r="K83" i="32"/>
  <c r="K81" i="32"/>
  <c r="K80" i="32"/>
  <c r="J79" i="32"/>
  <c r="J75" i="32" s="1"/>
  <c r="J74" i="32" s="1"/>
  <c r="I79" i="32"/>
  <c r="K78" i="32"/>
  <c r="K77" i="32"/>
  <c r="K76" i="32"/>
  <c r="I75" i="32"/>
  <c r="I74" i="32" s="1"/>
  <c r="K72" i="32"/>
  <c r="K71" i="32"/>
  <c r="J70" i="32"/>
  <c r="I70" i="32"/>
  <c r="K69" i="32"/>
  <c r="K68" i="32"/>
  <c r="J67" i="32"/>
  <c r="I67" i="32"/>
  <c r="K66" i="32"/>
  <c r="K65" i="32"/>
  <c r="K64" i="32"/>
  <c r="K63" i="32"/>
  <c r="K62" i="32"/>
  <c r="J61" i="32"/>
  <c r="I61" i="32"/>
  <c r="K60" i="32"/>
  <c r="K59" i="32"/>
  <c r="K58" i="32"/>
  <c r="K57" i="32"/>
  <c r="K56" i="32"/>
  <c r="K55" i="32"/>
  <c r="K54" i="32"/>
  <c r="K53" i="32"/>
  <c r="K52" i="32"/>
  <c r="K51" i="32"/>
  <c r="K50" i="32"/>
  <c r="J49" i="32"/>
  <c r="J45" i="32" s="1"/>
  <c r="I49" i="32"/>
  <c r="K48" i="32"/>
  <c r="K47" i="32"/>
  <c r="K46" i="32"/>
  <c r="I45" i="32"/>
  <c r="K44" i="32"/>
  <c r="K43" i="32"/>
  <c r="K42" i="32"/>
  <c r="K41" i="32"/>
  <c r="K40" i="32"/>
  <c r="K39" i="32"/>
  <c r="J38" i="32"/>
  <c r="I38" i="32"/>
  <c r="K37" i="32"/>
  <c r="K36" i="32"/>
  <c r="K35" i="32"/>
  <c r="J34" i="32"/>
  <c r="I34" i="32"/>
  <c r="K33" i="32"/>
  <c r="K32" i="32"/>
  <c r="J31" i="32"/>
  <c r="J30" i="32" s="1"/>
  <c r="I31" i="32"/>
  <c r="I30" i="32" s="1"/>
  <c r="K29" i="32"/>
  <c r="K28" i="32"/>
  <c r="K27" i="32"/>
  <c r="J26" i="32"/>
  <c r="I26" i="32"/>
  <c r="K24" i="32"/>
  <c r="K23" i="32"/>
  <c r="J22" i="32"/>
  <c r="I22" i="32"/>
  <c r="K21" i="32"/>
  <c r="K20" i="32"/>
  <c r="K19" i="32"/>
  <c r="K18" i="32"/>
  <c r="K17" i="32"/>
  <c r="K16" i="32"/>
  <c r="K15" i="32"/>
  <c r="K14" i="32"/>
  <c r="K13" i="32"/>
  <c r="K12" i="32"/>
  <c r="K11" i="32"/>
  <c r="J10" i="32"/>
  <c r="J9" i="32" s="1"/>
  <c r="I10" i="32"/>
  <c r="K150" i="17"/>
  <c r="K149" i="17"/>
  <c r="K148" i="17"/>
  <c r="K147" i="17"/>
  <c r="K146" i="17"/>
  <c r="K145" i="17"/>
  <c r="K144" i="17"/>
  <c r="J143" i="17"/>
  <c r="I143" i="17"/>
  <c r="K141" i="17"/>
  <c r="K140" i="17"/>
  <c r="K139" i="17"/>
  <c r="K138" i="17"/>
  <c r="K137" i="17"/>
  <c r="K136" i="17"/>
  <c r="K135" i="17"/>
  <c r="J134" i="17"/>
  <c r="I134" i="17"/>
  <c r="K133" i="17"/>
  <c r="K132" i="17"/>
  <c r="K131" i="17"/>
  <c r="K130" i="17"/>
  <c r="K129" i="17"/>
  <c r="I128" i="17"/>
  <c r="K127" i="17"/>
  <c r="K126" i="17"/>
  <c r="K125" i="17"/>
  <c r="I124" i="17"/>
  <c r="K124" i="17" s="1"/>
  <c r="J123" i="17"/>
  <c r="K122" i="17"/>
  <c r="K121" i="17"/>
  <c r="K120" i="17"/>
  <c r="K119" i="17"/>
  <c r="K118" i="17"/>
  <c r="K117" i="17"/>
  <c r="K116" i="17"/>
  <c r="K115" i="17"/>
  <c r="J114" i="17"/>
  <c r="I114" i="17"/>
  <c r="K113" i="17"/>
  <c r="K112" i="17"/>
  <c r="K110" i="17"/>
  <c r="K109" i="17"/>
  <c r="K108" i="17"/>
  <c r="K107" i="17"/>
  <c r="K106" i="17"/>
  <c r="J105" i="17"/>
  <c r="I105" i="17"/>
  <c r="K104" i="17"/>
  <c r="K103" i="17"/>
  <c r="K102" i="17"/>
  <c r="J101" i="17"/>
  <c r="I101" i="17"/>
  <c r="K100" i="17"/>
  <c r="K99" i="17"/>
  <c r="K98" i="17"/>
  <c r="K97" i="17"/>
  <c r="K96" i="17"/>
  <c r="K95" i="17"/>
  <c r="K94" i="17"/>
  <c r="K93" i="17"/>
  <c r="K92" i="17"/>
  <c r="K91" i="17"/>
  <c r="K90" i="17"/>
  <c r="J89" i="17"/>
  <c r="I89" i="17"/>
  <c r="J79" i="17"/>
  <c r="I79" i="17"/>
  <c r="J75" i="17"/>
  <c r="J74" i="17" s="1"/>
  <c r="K72" i="17"/>
  <c r="J70" i="17"/>
  <c r="I70" i="17"/>
  <c r="J67" i="17"/>
  <c r="I67" i="17"/>
  <c r="J61" i="17"/>
  <c r="I61" i="17"/>
  <c r="J49" i="17"/>
  <c r="I49" i="17"/>
  <c r="J45" i="17"/>
  <c r="J38" i="17"/>
  <c r="I38" i="17"/>
  <c r="J34" i="17"/>
  <c r="I34" i="17"/>
  <c r="J31" i="17"/>
  <c r="J30" i="17" s="1"/>
  <c r="I31" i="17"/>
  <c r="I30" i="17" s="1"/>
  <c r="J26" i="17"/>
  <c r="I26" i="17"/>
  <c r="J22" i="17"/>
  <c r="I22" i="17"/>
  <c r="J10" i="17"/>
  <c r="J9" i="17" s="1"/>
  <c r="I10" i="17"/>
  <c r="I9" i="17" s="1"/>
  <c r="K150" i="16"/>
  <c r="K149" i="16"/>
  <c r="K148" i="16"/>
  <c r="K147" i="16"/>
  <c r="K145" i="16"/>
  <c r="K144" i="16"/>
  <c r="J143" i="16"/>
  <c r="I143" i="16"/>
  <c r="K141" i="16"/>
  <c r="K140" i="16"/>
  <c r="K139" i="16"/>
  <c r="K138" i="16"/>
  <c r="K137" i="16"/>
  <c r="K136" i="16"/>
  <c r="K135" i="16"/>
  <c r="J134" i="16"/>
  <c r="J128" i="16" s="1"/>
  <c r="I134" i="16"/>
  <c r="K133" i="16"/>
  <c r="K132" i="16"/>
  <c r="K131" i="16"/>
  <c r="K130" i="16"/>
  <c r="K129" i="16"/>
  <c r="I128" i="16"/>
  <c r="K127" i="16"/>
  <c r="K126" i="16"/>
  <c r="K125" i="16"/>
  <c r="K124" i="16"/>
  <c r="J123" i="16"/>
  <c r="I123" i="16"/>
  <c r="K122" i="16"/>
  <c r="K121" i="16"/>
  <c r="K120" i="16"/>
  <c r="K119" i="16"/>
  <c r="K118" i="16"/>
  <c r="K117" i="16"/>
  <c r="K116" i="16"/>
  <c r="K115" i="16"/>
  <c r="J114" i="16"/>
  <c r="I114" i="16"/>
  <c r="I111" i="16" s="1"/>
  <c r="K113" i="16"/>
  <c r="K112" i="16"/>
  <c r="J111" i="16"/>
  <c r="K110" i="16"/>
  <c r="K109" i="16"/>
  <c r="K108" i="16"/>
  <c r="K107" i="16"/>
  <c r="K106" i="16"/>
  <c r="J105" i="16"/>
  <c r="I105" i="16"/>
  <c r="K104" i="16"/>
  <c r="K103" i="16"/>
  <c r="K102" i="16"/>
  <c r="J101" i="16"/>
  <c r="I101" i="16"/>
  <c r="K100" i="16"/>
  <c r="K99" i="16"/>
  <c r="K98" i="16"/>
  <c r="K97" i="16"/>
  <c r="K96" i="16"/>
  <c r="K95" i="16"/>
  <c r="K94" i="16"/>
  <c r="K93" i="16"/>
  <c r="K92" i="16"/>
  <c r="K90" i="16"/>
  <c r="J89" i="16"/>
  <c r="J88" i="16" s="1"/>
  <c r="I89" i="16"/>
  <c r="I88" i="16" s="1"/>
  <c r="K84" i="16"/>
  <c r="K83" i="16"/>
  <c r="K81" i="16"/>
  <c r="K80" i="16"/>
  <c r="J79" i="16"/>
  <c r="J75" i="16" s="1"/>
  <c r="J74" i="16" s="1"/>
  <c r="I79" i="16"/>
  <c r="K78" i="16"/>
  <c r="K77" i="16"/>
  <c r="K76" i="16"/>
  <c r="K72" i="16"/>
  <c r="K71" i="16"/>
  <c r="J70" i="16"/>
  <c r="I70" i="16"/>
  <c r="K69" i="16"/>
  <c r="K68" i="16"/>
  <c r="J67" i="16"/>
  <c r="I67" i="16"/>
  <c r="K66" i="16"/>
  <c r="K65" i="16"/>
  <c r="K64" i="16"/>
  <c r="K63" i="16"/>
  <c r="K62" i="16"/>
  <c r="J61" i="16"/>
  <c r="I61" i="16"/>
  <c r="K60" i="16"/>
  <c r="K59" i="16"/>
  <c r="K58" i="16"/>
  <c r="K57" i="16"/>
  <c r="K56" i="16"/>
  <c r="K55" i="16"/>
  <c r="K54" i="16"/>
  <c r="K53" i="16"/>
  <c r="K52" i="16"/>
  <c r="K51" i="16"/>
  <c r="K50" i="16"/>
  <c r="J49" i="16"/>
  <c r="J45" i="16" s="1"/>
  <c r="I49" i="16"/>
  <c r="K48" i="16"/>
  <c r="K47" i="16"/>
  <c r="K46" i="16"/>
  <c r="K44" i="16"/>
  <c r="K43" i="16"/>
  <c r="K42" i="16"/>
  <c r="K41" i="16"/>
  <c r="K40" i="16"/>
  <c r="K39" i="16"/>
  <c r="J38" i="16"/>
  <c r="I38" i="16"/>
  <c r="K37" i="16"/>
  <c r="K36" i="16"/>
  <c r="K35" i="16"/>
  <c r="J34" i="16"/>
  <c r="I34" i="16"/>
  <c r="K33" i="16"/>
  <c r="K32" i="16"/>
  <c r="J31" i="16"/>
  <c r="J30" i="16" s="1"/>
  <c r="I31" i="16"/>
  <c r="K29" i="16"/>
  <c r="K28" i="16"/>
  <c r="K27" i="16"/>
  <c r="J26" i="16"/>
  <c r="I26" i="16"/>
  <c r="K24" i="16"/>
  <c r="K23" i="16"/>
  <c r="J22" i="16"/>
  <c r="I22" i="16"/>
  <c r="K21" i="16"/>
  <c r="K20" i="16"/>
  <c r="K19" i="16"/>
  <c r="K18" i="16"/>
  <c r="K17" i="16"/>
  <c r="K16" i="16"/>
  <c r="K15" i="16"/>
  <c r="K14" i="16"/>
  <c r="K13" i="16"/>
  <c r="K12" i="16"/>
  <c r="K11" i="16"/>
  <c r="J10" i="16"/>
  <c r="I10" i="16"/>
  <c r="I9" i="16" s="1"/>
  <c r="J9" i="16"/>
  <c r="K150" i="15"/>
  <c r="K149" i="15"/>
  <c r="K148" i="15"/>
  <c r="K147" i="15"/>
  <c r="K145" i="15"/>
  <c r="K144" i="15"/>
  <c r="J143" i="15"/>
  <c r="I143" i="15"/>
  <c r="K141" i="15"/>
  <c r="K140" i="15"/>
  <c r="K139" i="15"/>
  <c r="K138" i="15"/>
  <c r="K137" i="15"/>
  <c r="K136" i="15"/>
  <c r="K135" i="15"/>
  <c r="J134" i="15"/>
  <c r="J128" i="15" s="1"/>
  <c r="I134" i="15"/>
  <c r="K133" i="15"/>
  <c r="K132" i="15"/>
  <c r="K131" i="15"/>
  <c r="K130" i="15"/>
  <c r="K129" i="15"/>
  <c r="I128" i="15"/>
  <c r="K127" i="15"/>
  <c r="K126" i="15"/>
  <c r="K125" i="15"/>
  <c r="I124" i="15"/>
  <c r="K124" i="15" s="1"/>
  <c r="J123" i="15"/>
  <c r="K122" i="15"/>
  <c r="K121" i="15"/>
  <c r="K120" i="15"/>
  <c r="K119" i="15"/>
  <c r="K118" i="15"/>
  <c r="K117" i="15"/>
  <c r="K116" i="15"/>
  <c r="K115" i="15"/>
  <c r="J114" i="15"/>
  <c r="I114" i="15"/>
  <c r="K113" i="15"/>
  <c r="K112" i="15"/>
  <c r="K110" i="15"/>
  <c r="K109" i="15"/>
  <c r="K108" i="15"/>
  <c r="K107" i="15"/>
  <c r="K106" i="15"/>
  <c r="J105" i="15"/>
  <c r="I105" i="15"/>
  <c r="K104" i="15"/>
  <c r="K103" i="15"/>
  <c r="K102" i="15"/>
  <c r="J101" i="15"/>
  <c r="K101" i="15" s="1"/>
  <c r="K100" i="15"/>
  <c r="K99" i="15"/>
  <c r="K98" i="15"/>
  <c r="K97" i="15"/>
  <c r="K96" i="15"/>
  <c r="K95" i="15"/>
  <c r="K94" i="15"/>
  <c r="K93" i="15"/>
  <c r="K92" i="15"/>
  <c r="K90" i="15"/>
  <c r="J89" i="15"/>
  <c r="I89" i="15"/>
  <c r="K84" i="15"/>
  <c r="K83" i="15"/>
  <c r="K81" i="15"/>
  <c r="K80" i="15"/>
  <c r="J79" i="15"/>
  <c r="J75" i="15" s="1"/>
  <c r="J74" i="15" s="1"/>
  <c r="I79" i="15"/>
  <c r="K78" i="15"/>
  <c r="K77" i="15"/>
  <c r="K76" i="15"/>
  <c r="K72" i="15"/>
  <c r="K71" i="15"/>
  <c r="J70" i="15"/>
  <c r="I70" i="15"/>
  <c r="K69" i="15"/>
  <c r="K68" i="15"/>
  <c r="J67" i="15"/>
  <c r="I67" i="15"/>
  <c r="K66" i="15"/>
  <c r="K65" i="15"/>
  <c r="K64" i="15"/>
  <c r="K63" i="15"/>
  <c r="K62" i="15"/>
  <c r="J61" i="15"/>
  <c r="I61" i="15"/>
  <c r="K60" i="15"/>
  <c r="K59" i="15"/>
  <c r="K58" i="15"/>
  <c r="K57" i="15"/>
  <c r="K56" i="15"/>
  <c r="K55" i="15"/>
  <c r="K54" i="15"/>
  <c r="K53" i="15"/>
  <c r="K52" i="15"/>
  <c r="K51" i="15"/>
  <c r="K50" i="15"/>
  <c r="J49" i="15"/>
  <c r="J45" i="15" s="1"/>
  <c r="I49" i="15"/>
  <c r="K48" i="15"/>
  <c r="I47" i="15"/>
  <c r="K47" i="15" s="1"/>
  <c r="K46" i="15"/>
  <c r="K44" i="15"/>
  <c r="K43" i="15"/>
  <c r="K42" i="15"/>
  <c r="K41" i="15"/>
  <c r="K40" i="15"/>
  <c r="K39" i="15"/>
  <c r="J38" i="15"/>
  <c r="I38" i="15"/>
  <c r="K37" i="15"/>
  <c r="K36" i="15"/>
  <c r="K35" i="15"/>
  <c r="J34" i="15"/>
  <c r="I34" i="15"/>
  <c r="K33" i="15"/>
  <c r="K32" i="15"/>
  <c r="J31" i="15"/>
  <c r="J30" i="15" s="1"/>
  <c r="I31" i="15"/>
  <c r="K29" i="15"/>
  <c r="K28" i="15"/>
  <c r="K27" i="15"/>
  <c r="J26" i="15"/>
  <c r="I26" i="15"/>
  <c r="K24" i="15"/>
  <c r="K23" i="15"/>
  <c r="J22" i="15"/>
  <c r="I22" i="15"/>
  <c r="K21" i="15"/>
  <c r="K20" i="15"/>
  <c r="K19" i="15"/>
  <c r="K18" i="15"/>
  <c r="K17" i="15"/>
  <c r="K16" i="15"/>
  <c r="K15" i="15"/>
  <c r="K14" i="15"/>
  <c r="K13" i="15"/>
  <c r="K12" i="15"/>
  <c r="K11" i="15"/>
  <c r="J10" i="15"/>
  <c r="I10" i="15"/>
  <c r="I9" i="15" s="1"/>
  <c r="J9" i="15"/>
  <c r="K150" i="49"/>
  <c r="K149" i="49"/>
  <c r="K148" i="49"/>
  <c r="K147" i="49"/>
  <c r="K145" i="49"/>
  <c r="K144" i="49"/>
  <c r="J143" i="49"/>
  <c r="I143" i="49"/>
  <c r="K141" i="49"/>
  <c r="K140" i="49"/>
  <c r="K139" i="49"/>
  <c r="K138" i="49"/>
  <c r="K137" i="49"/>
  <c r="K136" i="49"/>
  <c r="K135" i="49"/>
  <c r="J134" i="49"/>
  <c r="J128" i="49" s="1"/>
  <c r="I134" i="49"/>
  <c r="K133" i="49"/>
  <c r="K132" i="49"/>
  <c r="K131" i="49"/>
  <c r="K130" i="49"/>
  <c r="K129" i="49"/>
  <c r="I128" i="49"/>
  <c r="K127" i="49"/>
  <c r="K126" i="49"/>
  <c r="K125" i="49"/>
  <c r="K124" i="49"/>
  <c r="J123" i="49"/>
  <c r="I123" i="49"/>
  <c r="K122" i="49"/>
  <c r="K121" i="49"/>
  <c r="K120" i="49"/>
  <c r="K119" i="49"/>
  <c r="K118" i="49"/>
  <c r="K117" i="49"/>
  <c r="K116" i="49"/>
  <c r="K115" i="49"/>
  <c r="J114" i="49"/>
  <c r="I114" i="49"/>
  <c r="I111" i="49" s="1"/>
  <c r="K113" i="49"/>
  <c r="K112" i="49"/>
  <c r="J111" i="49"/>
  <c r="K110" i="49"/>
  <c r="K109" i="49"/>
  <c r="K108" i="49"/>
  <c r="K107" i="49"/>
  <c r="K106" i="49"/>
  <c r="J105" i="49"/>
  <c r="I105" i="49"/>
  <c r="K104" i="49"/>
  <c r="K103" i="49"/>
  <c r="K102" i="49"/>
  <c r="J101" i="49"/>
  <c r="I101" i="49"/>
  <c r="K100" i="49"/>
  <c r="K99" i="49"/>
  <c r="K98" i="49"/>
  <c r="K97" i="49"/>
  <c r="K96" i="49"/>
  <c r="K95" i="49"/>
  <c r="K94" i="49"/>
  <c r="K93" i="49"/>
  <c r="K92" i="49"/>
  <c r="K90" i="49"/>
  <c r="J89" i="49"/>
  <c r="J88" i="49" s="1"/>
  <c r="I89" i="49"/>
  <c r="I88" i="49" s="1"/>
  <c r="K84" i="49"/>
  <c r="K83" i="49"/>
  <c r="K81" i="49"/>
  <c r="K80" i="49"/>
  <c r="J79" i="49"/>
  <c r="J75" i="49" s="1"/>
  <c r="J74" i="49" s="1"/>
  <c r="I79" i="49"/>
  <c r="K78" i="49"/>
  <c r="K77" i="49"/>
  <c r="K76" i="49"/>
  <c r="K72" i="49"/>
  <c r="K71" i="49"/>
  <c r="J70" i="49"/>
  <c r="I70" i="49"/>
  <c r="K69" i="49"/>
  <c r="K68" i="49"/>
  <c r="J67" i="49"/>
  <c r="I67" i="49"/>
  <c r="K66" i="49"/>
  <c r="K65" i="49"/>
  <c r="K64" i="49"/>
  <c r="K63" i="49"/>
  <c r="K62" i="49"/>
  <c r="J61" i="49"/>
  <c r="I61" i="49"/>
  <c r="K60" i="49"/>
  <c r="K59" i="49"/>
  <c r="K58" i="49"/>
  <c r="K57" i="49"/>
  <c r="K56" i="49"/>
  <c r="K55" i="49"/>
  <c r="K54" i="49"/>
  <c r="K53" i="49"/>
  <c r="K52" i="49"/>
  <c r="K51" i="49"/>
  <c r="K50" i="49"/>
  <c r="J49" i="49"/>
  <c r="J45" i="49" s="1"/>
  <c r="I49" i="49"/>
  <c r="K48" i="49"/>
  <c r="K47" i="49"/>
  <c r="K46" i="49"/>
  <c r="K44" i="49"/>
  <c r="K43" i="49"/>
  <c r="K42" i="49"/>
  <c r="K41" i="49"/>
  <c r="K40" i="49"/>
  <c r="K39" i="49"/>
  <c r="J38" i="49"/>
  <c r="I38" i="49"/>
  <c r="K37" i="49"/>
  <c r="K36" i="49"/>
  <c r="K35" i="49"/>
  <c r="J34" i="49"/>
  <c r="I34" i="49"/>
  <c r="K33" i="49"/>
  <c r="K32" i="49"/>
  <c r="J31" i="49"/>
  <c r="J30" i="49" s="1"/>
  <c r="I31" i="49"/>
  <c r="K29" i="49"/>
  <c r="K28" i="49"/>
  <c r="K27" i="49"/>
  <c r="J26" i="49"/>
  <c r="I26" i="49"/>
  <c r="K24" i="49"/>
  <c r="K23" i="49"/>
  <c r="J22" i="49"/>
  <c r="I22" i="49"/>
  <c r="K21" i="49"/>
  <c r="K20" i="49"/>
  <c r="K19" i="49"/>
  <c r="K18" i="49"/>
  <c r="K17" i="49"/>
  <c r="K16" i="49"/>
  <c r="K15" i="49"/>
  <c r="K14" i="49"/>
  <c r="K13" i="49"/>
  <c r="K12" i="49"/>
  <c r="K11" i="49"/>
  <c r="J10" i="49"/>
  <c r="I10" i="49"/>
  <c r="I9" i="49" s="1"/>
  <c r="J9" i="49"/>
  <c r="K150" i="14"/>
  <c r="K149" i="14"/>
  <c r="K148" i="14"/>
  <c r="K147" i="14"/>
  <c r="K145" i="14"/>
  <c r="K144" i="14"/>
  <c r="J143" i="14"/>
  <c r="I143" i="14"/>
  <c r="K141" i="14"/>
  <c r="K140" i="14"/>
  <c r="K139" i="14"/>
  <c r="I138" i="14"/>
  <c r="K138" i="14" s="1"/>
  <c r="I137" i="14"/>
  <c r="K137" i="14" s="1"/>
  <c r="K136" i="14"/>
  <c r="K135" i="14"/>
  <c r="J134" i="14"/>
  <c r="J128" i="14" s="1"/>
  <c r="I134" i="14"/>
  <c r="K133" i="14"/>
  <c r="K132" i="14"/>
  <c r="K131" i="14"/>
  <c r="K130" i="14"/>
  <c r="K129" i="14"/>
  <c r="I128" i="14"/>
  <c r="K127" i="14"/>
  <c r="K126" i="14"/>
  <c r="K125" i="14"/>
  <c r="I124" i="14"/>
  <c r="K124" i="14" s="1"/>
  <c r="J123" i="14"/>
  <c r="K122" i="14"/>
  <c r="K121" i="14"/>
  <c r="K120" i="14"/>
  <c r="K119" i="14"/>
  <c r="K118" i="14"/>
  <c r="K117" i="14"/>
  <c r="K116" i="14"/>
  <c r="K115" i="14"/>
  <c r="J114" i="14"/>
  <c r="I114" i="14"/>
  <c r="K113" i="14"/>
  <c r="K112" i="14"/>
  <c r="K110" i="14"/>
  <c r="K109" i="14"/>
  <c r="K108" i="14"/>
  <c r="K107" i="14"/>
  <c r="K106" i="14"/>
  <c r="J105" i="14"/>
  <c r="I105" i="14"/>
  <c r="K104" i="14"/>
  <c r="K103" i="14"/>
  <c r="K102" i="14"/>
  <c r="J101" i="14"/>
  <c r="I101" i="14"/>
  <c r="K100" i="14"/>
  <c r="K99" i="14"/>
  <c r="K98" i="14"/>
  <c r="K97" i="14"/>
  <c r="K96" i="14"/>
  <c r="K95" i="14"/>
  <c r="K94" i="14"/>
  <c r="K93" i="14"/>
  <c r="K92" i="14"/>
  <c r="K90" i="14"/>
  <c r="J89" i="14"/>
  <c r="J88" i="14" s="1"/>
  <c r="I89" i="14"/>
  <c r="K84" i="14"/>
  <c r="K83" i="14"/>
  <c r="K81" i="14"/>
  <c r="K80" i="14"/>
  <c r="J79" i="14"/>
  <c r="J75" i="14" s="1"/>
  <c r="J74" i="14" s="1"/>
  <c r="I79" i="14"/>
  <c r="K78" i="14"/>
  <c r="K77" i="14"/>
  <c r="K76" i="14"/>
  <c r="K72" i="14"/>
  <c r="K71" i="14"/>
  <c r="J70" i="14"/>
  <c r="I70" i="14"/>
  <c r="K69" i="14"/>
  <c r="K68" i="14"/>
  <c r="J67" i="14"/>
  <c r="I67" i="14"/>
  <c r="K66" i="14"/>
  <c r="K65" i="14"/>
  <c r="K64" i="14"/>
  <c r="K63" i="14"/>
  <c r="K62" i="14"/>
  <c r="J61" i="14"/>
  <c r="I61" i="14"/>
  <c r="K60" i="14"/>
  <c r="K59" i="14"/>
  <c r="K58" i="14"/>
  <c r="K57" i="14"/>
  <c r="K56" i="14"/>
  <c r="K55" i="14"/>
  <c r="K54" i="14"/>
  <c r="K53" i="14"/>
  <c r="K52" i="14"/>
  <c r="K51" i="14"/>
  <c r="K50" i="14"/>
  <c r="J49" i="14"/>
  <c r="J45" i="14" s="1"/>
  <c r="I49" i="14"/>
  <c r="I45" i="14" s="1"/>
  <c r="K48" i="14"/>
  <c r="K47" i="14"/>
  <c r="K46" i="14"/>
  <c r="K44" i="14"/>
  <c r="K43" i="14"/>
  <c r="K42" i="14"/>
  <c r="K41" i="14"/>
  <c r="K40" i="14"/>
  <c r="K39" i="14"/>
  <c r="J38" i="14"/>
  <c r="I38" i="14"/>
  <c r="K37" i="14"/>
  <c r="K36" i="14"/>
  <c r="K35" i="14"/>
  <c r="J34" i="14"/>
  <c r="I34" i="14"/>
  <c r="K33" i="14"/>
  <c r="K32" i="14"/>
  <c r="J31" i="14"/>
  <c r="J30" i="14" s="1"/>
  <c r="I31" i="14"/>
  <c r="I30" i="14" s="1"/>
  <c r="K29" i="14"/>
  <c r="K28" i="14"/>
  <c r="K27" i="14"/>
  <c r="J26" i="14"/>
  <c r="I26" i="14"/>
  <c r="K24" i="14"/>
  <c r="K23" i="14"/>
  <c r="J22" i="14"/>
  <c r="I22" i="14"/>
  <c r="K21" i="14"/>
  <c r="K20" i="14"/>
  <c r="K19" i="14"/>
  <c r="K18" i="14"/>
  <c r="K17" i="14"/>
  <c r="K16" i="14"/>
  <c r="K15" i="14"/>
  <c r="K14" i="14"/>
  <c r="K13" i="14"/>
  <c r="K12" i="14"/>
  <c r="K11" i="14"/>
  <c r="J10" i="14"/>
  <c r="J9" i="14" s="1"/>
  <c r="I10" i="14"/>
  <c r="I9" i="14" s="1"/>
  <c r="K150" i="13"/>
  <c r="K149" i="13"/>
  <c r="K148" i="13"/>
  <c r="K147" i="13"/>
  <c r="K145" i="13"/>
  <c r="K144" i="13"/>
  <c r="J143" i="13"/>
  <c r="I143" i="13"/>
  <c r="K141" i="13"/>
  <c r="K140" i="13"/>
  <c r="K139" i="13"/>
  <c r="K138" i="13"/>
  <c r="K137" i="13"/>
  <c r="K136" i="13"/>
  <c r="K135" i="13"/>
  <c r="J134" i="13"/>
  <c r="J128" i="13" s="1"/>
  <c r="I134" i="13"/>
  <c r="K133" i="13"/>
  <c r="K132" i="13"/>
  <c r="K131" i="13"/>
  <c r="K130" i="13"/>
  <c r="K129" i="13"/>
  <c r="I128" i="13"/>
  <c r="K127" i="13"/>
  <c r="K126" i="13"/>
  <c r="K125" i="13"/>
  <c r="I124" i="13"/>
  <c r="K124" i="13" s="1"/>
  <c r="J123" i="13"/>
  <c r="K122" i="13"/>
  <c r="K121" i="13"/>
  <c r="K120" i="13"/>
  <c r="K119" i="13"/>
  <c r="I118" i="13"/>
  <c r="K117" i="13"/>
  <c r="K116" i="13"/>
  <c r="K115" i="13"/>
  <c r="J114" i="13"/>
  <c r="K113" i="13"/>
  <c r="K112" i="13"/>
  <c r="K110" i="13"/>
  <c r="K109" i="13"/>
  <c r="K108" i="13"/>
  <c r="K107" i="13"/>
  <c r="K106" i="13"/>
  <c r="J105" i="13"/>
  <c r="I105" i="13"/>
  <c r="K104" i="13"/>
  <c r="K103" i="13"/>
  <c r="K102" i="13"/>
  <c r="J101" i="13"/>
  <c r="I101" i="13"/>
  <c r="K100" i="13"/>
  <c r="K99" i="13"/>
  <c r="K98" i="13"/>
  <c r="K97" i="13"/>
  <c r="K96" i="13"/>
  <c r="K95" i="13"/>
  <c r="K94" i="13"/>
  <c r="K93" i="13"/>
  <c r="K92" i="13"/>
  <c r="K90" i="13"/>
  <c r="J89" i="13"/>
  <c r="J88" i="13" s="1"/>
  <c r="I89" i="13"/>
  <c r="K84" i="13"/>
  <c r="K83" i="13"/>
  <c r="K81" i="13"/>
  <c r="K80" i="13"/>
  <c r="J79" i="13"/>
  <c r="J75" i="13" s="1"/>
  <c r="J74" i="13" s="1"/>
  <c r="I79" i="13"/>
  <c r="K78" i="13"/>
  <c r="K77" i="13"/>
  <c r="K76" i="13"/>
  <c r="I75" i="13"/>
  <c r="I74" i="13" s="1"/>
  <c r="K72" i="13"/>
  <c r="K71" i="13"/>
  <c r="J70" i="13"/>
  <c r="I70" i="13"/>
  <c r="K69" i="13"/>
  <c r="K68" i="13"/>
  <c r="J67" i="13"/>
  <c r="I67" i="13"/>
  <c r="K66" i="13"/>
  <c r="K65" i="13"/>
  <c r="K64" i="13"/>
  <c r="K63" i="13"/>
  <c r="K62" i="13"/>
  <c r="J61" i="13"/>
  <c r="I61" i="13"/>
  <c r="K60" i="13"/>
  <c r="K59" i="13"/>
  <c r="K58" i="13"/>
  <c r="K57" i="13"/>
  <c r="K56" i="13"/>
  <c r="K55" i="13"/>
  <c r="K54" i="13"/>
  <c r="K53" i="13"/>
  <c r="K52" i="13"/>
  <c r="K51" i="13"/>
  <c r="K50" i="13"/>
  <c r="J49" i="13"/>
  <c r="J45" i="13" s="1"/>
  <c r="I49" i="13"/>
  <c r="K48" i="13"/>
  <c r="K47" i="13"/>
  <c r="K46" i="13"/>
  <c r="I45" i="13"/>
  <c r="K44" i="13"/>
  <c r="K43" i="13"/>
  <c r="K42" i="13"/>
  <c r="K41" i="13"/>
  <c r="K40" i="13"/>
  <c r="K39" i="13"/>
  <c r="J38" i="13"/>
  <c r="I38" i="13"/>
  <c r="K37" i="13"/>
  <c r="K36" i="13"/>
  <c r="K35" i="13"/>
  <c r="J34" i="13"/>
  <c r="I34" i="13"/>
  <c r="K33" i="13"/>
  <c r="K32" i="13"/>
  <c r="J31" i="13"/>
  <c r="I31" i="13"/>
  <c r="I30" i="13" s="1"/>
  <c r="J30" i="13"/>
  <c r="K29" i="13"/>
  <c r="K28" i="13"/>
  <c r="K27" i="13"/>
  <c r="J26" i="13"/>
  <c r="I26" i="13"/>
  <c r="K24" i="13"/>
  <c r="K23" i="13"/>
  <c r="J22" i="13"/>
  <c r="I22" i="13"/>
  <c r="K21" i="13"/>
  <c r="K20" i="13"/>
  <c r="K19" i="13"/>
  <c r="K18" i="13"/>
  <c r="K17" i="13"/>
  <c r="K16" i="13"/>
  <c r="K15" i="13"/>
  <c r="K14" i="13"/>
  <c r="K13" i="13"/>
  <c r="K12" i="13"/>
  <c r="K11" i="13"/>
  <c r="J10" i="13"/>
  <c r="J9" i="13" s="1"/>
  <c r="I10" i="13"/>
  <c r="K150" i="63"/>
  <c r="K149" i="63"/>
  <c r="K148" i="63"/>
  <c r="K147" i="63"/>
  <c r="K145" i="63"/>
  <c r="K144" i="63"/>
  <c r="J143" i="63"/>
  <c r="I143" i="63"/>
  <c r="K141" i="63"/>
  <c r="K140" i="63"/>
  <c r="K139" i="63"/>
  <c r="K138" i="63"/>
  <c r="K137" i="63"/>
  <c r="K136" i="63"/>
  <c r="K135" i="63"/>
  <c r="J134" i="63"/>
  <c r="J128" i="63" s="1"/>
  <c r="I134" i="63"/>
  <c r="K133" i="63"/>
  <c r="K132" i="63"/>
  <c r="K131" i="63"/>
  <c r="K130" i="63"/>
  <c r="K129" i="63"/>
  <c r="K127" i="63"/>
  <c r="K126" i="63"/>
  <c r="K125" i="63"/>
  <c r="K124" i="63"/>
  <c r="J123" i="63"/>
  <c r="I123" i="63"/>
  <c r="K122" i="63"/>
  <c r="K121" i="63"/>
  <c r="K120" i="63"/>
  <c r="K119" i="63"/>
  <c r="K118" i="63"/>
  <c r="K117" i="63"/>
  <c r="K116" i="63"/>
  <c r="K115" i="63"/>
  <c r="J114" i="63"/>
  <c r="I114" i="63"/>
  <c r="I111" i="63" s="1"/>
  <c r="K113" i="63"/>
  <c r="K112" i="63"/>
  <c r="J111" i="63"/>
  <c r="K110" i="63"/>
  <c r="K109" i="63"/>
  <c r="K108" i="63"/>
  <c r="K107" i="63"/>
  <c r="K106" i="63"/>
  <c r="J105" i="63"/>
  <c r="I105" i="63"/>
  <c r="K104" i="63"/>
  <c r="K103" i="63"/>
  <c r="K102" i="63"/>
  <c r="J101" i="63"/>
  <c r="I101" i="63"/>
  <c r="K100" i="63"/>
  <c r="K99" i="63"/>
  <c r="K98" i="63"/>
  <c r="K97" i="63"/>
  <c r="K96" i="63"/>
  <c r="K95" i="63"/>
  <c r="K94" i="63"/>
  <c r="K93" i="63"/>
  <c r="K92" i="63"/>
  <c r="K90" i="63"/>
  <c r="J89" i="63"/>
  <c r="J88" i="63" s="1"/>
  <c r="I89" i="63"/>
  <c r="I88" i="63" s="1"/>
  <c r="K84" i="63"/>
  <c r="K83" i="63"/>
  <c r="K81" i="63"/>
  <c r="K80" i="63"/>
  <c r="J79" i="63"/>
  <c r="J75" i="63" s="1"/>
  <c r="J74" i="63" s="1"/>
  <c r="I79" i="63"/>
  <c r="K78" i="63"/>
  <c r="K77" i="63"/>
  <c r="K76" i="63"/>
  <c r="I75" i="63"/>
  <c r="K72" i="63"/>
  <c r="K71" i="63"/>
  <c r="J70" i="63"/>
  <c r="I70" i="63"/>
  <c r="K69" i="63"/>
  <c r="K68" i="63"/>
  <c r="J67" i="63"/>
  <c r="I67" i="63"/>
  <c r="K66" i="63"/>
  <c r="K65" i="63"/>
  <c r="K64" i="63"/>
  <c r="K63" i="63"/>
  <c r="K62" i="63"/>
  <c r="J61" i="63"/>
  <c r="I61" i="63"/>
  <c r="K60" i="63"/>
  <c r="K59" i="63"/>
  <c r="K58" i="63"/>
  <c r="K57" i="63"/>
  <c r="K56" i="63"/>
  <c r="K55" i="63"/>
  <c r="K54" i="63"/>
  <c r="K53" i="63"/>
  <c r="K52" i="63"/>
  <c r="K51" i="63"/>
  <c r="K50" i="63"/>
  <c r="J49" i="63"/>
  <c r="J45" i="63" s="1"/>
  <c r="I49" i="63"/>
  <c r="K48" i="63"/>
  <c r="K47" i="63"/>
  <c r="K46" i="63"/>
  <c r="I45" i="63"/>
  <c r="K44" i="63"/>
  <c r="K43" i="63"/>
  <c r="K42" i="63"/>
  <c r="K41" i="63"/>
  <c r="K40" i="63"/>
  <c r="K39" i="63"/>
  <c r="J38" i="63"/>
  <c r="I38" i="63"/>
  <c r="K37" i="63"/>
  <c r="K36" i="63"/>
  <c r="K35" i="63"/>
  <c r="J34" i="63"/>
  <c r="I34" i="63"/>
  <c r="K33" i="63"/>
  <c r="K32" i="63"/>
  <c r="J31" i="63"/>
  <c r="J30" i="63" s="1"/>
  <c r="I31" i="63"/>
  <c r="I30" i="63" s="1"/>
  <c r="K29" i="63"/>
  <c r="K28" i="63"/>
  <c r="K27" i="63"/>
  <c r="J26" i="63"/>
  <c r="I26" i="63"/>
  <c r="K24" i="63"/>
  <c r="K23" i="63"/>
  <c r="J22" i="63"/>
  <c r="I22" i="63"/>
  <c r="K21" i="63"/>
  <c r="K20" i="63"/>
  <c r="K19" i="63"/>
  <c r="K18" i="63"/>
  <c r="K17" i="63"/>
  <c r="K16" i="63"/>
  <c r="K15" i="63"/>
  <c r="K14" i="63"/>
  <c r="K13" i="63"/>
  <c r="K12" i="63"/>
  <c r="K11" i="63"/>
  <c r="J10" i="63"/>
  <c r="I10" i="63"/>
  <c r="I9" i="63" s="1"/>
  <c r="J9" i="63"/>
  <c r="K150" i="12"/>
  <c r="K149" i="12"/>
  <c r="K148" i="12"/>
  <c r="K147" i="12"/>
  <c r="K145" i="12"/>
  <c r="K144" i="12"/>
  <c r="J143" i="12"/>
  <c r="I143" i="12"/>
  <c r="K141" i="12"/>
  <c r="K140" i="12"/>
  <c r="K139" i="12"/>
  <c r="K138" i="12"/>
  <c r="K137" i="12"/>
  <c r="K136" i="12"/>
  <c r="K135" i="12"/>
  <c r="J134" i="12"/>
  <c r="J128" i="12" s="1"/>
  <c r="I134" i="12"/>
  <c r="K133" i="12"/>
  <c r="K132" i="12"/>
  <c r="I131" i="12"/>
  <c r="K131" i="12" s="1"/>
  <c r="K130" i="12"/>
  <c r="K129" i="12"/>
  <c r="K127" i="12"/>
  <c r="K126" i="12"/>
  <c r="K125" i="12"/>
  <c r="K124" i="12"/>
  <c r="J123" i="12"/>
  <c r="I123" i="12"/>
  <c r="K122" i="12"/>
  <c r="K121" i="12"/>
  <c r="K120" i="12"/>
  <c r="K119" i="12"/>
  <c r="K118" i="12"/>
  <c r="K117" i="12"/>
  <c r="K116" i="12"/>
  <c r="K115" i="12"/>
  <c r="J114" i="12"/>
  <c r="I114" i="12"/>
  <c r="I111" i="12" s="1"/>
  <c r="K113" i="12"/>
  <c r="K112" i="12"/>
  <c r="J111" i="12"/>
  <c r="K110" i="12"/>
  <c r="K109" i="12"/>
  <c r="K108" i="12"/>
  <c r="K107" i="12"/>
  <c r="K106" i="12"/>
  <c r="J105" i="12"/>
  <c r="I105" i="12"/>
  <c r="K104" i="12"/>
  <c r="K103" i="12"/>
  <c r="K102" i="12"/>
  <c r="J101" i="12"/>
  <c r="I101" i="12"/>
  <c r="K100" i="12"/>
  <c r="K99" i="12"/>
  <c r="K98" i="12"/>
  <c r="K97" i="12"/>
  <c r="K96" i="12"/>
  <c r="K95" i="12"/>
  <c r="K94" i="12"/>
  <c r="K93" i="12"/>
  <c r="K92" i="12"/>
  <c r="K90" i="12"/>
  <c r="J89" i="12"/>
  <c r="J88" i="12" s="1"/>
  <c r="I89" i="12"/>
  <c r="I88" i="12" s="1"/>
  <c r="K84" i="12"/>
  <c r="K83" i="12"/>
  <c r="K81" i="12"/>
  <c r="K80" i="12"/>
  <c r="J79" i="12"/>
  <c r="J75" i="12" s="1"/>
  <c r="J74" i="12" s="1"/>
  <c r="I79" i="12"/>
  <c r="K78" i="12"/>
  <c r="K77" i="12"/>
  <c r="K76" i="12"/>
  <c r="K72" i="12"/>
  <c r="K71" i="12"/>
  <c r="J70" i="12"/>
  <c r="I70" i="12"/>
  <c r="K69" i="12"/>
  <c r="K68" i="12"/>
  <c r="J67" i="12"/>
  <c r="I67" i="12"/>
  <c r="K66" i="12"/>
  <c r="K65" i="12"/>
  <c r="K64" i="12"/>
  <c r="K63" i="12"/>
  <c r="K62" i="12"/>
  <c r="J61" i="12"/>
  <c r="I61" i="12"/>
  <c r="K60" i="12"/>
  <c r="K59" i="12"/>
  <c r="K58" i="12"/>
  <c r="K57" i="12"/>
  <c r="K56" i="12"/>
  <c r="K55" i="12"/>
  <c r="K54" i="12"/>
  <c r="K53" i="12"/>
  <c r="K52" i="12"/>
  <c r="K51" i="12"/>
  <c r="K50" i="12"/>
  <c r="J49" i="12"/>
  <c r="J45" i="12" s="1"/>
  <c r="I49" i="12"/>
  <c r="K48" i="12"/>
  <c r="K47" i="12"/>
  <c r="K46" i="12"/>
  <c r="K44" i="12"/>
  <c r="K43" i="12"/>
  <c r="K42" i="12"/>
  <c r="K41" i="12"/>
  <c r="K40" i="12"/>
  <c r="K39" i="12"/>
  <c r="J38" i="12"/>
  <c r="I38" i="12"/>
  <c r="K37" i="12"/>
  <c r="K36" i="12"/>
  <c r="K35" i="12"/>
  <c r="J34" i="12"/>
  <c r="I34" i="12"/>
  <c r="K33" i="12"/>
  <c r="K32" i="12"/>
  <c r="J31" i="12"/>
  <c r="J30" i="12" s="1"/>
  <c r="I31" i="12"/>
  <c r="K29" i="12"/>
  <c r="K28" i="12"/>
  <c r="K27" i="12"/>
  <c r="J26" i="12"/>
  <c r="I26" i="12"/>
  <c r="K24" i="12"/>
  <c r="K23" i="12"/>
  <c r="J22" i="12"/>
  <c r="I22" i="12"/>
  <c r="K21" i="12"/>
  <c r="K20" i="12"/>
  <c r="K19" i="12"/>
  <c r="K18" i="12"/>
  <c r="K17" i="12"/>
  <c r="K16" i="12"/>
  <c r="K15" i="12"/>
  <c r="K14" i="12"/>
  <c r="K13" i="12"/>
  <c r="K12" i="12"/>
  <c r="K11" i="12"/>
  <c r="J10" i="12"/>
  <c r="I10" i="12"/>
  <c r="I9" i="12" s="1"/>
  <c r="J9" i="12"/>
  <c r="K150" i="11"/>
  <c r="K149" i="11"/>
  <c r="K148" i="11"/>
  <c r="K147" i="11"/>
  <c r="K145" i="11"/>
  <c r="K144" i="11"/>
  <c r="J143" i="11"/>
  <c r="I143" i="11"/>
  <c r="K141" i="11"/>
  <c r="K140" i="11"/>
  <c r="K139" i="11"/>
  <c r="K138" i="11"/>
  <c r="K137" i="11"/>
  <c r="K136" i="11"/>
  <c r="K135" i="11"/>
  <c r="J134" i="11"/>
  <c r="J128" i="11" s="1"/>
  <c r="I134" i="11"/>
  <c r="K133" i="11"/>
  <c r="K132" i="11"/>
  <c r="K131" i="11"/>
  <c r="K130" i="11"/>
  <c r="K129" i="11"/>
  <c r="I128" i="11"/>
  <c r="K127" i="11"/>
  <c r="K126" i="11"/>
  <c r="K125" i="11"/>
  <c r="K124" i="11"/>
  <c r="J123" i="11"/>
  <c r="I123" i="11"/>
  <c r="K122" i="11"/>
  <c r="K121" i="11"/>
  <c r="K120" i="11"/>
  <c r="K119" i="11"/>
  <c r="K118" i="11"/>
  <c r="K117" i="11"/>
  <c r="K116" i="11"/>
  <c r="K115" i="11"/>
  <c r="J114" i="11"/>
  <c r="I114" i="11"/>
  <c r="I111" i="11" s="1"/>
  <c r="K113" i="11"/>
  <c r="K112" i="11"/>
  <c r="J111" i="11"/>
  <c r="K110" i="11"/>
  <c r="K109" i="11"/>
  <c r="K108" i="11"/>
  <c r="K107" i="11"/>
  <c r="K106" i="11"/>
  <c r="J105" i="11"/>
  <c r="I105" i="11"/>
  <c r="K104" i="11"/>
  <c r="K103" i="11"/>
  <c r="K102" i="11"/>
  <c r="J101" i="11"/>
  <c r="I101" i="11"/>
  <c r="K100" i="11"/>
  <c r="K99" i="11"/>
  <c r="K98" i="11"/>
  <c r="K97" i="11"/>
  <c r="K96" i="11"/>
  <c r="K95" i="11"/>
  <c r="K94" i="11"/>
  <c r="K93" i="11"/>
  <c r="K92" i="11"/>
  <c r="K90" i="11"/>
  <c r="J89" i="11"/>
  <c r="J88" i="11" s="1"/>
  <c r="I89" i="11"/>
  <c r="I88" i="11" s="1"/>
  <c r="K84" i="11"/>
  <c r="K83" i="11"/>
  <c r="K81" i="11"/>
  <c r="K80" i="11"/>
  <c r="J79" i="11"/>
  <c r="J75" i="11" s="1"/>
  <c r="J74" i="11" s="1"/>
  <c r="I79" i="11"/>
  <c r="K78" i="11"/>
  <c r="K77" i="11"/>
  <c r="K76" i="11"/>
  <c r="K72" i="11"/>
  <c r="K71" i="11"/>
  <c r="J70" i="11"/>
  <c r="I70" i="11"/>
  <c r="K69" i="11"/>
  <c r="K68" i="11"/>
  <c r="J67" i="11"/>
  <c r="I67" i="11"/>
  <c r="K66" i="11"/>
  <c r="K65" i="11"/>
  <c r="K64" i="11"/>
  <c r="K63" i="11"/>
  <c r="K62" i="11"/>
  <c r="J61" i="11"/>
  <c r="I61" i="11"/>
  <c r="K60" i="11"/>
  <c r="K59" i="11"/>
  <c r="K58" i="11"/>
  <c r="K57" i="11"/>
  <c r="K56" i="11"/>
  <c r="K55" i="11"/>
  <c r="K54" i="11"/>
  <c r="K53" i="11"/>
  <c r="K52" i="11"/>
  <c r="K51" i="11"/>
  <c r="K50" i="11"/>
  <c r="J49" i="11"/>
  <c r="J45" i="11" s="1"/>
  <c r="I49" i="11"/>
  <c r="K48" i="11"/>
  <c r="K47" i="11"/>
  <c r="K46" i="11"/>
  <c r="K44" i="11"/>
  <c r="K43" i="11"/>
  <c r="K42" i="11"/>
  <c r="K41" i="11"/>
  <c r="K40" i="11"/>
  <c r="K39" i="11"/>
  <c r="J38" i="11"/>
  <c r="I38" i="11"/>
  <c r="K37" i="11"/>
  <c r="K36" i="11"/>
  <c r="K35" i="11"/>
  <c r="J34" i="11"/>
  <c r="I34" i="11"/>
  <c r="K33" i="11"/>
  <c r="K32" i="11"/>
  <c r="J31" i="11"/>
  <c r="J30" i="11" s="1"/>
  <c r="I31" i="11"/>
  <c r="K29" i="11"/>
  <c r="K28" i="11"/>
  <c r="K27" i="11"/>
  <c r="J26" i="11"/>
  <c r="I26" i="11"/>
  <c r="K24" i="11"/>
  <c r="K23" i="11"/>
  <c r="J22" i="11"/>
  <c r="I22" i="11"/>
  <c r="K21" i="11"/>
  <c r="K20" i="11"/>
  <c r="K19" i="11"/>
  <c r="K18" i="11"/>
  <c r="K17" i="11"/>
  <c r="K16" i="11"/>
  <c r="K15" i="11"/>
  <c r="K14" i="11"/>
  <c r="K13" i="11"/>
  <c r="K12" i="11"/>
  <c r="J10" i="11"/>
  <c r="K150" i="10"/>
  <c r="K149" i="10"/>
  <c r="K148" i="10"/>
  <c r="K147" i="10"/>
  <c r="K145" i="10"/>
  <c r="K144" i="10"/>
  <c r="J143" i="10"/>
  <c r="I143" i="10"/>
  <c r="K141" i="10"/>
  <c r="K139" i="10"/>
  <c r="K138" i="10"/>
  <c r="K137" i="10"/>
  <c r="K136" i="10"/>
  <c r="K135" i="10"/>
  <c r="J134" i="10"/>
  <c r="J128" i="10" s="1"/>
  <c r="I134" i="10"/>
  <c r="K133" i="10"/>
  <c r="K132" i="10"/>
  <c r="K131" i="10"/>
  <c r="K130" i="10"/>
  <c r="K129" i="10"/>
  <c r="I128" i="10"/>
  <c r="K127" i="10"/>
  <c r="K126" i="10"/>
  <c r="K125" i="10"/>
  <c r="K124" i="10"/>
  <c r="J123" i="10"/>
  <c r="I123" i="10"/>
  <c r="K122" i="10"/>
  <c r="K121" i="10"/>
  <c r="K120" i="10"/>
  <c r="K119" i="10"/>
  <c r="K118" i="10"/>
  <c r="K117" i="10"/>
  <c r="K116" i="10"/>
  <c r="K115" i="10"/>
  <c r="J114" i="10"/>
  <c r="I114" i="10"/>
  <c r="K113" i="10"/>
  <c r="K112" i="10"/>
  <c r="J111" i="10"/>
  <c r="I111" i="10"/>
  <c r="K110" i="10"/>
  <c r="K109" i="10"/>
  <c r="K108" i="10"/>
  <c r="K107" i="10"/>
  <c r="K106" i="10"/>
  <c r="J105" i="10"/>
  <c r="I105" i="10"/>
  <c r="K104" i="10"/>
  <c r="K103" i="10"/>
  <c r="K102" i="10"/>
  <c r="J101" i="10"/>
  <c r="I101" i="10"/>
  <c r="K100" i="10"/>
  <c r="K99" i="10"/>
  <c r="K98" i="10"/>
  <c r="K97" i="10"/>
  <c r="K96" i="10"/>
  <c r="K95" i="10"/>
  <c r="K94" i="10"/>
  <c r="K93" i="10"/>
  <c r="K92" i="10"/>
  <c r="K90" i="10"/>
  <c r="J89" i="10"/>
  <c r="J88" i="10" s="1"/>
  <c r="I89" i="10"/>
  <c r="K84" i="10"/>
  <c r="K83" i="10"/>
  <c r="K81" i="10"/>
  <c r="K80" i="10"/>
  <c r="J79" i="10"/>
  <c r="J75" i="10" s="1"/>
  <c r="J74" i="10" s="1"/>
  <c r="I79" i="10"/>
  <c r="K78" i="10"/>
  <c r="K77" i="10"/>
  <c r="K76" i="10"/>
  <c r="I75" i="10"/>
  <c r="K72" i="10"/>
  <c r="K71" i="10"/>
  <c r="J70" i="10"/>
  <c r="I70" i="10"/>
  <c r="K69" i="10"/>
  <c r="K68" i="10"/>
  <c r="J67" i="10"/>
  <c r="I67" i="10"/>
  <c r="K66" i="10"/>
  <c r="K65" i="10"/>
  <c r="K64" i="10"/>
  <c r="I63" i="10"/>
  <c r="K62" i="10"/>
  <c r="J61" i="10"/>
  <c r="K60" i="10"/>
  <c r="K59" i="10"/>
  <c r="K58" i="10"/>
  <c r="K57" i="10"/>
  <c r="K56" i="10"/>
  <c r="K55" i="10"/>
  <c r="K54" i="10"/>
  <c r="K53" i="10"/>
  <c r="K52" i="10"/>
  <c r="K51" i="10"/>
  <c r="K50" i="10"/>
  <c r="J49" i="10"/>
  <c r="J45" i="10" s="1"/>
  <c r="I49" i="10"/>
  <c r="K48" i="10"/>
  <c r="K47" i="10"/>
  <c r="K46" i="10"/>
  <c r="K44" i="10"/>
  <c r="K43" i="10"/>
  <c r="K42" i="10"/>
  <c r="K41" i="10"/>
  <c r="K40" i="10"/>
  <c r="K39" i="10"/>
  <c r="J38" i="10"/>
  <c r="I38" i="10"/>
  <c r="K37" i="10"/>
  <c r="K36" i="10"/>
  <c r="K35" i="10"/>
  <c r="J34" i="10"/>
  <c r="I34" i="10"/>
  <c r="K33" i="10"/>
  <c r="K32" i="10"/>
  <c r="J31" i="10"/>
  <c r="J30" i="10" s="1"/>
  <c r="I31" i="10"/>
  <c r="K29" i="10"/>
  <c r="K28" i="10"/>
  <c r="K27" i="10"/>
  <c r="J26" i="10"/>
  <c r="I26" i="10"/>
  <c r="K24" i="10"/>
  <c r="K23" i="10"/>
  <c r="J22" i="10"/>
  <c r="I22" i="10"/>
  <c r="K21" i="10"/>
  <c r="K20" i="10"/>
  <c r="K19" i="10"/>
  <c r="K18" i="10"/>
  <c r="K17" i="10"/>
  <c r="K16" i="10"/>
  <c r="K15" i="10"/>
  <c r="K14" i="10"/>
  <c r="K13" i="10"/>
  <c r="K12" i="10"/>
  <c r="K11" i="10"/>
  <c r="J10" i="10"/>
  <c r="I10" i="10"/>
  <c r="J9" i="10"/>
  <c r="K150" i="9"/>
  <c r="K149" i="9"/>
  <c r="K148" i="9"/>
  <c r="K147" i="9"/>
  <c r="K145" i="9"/>
  <c r="K144" i="9"/>
  <c r="J143" i="9"/>
  <c r="I143" i="9"/>
  <c r="K141" i="9"/>
  <c r="K140" i="9"/>
  <c r="K139" i="9"/>
  <c r="K138" i="9"/>
  <c r="K137" i="9"/>
  <c r="K136" i="9"/>
  <c r="K135" i="9"/>
  <c r="J134" i="9"/>
  <c r="J128" i="9" s="1"/>
  <c r="I134" i="9"/>
  <c r="K133" i="9"/>
  <c r="K132" i="9"/>
  <c r="K131" i="9"/>
  <c r="K130" i="9"/>
  <c r="K129" i="9"/>
  <c r="I128" i="9"/>
  <c r="K127" i="9"/>
  <c r="K126" i="9"/>
  <c r="K125" i="9"/>
  <c r="K124" i="9"/>
  <c r="J123" i="9"/>
  <c r="I123" i="9"/>
  <c r="K122" i="9"/>
  <c r="K121" i="9"/>
  <c r="K120" i="9"/>
  <c r="K119" i="9"/>
  <c r="K118" i="9"/>
  <c r="K117" i="9"/>
  <c r="K116" i="9"/>
  <c r="K115" i="9"/>
  <c r="J114" i="9"/>
  <c r="I114" i="9"/>
  <c r="I111" i="9" s="1"/>
  <c r="K113" i="9"/>
  <c r="K112" i="9"/>
  <c r="J111" i="9"/>
  <c r="K110" i="9"/>
  <c r="K109" i="9"/>
  <c r="K108" i="9"/>
  <c r="K107" i="9"/>
  <c r="K106" i="9"/>
  <c r="J105" i="9"/>
  <c r="I105" i="9"/>
  <c r="K104" i="9"/>
  <c r="K103" i="9"/>
  <c r="K102" i="9"/>
  <c r="J101" i="9"/>
  <c r="I101" i="9"/>
  <c r="K100" i="9"/>
  <c r="K99" i="9"/>
  <c r="K98" i="9"/>
  <c r="K97" i="9"/>
  <c r="K96" i="9"/>
  <c r="K95" i="9"/>
  <c r="K94" i="9"/>
  <c r="K93" i="9"/>
  <c r="K92" i="9"/>
  <c r="K90" i="9"/>
  <c r="J89" i="9"/>
  <c r="J88" i="9" s="1"/>
  <c r="I89" i="9"/>
  <c r="I88" i="9" s="1"/>
  <c r="K84" i="9"/>
  <c r="K83" i="9"/>
  <c r="K81" i="9"/>
  <c r="K80" i="9"/>
  <c r="J79" i="9"/>
  <c r="J75" i="9" s="1"/>
  <c r="I79" i="9"/>
  <c r="K78" i="9"/>
  <c r="K77" i="9"/>
  <c r="K76" i="9"/>
  <c r="K72" i="9"/>
  <c r="K71" i="9"/>
  <c r="J70" i="9"/>
  <c r="I70" i="9"/>
  <c r="K69" i="9"/>
  <c r="K68" i="9"/>
  <c r="J67" i="9"/>
  <c r="I67" i="9"/>
  <c r="K66" i="9"/>
  <c r="K65" i="9"/>
  <c r="K64" i="9"/>
  <c r="K63" i="9"/>
  <c r="K62" i="9"/>
  <c r="J61" i="9"/>
  <c r="I61" i="9"/>
  <c r="K60" i="9"/>
  <c r="K59" i="9"/>
  <c r="K58" i="9"/>
  <c r="K57" i="9"/>
  <c r="K56" i="9"/>
  <c r="K55" i="9"/>
  <c r="K54" i="9"/>
  <c r="K53" i="9"/>
  <c r="K52" i="9"/>
  <c r="K51" i="9"/>
  <c r="K50" i="9"/>
  <c r="J49" i="9"/>
  <c r="J45" i="9" s="1"/>
  <c r="I49" i="9"/>
  <c r="K48" i="9"/>
  <c r="K47" i="9"/>
  <c r="K46" i="9"/>
  <c r="I45" i="9"/>
  <c r="K44" i="9"/>
  <c r="K43" i="9"/>
  <c r="K42" i="9"/>
  <c r="K41" i="9"/>
  <c r="K40" i="9"/>
  <c r="K39" i="9"/>
  <c r="J38" i="9"/>
  <c r="I38" i="9"/>
  <c r="K37" i="9"/>
  <c r="K36" i="9"/>
  <c r="K35" i="9"/>
  <c r="J34" i="9"/>
  <c r="I34" i="9"/>
  <c r="K33" i="9"/>
  <c r="K32" i="9"/>
  <c r="J31" i="9"/>
  <c r="J30" i="9" s="1"/>
  <c r="I31" i="9"/>
  <c r="I30" i="9" s="1"/>
  <c r="K29" i="9"/>
  <c r="K28" i="9"/>
  <c r="K27" i="9"/>
  <c r="J26" i="9"/>
  <c r="I26" i="9"/>
  <c r="K24" i="9"/>
  <c r="K23" i="9"/>
  <c r="J22" i="9"/>
  <c r="I22" i="9"/>
  <c r="K21" i="9"/>
  <c r="K20" i="9"/>
  <c r="K19" i="9"/>
  <c r="K18" i="9"/>
  <c r="K17" i="9"/>
  <c r="K16" i="9"/>
  <c r="K15" i="9"/>
  <c r="K14" i="9"/>
  <c r="K13" i="9"/>
  <c r="K12" i="9"/>
  <c r="K11" i="9"/>
  <c r="J10" i="9"/>
  <c r="I10" i="9"/>
  <c r="I9" i="9" s="1"/>
  <c r="J9" i="9"/>
  <c r="K150" i="8"/>
  <c r="K149" i="8"/>
  <c r="K148" i="8"/>
  <c r="K147" i="8"/>
  <c r="K145" i="8"/>
  <c r="K144" i="8"/>
  <c r="J143" i="8"/>
  <c r="I143" i="8"/>
  <c r="K141" i="8"/>
  <c r="K140" i="8"/>
  <c r="K139" i="8"/>
  <c r="K138" i="8"/>
  <c r="K137" i="8"/>
  <c r="K136" i="8"/>
  <c r="I135" i="8"/>
  <c r="J134" i="8"/>
  <c r="J128" i="8" s="1"/>
  <c r="K133" i="8"/>
  <c r="K132" i="8"/>
  <c r="K131" i="8"/>
  <c r="K130" i="8"/>
  <c r="K129" i="8"/>
  <c r="K127" i="8"/>
  <c r="K126" i="8"/>
  <c r="K125" i="8"/>
  <c r="I124" i="8"/>
  <c r="J123" i="8"/>
  <c r="K122" i="8"/>
  <c r="K121" i="8"/>
  <c r="K120" i="8"/>
  <c r="K118" i="8"/>
  <c r="K117" i="8"/>
  <c r="K116" i="8"/>
  <c r="K115" i="8"/>
  <c r="J114" i="8"/>
  <c r="K113" i="8"/>
  <c r="K112" i="8"/>
  <c r="K110" i="8"/>
  <c r="K109" i="8"/>
  <c r="K108" i="8"/>
  <c r="K107" i="8"/>
  <c r="K106" i="8"/>
  <c r="J105" i="8"/>
  <c r="I105" i="8"/>
  <c r="K104" i="8"/>
  <c r="K103" i="8"/>
  <c r="K102" i="8"/>
  <c r="J101" i="8"/>
  <c r="I101" i="8"/>
  <c r="K100" i="8"/>
  <c r="K99" i="8"/>
  <c r="K98" i="8"/>
  <c r="K97" i="8"/>
  <c r="K96" i="8"/>
  <c r="K95" i="8"/>
  <c r="K94" i="8"/>
  <c r="K93" i="8"/>
  <c r="K92" i="8"/>
  <c r="K90" i="8"/>
  <c r="J89" i="8"/>
  <c r="J88" i="8" s="1"/>
  <c r="I89" i="8"/>
  <c r="K84" i="8"/>
  <c r="K83" i="8"/>
  <c r="K81" i="8"/>
  <c r="I80" i="8"/>
  <c r="K80" i="8" s="1"/>
  <c r="J79" i="8"/>
  <c r="J75" i="8" s="1"/>
  <c r="J74" i="8" s="1"/>
  <c r="K78" i="8"/>
  <c r="K77" i="8"/>
  <c r="K76" i="8"/>
  <c r="K72" i="8"/>
  <c r="K71" i="8"/>
  <c r="J70" i="8"/>
  <c r="K69" i="8"/>
  <c r="K68" i="8"/>
  <c r="J67" i="8"/>
  <c r="I67" i="8"/>
  <c r="K66" i="8"/>
  <c r="K65" i="8"/>
  <c r="K64" i="8"/>
  <c r="K63" i="8"/>
  <c r="K62" i="8"/>
  <c r="J61" i="8"/>
  <c r="I61" i="8"/>
  <c r="K60" i="8"/>
  <c r="K59" i="8"/>
  <c r="K58" i="8"/>
  <c r="K57" i="8"/>
  <c r="K56" i="8"/>
  <c r="I55" i="8"/>
  <c r="K55" i="8" s="1"/>
  <c r="K54" i="8"/>
  <c r="K53" i="8"/>
  <c r="K52" i="8"/>
  <c r="K51" i="8"/>
  <c r="K50" i="8"/>
  <c r="J49" i="8"/>
  <c r="J45" i="8" s="1"/>
  <c r="I49" i="8"/>
  <c r="I48" i="8"/>
  <c r="K48" i="8" s="1"/>
  <c r="I47" i="8"/>
  <c r="K46" i="8"/>
  <c r="K44" i="8"/>
  <c r="K43" i="8"/>
  <c r="K42" i="8"/>
  <c r="K41" i="8"/>
  <c r="K40" i="8"/>
  <c r="K39" i="8"/>
  <c r="J38" i="8"/>
  <c r="I38" i="8"/>
  <c r="K37" i="8"/>
  <c r="K36" i="8"/>
  <c r="K35" i="8"/>
  <c r="J34" i="8"/>
  <c r="I34" i="8"/>
  <c r="K33" i="8"/>
  <c r="K32" i="8"/>
  <c r="J31" i="8"/>
  <c r="I31" i="8"/>
  <c r="K29" i="8"/>
  <c r="K28" i="8"/>
  <c r="K27" i="8"/>
  <c r="J26" i="8"/>
  <c r="I26" i="8"/>
  <c r="K24" i="8"/>
  <c r="K23" i="8"/>
  <c r="J22" i="8"/>
  <c r="I22" i="8"/>
  <c r="K21" i="8"/>
  <c r="K20" i="8"/>
  <c r="K19" i="8"/>
  <c r="K18" i="8"/>
  <c r="K17" i="8"/>
  <c r="K16" i="8"/>
  <c r="K15" i="8"/>
  <c r="K14" i="8"/>
  <c r="K13" i="8"/>
  <c r="K12" i="8"/>
  <c r="K11" i="8"/>
  <c r="J10" i="8"/>
  <c r="I10" i="8"/>
  <c r="J9" i="8"/>
  <c r="J150" i="7"/>
  <c r="AH150" i="4" s="1"/>
  <c r="J149" i="7"/>
  <c r="AH149" i="4" s="1"/>
  <c r="J148" i="7"/>
  <c r="AH148" i="4" s="1"/>
  <c r="J147" i="7"/>
  <c r="AH147" i="4" s="1"/>
  <c r="J146" i="7"/>
  <c r="AH146" i="4" s="1"/>
  <c r="J145" i="7"/>
  <c r="AH145" i="4" s="1"/>
  <c r="J144" i="7"/>
  <c r="AH144" i="4" s="1"/>
  <c r="J141" i="7"/>
  <c r="AH141" i="4" s="1"/>
  <c r="J140" i="7"/>
  <c r="AH140" i="4" s="1"/>
  <c r="J139" i="7"/>
  <c r="AH139" i="4" s="1"/>
  <c r="J138" i="7"/>
  <c r="AH138" i="4" s="1"/>
  <c r="J137" i="7"/>
  <c r="AH137" i="4" s="1"/>
  <c r="J136" i="7"/>
  <c r="AH136" i="4" s="1"/>
  <c r="J135" i="7"/>
  <c r="AH135" i="4" s="1"/>
  <c r="J133" i="7"/>
  <c r="AH133" i="4" s="1"/>
  <c r="J132" i="7"/>
  <c r="AH132" i="4" s="1"/>
  <c r="J131" i="7"/>
  <c r="AH131" i="4" s="1"/>
  <c r="J130" i="7"/>
  <c r="AH130" i="4" s="1"/>
  <c r="J129" i="7"/>
  <c r="AH129" i="4" s="1"/>
  <c r="J127" i="7"/>
  <c r="AH127" i="4" s="1"/>
  <c r="J126" i="7"/>
  <c r="AH126" i="4" s="1"/>
  <c r="J125" i="7"/>
  <c r="AH125" i="4" s="1"/>
  <c r="J124" i="7"/>
  <c r="AH124" i="4" s="1"/>
  <c r="J122" i="7"/>
  <c r="AH122" i="4" s="1"/>
  <c r="J121" i="7"/>
  <c r="AH121" i="4" s="1"/>
  <c r="AH120" i="4"/>
  <c r="J119" i="7"/>
  <c r="AH119" i="4" s="1"/>
  <c r="J118" i="7"/>
  <c r="AH118" i="4" s="1"/>
  <c r="J117" i="7"/>
  <c r="AH117" i="4" s="1"/>
  <c r="J116" i="7"/>
  <c r="AH116" i="4" s="1"/>
  <c r="J115" i="7"/>
  <c r="AH115" i="4" s="1"/>
  <c r="J113" i="7"/>
  <c r="AH113" i="4" s="1"/>
  <c r="J112" i="7"/>
  <c r="AH112" i="4" s="1"/>
  <c r="J110" i="7"/>
  <c r="AH110" i="4" s="1"/>
  <c r="J109" i="7"/>
  <c r="AH109" i="4" s="1"/>
  <c r="J108" i="7"/>
  <c r="AH108" i="4" s="1"/>
  <c r="J107" i="7"/>
  <c r="AH107" i="4" s="1"/>
  <c r="J106" i="7"/>
  <c r="AH106" i="4" s="1"/>
  <c r="J104" i="7"/>
  <c r="AH104" i="4" s="1"/>
  <c r="J103" i="7"/>
  <c r="AH103" i="4" s="1"/>
  <c r="J102" i="7"/>
  <c r="AH102" i="4" s="1"/>
  <c r="J100" i="7"/>
  <c r="AH100" i="4" s="1"/>
  <c r="J99" i="7"/>
  <c r="AH99" i="4" s="1"/>
  <c r="J98" i="7"/>
  <c r="AH98" i="4" s="1"/>
  <c r="J97" i="7"/>
  <c r="AH97" i="4" s="1"/>
  <c r="J96" i="7"/>
  <c r="AH96" i="4" s="1"/>
  <c r="J95" i="7"/>
  <c r="AH95" i="4" s="1"/>
  <c r="J94" i="7"/>
  <c r="AH94" i="4" s="1"/>
  <c r="J93" i="7"/>
  <c r="AH93" i="4" s="1"/>
  <c r="J92" i="7"/>
  <c r="AH92" i="4" s="1"/>
  <c r="J91" i="7"/>
  <c r="AH91" i="4" s="1"/>
  <c r="J90" i="7"/>
  <c r="AH90" i="4" s="1"/>
  <c r="J84" i="7"/>
  <c r="AH84" i="4" s="1"/>
  <c r="J83" i="7"/>
  <c r="AH83" i="4" s="1"/>
  <c r="J82" i="7"/>
  <c r="AH82" i="4" s="1"/>
  <c r="J81" i="7"/>
  <c r="AH81" i="4" s="1"/>
  <c r="J80" i="7"/>
  <c r="AH80" i="4" s="1"/>
  <c r="J78" i="7"/>
  <c r="AH78" i="4" s="1"/>
  <c r="J77" i="7"/>
  <c r="AH77" i="4" s="1"/>
  <c r="J76" i="7"/>
  <c r="AH76" i="4" s="1"/>
  <c r="J71" i="7"/>
  <c r="AH71" i="4" s="1"/>
  <c r="J69" i="7"/>
  <c r="AH69" i="4" s="1"/>
  <c r="J68" i="7"/>
  <c r="AH68" i="4" s="1"/>
  <c r="J66" i="7"/>
  <c r="AH66" i="4" s="1"/>
  <c r="J65" i="7"/>
  <c r="AH65" i="4" s="1"/>
  <c r="J64" i="7"/>
  <c r="AH64" i="4" s="1"/>
  <c r="J63" i="7"/>
  <c r="AH63" i="4" s="1"/>
  <c r="J62" i="7"/>
  <c r="AH62" i="4" s="1"/>
  <c r="J60" i="7"/>
  <c r="AH60" i="4" s="1"/>
  <c r="J59" i="7"/>
  <c r="AH59" i="4" s="1"/>
  <c r="J58" i="7"/>
  <c r="AH58" i="4" s="1"/>
  <c r="J57" i="7"/>
  <c r="AH57" i="4" s="1"/>
  <c r="J56" i="7"/>
  <c r="AH56" i="4" s="1"/>
  <c r="J55" i="7"/>
  <c r="AH55" i="4" s="1"/>
  <c r="J54" i="7"/>
  <c r="AH54" i="4" s="1"/>
  <c r="J53" i="7"/>
  <c r="AH53" i="4" s="1"/>
  <c r="J52" i="7"/>
  <c r="AH52" i="4" s="1"/>
  <c r="J51" i="7"/>
  <c r="AH51" i="4" s="1"/>
  <c r="J50" i="7"/>
  <c r="AH50" i="4" s="1"/>
  <c r="J48" i="7"/>
  <c r="AH48" i="4" s="1"/>
  <c r="J47" i="7"/>
  <c r="AH47" i="4" s="1"/>
  <c r="J46" i="7"/>
  <c r="AH46" i="4" s="1"/>
  <c r="J44" i="7"/>
  <c r="AH44" i="4" s="1"/>
  <c r="J43" i="7"/>
  <c r="AH43" i="4" s="1"/>
  <c r="J42" i="7"/>
  <c r="AH42" i="4" s="1"/>
  <c r="J41" i="7"/>
  <c r="AH41" i="4" s="1"/>
  <c r="J40" i="7"/>
  <c r="AH40" i="4" s="1"/>
  <c r="J39" i="7"/>
  <c r="AH39" i="4" s="1"/>
  <c r="J37" i="7"/>
  <c r="AH37" i="4" s="1"/>
  <c r="J36" i="7"/>
  <c r="AH36" i="4" s="1"/>
  <c r="J35" i="7"/>
  <c r="AH35" i="4" s="1"/>
  <c r="J33" i="7"/>
  <c r="AH33" i="4" s="1"/>
  <c r="J32" i="7"/>
  <c r="AH32" i="4" s="1"/>
  <c r="J29" i="7"/>
  <c r="AH29" i="4" s="1"/>
  <c r="J28" i="7"/>
  <c r="AH28" i="4" s="1"/>
  <c r="J27" i="7"/>
  <c r="AH27" i="4" s="1"/>
  <c r="J24" i="7"/>
  <c r="AH24" i="4" s="1"/>
  <c r="J23" i="7"/>
  <c r="AH23" i="4" s="1"/>
  <c r="J21" i="7"/>
  <c r="AH21" i="4" s="1"/>
  <c r="J20" i="7"/>
  <c r="AH20" i="4" s="1"/>
  <c r="J19" i="7"/>
  <c r="AH19" i="4" s="1"/>
  <c r="J18" i="7"/>
  <c r="AH18" i="4" s="1"/>
  <c r="J17" i="7"/>
  <c r="AH17" i="4" s="1"/>
  <c r="J16" i="7"/>
  <c r="AH16" i="4" s="1"/>
  <c r="J15" i="7"/>
  <c r="AH15" i="4" s="1"/>
  <c r="J14" i="7"/>
  <c r="AH14" i="4" s="1"/>
  <c r="J13" i="7"/>
  <c r="AH13" i="4" s="1"/>
  <c r="J12" i="7"/>
  <c r="AH12" i="4" s="1"/>
  <c r="J11" i="7"/>
  <c r="AH11" i="4" s="1"/>
  <c r="K150" i="58"/>
  <c r="K149" i="58"/>
  <c r="K148" i="58"/>
  <c r="K147" i="58"/>
  <c r="K145" i="58"/>
  <c r="K144" i="58"/>
  <c r="J143" i="58"/>
  <c r="I143" i="58"/>
  <c r="K141" i="58"/>
  <c r="K140" i="58"/>
  <c r="K139" i="58"/>
  <c r="K138" i="58"/>
  <c r="K137" i="58"/>
  <c r="K136" i="58"/>
  <c r="K135" i="58"/>
  <c r="J134" i="58"/>
  <c r="J128" i="58" s="1"/>
  <c r="I134" i="58"/>
  <c r="K133" i="58"/>
  <c r="K132" i="58"/>
  <c r="K131" i="58"/>
  <c r="K130" i="58"/>
  <c r="K129" i="58"/>
  <c r="I128" i="58"/>
  <c r="K127" i="58"/>
  <c r="K126" i="58"/>
  <c r="K125" i="58"/>
  <c r="K124" i="58"/>
  <c r="J123" i="58"/>
  <c r="I123" i="58"/>
  <c r="K122" i="58"/>
  <c r="K121" i="58"/>
  <c r="K120" i="58"/>
  <c r="K119" i="58"/>
  <c r="K118" i="58"/>
  <c r="K117" i="58"/>
  <c r="K116" i="58"/>
  <c r="K115" i="58"/>
  <c r="J114" i="58"/>
  <c r="I114" i="58"/>
  <c r="I111" i="58" s="1"/>
  <c r="K113" i="58"/>
  <c r="K112" i="58"/>
  <c r="J111" i="58"/>
  <c r="K110" i="58"/>
  <c r="K109" i="58"/>
  <c r="K108" i="58"/>
  <c r="K107" i="58"/>
  <c r="K106" i="58"/>
  <c r="J105" i="58"/>
  <c r="I105" i="58"/>
  <c r="K104" i="58"/>
  <c r="K103" i="58"/>
  <c r="K102" i="58"/>
  <c r="J101" i="58"/>
  <c r="I101" i="58"/>
  <c r="K100" i="58"/>
  <c r="K99" i="58"/>
  <c r="K98" i="58"/>
  <c r="K97" i="58"/>
  <c r="K96" i="58"/>
  <c r="K95" i="58"/>
  <c r="K94" i="58"/>
  <c r="K93" i="58"/>
  <c r="K92" i="58"/>
  <c r="K91" i="58"/>
  <c r="K90" i="58"/>
  <c r="J89" i="58"/>
  <c r="I89" i="58"/>
  <c r="K84" i="58"/>
  <c r="K83" i="58"/>
  <c r="K81" i="58"/>
  <c r="K80" i="58"/>
  <c r="J79" i="58"/>
  <c r="J75" i="58" s="1"/>
  <c r="J74" i="58" s="1"/>
  <c r="I79" i="58"/>
  <c r="K78" i="58"/>
  <c r="K77" i="58"/>
  <c r="K76" i="58"/>
  <c r="I75" i="58"/>
  <c r="I74" i="58" s="1"/>
  <c r="K72" i="58"/>
  <c r="K71" i="58"/>
  <c r="J70" i="58"/>
  <c r="I70" i="58"/>
  <c r="K69" i="58"/>
  <c r="K68" i="58"/>
  <c r="J67" i="58"/>
  <c r="I67" i="58"/>
  <c r="K66" i="58"/>
  <c r="K65" i="58"/>
  <c r="K64" i="58"/>
  <c r="K63" i="58"/>
  <c r="K62" i="58"/>
  <c r="J61" i="58"/>
  <c r="I61" i="58"/>
  <c r="K60" i="58"/>
  <c r="K59" i="58"/>
  <c r="K58" i="58"/>
  <c r="K57" i="58"/>
  <c r="K56" i="58"/>
  <c r="K55" i="58"/>
  <c r="K54" i="58"/>
  <c r="K53" i="58"/>
  <c r="K52" i="58"/>
  <c r="K51" i="58"/>
  <c r="K50" i="58"/>
  <c r="J49" i="58"/>
  <c r="J45" i="58" s="1"/>
  <c r="I49" i="58"/>
  <c r="K48" i="58"/>
  <c r="K47" i="58"/>
  <c r="K46" i="58"/>
  <c r="I45" i="58"/>
  <c r="K44" i="58"/>
  <c r="K43" i="58"/>
  <c r="K42" i="58"/>
  <c r="K41" i="58"/>
  <c r="K40" i="58"/>
  <c r="K39" i="58"/>
  <c r="J38" i="58"/>
  <c r="I38" i="58"/>
  <c r="K37" i="58"/>
  <c r="K36" i="58"/>
  <c r="K35" i="58"/>
  <c r="J34" i="58"/>
  <c r="I34" i="58"/>
  <c r="K33" i="58"/>
  <c r="K32" i="58"/>
  <c r="J31" i="58"/>
  <c r="J30" i="58" s="1"/>
  <c r="I31" i="58"/>
  <c r="K29" i="58"/>
  <c r="K28" i="58"/>
  <c r="K27" i="58"/>
  <c r="J26" i="58"/>
  <c r="I26" i="58"/>
  <c r="K24" i="58"/>
  <c r="K23" i="58"/>
  <c r="J22" i="58"/>
  <c r="I22" i="58"/>
  <c r="K21" i="58"/>
  <c r="K20" i="58"/>
  <c r="K19" i="58"/>
  <c r="K18" i="58"/>
  <c r="K17" i="58"/>
  <c r="K16" i="58"/>
  <c r="K15" i="58"/>
  <c r="K14" i="58"/>
  <c r="K13" i="58"/>
  <c r="K12" i="58"/>
  <c r="K11" i="58"/>
  <c r="J10" i="58"/>
  <c r="J9" i="58" s="1"/>
  <c r="I10" i="58"/>
  <c r="I9" i="58" s="1"/>
  <c r="K150" i="20"/>
  <c r="K149" i="20"/>
  <c r="K148" i="20"/>
  <c r="K147" i="20"/>
  <c r="K145" i="20"/>
  <c r="K144" i="20"/>
  <c r="J143" i="20"/>
  <c r="I143" i="20"/>
  <c r="K141" i="20"/>
  <c r="K140" i="20"/>
  <c r="K139" i="20"/>
  <c r="K138" i="20"/>
  <c r="K137" i="20"/>
  <c r="K136" i="20"/>
  <c r="K135" i="20"/>
  <c r="J134" i="20"/>
  <c r="J128" i="20" s="1"/>
  <c r="I134" i="20"/>
  <c r="K133" i="20"/>
  <c r="K132" i="20"/>
  <c r="K131" i="20"/>
  <c r="K130" i="20"/>
  <c r="K129" i="20"/>
  <c r="I128" i="20"/>
  <c r="K127" i="20"/>
  <c r="K126" i="20"/>
  <c r="K125" i="20"/>
  <c r="I124" i="20"/>
  <c r="K124" i="20" s="1"/>
  <c r="J123" i="20"/>
  <c r="K122" i="20"/>
  <c r="K121" i="20"/>
  <c r="K120" i="20"/>
  <c r="K119" i="20"/>
  <c r="K118" i="20"/>
  <c r="K117" i="20"/>
  <c r="K116" i="20"/>
  <c r="K115" i="20"/>
  <c r="J114" i="20"/>
  <c r="I114" i="20"/>
  <c r="K113" i="20"/>
  <c r="K112" i="20"/>
  <c r="K110" i="20"/>
  <c r="K109" i="20"/>
  <c r="K108" i="20"/>
  <c r="K107" i="20"/>
  <c r="K106" i="20"/>
  <c r="J105" i="20"/>
  <c r="I105" i="20"/>
  <c r="K104" i="20"/>
  <c r="K103" i="20"/>
  <c r="K102" i="20"/>
  <c r="J101" i="20"/>
  <c r="I101" i="20"/>
  <c r="K100" i="20"/>
  <c r="K99" i="20"/>
  <c r="K98" i="20"/>
  <c r="K97" i="20"/>
  <c r="K96" i="20"/>
  <c r="K95" i="20"/>
  <c r="K94" i="20"/>
  <c r="K93" i="20"/>
  <c r="K92" i="20"/>
  <c r="K91" i="20"/>
  <c r="K90" i="20"/>
  <c r="J89" i="20"/>
  <c r="I89" i="20"/>
  <c r="K84" i="20"/>
  <c r="K83" i="20"/>
  <c r="K81" i="20"/>
  <c r="K80" i="20"/>
  <c r="J79" i="20"/>
  <c r="J75" i="20" s="1"/>
  <c r="J74" i="20" s="1"/>
  <c r="I79" i="20"/>
  <c r="K78" i="20"/>
  <c r="K77" i="20"/>
  <c r="K76" i="20"/>
  <c r="I75" i="20"/>
  <c r="K72" i="20"/>
  <c r="K71" i="20"/>
  <c r="J70" i="20"/>
  <c r="I70" i="20"/>
  <c r="K69" i="20"/>
  <c r="K68" i="20"/>
  <c r="J67" i="20"/>
  <c r="I67" i="20"/>
  <c r="K66" i="20"/>
  <c r="K65" i="20"/>
  <c r="K64" i="20"/>
  <c r="K63" i="20"/>
  <c r="K62" i="20"/>
  <c r="J61" i="20"/>
  <c r="I61" i="20"/>
  <c r="K60" i="20"/>
  <c r="K59" i="20"/>
  <c r="K58" i="20"/>
  <c r="K57" i="20"/>
  <c r="K56" i="20"/>
  <c r="K55" i="20"/>
  <c r="K54" i="20"/>
  <c r="K53" i="20"/>
  <c r="K52" i="20"/>
  <c r="K51" i="20"/>
  <c r="K50" i="20"/>
  <c r="J49" i="20"/>
  <c r="J45" i="20" s="1"/>
  <c r="I49" i="20"/>
  <c r="K48" i="20"/>
  <c r="K47" i="20"/>
  <c r="K46" i="20"/>
  <c r="I45" i="20"/>
  <c r="K44" i="20"/>
  <c r="K43" i="20"/>
  <c r="K42" i="20"/>
  <c r="K41" i="20"/>
  <c r="K40" i="20"/>
  <c r="K39" i="20"/>
  <c r="J38" i="20"/>
  <c r="I38" i="20"/>
  <c r="K37" i="20"/>
  <c r="K36" i="20"/>
  <c r="K35" i="20"/>
  <c r="J34" i="20"/>
  <c r="I34" i="20"/>
  <c r="K33" i="20"/>
  <c r="K32" i="20"/>
  <c r="J31" i="20"/>
  <c r="J30" i="20" s="1"/>
  <c r="I31" i="20"/>
  <c r="I30" i="20" s="1"/>
  <c r="K29" i="20"/>
  <c r="K28" i="20"/>
  <c r="K27" i="20"/>
  <c r="J26" i="20"/>
  <c r="I26" i="20"/>
  <c r="K24" i="20"/>
  <c r="K23" i="20"/>
  <c r="J22" i="20"/>
  <c r="I22" i="20"/>
  <c r="K21" i="20"/>
  <c r="K20" i="20"/>
  <c r="K19" i="20"/>
  <c r="K18" i="20"/>
  <c r="K17" i="20"/>
  <c r="K16" i="20"/>
  <c r="K15" i="20"/>
  <c r="K14" i="20"/>
  <c r="K13" i="20"/>
  <c r="K12" i="20"/>
  <c r="K11" i="20"/>
  <c r="J10" i="20"/>
  <c r="I10" i="20"/>
  <c r="I9" i="20" s="1"/>
  <c r="J9" i="20"/>
  <c r="K150" i="21"/>
  <c r="K149" i="21"/>
  <c r="K148" i="21"/>
  <c r="K147" i="21"/>
  <c r="K145" i="21"/>
  <c r="K144" i="21"/>
  <c r="J143" i="21"/>
  <c r="I143" i="21"/>
  <c r="K141" i="21"/>
  <c r="K140" i="21"/>
  <c r="K139" i="21"/>
  <c r="K138" i="21"/>
  <c r="K137" i="21"/>
  <c r="K136" i="21"/>
  <c r="K135" i="21"/>
  <c r="J134" i="21"/>
  <c r="J128" i="21" s="1"/>
  <c r="I134" i="21"/>
  <c r="K133" i="21"/>
  <c r="K132" i="21"/>
  <c r="K131" i="21"/>
  <c r="K130" i="21"/>
  <c r="K129" i="21"/>
  <c r="I128" i="21"/>
  <c r="K127" i="21"/>
  <c r="K126" i="21"/>
  <c r="K125" i="21"/>
  <c r="I124" i="21"/>
  <c r="J123" i="21"/>
  <c r="I123" i="21"/>
  <c r="K122" i="21"/>
  <c r="K121" i="21"/>
  <c r="K120" i="21"/>
  <c r="K119" i="21"/>
  <c r="K118" i="21"/>
  <c r="K117" i="21"/>
  <c r="K116" i="21"/>
  <c r="K115" i="21"/>
  <c r="J114" i="21"/>
  <c r="I114" i="21"/>
  <c r="K113" i="21"/>
  <c r="I112" i="21"/>
  <c r="I112" i="6" s="1"/>
  <c r="U112" i="4" s="1"/>
  <c r="J111" i="21"/>
  <c r="K110" i="21"/>
  <c r="K109" i="21"/>
  <c r="K108" i="21"/>
  <c r="K107" i="21"/>
  <c r="I106" i="21"/>
  <c r="I105" i="21" s="1"/>
  <c r="J105" i="21"/>
  <c r="K104" i="21"/>
  <c r="K103" i="21"/>
  <c r="K102" i="21"/>
  <c r="J101" i="21"/>
  <c r="I101" i="21"/>
  <c r="K100" i="21"/>
  <c r="K99" i="21"/>
  <c r="K98" i="21"/>
  <c r="K97" i="21"/>
  <c r="K96" i="21"/>
  <c r="K95" i="21"/>
  <c r="K94" i="21"/>
  <c r="K93" i="21"/>
  <c r="K92" i="21"/>
  <c r="K90" i="21"/>
  <c r="J89" i="21"/>
  <c r="J88" i="21" s="1"/>
  <c r="I89" i="21"/>
  <c r="I88" i="21" s="1"/>
  <c r="K84" i="21"/>
  <c r="K83" i="21"/>
  <c r="K81" i="21"/>
  <c r="K80" i="21"/>
  <c r="J79" i="21"/>
  <c r="J75" i="21" s="1"/>
  <c r="J74" i="21" s="1"/>
  <c r="I79" i="21"/>
  <c r="K78" i="21"/>
  <c r="K77" i="21"/>
  <c r="K76" i="21"/>
  <c r="I75" i="21"/>
  <c r="I74" i="21" s="1"/>
  <c r="K72" i="21"/>
  <c r="K71" i="21"/>
  <c r="J70" i="21"/>
  <c r="I70" i="21"/>
  <c r="K69" i="21"/>
  <c r="K68" i="21"/>
  <c r="J67" i="21"/>
  <c r="I67" i="21"/>
  <c r="K66" i="21"/>
  <c r="K65" i="21"/>
  <c r="K64" i="21"/>
  <c r="K63" i="21"/>
  <c r="K62" i="21"/>
  <c r="J61" i="21"/>
  <c r="I61" i="21"/>
  <c r="K60" i="21"/>
  <c r="K59" i="21"/>
  <c r="K58" i="21"/>
  <c r="K57" i="21"/>
  <c r="K56" i="21"/>
  <c r="I55" i="21"/>
  <c r="K55" i="21" s="1"/>
  <c r="K54" i="21"/>
  <c r="K53" i="21"/>
  <c r="K52" i="21"/>
  <c r="K51" i="21"/>
  <c r="K50" i="21"/>
  <c r="J49" i="21"/>
  <c r="J45" i="21" s="1"/>
  <c r="I49" i="21"/>
  <c r="K48" i="21"/>
  <c r="K47" i="21"/>
  <c r="I46" i="21"/>
  <c r="K46" i="21" s="1"/>
  <c r="K44" i="21"/>
  <c r="K43" i="21"/>
  <c r="K42" i="21"/>
  <c r="K41" i="21"/>
  <c r="K40" i="21"/>
  <c r="K39" i="21"/>
  <c r="J38" i="21"/>
  <c r="I38" i="21"/>
  <c r="K37" i="21"/>
  <c r="K36" i="21"/>
  <c r="K35" i="21"/>
  <c r="J34" i="21"/>
  <c r="I34" i="21"/>
  <c r="K33" i="21"/>
  <c r="K32" i="21"/>
  <c r="J31" i="21"/>
  <c r="J30" i="21" s="1"/>
  <c r="I31" i="21"/>
  <c r="I30" i="21" s="1"/>
  <c r="K29" i="21"/>
  <c r="K28" i="21"/>
  <c r="K27" i="21"/>
  <c r="J26" i="21"/>
  <c r="I26" i="21"/>
  <c r="K24" i="21"/>
  <c r="K23" i="21"/>
  <c r="J22" i="21"/>
  <c r="I22" i="21"/>
  <c r="K21" i="21"/>
  <c r="K20" i="21"/>
  <c r="K19" i="21"/>
  <c r="K18" i="21"/>
  <c r="K17" i="21"/>
  <c r="K16" i="21"/>
  <c r="K15" i="21"/>
  <c r="I10" i="21"/>
  <c r="I9" i="21" s="1"/>
  <c r="K13" i="21"/>
  <c r="K12" i="21"/>
  <c r="K11" i="21"/>
  <c r="J10" i="21"/>
  <c r="J9" i="21" s="1"/>
  <c r="K150" i="46"/>
  <c r="K149" i="46"/>
  <c r="K148" i="46"/>
  <c r="K147" i="46"/>
  <c r="K145" i="46"/>
  <c r="K144" i="46"/>
  <c r="J143" i="46"/>
  <c r="I143" i="46"/>
  <c r="K141" i="46"/>
  <c r="K140" i="46"/>
  <c r="K139" i="46"/>
  <c r="K138" i="46"/>
  <c r="K137" i="46"/>
  <c r="K136" i="46"/>
  <c r="K135" i="46"/>
  <c r="J134" i="46"/>
  <c r="J128" i="46" s="1"/>
  <c r="I134" i="46"/>
  <c r="K133" i="46"/>
  <c r="K132" i="46"/>
  <c r="K131" i="46"/>
  <c r="K130" i="46"/>
  <c r="K129" i="46"/>
  <c r="I128" i="46"/>
  <c r="K127" i="46"/>
  <c r="K126" i="46"/>
  <c r="K125" i="46"/>
  <c r="I124" i="46"/>
  <c r="K124" i="46" s="1"/>
  <c r="J123" i="46"/>
  <c r="I123" i="46"/>
  <c r="K122" i="46"/>
  <c r="K121" i="46"/>
  <c r="K120" i="46"/>
  <c r="K119" i="46"/>
  <c r="K118" i="46"/>
  <c r="K117" i="46"/>
  <c r="K116" i="46"/>
  <c r="K115" i="46"/>
  <c r="J114" i="46"/>
  <c r="J111" i="46" s="1"/>
  <c r="I114" i="46"/>
  <c r="I111" i="46" s="1"/>
  <c r="K113" i="46"/>
  <c r="K112" i="46"/>
  <c r="K110" i="46"/>
  <c r="K109" i="46"/>
  <c r="K108" i="46"/>
  <c r="K107" i="46"/>
  <c r="K106" i="46"/>
  <c r="J105" i="46"/>
  <c r="I105" i="46"/>
  <c r="K104" i="46"/>
  <c r="K103" i="46"/>
  <c r="K102" i="46"/>
  <c r="J101" i="46"/>
  <c r="I101" i="46"/>
  <c r="K100" i="46"/>
  <c r="K99" i="46"/>
  <c r="K98" i="46"/>
  <c r="K97" i="46"/>
  <c r="K96" i="46"/>
  <c r="K95" i="46"/>
  <c r="K94" i="46"/>
  <c r="K93" i="46"/>
  <c r="K92" i="46"/>
  <c r="K91" i="46"/>
  <c r="K90" i="46"/>
  <c r="J89" i="46"/>
  <c r="I89" i="46"/>
  <c r="K84" i="46"/>
  <c r="K83" i="46"/>
  <c r="K81" i="46"/>
  <c r="K80" i="46"/>
  <c r="J79" i="46"/>
  <c r="I79" i="46"/>
  <c r="K78" i="46"/>
  <c r="K77" i="46"/>
  <c r="K76" i="46"/>
  <c r="I75" i="46"/>
  <c r="I74" i="46" s="1"/>
  <c r="K72" i="46"/>
  <c r="K71" i="46"/>
  <c r="J70" i="46"/>
  <c r="I70" i="46"/>
  <c r="K69" i="46"/>
  <c r="K68" i="46"/>
  <c r="J67" i="46"/>
  <c r="I67" i="46"/>
  <c r="K66" i="46"/>
  <c r="K65" i="46"/>
  <c r="K64" i="46"/>
  <c r="K63" i="46"/>
  <c r="K62" i="46"/>
  <c r="J61" i="46"/>
  <c r="I61" i="46"/>
  <c r="K60" i="46"/>
  <c r="K59" i="46"/>
  <c r="K58" i="46"/>
  <c r="K57" i="46"/>
  <c r="K56" i="46"/>
  <c r="K55" i="46"/>
  <c r="K54" i="46"/>
  <c r="K53" i="46"/>
  <c r="K52" i="46"/>
  <c r="K51" i="46"/>
  <c r="K50" i="46"/>
  <c r="J49" i="46"/>
  <c r="J45" i="46" s="1"/>
  <c r="I49" i="46"/>
  <c r="K48" i="46"/>
  <c r="K47" i="46"/>
  <c r="K46" i="46"/>
  <c r="I45" i="46"/>
  <c r="K44" i="46"/>
  <c r="K43" i="46"/>
  <c r="K42" i="46"/>
  <c r="K41" i="46"/>
  <c r="K40" i="46"/>
  <c r="K39" i="46"/>
  <c r="J38" i="46"/>
  <c r="I38" i="46"/>
  <c r="K37" i="46"/>
  <c r="K36" i="46"/>
  <c r="K35" i="46"/>
  <c r="J34" i="46"/>
  <c r="I34" i="46"/>
  <c r="K33" i="46"/>
  <c r="K32" i="46"/>
  <c r="J31" i="46"/>
  <c r="J30" i="46" s="1"/>
  <c r="I31" i="46"/>
  <c r="I30" i="46" s="1"/>
  <c r="K29" i="46"/>
  <c r="K28" i="46"/>
  <c r="K27" i="46"/>
  <c r="J26" i="46"/>
  <c r="I26" i="46"/>
  <c r="K24" i="46"/>
  <c r="K23" i="46"/>
  <c r="J22" i="46"/>
  <c r="I22" i="46"/>
  <c r="K21" i="46"/>
  <c r="K20" i="46"/>
  <c r="K19" i="46"/>
  <c r="K18" i="46"/>
  <c r="K17" i="46"/>
  <c r="K16" i="46"/>
  <c r="K15" i="46"/>
  <c r="K14" i="46"/>
  <c r="K13" i="46"/>
  <c r="K12" i="46"/>
  <c r="K11" i="46"/>
  <c r="J10" i="46"/>
  <c r="I10" i="46"/>
  <c r="J9" i="46"/>
  <c r="K150" i="22"/>
  <c r="K149" i="22"/>
  <c r="K148" i="22"/>
  <c r="K147" i="22"/>
  <c r="K145" i="22"/>
  <c r="K144" i="22"/>
  <c r="J143" i="22"/>
  <c r="I143" i="22"/>
  <c r="K141" i="22"/>
  <c r="K140" i="22"/>
  <c r="K139" i="22"/>
  <c r="K138" i="22"/>
  <c r="K137" i="22"/>
  <c r="K136" i="22"/>
  <c r="K135" i="22"/>
  <c r="J134" i="22"/>
  <c r="J128" i="22" s="1"/>
  <c r="I134" i="22"/>
  <c r="K133" i="22"/>
  <c r="K132" i="22"/>
  <c r="K131" i="22"/>
  <c r="K130" i="22"/>
  <c r="K129" i="22"/>
  <c r="I128" i="22"/>
  <c r="K127" i="22"/>
  <c r="K126" i="22"/>
  <c r="K125" i="22"/>
  <c r="K124" i="22"/>
  <c r="J123" i="22"/>
  <c r="I123" i="22"/>
  <c r="K122" i="22"/>
  <c r="K120" i="22"/>
  <c r="K119" i="22"/>
  <c r="K118" i="22"/>
  <c r="K117" i="22"/>
  <c r="K116" i="22"/>
  <c r="I115" i="22"/>
  <c r="J114" i="22"/>
  <c r="K113" i="22"/>
  <c r="K112" i="22"/>
  <c r="I110" i="22"/>
  <c r="K109" i="22"/>
  <c r="I108" i="22"/>
  <c r="K107" i="22"/>
  <c r="J105" i="22"/>
  <c r="K104" i="22"/>
  <c r="K103" i="22"/>
  <c r="K102" i="22"/>
  <c r="J101" i="22"/>
  <c r="I101" i="22"/>
  <c r="K100" i="22"/>
  <c r="K99" i="22"/>
  <c r="K98" i="22"/>
  <c r="K97" i="22"/>
  <c r="K96" i="22"/>
  <c r="K95" i="22"/>
  <c r="K94" i="22"/>
  <c r="K93" i="22"/>
  <c r="K92" i="22"/>
  <c r="K91" i="22"/>
  <c r="K90" i="22"/>
  <c r="J89" i="22"/>
  <c r="I89" i="22"/>
  <c r="K84" i="22"/>
  <c r="K83" i="22"/>
  <c r="K81" i="22"/>
  <c r="K80" i="22"/>
  <c r="J79" i="22"/>
  <c r="J75" i="22" s="1"/>
  <c r="J74" i="22" s="1"/>
  <c r="I79" i="22"/>
  <c r="I75" i="22" s="1"/>
  <c r="I74" i="22" s="1"/>
  <c r="K78" i="22"/>
  <c r="K77" i="22"/>
  <c r="K76" i="22"/>
  <c r="K72" i="22"/>
  <c r="K71" i="22"/>
  <c r="J70" i="22"/>
  <c r="I70" i="22"/>
  <c r="K69" i="22"/>
  <c r="K68" i="22"/>
  <c r="J67" i="22"/>
  <c r="I67" i="22"/>
  <c r="K66" i="22"/>
  <c r="K65" i="22"/>
  <c r="K64" i="22"/>
  <c r="K63" i="22"/>
  <c r="K62" i="22"/>
  <c r="J61" i="22"/>
  <c r="I61" i="22"/>
  <c r="K60" i="22"/>
  <c r="K59" i="22"/>
  <c r="K58" i="22"/>
  <c r="K57" i="22"/>
  <c r="K56" i="22"/>
  <c r="I55" i="22"/>
  <c r="K55" i="22" s="1"/>
  <c r="K54" i="22"/>
  <c r="K53" i="22"/>
  <c r="K52" i="22"/>
  <c r="K51" i="22"/>
  <c r="K50" i="22"/>
  <c r="J49" i="22"/>
  <c r="J45" i="22" s="1"/>
  <c r="I49" i="22"/>
  <c r="K48" i="22"/>
  <c r="I47" i="22"/>
  <c r="K47" i="22" s="1"/>
  <c r="K46" i="22"/>
  <c r="K44" i="22"/>
  <c r="K43" i="22"/>
  <c r="K42" i="22"/>
  <c r="K41" i="22"/>
  <c r="K40" i="22"/>
  <c r="K39" i="22"/>
  <c r="J38" i="22"/>
  <c r="I38" i="22"/>
  <c r="K37" i="22"/>
  <c r="K36" i="22"/>
  <c r="K35" i="22"/>
  <c r="J34" i="22"/>
  <c r="I34" i="22"/>
  <c r="K33" i="22"/>
  <c r="K32" i="22"/>
  <c r="J31" i="22"/>
  <c r="I31" i="22"/>
  <c r="I30" i="22" s="1"/>
  <c r="J30" i="22"/>
  <c r="K29" i="22"/>
  <c r="K28" i="22"/>
  <c r="K27" i="22"/>
  <c r="J26" i="22"/>
  <c r="I26" i="22"/>
  <c r="K24" i="22"/>
  <c r="K23" i="22"/>
  <c r="J22" i="22"/>
  <c r="I22" i="22"/>
  <c r="K21" i="22"/>
  <c r="K20" i="22"/>
  <c r="K19" i="22"/>
  <c r="K18" i="22"/>
  <c r="K17" i="22"/>
  <c r="K16" i="22"/>
  <c r="K15" i="22"/>
  <c r="K14" i="22"/>
  <c r="K13" i="22"/>
  <c r="K12" i="22"/>
  <c r="K11" i="22"/>
  <c r="J10" i="22"/>
  <c r="I10" i="22"/>
  <c r="I9" i="22" s="1"/>
  <c r="J150" i="6"/>
  <c r="V150" i="4" s="1"/>
  <c r="I150" i="6"/>
  <c r="U150" i="4" s="1"/>
  <c r="J149" i="6"/>
  <c r="V149" i="4" s="1"/>
  <c r="I149" i="6"/>
  <c r="U149" i="4" s="1"/>
  <c r="J148" i="6"/>
  <c r="V148" i="4" s="1"/>
  <c r="I148" i="6"/>
  <c r="U148" i="4" s="1"/>
  <c r="J147" i="6"/>
  <c r="V147" i="4" s="1"/>
  <c r="I147" i="6"/>
  <c r="U147" i="4" s="1"/>
  <c r="K146" i="6"/>
  <c r="J146" i="6"/>
  <c r="V146" i="4" s="1"/>
  <c r="I146" i="6"/>
  <c r="U146" i="4" s="1"/>
  <c r="J145" i="6"/>
  <c r="V145" i="4" s="1"/>
  <c r="I145" i="6"/>
  <c r="U145" i="4" s="1"/>
  <c r="J144" i="6"/>
  <c r="V144" i="4" s="1"/>
  <c r="I144" i="6"/>
  <c r="U144" i="4" s="1"/>
  <c r="J141" i="6"/>
  <c r="V141" i="4" s="1"/>
  <c r="I141" i="6"/>
  <c r="U141" i="4" s="1"/>
  <c r="J140" i="6"/>
  <c r="V140" i="4" s="1"/>
  <c r="I140" i="6"/>
  <c r="U140" i="4" s="1"/>
  <c r="J139" i="6"/>
  <c r="V139" i="4" s="1"/>
  <c r="I139" i="6"/>
  <c r="U139" i="4" s="1"/>
  <c r="J138" i="6"/>
  <c r="V138" i="4" s="1"/>
  <c r="I138" i="6"/>
  <c r="U138" i="4" s="1"/>
  <c r="J137" i="6"/>
  <c r="V137" i="4" s="1"/>
  <c r="I137" i="6"/>
  <c r="U137" i="4" s="1"/>
  <c r="J136" i="6"/>
  <c r="V136" i="4" s="1"/>
  <c r="I136" i="6"/>
  <c r="U136" i="4" s="1"/>
  <c r="J135" i="6"/>
  <c r="V135" i="4" s="1"/>
  <c r="I135" i="6"/>
  <c r="U135" i="4" s="1"/>
  <c r="J133" i="6"/>
  <c r="V133" i="4" s="1"/>
  <c r="I133" i="6"/>
  <c r="U133" i="4" s="1"/>
  <c r="J132" i="6"/>
  <c r="V132" i="4" s="1"/>
  <c r="I132" i="6"/>
  <c r="U132" i="4" s="1"/>
  <c r="J131" i="6"/>
  <c r="V131" i="4" s="1"/>
  <c r="I131" i="6"/>
  <c r="U131" i="4" s="1"/>
  <c r="J130" i="6"/>
  <c r="V130" i="4" s="1"/>
  <c r="I130" i="6"/>
  <c r="U130" i="4" s="1"/>
  <c r="J129" i="6"/>
  <c r="V129" i="4" s="1"/>
  <c r="I129" i="6"/>
  <c r="U129" i="4" s="1"/>
  <c r="J127" i="6"/>
  <c r="V127" i="4" s="1"/>
  <c r="I127" i="6"/>
  <c r="U127" i="4" s="1"/>
  <c r="J126" i="6"/>
  <c r="V126" i="4" s="1"/>
  <c r="I126" i="6"/>
  <c r="U126" i="4" s="1"/>
  <c r="J125" i="6"/>
  <c r="V125" i="4" s="1"/>
  <c r="I125" i="6"/>
  <c r="U125" i="4" s="1"/>
  <c r="J124" i="6"/>
  <c r="V124" i="4" s="1"/>
  <c r="J122" i="6"/>
  <c r="V122" i="4" s="1"/>
  <c r="I122" i="6"/>
  <c r="U122" i="4" s="1"/>
  <c r="J121" i="6"/>
  <c r="V121" i="4" s="1"/>
  <c r="J120" i="6"/>
  <c r="V120" i="4" s="1"/>
  <c r="I120" i="6"/>
  <c r="U120" i="4" s="1"/>
  <c r="J119" i="6"/>
  <c r="V119" i="4" s="1"/>
  <c r="I119" i="6"/>
  <c r="U119" i="4" s="1"/>
  <c r="J118" i="6"/>
  <c r="V118" i="4" s="1"/>
  <c r="I118" i="6"/>
  <c r="U118" i="4" s="1"/>
  <c r="J117" i="6"/>
  <c r="V117" i="4" s="1"/>
  <c r="I117" i="6"/>
  <c r="U117" i="4" s="1"/>
  <c r="J116" i="6"/>
  <c r="V116" i="4" s="1"/>
  <c r="I116" i="6"/>
  <c r="U116" i="4" s="1"/>
  <c r="J115" i="6"/>
  <c r="V115" i="4" s="1"/>
  <c r="J113" i="6"/>
  <c r="V113" i="4" s="1"/>
  <c r="I113" i="6"/>
  <c r="U113" i="4" s="1"/>
  <c r="J112" i="6"/>
  <c r="V112" i="4" s="1"/>
  <c r="J110" i="6"/>
  <c r="V110" i="4" s="1"/>
  <c r="J109" i="6"/>
  <c r="V109" i="4" s="1"/>
  <c r="I109" i="6"/>
  <c r="U109" i="4" s="1"/>
  <c r="J108" i="6"/>
  <c r="V108" i="4" s="1"/>
  <c r="J107" i="6"/>
  <c r="V107" i="4" s="1"/>
  <c r="I107" i="6"/>
  <c r="U107" i="4" s="1"/>
  <c r="J106" i="6"/>
  <c r="V106" i="4" s="1"/>
  <c r="J104" i="6"/>
  <c r="V104" i="4" s="1"/>
  <c r="I104" i="6"/>
  <c r="U104" i="4" s="1"/>
  <c r="J103" i="6"/>
  <c r="V103" i="4" s="1"/>
  <c r="I103" i="6"/>
  <c r="U103" i="4" s="1"/>
  <c r="J102" i="6"/>
  <c r="V102" i="4" s="1"/>
  <c r="I102" i="6"/>
  <c r="U102" i="4" s="1"/>
  <c r="J100" i="6"/>
  <c r="V100" i="4" s="1"/>
  <c r="I100" i="6"/>
  <c r="U100" i="4" s="1"/>
  <c r="J99" i="6"/>
  <c r="V99" i="4" s="1"/>
  <c r="I99" i="6"/>
  <c r="U99" i="4" s="1"/>
  <c r="J98" i="6"/>
  <c r="V98" i="4" s="1"/>
  <c r="I98" i="6"/>
  <c r="U98" i="4" s="1"/>
  <c r="J97" i="6"/>
  <c r="V97" i="4" s="1"/>
  <c r="I97" i="6"/>
  <c r="U97" i="4" s="1"/>
  <c r="J96" i="6"/>
  <c r="V96" i="4" s="1"/>
  <c r="I96" i="6"/>
  <c r="U96" i="4" s="1"/>
  <c r="J95" i="6"/>
  <c r="V95" i="4" s="1"/>
  <c r="I95" i="6"/>
  <c r="U95" i="4" s="1"/>
  <c r="J94" i="6"/>
  <c r="V94" i="4" s="1"/>
  <c r="I94" i="6"/>
  <c r="U94" i="4" s="1"/>
  <c r="J93" i="6"/>
  <c r="V93" i="4" s="1"/>
  <c r="I93" i="6"/>
  <c r="U93" i="4" s="1"/>
  <c r="J92" i="6"/>
  <c r="V92" i="4" s="1"/>
  <c r="I92" i="6"/>
  <c r="U92" i="4" s="1"/>
  <c r="V91" i="4"/>
  <c r="I91" i="6"/>
  <c r="U91" i="4" s="1"/>
  <c r="J90" i="6"/>
  <c r="V90" i="4" s="1"/>
  <c r="I90" i="6"/>
  <c r="U90" i="4" s="1"/>
  <c r="J84" i="6"/>
  <c r="V84" i="4" s="1"/>
  <c r="I84" i="6"/>
  <c r="U84" i="4" s="1"/>
  <c r="J83" i="6"/>
  <c r="V83" i="4" s="1"/>
  <c r="I83" i="6"/>
  <c r="U83" i="4" s="1"/>
  <c r="K82" i="6"/>
  <c r="J82" i="6"/>
  <c r="V82" i="4" s="1"/>
  <c r="I82" i="6"/>
  <c r="U82" i="4" s="1"/>
  <c r="J81" i="6"/>
  <c r="V81" i="4" s="1"/>
  <c r="I81" i="6"/>
  <c r="U81" i="4" s="1"/>
  <c r="J80" i="6"/>
  <c r="V80" i="4" s="1"/>
  <c r="I80" i="6"/>
  <c r="U80" i="4" s="1"/>
  <c r="J78" i="6"/>
  <c r="V78" i="4" s="1"/>
  <c r="I78" i="6"/>
  <c r="U78" i="4" s="1"/>
  <c r="J77" i="6"/>
  <c r="V77" i="4" s="1"/>
  <c r="I77" i="6"/>
  <c r="U77" i="4" s="1"/>
  <c r="J76" i="6"/>
  <c r="V76" i="4" s="1"/>
  <c r="I76" i="6"/>
  <c r="U76" i="4" s="1"/>
  <c r="K72" i="6"/>
  <c r="J71" i="6"/>
  <c r="V71" i="4" s="1"/>
  <c r="I71" i="6"/>
  <c r="U71" i="4" s="1"/>
  <c r="J69" i="6"/>
  <c r="V69" i="4" s="1"/>
  <c r="I69" i="6"/>
  <c r="U69" i="4" s="1"/>
  <c r="J68" i="6"/>
  <c r="V68" i="4" s="1"/>
  <c r="I68" i="6"/>
  <c r="U68" i="4" s="1"/>
  <c r="J66" i="6"/>
  <c r="V66" i="4" s="1"/>
  <c r="I66" i="6"/>
  <c r="U66" i="4" s="1"/>
  <c r="J65" i="6"/>
  <c r="V65" i="4" s="1"/>
  <c r="I65" i="6"/>
  <c r="U65" i="4" s="1"/>
  <c r="J64" i="6"/>
  <c r="V64" i="4" s="1"/>
  <c r="I64" i="6"/>
  <c r="U64" i="4" s="1"/>
  <c r="J63" i="6"/>
  <c r="V63" i="4" s="1"/>
  <c r="I63" i="6"/>
  <c r="U63" i="4" s="1"/>
  <c r="J62" i="6"/>
  <c r="V62" i="4" s="1"/>
  <c r="I62" i="6"/>
  <c r="U62" i="4" s="1"/>
  <c r="J60" i="6"/>
  <c r="V60" i="4" s="1"/>
  <c r="I60" i="6"/>
  <c r="U60" i="4" s="1"/>
  <c r="J59" i="6"/>
  <c r="V59" i="4" s="1"/>
  <c r="I59" i="6"/>
  <c r="U59" i="4" s="1"/>
  <c r="J58" i="6"/>
  <c r="V58" i="4" s="1"/>
  <c r="I58" i="6"/>
  <c r="U58" i="4" s="1"/>
  <c r="J57" i="6"/>
  <c r="V57" i="4" s="1"/>
  <c r="I57" i="6"/>
  <c r="U57" i="4" s="1"/>
  <c r="J56" i="6"/>
  <c r="V56" i="4" s="1"/>
  <c r="I56" i="6"/>
  <c r="U56" i="4" s="1"/>
  <c r="J55" i="6"/>
  <c r="V55" i="4" s="1"/>
  <c r="J54" i="6"/>
  <c r="V54" i="4" s="1"/>
  <c r="I54" i="6"/>
  <c r="U54" i="4" s="1"/>
  <c r="J53" i="6"/>
  <c r="V53" i="4" s="1"/>
  <c r="I53" i="6"/>
  <c r="U53" i="4" s="1"/>
  <c r="J52" i="6"/>
  <c r="V52" i="4" s="1"/>
  <c r="I52" i="6"/>
  <c r="U52" i="4" s="1"/>
  <c r="J51" i="6"/>
  <c r="V51" i="4" s="1"/>
  <c r="I51" i="6"/>
  <c r="U51" i="4" s="1"/>
  <c r="J50" i="6"/>
  <c r="V50" i="4" s="1"/>
  <c r="I50" i="6"/>
  <c r="U50" i="4" s="1"/>
  <c r="J48" i="6"/>
  <c r="V48" i="4" s="1"/>
  <c r="I48" i="6"/>
  <c r="U48" i="4" s="1"/>
  <c r="J47" i="6"/>
  <c r="V47" i="4" s="1"/>
  <c r="J46" i="6"/>
  <c r="V46" i="4" s="1"/>
  <c r="J44" i="6"/>
  <c r="V44" i="4" s="1"/>
  <c r="I44" i="6"/>
  <c r="U44" i="4" s="1"/>
  <c r="J43" i="6"/>
  <c r="V43" i="4" s="1"/>
  <c r="I43" i="6"/>
  <c r="U43" i="4" s="1"/>
  <c r="J42" i="6"/>
  <c r="V42" i="4" s="1"/>
  <c r="I42" i="6"/>
  <c r="U42" i="4" s="1"/>
  <c r="J41" i="6"/>
  <c r="V41" i="4" s="1"/>
  <c r="I41" i="6"/>
  <c r="U41" i="4" s="1"/>
  <c r="J40" i="6"/>
  <c r="V40" i="4" s="1"/>
  <c r="I40" i="6"/>
  <c r="U40" i="4" s="1"/>
  <c r="J39" i="6"/>
  <c r="V39" i="4" s="1"/>
  <c r="I39" i="6"/>
  <c r="U39" i="4" s="1"/>
  <c r="J37" i="6"/>
  <c r="V37" i="4" s="1"/>
  <c r="I37" i="6"/>
  <c r="U37" i="4" s="1"/>
  <c r="J36" i="6"/>
  <c r="V36" i="4" s="1"/>
  <c r="I36" i="6"/>
  <c r="U36" i="4" s="1"/>
  <c r="J35" i="6"/>
  <c r="V35" i="4" s="1"/>
  <c r="I35" i="6"/>
  <c r="U35" i="4" s="1"/>
  <c r="J33" i="6"/>
  <c r="V33" i="4" s="1"/>
  <c r="I33" i="6"/>
  <c r="U33" i="4" s="1"/>
  <c r="J32" i="6"/>
  <c r="V32" i="4" s="1"/>
  <c r="I32" i="6"/>
  <c r="U32" i="4" s="1"/>
  <c r="J29" i="6"/>
  <c r="V29" i="4" s="1"/>
  <c r="I29" i="6"/>
  <c r="U29" i="4" s="1"/>
  <c r="J28" i="6"/>
  <c r="V28" i="4" s="1"/>
  <c r="I28" i="6"/>
  <c r="U28" i="4" s="1"/>
  <c r="J27" i="6"/>
  <c r="V27" i="4" s="1"/>
  <c r="I27" i="6"/>
  <c r="U27" i="4" s="1"/>
  <c r="J24" i="6"/>
  <c r="V24" i="4" s="1"/>
  <c r="I24" i="6"/>
  <c r="U24" i="4" s="1"/>
  <c r="J23" i="6"/>
  <c r="V23" i="4" s="1"/>
  <c r="I23" i="6"/>
  <c r="U23" i="4" s="1"/>
  <c r="J21" i="6"/>
  <c r="V21" i="4" s="1"/>
  <c r="I21" i="6"/>
  <c r="U21" i="4" s="1"/>
  <c r="J20" i="6"/>
  <c r="V20" i="4" s="1"/>
  <c r="I20" i="6"/>
  <c r="U20" i="4" s="1"/>
  <c r="J19" i="6"/>
  <c r="V19" i="4" s="1"/>
  <c r="I19" i="6"/>
  <c r="U19" i="4" s="1"/>
  <c r="J18" i="6"/>
  <c r="V18" i="4" s="1"/>
  <c r="I18" i="6"/>
  <c r="U18" i="4" s="1"/>
  <c r="J17" i="6"/>
  <c r="V17" i="4" s="1"/>
  <c r="I17" i="6"/>
  <c r="U17" i="4" s="1"/>
  <c r="J16" i="6"/>
  <c r="V16" i="4" s="1"/>
  <c r="I16" i="6"/>
  <c r="U16" i="4" s="1"/>
  <c r="J15" i="6"/>
  <c r="V15" i="4" s="1"/>
  <c r="I15" i="6"/>
  <c r="U15" i="4" s="1"/>
  <c r="J14" i="6"/>
  <c r="V14" i="4" s="1"/>
  <c r="J13" i="6"/>
  <c r="V13" i="4" s="1"/>
  <c r="I13" i="6"/>
  <c r="U13" i="4" s="1"/>
  <c r="J12" i="6"/>
  <c r="V12" i="4" s="1"/>
  <c r="I12" i="6"/>
  <c r="U12" i="4" s="1"/>
  <c r="J11" i="6"/>
  <c r="V11" i="4" s="1"/>
  <c r="I11" i="6"/>
  <c r="U11" i="4" s="1"/>
  <c r="K150" i="77"/>
  <c r="K149" i="77"/>
  <c r="K148" i="77"/>
  <c r="K147" i="77"/>
  <c r="K145" i="77"/>
  <c r="K144" i="77"/>
  <c r="J143" i="77"/>
  <c r="I143" i="77"/>
  <c r="K141" i="77"/>
  <c r="K140" i="77"/>
  <c r="K139" i="77"/>
  <c r="K138" i="77"/>
  <c r="K137" i="77"/>
  <c r="K136" i="77"/>
  <c r="K135" i="77"/>
  <c r="J134" i="77"/>
  <c r="J128" i="77" s="1"/>
  <c r="I134" i="77"/>
  <c r="K133" i="77"/>
  <c r="K132" i="77"/>
  <c r="K131" i="77"/>
  <c r="K130" i="77"/>
  <c r="K129" i="77"/>
  <c r="I128" i="77"/>
  <c r="K127" i="77"/>
  <c r="K126" i="77"/>
  <c r="K125" i="77"/>
  <c r="K124" i="77"/>
  <c r="J123" i="77"/>
  <c r="I123" i="77"/>
  <c r="K122" i="77"/>
  <c r="K121" i="77"/>
  <c r="K120" i="77"/>
  <c r="K119" i="77"/>
  <c r="K118" i="77"/>
  <c r="K117" i="77"/>
  <c r="K116" i="77"/>
  <c r="K115" i="77"/>
  <c r="J114" i="77"/>
  <c r="I114" i="77"/>
  <c r="I111" i="77" s="1"/>
  <c r="K113" i="77"/>
  <c r="K112" i="77"/>
  <c r="K110" i="77"/>
  <c r="K109" i="77"/>
  <c r="K108" i="77"/>
  <c r="K107" i="77"/>
  <c r="K106" i="77"/>
  <c r="J105" i="77"/>
  <c r="I105" i="77"/>
  <c r="K104" i="77"/>
  <c r="K103" i="77"/>
  <c r="K102" i="77"/>
  <c r="J101" i="77"/>
  <c r="I101" i="77"/>
  <c r="K100" i="77"/>
  <c r="K99" i="77"/>
  <c r="K98" i="77"/>
  <c r="K97" i="77"/>
  <c r="K96" i="77"/>
  <c r="K95" i="77"/>
  <c r="K94" i="77"/>
  <c r="K93" i="77"/>
  <c r="K92" i="77"/>
  <c r="K90" i="77"/>
  <c r="J89" i="77"/>
  <c r="I89" i="77"/>
  <c r="I88" i="77" s="1"/>
  <c r="K84" i="77"/>
  <c r="K83" i="77"/>
  <c r="K81" i="77"/>
  <c r="K80" i="77"/>
  <c r="J79" i="77"/>
  <c r="I79" i="77"/>
  <c r="K78" i="77"/>
  <c r="K77" i="77"/>
  <c r="K76" i="77"/>
  <c r="I75" i="77"/>
  <c r="I74" i="77" s="1"/>
  <c r="K72" i="77"/>
  <c r="K71" i="77"/>
  <c r="J70" i="77"/>
  <c r="I70" i="77"/>
  <c r="K69" i="77"/>
  <c r="K68" i="77"/>
  <c r="J67" i="77"/>
  <c r="I67" i="77"/>
  <c r="K66" i="77"/>
  <c r="K65" i="77"/>
  <c r="K64" i="77"/>
  <c r="K63" i="77"/>
  <c r="K62" i="77"/>
  <c r="J61" i="77"/>
  <c r="I61" i="77"/>
  <c r="K60" i="77"/>
  <c r="K59" i="77"/>
  <c r="K58" i="77"/>
  <c r="K57" i="77"/>
  <c r="K56" i="77"/>
  <c r="K55" i="77"/>
  <c r="K54" i="77"/>
  <c r="K53" i="77"/>
  <c r="K52" i="77"/>
  <c r="K51" i="77"/>
  <c r="K50" i="77"/>
  <c r="J49" i="77"/>
  <c r="J45" i="77" s="1"/>
  <c r="I49" i="77"/>
  <c r="K48" i="77"/>
  <c r="K47" i="77"/>
  <c r="K46" i="77"/>
  <c r="I45" i="77"/>
  <c r="K44" i="77"/>
  <c r="K43" i="77"/>
  <c r="K42" i="77"/>
  <c r="K41" i="77"/>
  <c r="K40" i="77"/>
  <c r="K39" i="77"/>
  <c r="J38" i="77"/>
  <c r="I38" i="77"/>
  <c r="K37" i="77"/>
  <c r="K36" i="77"/>
  <c r="K35" i="77"/>
  <c r="J34" i="77"/>
  <c r="I34" i="77"/>
  <c r="K33" i="77"/>
  <c r="K32" i="77"/>
  <c r="J31" i="77"/>
  <c r="I31" i="77"/>
  <c r="I30" i="77" s="1"/>
  <c r="K29" i="77"/>
  <c r="K28" i="77"/>
  <c r="K27" i="77"/>
  <c r="J26" i="77"/>
  <c r="I26" i="77"/>
  <c r="K24" i="77"/>
  <c r="K23" i="77"/>
  <c r="J22" i="77"/>
  <c r="I22" i="77"/>
  <c r="K21" i="77"/>
  <c r="K20" i="77"/>
  <c r="K19" i="77"/>
  <c r="K18" i="77"/>
  <c r="K17" i="77"/>
  <c r="K16" i="77"/>
  <c r="K15" i="77"/>
  <c r="K14" i="77"/>
  <c r="K13" i="77"/>
  <c r="K12" i="77"/>
  <c r="K11" i="77"/>
  <c r="J10" i="77"/>
  <c r="J9" i="77" s="1"/>
  <c r="I10" i="77"/>
  <c r="I9" i="77" s="1"/>
  <c r="K150" i="57"/>
  <c r="K149" i="57"/>
  <c r="K148" i="57"/>
  <c r="K147" i="57"/>
  <c r="K145" i="57"/>
  <c r="K144" i="57"/>
  <c r="J143" i="57"/>
  <c r="I143" i="57"/>
  <c r="K141" i="57"/>
  <c r="K140" i="57"/>
  <c r="K139" i="57"/>
  <c r="K138" i="57"/>
  <c r="K137" i="57"/>
  <c r="K136" i="57"/>
  <c r="K135" i="57"/>
  <c r="J134" i="57"/>
  <c r="J128" i="57" s="1"/>
  <c r="I134" i="57"/>
  <c r="K133" i="57"/>
  <c r="K132" i="57"/>
  <c r="K131" i="57"/>
  <c r="K130" i="57"/>
  <c r="K129" i="57"/>
  <c r="K127" i="57"/>
  <c r="K126" i="57"/>
  <c r="K125" i="57"/>
  <c r="K124" i="57"/>
  <c r="J123" i="57"/>
  <c r="I123" i="57"/>
  <c r="K122" i="57"/>
  <c r="K121" i="57"/>
  <c r="K120" i="57"/>
  <c r="K119" i="57"/>
  <c r="K118" i="57"/>
  <c r="K117" i="57"/>
  <c r="K116" i="57"/>
  <c r="K115" i="57"/>
  <c r="J114" i="57"/>
  <c r="I114" i="57"/>
  <c r="I111" i="57" s="1"/>
  <c r="K113" i="57"/>
  <c r="K112" i="57"/>
  <c r="J111" i="57"/>
  <c r="K110" i="57"/>
  <c r="K109" i="57"/>
  <c r="K108" i="57"/>
  <c r="K107" i="57"/>
  <c r="K106" i="57"/>
  <c r="J105" i="57"/>
  <c r="I105" i="57"/>
  <c r="K104" i="57"/>
  <c r="K103" i="57"/>
  <c r="K102" i="57"/>
  <c r="J101" i="57"/>
  <c r="I101" i="57"/>
  <c r="K100" i="57"/>
  <c r="K99" i="57"/>
  <c r="K98" i="57"/>
  <c r="K97" i="57"/>
  <c r="K96" i="57"/>
  <c r="K95" i="57"/>
  <c r="K94" i="57"/>
  <c r="K93" i="57"/>
  <c r="K92" i="57"/>
  <c r="K90" i="57"/>
  <c r="J89" i="57"/>
  <c r="J88" i="57" s="1"/>
  <c r="I89" i="57"/>
  <c r="I88" i="57" s="1"/>
  <c r="K84" i="57"/>
  <c r="K83" i="57"/>
  <c r="K81" i="57"/>
  <c r="K80" i="57"/>
  <c r="J79" i="57"/>
  <c r="J75" i="57" s="1"/>
  <c r="I79" i="57"/>
  <c r="K78" i="57"/>
  <c r="K77" i="57"/>
  <c r="K76" i="57"/>
  <c r="I75" i="57"/>
  <c r="I74" i="57" s="1"/>
  <c r="K72" i="57"/>
  <c r="K71" i="57"/>
  <c r="J70" i="57"/>
  <c r="I70" i="57"/>
  <c r="K69" i="57"/>
  <c r="K68" i="57"/>
  <c r="J67" i="57"/>
  <c r="I67" i="57"/>
  <c r="K66" i="57"/>
  <c r="K65" i="57"/>
  <c r="K64" i="57"/>
  <c r="K63" i="57"/>
  <c r="K62" i="57"/>
  <c r="J61" i="57"/>
  <c r="I61" i="57"/>
  <c r="K60" i="57"/>
  <c r="K59" i="57"/>
  <c r="K58" i="57"/>
  <c r="K57" i="57"/>
  <c r="K56" i="57"/>
  <c r="K55" i="57"/>
  <c r="K54" i="57"/>
  <c r="K53" i="57"/>
  <c r="K52" i="57"/>
  <c r="K51" i="57"/>
  <c r="K50" i="57"/>
  <c r="J49" i="57"/>
  <c r="I49" i="57"/>
  <c r="K48" i="57"/>
  <c r="K47" i="57"/>
  <c r="K46" i="57"/>
  <c r="I45" i="57"/>
  <c r="K44" i="57"/>
  <c r="K43" i="57"/>
  <c r="K42" i="57"/>
  <c r="K41" i="57"/>
  <c r="K40" i="57"/>
  <c r="K39" i="57"/>
  <c r="J38" i="57"/>
  <c r="I38" i="57"/>
  <c r="K37" i="57"/>
  <c r="K36" i="57"/>
  <c r="K35" i="57"/>
  <c r="J34" i="57"/>
  <c r="I34" i="57"/>
  <c r="K33" i="57"/>
  <c r="K32" i="57"/>
  <c r="J31" i="57"/>
  <c r="J30" i="57" s="1"/>
  <c r="I31" i="57"/>
  <c r="I30" i="57" s="1"/>
  <c r="K29" i="57"/>
  <c r="K28" i="57"/>
  <c r="K27" i="57"/>
  <c r="J26" i="57"/>
  <c r="I26" i="57"/>
  <c r="K24" i="57"/>
  <c r="K23" i="57"/>
  <c r="J22" i="57"/>
  <c r="I22" i="57"/>
  <c r="K21" i="57"/>
  <c r="K20" i="57"/>
  <c r="K19" i="57"/>
  <c r="K18" i="57"/>
  <c r="K17" i="57"/>
  <c r="K16" i="57"/>
  <c r="K15" i="57"/>
  <c r="K14" i="57"/>
  <c r="K13" i="57"/>
  <c r="K12" i="57"/>
  <c r="K11" i="57"/>
  <c r="J10" i="57"/>
  <c r="I10" i="57"/>
  <c r="I9" i="57" s="1"/>
  <c r="J9" i="57"/>
  <c r="K150" i="18"/>
  <c r="K149" i="18"/>
  <c r="K148" i="18"/>
  <c r="K147" i="18"/>
  <c r="K145" i="18"/>
  <c r="K144" i="18"/>
  <c r="J143" i="18"/>
  <c r="I143" i="18"/>
  <c r="K141" i="18"/>
  <c r="K140" i="18"/>
  <c r="K139" i="18"/>
  <c r="K138" i="18"/>
  <c r="K137" i="18"/>
  <c r="K136" i="18"/>
  <c r="K135" i="18"/>
  <c r="J134" i="18"/>
  <c r="J128" i="18" s="1"/>
  <c r="I134" i="18"/>
  <c r="K133" i="18"/>
  <c r="K132" i="18"/>
  <c r="K131" i="18"/>
  <c r="K130" i="18"/>
  <c r="K129" i="18"/>
  <c r="I128" i="18"/>
  <c r="K127" i="18"/>
  <c r="K126" i="18"/>
  <c r="K125" i="18"/>
  <c r="I124" i="18"/>
  <c r="K124" i="18" s="1"/>
  <c r="J123" i="18"/>
  <c r="K122" i="18"/>
  <c r="K121" i="18"/>
  <c r="K120" i="18"/>
  <c r="K119" i="18"/>
  <c r="K118" i="18"/>
  <c r="K117" i="18"/>
  <c r="K116" i="18"/>
  <c r="K115" i="18"/>
  <c r="J114" i="18"/>
  <c r="I114" i="18"/>
  <c r="K113" i="18"/>
  <c r="K112" i="18"/>
  <c r="K110" i="18"/>
  <c r="K109" i="18"/>
  <c r="K108" i="18"/>
  <c r="K107" i="18"/>
  <c r="I106" i="18"/>
  <c r="J105" i="18"/>
  <c r="K104" i="18"/>
  <c r="K103" i="18"/>
  <c r="K102" i="18"/>
  <c r="J101" i="18"/>
  <c r="I101" i="18"/>
  <c r="K100" i="18"/>
  <c r="K99" i="18"/>
  <c r="K98" i="18"/>
  <c r="K97" i="18"/>
  <c r="K96" i="18"/>
  <c r="K95" i="18"/>
  <c r="K94" i="18"/>
  <c r="K93" i="18"/>
  <c r="K92" i="18"/>
  <c r="I91" i="18"/>
  <c r="K91" i="18" s="1"/>
  <c r="K90" i="18"/>
  <c r="J89" i="18"/>
  <c r="K84" i="18"/>
  <c r="K83" i="18"/>
  <c r="K81" i="18"/>
  <c r="K80" i="18"/>
  <c r="J79" i="18"/>
  <c r="J75" i="18" s="1"/>
  <c r="J74" i="18" s="1"/>
  <c r="I79" i="18"/>
  <c r="K78" i="18"/>
  <c r="K77" i="18"/>
  <c r="K76" i="18"/>
  <c r="K72" i="18"/>
  <c r="K71" i="18"/>
  <c r="J70" i="18"/>
  <c r="I70" i="18"/>
  <c r="K69" i="18"/>
  <c r="K68" i="18"/>
  <c r="J67" i="18"/>
  <c r="I67" i="18"/>
  <c r="K66" i="18"/>
  <c r="K65" i="18"/>
  <c r="K64" i="18"/>
  <c r="K63" i="18"/>
  <c r="K62" i="18"/>
  <c r="J61" i="18"/>
  <c r="I61" i="18"/>
  <c r="K60" i="18"/>
  <c r="K59" i="18"/>
  <c r="K58" i="18"/>
  <c r="K57" i="18"/>
  <c r="K56" i="18"/>
  <c r="K55" i="18"/>
  <c r="K54" i="18"/>
  <c r="K53" i="18"/>
  <c r="K52" i="18"/>
  <c r="K51" i="18"/>
  <c r="K50" i="18"/>
  <c r="J49" i="18"/>
  <c r="J45" i="18" s="1"/>
  <c r="I49" i="18"/>
  <c r="K48" i="18"/>
  <c r="K47" i="18"/>
  <c r="K46" i="18"/>
  <c r="K44" i="18"/>
  <c r="K43" i="18"/>
  <c r="K42" i="18"/>
  <c r="K41" i="18"/>
  <c r="K40" i="18"/>
  <c r="K39" i="18"/>
  <c r="J38" i="18"/>
  <c r="I38" i="18"/>
  <c r="K37" i="18"/>
  <c r="K36" i="18"/>
  <c r="K35" i="18"/>
  <c r="J34" i="18"/>
  <c r="I34" i="18"/>
  <c r="K33" i="18"/>
  <c r="K32" i="18"/>
  <c r="J31" i="18"/>
  <c r="J30" i="18" s="1"/>
  <c r="I31" i="18"/>
  <c r="I30" i="18" s="1"/>
  <c r="K29" i="18"/>
  <c r="K28" i="18"/>
  <c r="K27" i="18"/>
  <c r="J26" i="18"/>
  <c r="I26" i="18"/>
  <c r="K24" i="18"/>
  <c r="K23" i="18"/>
  <c r="J22" i="18"/>
  <c r="I22" i="18"/>
  <c r="K21" i="18"/>
  <c r="K20" i="18"/>
  <c r="K19" i="18"/>
  <c r="K18" i="18"/>
  <c r="K17" i="18"/>
  <c r="K16" i="18"/>
  <c r="K15" i="18"/>
  <c r="K14" i="18"/>
  <c r="K13" i="18"/>
  <c r="K12" i="18"/>
  <c r="K11" i="18"/>
  <c r="J10" i="18"/>
  <c r="J9" i="18" s="1"/>
  <c r="I10" i="18"/>
  <c r="I9" i="18" s="1"/>
  <c r="K150" i="19"/>
  <c r="K149" i="19"/>
  <c r="K148" i="19"/>
  <c r="K147" i="19"/>
  <c r="K145" i="19"/>
  <c r="K144" i="19"/>
  <c r="J143" i="19"/>
  <c r="I143" i="19"/>
  <c r="K141" i="19"/>
  <c r="K140" i="19"/>
  <c r="K139" i="19"/>
  <c r="K138" i="19"/>
  <c r="K137" i="19"/>
  <c r="K136" i="19"/>
  <c r="K135" i="19"/>
  <c r="J134" i="19"/>
  <c r="I134" i="19"/>
  <c r="K133" i="19"/>
  <c r="K132" i="19"/>
  <c r="K131" i="19"/>
  <c r="K130" i="19"/>
  <c r="K129" i="19"/>
  <c r="I128" i="19"/>
  <c r="K127" i="19"/>
  <c r="K126" i="19"/>
  <c r="K125" i="19"/>
  <c r="I124" i="19"/>
  <c r="J123" i="19"/>
  <c r="K122" i="19"/>
  <c r="K121" i="19"/>
  <c r="K120" i="19"/>
  <c r="K119" i="19"/>
  <c r="K118" i="19"/>
  <c r="K117" i="19"/>
  <c r="K116" i="19"/>
  <c r="J114" i="19"/>
  <c r="K113" i="19"/>
  <c r="K110" i="19"/>
  <c r="K109" i="19"/>
  <c r="K108" i="19"/>
  <c r="K107" i="19"/>
  <c r="K106" i="19"/>
  <c r="J105" i="19"/>
  <c r="I105" i="19"/>
  <c r="K104" i="19"/>
  <c r="K103" i="19"/>
  <c r="K102" i="19"/>
  <c r="J101" i="19"/>
  <c r="I101" i="19"/>
  <c r="I100" i="19"/>
  <c r="K100" i="19" s="1"/>
  <c r="K99" i="19"/>
  <c r="I98" i="19"/>
  <c r="K98" i="19" s="1"/>
  <c r="K97" i="19"/>
  <c r="K96" i="19"/>
  <c r="K95" i="19"/>
  <c r="K94" i="19"/>
  <c r="K93" i="19"/>
  <c r="I92" i="19"/>
  <c r="I91" i="19"/>
  <c r="K91" i="19" s="1"/>
  <c r="K90" i="19"/>
  <c r="J89" i="19"/>
  <c r="K84" i="19"/>
  <c r="K83" i="19"/>
  <c r="K81" i="19"/>
  <c r="K80" i="19"/>
  <c r="J79" i="19"/>
  <c r="J75" i="19" s="1"/>
  <c r="J74" i="19" s="1"/>
  <c r="I79" i="19"/>
  <c r="K78" i="19"/>
  <c r="K77" i="19"/>
  <c r="K76" i="19"/>
  <c r="I75" i="19"/>
  <c r="K72" i="19"/>
  <c r="K71" i="19"/>
  <c r="J70" i="19"/>
  <c r="I70" i="19"/>
  <c r="K69" i="19"/>
  <c r="K68" i="19"/>
  <c r="J67" i="19"/>
  <c r="I67" i="19"/>
  <c r="K66" i="19"/>
  <c r="K65" i="19"/>
  <c r="K64" i="19"/>
  <c r="K63" i="19"/>
  <c r="K62" i="19"/>
  <c r="J61" i="19"/>
  <c r="I61" i="19"/>
  <c r="K60" i="19"/>
  <c r="K59" i="19"/>
  <c r="K58" i="19"/>
  <c r="K57" i="19"/>
  <c r="K56" i="19"/>
  <c r="K55" i="19"/>
  <c r="K54" i="19"/>
  <c r="K53" i="19"/>
  <c r="K52" i="19"/>
  <c r="K51" i="19"/>
  <c r="K50" i="19"/>
  <c r="J49" i="19"/>
  <c r="J45" i="19" s="1"/>
  <c r="I49" i="19"/>
  <c r="K48" i="19"/>
  <c r="K47" i="19"/>
  <c r="K46" i="19"/>
  <c r="I45" i="19"/>
  <c r="K44" i="19"/>
  <c r="K43" i="19"/>
  <c r="K42" i="19"/>
  <c r="K41" i="19"/>
  <c r="K40" i="19"/>
  <c r="K39" i="19"/>
  <c r="J38" i="19"/>
  <c r="I38" i="19"/>
  <c r="K37" i="19"/>
  <c r="K36" i="19"/>
  <c r="K35" i="19"/>
  <c r="J34" i="19"/>
  <c r="I34" i="19"/>
  <c r="K33" i="19"/>
  <c r="K32" i="19"/>
  <c r="J31" i="19"/>
  <c r="J30" i="19" s="1"/>
  <c r="I31" i="19"/>
  <c r="I30" i="19" s="1"/>
  <c r="K29" i="19"/>
  <c r="K28" i="19"/>
  <c r="K27" i="19"/>
  <c r="J26" i="19"/>
  <c r="I26" i="19"/>
  <c r="K24" i="19"/>
  <c r="K23" i="19"/>
  <c r="J22" i="19"/>
  <c r="I22" i="19"/>
  <c r="K21" i="19"/>
  <c r="K20" i="19"/>
  <c r="K19" i="19"/>
  <c r="K18" i="19"/>
  <c r="K17" i="19"/>
  <c r="K16" i="19"/>
  <c r="K15" i="19"/>
  <c r="K14" i="19"/>
  <c r="K13" i="19"/>
  <c r="K12" i="19"/>
  <c r="K11" i="19"/>
  <c r="J10" i="19"/>
  <c r="J9" i="19" s="1"/>
  <c r="I10" i="19"/>
  <c r="J150" i="5"/>
  <c r="J150" i="4" s="1"/>
  <c r="I150" i="5"/>
  <c r="I150" i="4" s="1"/>
  <c r="J149" i="5"/>
  <c r="J149" i="4" s="1"/>
  <c r="I149" i="5"/>
  <c r="I149" i="4" s="1"/>
  <c r="J148" i="5"/>
  <c r="J148" i="4" s="1"/>
  <c r="I148" i="5"/>
  <c r="I148" i="4" s="1"/>
  <c r="J147" i="5"/>
  <c r="J147" i="4" s="1"/>
  <c r="I147" i="5"/>
  <c r="I147" i="4" s="1"/>
  <c r="K146" i="5"/>
  <c r="J146" i="5"/>
  <c r="J146" i="4" s="1"/>
  <c r="I146" i="5"/>
  <c r="I146" i="4" s="1"/>
  <c r="J145" i="5"/>
  <c r="J145" i="4" s="1"/>
  <c r="I145" i="5"/>
  <c r="I145" i="4" s="1"/>
  <c r="J144" i="5"/>
  <c r="J144" i="4" s="1"/>
  <c r="I144" i="5"/>
  <c r="I144" i="4" s="1"/>
  <c r="J141" i="5"/>
  <c r="J141" i="4" s="1"/>
  <c r="I141" i="5"/>
  <c r="I141" i="4" s="1"/>
  <c r="J140" i="5"/>
  <c r="J140" i="4" s="1"/>
  <c r="I140" i="5"/>
  <c r="I140" i="4" s="1"/>
  <c r="J139" i="5"/>
  <c r="J139" i="4" s="1"/>
  <c r="I139" i="5"/>
  <c r="I139" i="4" s="1"/>
  <c r="J138" i="5"/>
  <c r="J138" i="4" s="1"/>
  <c r="I138" i="5"/>
  <c r="I138" i="4" s="1"/>
  <c r="J137" i="5"/>
  <c r="J137" i="4" s="1"/>
  <c r="I137" i="5"/>
  <c r="I137" i="4" s="1"/>
  <c r="J136" i="5"/>
  <c r="J136" i="4" s="1"/>
  <c r="I136" i="5"/>
  <c r="I136" i="4" s="1"/>
  <c r="J135" i="5"/>
  <c r="J135" i="4" s="1"/>
  <c r="I135" i="5"/>
  <c r="I135" i="4" s="1"/>
  <c r="J133" i="5"/>
  <c r="J133" i="4" s="1"/>
  <c r="I133" i="5"/>
  <c r="I133" i="4" s="1"/>
  <c r="J132" i="5"/>
  <c r="J132" i="4" s="1"/>
  <c r="I132" i="5"/>
  <c r="I132" i="4" s="1"/>
  <c r="J131" i="5"/>
  <c r="J131" i="4" s="1"/>
  <c r="I131" i="5"/>
  <c r="I131" i="4" s="1"/>
  <c r="J130" i="5"/>
  <c r="J130" i="4" s="1"/>
  <c r="I130" i="5"/>
  <c r="I130" i="4" s="1"/>
  <c r="J129" i="5"/>
  <c r="J129" i="4" s="1"/>
  <c r="I129" i="5"/>
  <c r="I129" i="4" s="1"/>
  <c r="J127" i="5"/>
  <c r="J127" i="4" s="1"/>
  <c r="I127" i="5"/>
  <c r="I127" i="4" s="1"/>
  <c r="J126" i="5"/>
  <c r="J126" i="4" s="1"/>
  <c r="I126" i="5"/>
  <c r="I126" i="4" s="1"/>
  <c r="J125" i="5"/>
  <c r="J125" i="4" s="1"/>
  <c r="I125" i="5"/>
  <c r="I125" i="4" s="1"/>
  <c r="J124" i="5"/>
  <c r="J124" i="4" s="1"/>
  <c r="J122" i="5"/>
  <c r="J122" i="4" s="1"/>
  <c r="I122" i="5"/>
  <c r="I122" i="4" s="1"/>
  <c r="J121" i="5"/>
  <c r="J121" i="4" s="1"/>
  <c r="I121" i="5"/>
  <c r="I121" i="4" s="1"/>
  <c r="J120" i="5"/>
  <c r="J120" i="4" s="1"/>
  <c r="I120" i="5"/>
  <c r="I120" i="4" s="1"/>
  <c r="J119" i="5"/>
  <c r="J119" i="4" s="1"/>
  <c r="I119" i="5"/>
  <c r="I119" i="4" s="1"/>
  <c r="J118" i="5"/>
  <c r="J118" i="4" s="1"/>
  <c r="AT118" i="4" s="1"/>
  <c r="I118" i="5"/>
  <c r="I118" i="4" s="1"/>
  <c r="J117" i="5"/>
  <c r="J117" i="4" s="1"/>
  <c r="I117" i="5"/>
  <c r="I117" i="4" s="1"/>
  <c r="J116" i="5"/>
  <c r="J116" i="4" s="1"/>
  <c r="AT116" i="4" s="1"/>
  <c r="I116" i="5"/>
  <c r="I116" i="4" s="1"/>
  <c r="J115" i="5"/>
  <c r="J115" i="4" s="1"/>
  <c r="J113" i="5"/>
  <c r="J113" i="4" s="1"/>
  <c r="I113" i="5"/>
  <c r="I113" i="4" s="1"/>
  <c r="J112" i="5"/>
  <c r="J112" i="4" s="1"/>
  <c r="J110" i="5"/>
  <c r="J110" i="4" s="1"/>
  <c r="AT110" i="4" s="1"/>
  <c r="I110" i="5"/>
  <c r="I110" i="4" s="1"/>
  <c r="J109" i="5"/>
  <c r="J109" i="4" s="1"/>
  <c r="I109" i="5"/>
  <c r="I109" i="4" s="1"/>
  <c r="J108" i="5"/>
  <c r="J108" i="4" s="1"/>
  <c r="I108" i="5"/>
  <c r="I108" i="4" s="1"/>
  <c r="J107" i="5"/>
  <c r="J107" i="4" s="1"/>
  <c r="I107" i="5"/>
  <c r="I107" i="4" s="1"/>
  <c r="J106" i="5"/>
  <c r="J106" i="4" s="1"/>
  <c r="AT106" i="4" s="1"/>
  <c r="J104" i="5"/>
  <c r="J104" i="4" s="1"/>
  <c r="I104" i="5"/>
  <c r="I104" i="4" s="1"/>
  <c r="J103" i="5"/>
  <c r="J103" i="4" s="1"/>
  <c r="I103" i="5"/>
  <c r="I103" i="4" s="1"/>
  <c r="J102" i="5"/>
  <c r="J102" i="4" s="1"/>
  <c r="I102" i="5"/>
  <c r="I102" i="4" s="1"/>
  <c r="J100" i="5"/>
  <c r="J100" i="4" s="1"/>
  <c r="J99" i="5"/>
  <c r="J99" i="4" s="1"/>
  <c r="I99" i="5"/>
  <c r="I99" i="4" s="1"/>
  <c r="J98" i="5"/>
  <c r="J98" i="4" s="1"/>
  <c r="J97" i="5"/>
  <c r="J97" i="4" s="1"/>
  <c r="I97" i="5"/>
  <c r="I97" i="4" s="1"/>
  <c r="J96" i="5"/>
  <c r="J96" i="4" s="1"/>
  <c r="I96" i="5"/>
  <c r="I96" i="4" s="1"/>
  <c r="J95" i="5"/>
  <c r="J95" i="4" s="1"/>
  <c r="I95" i="5"/>
  <c r="I95" i="4" s="1"/>
  <c r="J94" i="5"/>
  <c r="J94" i="4" s="1"/>
  <c r="I94" i="5"/>
  <c r="I94" i="4" s="1"/>
  <c r="J93" i="5"/>
  <c r="J93" i="4" s="1"/>
  <c r="I93" i="5"/>
  <c r="I93" i="4" s="1"/>
  <c r="J92" i="5"/>
  <c r="J92" i="4" s="1"/>
  <c r="J91" i="5"/>
  <c r="J91" i="4" s="1"/>
  <c r="J90" i="5"/>
  <c r="J90" i="4" s="1"/>
  <c r="I90" i="5"/>
  <c r="I90" i="4" s="1"/>
  <c r="J84" i="5"/>
  <c r="J84" i="4" s="1"/>
  <c r="I84" i="5"/>
  <c r="I84" i="4" s="1"/>
  <c r="J83" i="5"/>
  <c r="J83" i="4" s="1"/>
  <c r="K82" i="5"/>
  <c r="J82" i="5"/>
  <c r="J82" i="4" s="1"/>
  <c r="I82" i="5"/>
  <c r="I82" i="4" s="1"/>
  <c r="J81" i="5"/>
  <c r="J81" i="4" s="1"/>
  <c r="I81" i="5"/>
  <c r="I81" i="4" s="1"/>
  <c r="J80" i="5"/>
  <c r="J80" i="4" s="1"/>
  <c r="I80" i="5"/>
  <c r="I80" i="4" s="1"/>
  <c r="J78" i="5"/>
  <c r="J78" i="4" s="1"/>
  <c r="I78" i="5"/>
  <c r="I78" i="4" s="1"/>
  <c r="J77" i="5"/>
  <c r="J77" i="4" s="1"/>
  <c r="I77" i="5"/>
  <c r="I77" i="4" s="1"/>
  <c r="J76" i="5"/>
  <c r="J76" i="4" s="1"/>
  <c r="I76" i="5"/>
  <c r="I76" i="4" s="1"/>
  <c r="K72" i="5"/>
  <c r="J71" i="5"/>
  <c r="J71" i="4" s="1"/>
  <c r="I71" i="5"/>
  <c r="I71" i="4" s="1"/>
  <c r="J69" i="5"/>
  <c r="J69" i="4" s="1"/>
  <c r="I69" i="5"/>
  <c r="I69" i="4" s="1"/>
  <c r="J68" i="5"/>
  <c r="J68" i="4" s="1"/>
  <c r="I68" i="5"/>
  <c r="I68" i="4" s="1"/>
  <c r="J66" i="5"/>
  <c r="J66" i="4" s="1"/>
  <c r="I66" i="5"/>
  <c r="I66" i="4" s="1"/>
  <c r="J65" i="5"/>
  <c r="J65" i="4" s="1"/>
  <c r="I65" i="5"/>
  <c r="I65" i="4" s="1"/>
  <c r="J64" i="5"/>
  <c r="J64" i="4" s="1"/>
  <c r="I64" i="5"/>
  <c r="I64" i="4" s="1"/>
  <c r="J63" i="5"/>
  <c r="J63" i="4" s="1"/>
  <c r="I63" i="5"/>
  <c r="I63" i="4" s="1"/>
  <c r="J62" i="5"/>
  <c r="J62" i="4" s="1"/>
  <c r="I62" i="5"/>
  <c r="I62" i="4" s="1"/>
  <c r="J60" i="5"/>
  <c r="J60" i="4" s="1"/>
  <c r="I60" i="5"/>
  <c r="I60" i="4" s="1"/>
  <c r="J59" i="5"/>
  <c r="J59" i="4" s="1"/>
  <c r="I59" i="5"/>
  <c r="I59" i="4" s="1"/>
  <c r="J58" i="5"/>
  <c r="J58" i="4" s="1"/>
  <c r="I58" i="5"/>
  <c r="I58" i="4" s="1"/>
  <c r="J57" i="5"/>
  <c r="J57" i="4" s="1"/>
  <c r="I57" i="5"/>
  <c r="I57" i="4" s="1"/>
  <c r="J56" i="5"/>
  <c r="J56" i="4" s="1"/>
  <c r="I56" i="5"/>
  <c r="I56" i="4" s="1"/>
  <c r="J55" i="5"/>
  <c r="J55" i="4" s="1"/>
  <c r="I55" i="5"/>
  <c r="I55" i="4" s="1"/>
  <c r="J54" i="5"/>
  <c r="J54" i="4" s="1"/>
  <c r="I54" i="5"/>
  <c r="I54" i="4" s="1"/>
  <c r="J53" i="5"/>
  <c r="J53" i="4" s="1"/>
  <c r="I53" i="5"/>
  <c r="I53" i="4" s="1"/>
  <c r="J52" i="5"/>
  <c r="J52" i="4" s="1"/>
  <c r="I52" i="5"/>
  <c r="I52" i="4" s="1"/>
  <c r="J51" i="5"/>
  <c r="J51" i="4" s="1"/>
  <c r="I51" i="5"/>
  <c r="I51" i="4" s="1"/>
  <c r="J50" i="5"/>
  <c r="J50" i="4" s="1"/>
  <c r="I50" i="5"/>
  <c r="I50" i="4" s="1"/>
  <c r="J48" i="5"/>
  <c r="J48" i="4" s="1"/>
  <c r="I48" i="5"/>
  <c r="I48" i="4" s="1"/>
  <c r="J47" i="5"/>
  <c r="J47" i="4" s="1"/>
  <c r="I47" i="5"/>
  <c r="I47" i="4" s="1"/>
  <c r="J46" i="5"/>
  <c r="J46" i="4" s="1"/>
  <c r="I46" i="5"/>
  <c r="I46" i="4" s="1"/>
  <c r="J44" i="5"/>
  <c r="J44" i="4" s="1"/>
  <c r="I44" i="5"/>
  <c r="I44" i="4" s="1"/>
  <c r="J43" i="5"/>
  <c r="J43" i="4" s="1"/>
  <c r="AT43" i="4" s="1"/>
  <c r="I43" i="5"/>
  <c r="I43" i="4" s="1"/>
  <c r="J42" i="5"/>
  <c r="J42" i="4" s="1"/>
  <c r="I42" i="5"/>
  <c r="I42" i="4" s="1"/>
  <c r="J41" i="5"/>
  <c r="J41" i="4" s="1"/>
  <c r="AT41" i="4" s="1"/>
  <c r="I41" i="5"/>
  <c r="I41" i="4" s="1"/>
  <c r="J40" i="5"/>
  <c r="J40" i="4" s="1"/>
  <c r="I40" i="5"/>
  <c r="I40" i="4" s="1"/>
  <c r="J39" i="5"/>
  <c r="J39" i="4" s="1"/>
  <c r="AT39" i="4" s="1"/>
  <c r="I39" i="5"/>
  <c r="I39" i="4" s="1"/>
  <c r="J37" i="5"/>
  <c r="J37" i="4" s="1"/>
  <c r="I37" i="5"/>
  <c r="I37" i="4" s="1"/>
  <c r="J36" i="5"/>
  <c r="J36" i="4" s="1"/>
  <c r="AT36" i="4" s="1"/>
  <c r="I36" i="5"/>
  <c r="I36" i="4" s="1"/>
  <c r="J35" i="5"/>
  <c r="J35" i="4" s="1"/>
  <c r="I35" i="5"/>
  <c r="I35" i="4" s="1"/>
  <c r="J33" i="5"/>
  <c r="J33" i="4" s="1"/>
  <c r="AT33" i="4" s="1"/>
  <c r="I33" i="5"/>
  <c r="I33" i="4" s="1"/>
  <c r="J32" i="5"/>
  <c r="J32" i="4" s="1"/>
  <c r="I32" i="5"/>
  <c r="I32" i="4" s="1"/>
  <c r="J29" i="5"/>
  <c r="J29" i="4" s="1"/>
  <c r="AT29" i="4" s="1"/>
  <c r="I29" i="5"/>
  <c r="I29" i="4" s="1"/>
  <c r="J28" i="5"/>
  <c r="J28" i="4" s="1"/>
  <c r="I28" i="5"/>
  <c r="I28" i="4" s="1"/>
  <c r="J27" i="5"/>
  <c r="J27" i="4" s="1"/>
  <c r="AT27" i="4" s="1"/>
  <c r="I27" i="5"/>
  <c r="I27" i="4" s="1"/>
  <c r="J24" i="5"/>
  <c r="J24" i="4" s="1"/>
  <c r="I24" i="5"/>
  <c r="I24" i="4" s="1"/>
  <c r="J23" i="5"/>
  <c r="J23" i="4" s="1"/>
  <c r="AT23" i="4" s="1"/>
  <c r="I23" i="5"/>
  <c r="I23" i="4" s="1"/>
  <c r="J21" i="5"/>
  <c r="J21" i="4" s="1"/>
  <c r="I21" i="5"/>
  <c r="I21" i="4" s="1"/>
  <c r="J20" i="5"/>
  <c r="J20" i="4" s="1"/>
  <c r="AT20" i="4" s="1"/>
  <c r="I20" i="5"/>
  <c r="I20" i="4" s="1"/>
  <c r="J19" i="5"/>
  <c r="J19" i="4" s="1"/>
  <c r="I19" i="5"/>
  <c r="I19" i="4" s="1"/>
  <c r="J18" i="5"/>
  <c r="J18" i="4" s="1"/>
  <c r="AT18" i="4" s="1"/>
  <c r="I18" i="5"/>
  <c r="I18" i="4" s="1"/>
  <c r="J17" i="5"/>
  <c r="J17" i="4" s="1"/>
  <c r="I17" i="5"/>
  <c r="I17" i="4" s="1"/>
  <c r="J16" i="5"/>
  <c r="J16" i="4" s="1"/>
  <c r="AT16" i="4" s="1"/>
  <c r="I16" i="5"/>
  <c r="I16" i="4" s="1"/>
  <c r="J15" i="5"/>
  <c r="J15" i="4" s="1"/>
  <c r="I15" i="5"/>
  <c r="I15" i="4" s="1"/>
  <c r="J14" i="5"/>
  <c r="J14" i="4" s="1"/>
  <c r="I14" i="5"/>
  <c r="I14" i="4" s="1"/>
  <c r="J13" i="5"/>
  <c r="J13" i="4" s="1"/>
  <c r="I13" i="5"/>
  <c r="I13" i="4" s="1"/>
  <c r="J12" i="5"/>
  <c r="J12" i="4" s="1"/>
  <c r="I12" i="5"/>
  <c r="I12" i="4" s="1"/>
  <c r="J11" i="5"/>
  <c r="J11" i="4" s="1"/>
  <c r="I11" i="5"/>
  <c r="I11" i="4" s="1"/>
  <c r="AH72" i="4"/>
  <c r="V72" i="4"/>
  <c r="U72" i="4"/>
  <c r="J72" i="4"/>
  <c r="I72" i="4"/>
  <c r="O72" i="4"/>
  <c r="P72" i="4"/>
  <c r="F147" i="12"/>
  <c r="F83" i="22"/>
  <c r="F83" i="19"/>
  <c r="AT90" i="4" l="1"/>
  <c r="AT94" i="4"/>
  <c r="AT96" i="4"/>
  <c r="AT100" i="4"/>
  <c r="AT103" i="4"/>
  <c r="AT113" i="4"/>
  <c r="I123" i="36"/>
  <c r="I111" i="36" s="1"/>
  <c r="I142" i="36" s="1"/>
  <c r="I88" i="53"/>
  <c r="AT15" i="4"/>
  <c r="AT17" i="4"/>
  <c r="AT19" i="4"/>
  <c r="AT21" i="4"/>
  <c r="AT24" i="4"/>
  <c r="AT28" i="4"/>
  <c r="AT32" i="4"/>
  <c r="AT35" i="4"/>
  <c r="AT37" i="4"/>
  <c r="AT40" i="4"/>
  <c r="AT42" i="4"/>
  <c r="AT44" i="4"/>
  <c r="AT98" i="4"/>
  <c r="AT99" i="4"/>
  <c r="AT107" i="4"/>
  <c r="AT108" i="4"/>
  <c r="AT109" i="4"/>
  <c r="AT115" i="4"/>
  <c r="AT117" i="4"/>
  <c r="AT119" i="4"/>
  <c r="AT121" i="4"/>
  <c r="AT122" i="4"/>
  <c r="AT147" i="4"/>
  <c r="AT148" i="4"/>
  <c r="AT149" i="4"/>
  <c r="AT150" i="4"/>
  <c r="AT92" i="4"/>
  <c r="AT62" i="4"/>
  <c r="AT63" i="4"/>
  <c r="AT64" i="4"/>
  <c r="AT65" i="4"/>
  <c r="AT66" i="4"/>
  <c r="AT91" i="4"/>
  <c r="AT14" i="4"/>
  <c r="J111" i="37"/>
  <c r="BS26" i="59"/>
  <c r="I26" i="45" s="1"/>
  <c r="K26" i="45" s="1"/>
  <c r="BS34" i="59"/>
  <c r="I34" i="45" s="1"/>
  <c r="K34" i="45" s="1"/>
  <c r="BS67" i="59"/>
  <c r="I67" i="45" s="1"/>
  <c r="K67" i="45" s="1"/>
  <c r="BS101" i="59"/>
  <c r="I101" i="45" s="1"/>
  <c r="K101" i="45" s="1"/>
  <c r="BS10" i="59"/>
  <c r="I10" i="45" s="1"/>
  <c r="K10" i="45" s="1"/>
  <c r="BS31" i="59"/>
  <c r="I31" i="45" s="1"/>
  <c r="K31" i="45" s="1"/>
  <c r="BS38" i="59"/>
  <c r="I38" i="45" s="1"/>
  <c r="K38" i="45" s="1"/>
  <c r="BS61" i="59"/>
  <c r="I61" i="45" s="1"/>
  <c r="K61" i="45" s="1"/>
  <c r="BS70" i="59"/>
  <c r="I70" i="45" s="1"/>
  <c r="K70" i="45" s="1"/>
  <c r="BS89" i="59"/>
  <c r="I89" i="45" s="1"/>
  <c r="K89" i="45" s="1"/>
  <c r="BS105" i="59"/>
  <c r="I105" i="45" s="1"/>
  <c r="K105" i="45" s="1"/>
  <c r="BS124" i="59"/>
  <c r="I124" i="45" s="1"/>
  <c r="K124" i="45" s="1"/>
  <c r="BS21" i="59"/>
  <c r="I21" i="45" s="1"/>
  <c r="K21" i="45" s="1"/>
  <c r="AT76" i="4"/>
  <c r="AT77" i="4"/>
  <c r="AT78" i="4"/>
  <c r="AT80" i="4"/>
  <c r="AT81" i="4"/>
  <c r="AT82" i="4"/>
  <c r="AT93" i="4"/>
  <c r="AT95" i="4"/>
  <c r="AT97" i="4"/>
  <c r="AT102" i="4"/>
  <c r="AT104" i="4"/>
  <c r="AT112" i="4"/>
  <c r="AT124" i="4"/>
  <c r="AT125" i="4"/>
  <c r="AT126" i="4"/>
  <c r="AT127" i="4"/>
  <c r="AT129" i="4"/>
  <c r="AT130" i="4"/>
  <c r="AT131" i="4"/>
  <c r="AT132" i="4"/>
  <c r="W19" i="76" s="1"/>
  <c r="AT135" i="4"/>
  <c r="AT136" i="4"/>
  <c r="AT137" i="4"/>
  <c r="AT138" i="4"/>
  <c r="AT139" i="4"/>
  <c r="AT140" i="4"/>
  <c r="AT141" i="4"/>
  <c r="W26" i="76" s="1"/>
  <c r="W27" i="76" s="1"/>
  <c r="AT144" i="4"/>
  <c r="AT145" i="4"/>
  <c r="AT146" i="4"/>
  <c r="J60" i="60" s="1"/>
  <c r="J111" i="45"/>
  <c r="AT47" i="4"/>
  <c r="AT48" i="4"/>
  <c r="AT50" i="4"/>
  <c r="AT51" i="4"/>
  <c r="AT52" i="4"/>
  <c r="AT53" i="4"/>
  <c r="AT54" i="4"/>
  <c r="AT68" i="4"/>
  <c r="AT133" i="4"/>
  <c r="W21" i="76" s="1"/>
  <c r="J142" i="37"/>
  <c r="J151" i="37" s="1"/>
  <c r="E45" i="59"/>
  <c r="BS49" i="59"/>
  <c r="I49" i="45" s="1"/>
  <c r="K49" i="45" s="1"/>
  <c r="E75" i="59"/>
  <c r="E128" i="59"/>
  <c r="BS134" i="59"/>
  <c r="I134" i="45" s="1"/>
  <c r="K134" i="45" s="1"/>
  <c r="Y114" i="59"/>
  <c r="BS121" i="59"/>
  <c r="I121" i="45" s="1"/>
  <c r="K121" i="45" s="1"/>
  <c r="AS82" i="4"/>
  <c r="AS104" i="4"/>
  <c r="AS149" i="4"/>
  <c r="AT72" i="4"/>
  <c r="AT46" i="4"/>
  <c r="AT55" i="4"/>
  <c r="AT56" i="4"/>
  <c r="AT57" i="4"/>
  <c r="AT58" i="4"/>
  <c r="AT59" i="4"/>
  <c r="AT60" i="4"/>
  <c r="AT71" i="4"/>
  <c r="AT83" i="4"/>
  <c r="AT84" i="4"/>
  <c r="AT69" i="4"/>
  <c r="AT120" i="4"/>
  <c r="I142" i="37"/>
  <c r="I151" i="37" s="1"/>
  <c r="BS147" i="59"/>
  <c r="I147" i="45" s="1"/>
  <c r="BS80" i="59"/>
  <c r="I80" i="45" s="1"/>
  <c r="AT11" i="4"/>
  <c r="AT12" i="4"/>
  <c r="AT13" i="4"/>
  <c r="K120" i="45"/>
  <c r="I120" i="7"/>
  <c r="K120" i="7" s="1"/>
  <c r="BS114" i="59"/>
  <c r="BS45" i="59"/>
  <c r="I45" i="45" s="1"/>
  <c r="K45" i="45" s="1"/>
  <c r="J111" i="31"/>
  <c r="K111" i="31" s="1"/>
  <c r="J111" i="51"/>
  <c r="J142" i="51" s="1"/>
  <c r="J151" i="51" s="1"/>
  <c r="I114" i="27"/>
  <c r="J111" i="32"/>
  <c r="J142" i="32" s="1"/>
  <c r="J151" i="32" s="1"/>
  <c r="I123" i="32"/>
  <c r="I111" i="32" s="1"/>
  <c r="I138" i="45"/>
  <c r="K138" i="45" s="1"/>
  <c r="AY9" i="59"/>
  <c r="J111" i="26"/>
  <c r="J142" i="26" s="1"/>
  <c r="J151" i="26" s="1"/>
  <c r="J111" i="13"/>
  <c r="J142" i="13" s="1"/>
  <c r="J151" i="13" s="1"/>
  <c r="I30" i="27"/>
  <c r="I25" i="27" s="1"/>
  <c r="I73" i="27" s="1"/>
  <c r="I123" i="13"/>
  <c r="K123" i="13" s="1"/>
  <c r="I46" i="6"/>
  <c r="U46" i="4" s="1"/>
  <c r="W46" i="4" s="1"/>
  <c r="I123" i="26"/>
  <c r="K123" i="26" s="1"/>
  <c r="J111" i="14"/>
  <c r="J142" i="14" s="1"/>
  <c r="J151" i="14" s="1"/>
  <c r="I123" i="14"/>
  <c r="I111" i="14" s="1"/>
  <c r="I123" i="29"/>
  <c r="I111" i="29" s="1"/>
  <c r="I142" i="29" s="1"/>
  <c r="I123" i="28"/>
  <c r="K123" i="28" s="1"/>
  <c r="I79" i="8"/>
  <c r="I75" i="8" s="1"/>
  <c r="K75" i="8" s="1"/>
  <c r="J25" i="48"/>
  <c r="J73" i="48" s="1"/>
  <c r="J85" i="48" s="1"/>
  <c r="K30" i="26"/>
  <c r="AQ9" i="59"/>
  <c r="AQ30" i="59"/>
  <c r="AQ25" i="59" s="1"/>
  <c r="AQ88" i="59"/>
  <c r="AY88" i="59"/>
  <c r="J111" i="20"/>
  <c r="K54" i="5"/>
  <c r="I123" i="20"/>
  <c r="I123" i="6" s="1"/>
  <c r="U123" i="4" s="1"/>
  <c r="J111" i="27"/>
  <c r="J142" i="27" s="1"/>
  <c r="J151" i="27" s="1"/>
  <c r="K69" i="5"/>
  <c r="J70" i="5"/>
  <c r="J70" i="4" s="1"/>
  <c r="K131" i="6"/>
  <c r="K75" i="10"/>
  <c r="K101" i="10"/>
  <c r="K111" i="10"/>
  <c r="K114" i="10"/>
  <c r="K123" i="10"/>
  <c r="K128" i="10"/>
  <c r="K143" i="11"/>
  <c r="K22" i="12"/>
  <c r="K67" i="12"/>
  <c r="K105" i="12"/>
  <c r="K111" i="12"/>
  <c r="K123" i="12"/>
  <c r="I128" i="12"/>
  <c r="I142" i="12" s="1"/>
  <c r="I151" i="12" s="1"/>
  <c r="J25" i="13"/>
  <c r="J73" i="13" s="1"/>
  <c r="J85" i="13" s="1"/>
  <c r="K74" i="13"/>
  <c r="K101" i="13"/>
  <c r="K143" i="13"/>
  <c r="K22" i="14"/>
  <c r="K26" i="14"/>
  <c r="J111" i="15"/>
  <c r="K34" i="16"/>
  <c r="K143" i="16"/>
  <c r="K61" i="32"/>
  <c r="K67" i="31"/>
  <c r="K70" i="31"/>
  <c r="K105" i="31"/>
  <c r="K143" i="30"/>
  <c r="K22" i="29"/>
  <c r="K67" i="29"/>
  <c r="K70" i="29"/>
  <c r="K143" i="29"/>
  <c r="K22" i="28"/>
  <c r="K26" i="28"/>
  <c r="K34" i="28"/>
  <c r="K67" i="28"/>
  <c r="K89" i="28"/>
  <c r="K101" i="28"/>
  <c r="K61" i="27"/>
  <c r="K88" i="27"/>
  <c r="K101" i="27"/>
  <c r="K123" i="27"/>
  <c r="K38" i="26"/>
  <c r="K45" i="26"/>
  <c r="K61" i="37"/>
  <c r="K149" i="45"/>
  <c r="I137" i="45"/>
  <c r="K137" i="45" s="1"/>
  <c r="I123" i="15"/>
  <c r="I111" i="15" s="1"/>
  <c r="K145" i="6"/>
  <c r="K148" i="6"/>
  <c r="K30" i="46"/>
  <c r="J25" i="46"/>
  <c r="J73" i="46" s="1"/>
  <c r="J88" i="45"/>
  <c r="J142" i="45" s="1"/>
  <c r="J151" i="45" s="1"/>
  <c r="K104" i="45"/>
  <c r="K47" i="5"/>
  <c r="K65" i="5"/>
  <c r="J88" i="19"/>
  <c r="K99" i="5"/>
  <c r="K148" i="5"/>
  <c r="I25" i="18"/>
  <c r="I55" i="6"/>
  <c r="U55" i="4" s="1"/>
  <c r="W55" i="4" s="1"/>
  <c r="K16" i="6"/>
  <c r="I26" i="6"/>
  <c r="U26" i="4" s="1"/>
  <c r="K92" i="6"/>
  <c r="K96" i="6"/>
  <c r="J88" i="22"/>
  <c r="J105" i="6"/>
  <c r="V105" i="4" s="1"/>
  <c r="K119" i="6"/>
  <c r="K125" i="6"/>
  <c r="K127" i="6"/>
  <c r="K129" i="6"/>
  <c r="K133" i="6"/>
  <c r="J128" i="6"/>
  <c r="V128" i="4" s="1"/>
  <c r="K143" i="22"/>
  <c r="I25" i="21"/>
  <c r="K30" i="20"/>
  <c r="K61" i="20"/>
  <c r="I136" i="7"/>
  <c r="AG136" i="4" s="1"/>
  <c r="K30" i="9"/>
  <c r="J111" i="17"/>
  <c r="K27" i="5"/>
  <c r="K28" i="6"/>
  <c r="K135" i="6"/>
  <c r="K102" i="6"/>
  <c r="K12" i="5"/>
  <c r="I83" i="5"/>
  <c r="I83" i="4" s="1"/>
  <c r="K83" i="4" s="1"/>
  <c r="J9" i="22"/>
  <c r="J9" i="6" s="1"/>
  <c r="V9" i="4" s="1"/>
  <c r="J10" i="6"/>
  <c r="V10" i="4" s="1"/>
  <c r="K108" i="22"/>
  <c r="K108" i="6" s="1"/>
  <c r="I108" i="6"/>
  <c r="U108" i="4" s="1"/>
  <c r="W108" i="4" s="1"/>
  <c r="K110" i="22"/>
  <c r="I110" i="6"/>
  <c r="U110" i="4" s="1"/>
  <c r="W110" i="4" s="1"/>
  <c r="K106" i="21"/>
  <c r="I106" i="6"/>
  <c r="U106" i="4" s="1"/>
  <c r="W106" i="4" s="1"/>
  <c r="K124" i="21"/>
  <c r="K124" i="6" s="1"/>
  <c r="I124" i="6"/>
  <c r="U124" i="4" s="1"/>
  <c r="W124" i="4" s="1"/>
  <c r="K16" i="45"/>
  <c r="I16" i="7"/>
  <c r="AG16" i="4" s="1"/>
  <c r="I9" i="19"/>
  <c r="I9" i="5" s="1"/>
  <c r="I9" i="4" s="1"/>
  <c r="I10" i="5"/>
  <c r="I10" i="4" s="1"/>
  <c r="I25" i="19"/>
  <c r="K81" i="5"/>
  <c r="J111" i="18"/>
  <c r="K30" i="57"/>
  <c r="K34" i="57"/>
  <c r="J25" i="57"/>
  <c r="K61" i="57"/>
  <c r="K11" i="6"/>
  <c r="K13" i="6"/>
  <c r="K116" i="6"/>
  <c r="K111" i="46"/>
  <c r="K141" i="6"/>
  <c r="K150" i="6"/>
  <c r="K143" i="21"/>
  <c r="K9" i="58"/>
  <c r="J25" i="58"/>
  <c r="J73" i="58" s="1"/>
  <c r="J85" i="58" s="1"/>
  <c r="K38" i="58"/>
  <c r="K105" i="58"/>
  <c r="K111" i="58"/>
  <c r="K123" i="58"/>
  <c r="K49" i="8"/>
  <c r="I25" i="9"/>
  <c r="K38" i="9"/>
  <c r="K70" i="9"/>
  <c r="K30" i="63"/>
  <c r="K61" i="63"/>
  <c r="K88" i="63"/>
  <c r="K101" i="63"/>
  <c r="K34" i="49"/>
  <c r="K143" i="49"/>
  <c r="K22" i="15"/>
  <c r="I88" i="17"/>
  <c r="K143" i="37"/>
  <c r="K22" i="36"/>
  <c r="K67" i="36"/>
  <c r="K70" i="36"/>
  <c r="K105" i="36"/>
  <c r="K143" i="36"/>
  <c r="K22" i="35"/>
  <c r="K67" i="35"/>
  <c r="K70" i="35"/>
  <c r="K105" i="35"/>
  <c r="K34" i="50"/>
  <c r="K34" i="47"/>
  <c r="I123" i="18"/>
  <c r="I111" i="18" s="1"/>
  <c r="K72" i="4"/>
  <c r="I31" i="5"/>
  <c r="I31" i="4" s="1"/>
  <c r="I98" i="5"/>
  <c r="I98" i="4" s="1"/>
  <c r="K98" i="4" s="1"/>
  <c r="K23" i="5"/>
  <c r="K91" i="5"/>
  <c r="K93" i="5"/>
  <c r="K95" i="5"/>
  <c r="K97" i="5"/>
  <c r="J101" i="5"/>
  <c r="J101" i="4" s="1"/>
  <c r="K103" i="5"/>
  <c r="K117" i="5"/>
  <c r="K125" i="5"/>
  <c r="K127" i="5"/>
  <c r="K129" i="5"/>
  <c r="K131" i="5"/>
  <c r="K133" i="5"/>
  <c r="K49" i="18"/>
  <c r="K67" i="18"/>
  <c r="K70" i="18"/>
  <c r="K79" i="18"/>
  <c r="I89" i="18"/>
  <c r="I88" i="18" s="1"/>
  <c r="K96" i="5"/>
  <c r="K134" i="57"/>
  <c r="J134" i="6"/>
  <c r="V134" i="4" s="1"/>
  <c r="I25" i="22"/>
  <c r="K64" i="6"/>
  <c r="J88" i="46"/>
  <c r="J142" i="46" s="1"/>
  <c r="K101" i="46"/>
  <c r="K143" i="46"/>
  <c r="J88" i="15"/>
  <c r="K61" i="21"/>
  <c r="K38" i="20"/>
  <c r="I88" i="20"/>
  <c r="K105" i="20"/>
  <c r="K143" i="20"/>
  <c r="K61" i="58"/>
  <c r="K143" i="58"/>
  <c r="K89" i="8"/>
  <c r="J111" i="8"/>
  <c r="J142" i="8" s="1"/>
  <c r="K143" i="9"/>
  <c r="K22" i="10"/>
  <c r="K26" i="10"/>
  <c r="K143" i="10"/>
  <c r="K22" i="11"/>
  <c r="K67" i="11"/>
  <c r="K70" i="11"/>
  <c r="K105" i="11"/>
  <c r="K111" i="11"/>
  <c r="K123" i="11"/>
  <c r="K61" i="13"/>
  <c r="K67" i="14"/>
  <c r="K70" i="14"/>
  <c r="K89" i="14"/>
  <c r="K101" i="14"/>
  <c r="K143" i="14"/>
  <c r="K22" i="49"/>
  <c r="K67" i="49"/>
  <c r="K70" i="49"/>
  <c r="K105" i="49"/>
  <c r="K34" i="15"/>
  <c r="I45" i="15"/>
  <c r="K45" i="15" s="1"/>
  <c r="K67" i="15"/>
  <c r="K70" i="15"/>
  <c r="K89" i="15"/>
  <c r="K143" i="15"/>
  <c r="K22" i="16"/>
  <c r="K67" i="16"/>
  <c r="K70" i="16"/>
  <c r="K105" i="16"/>
  <c r="J88" i="17"/>
  <c r="K101" i="17"/>
  <c r="J25" i="32"/>
  <c r="J73" i="32" s="1"/>
  <c r="J85" i="32" s="1"/>
  <c r="K38" i="32"/>
  <c r="K45" i="32"/>
  <c r="K74" i="32"/>
  <c r="K101" i="32"/>
  <c r="K143" i="32"/>
  <c r="K22" i="31"/>
  <c r="K26" i="31"/>
  <c r="K34" i="31"/>
  <c r="K143" i="31"/>
  <c r="K22" i="30"/>
  <c r="K67" i="30"/>
  <c r="K70" i="30"/>
  <c r="K105" i="30"/>
  <c r="J111" i="28"/>
  <c r="J142" i="28" s="1"/>
  <c r="J151" i="28" s="1"/>
  <c r="K38" i="27"/>
  <c r="K61" i="26"/>
  <c r="K88" i="26"/>
  <c r="K101" i="26"/>
  <c r="K143" i="26"/>
  <c r="K10" i="37"/>
  <c r="J25" i="37"/>
  <c r="J73" i="37" s="1"/>
  <c r="J85" i="37" s="1"/>
  <c r="K38" i="37"/>
  <c r="K45" i="37"/>
  <c r="K88" i="37"/>
  <c r="K89" i="37"/>
  <c r="K101" i="37"/>
  <c r="K123" i="37"/>
  <c r="K34" i="36"/>
  <c r="K143" i="35"/>
  <c r="K22" i="50"/>
  <c r="K67" i="50"/>
  <c r="K70" i="50"/>
  <c r="K105" i="50"/>
  <c r="K111" i="50"/>
  <c r="K123" i="50"/>
  <c r="K34" i="34"/>
  <c r="K143" i="34"/>
  <c r="K22" i="33"/>
  <c r="K67" i="33"/>
  <c r="K70" i="33"/>
  <c r="K105" i="33"/>
  <c r="K111" i="33"/>
  <c r="K123" i="33"/>
  <c r="K34" i="54"/>
  <c r="K143" i="54"/>
  <c r="K22" i="53"/>
  <c r="K67" i="53"/>
  <c r="K70" i="53"/>
  <c r="K105" i="53"/>
  <c r="K111" i="53"/>
  <c r="K123" i="53"/>
  <c r="K34" i="55"/>
  <c r="K143" i="55"/>
  <c r="K22" i="52"/>
  <c r="K67" i="52"/>
  <c r="K70" i="52"/>
  <c r="K105" i="52"/>
  <c r="K111" i="52"/>
  <c r="K123" i="52"/>
  <c r="K34" i="51"/>
  <c r="K61" i="48"/>
  <c r="K88" i="48"/>
  <c r="K101" i="48"/>
  <c r="Y88" i="59"/>
  <c r="Y123" i="59"/>
  <c r="Y111" i="59" s="1"/>
  <c r="AC30" i="59"/>
  <c r="AC25" i="59" s="1"/>
  <c r="AC73" i="59" s="1"/>
  <c r="AC85" i="59" s="1"/>
  <c r="BC111" i="59"/>
  <c r="BK30" i="59"/>
  <c r="BK25" i="59" s="1"/>
  <c r="BK73" i="59" s="1"/>
  <c r="BK85" i="59" s="1"/>
  <c r="J89" i="5"/>
  <c r="J89" i="4" s="1"/>
  <c r="K61" i="19"/>
  <c r="K29" i="5"/>
  <c r="K34" i="18"/>
  <c r="K63" i="5"/>
  <c r="K132" i="5"/>
  <c r="K150" i="5"/>
  <c r="K34" i="22"/>
  <c r="K49" i="22"/>
  <c r="K51" i="6"/>
  <c r="J123" i="6"/>
  <c r="V123" i="4" s="1"/>
  <c r="J88" i="20"/>
  <c r="J25" i="9"/>
  <c r="J73" i="9" s="1"/>
  <c r="K123" i="9"/>
  <c r="K34" i="10"/>
  <c r="K34" i="11"/>
  <c r="K38" i="13"/>
  <c r="J142" i="16"/>
  <c r="J151" i="16" s="1"/>
  <c r="K111" i="30"/>
  <c r="K123" i="30"/>
  <c r="K34" i="29"/>
  <c r="K70" i="28"/>
  <c r="J111" i="36"/>
  <c r="K34" i="35"/>
  <c r="J142" i="35"/>
  <c r="J151" i="35" s="1"/>
  <c r="J142" i="34"/>
  <c r="J151" i="34" s="1"/>
  <c r="J142" i="55"/>
  <c r="J151" i="55" s="1"/>
  <c r="M111" i="59"/>
  <c r="Q30" i="59"/>
  <c r="Q25" i="59" s="1"/>
  <c r="Q73" i="59" s="1"/>
  <c r="Q85" i="59" s="1"/>
  <c r="U88" i="59"/>
  <c r="AM9" i="59"/>
  <c r="AM30" i="59"/>
  <c r="AM25" i="59" s="1"/>
  <c r="AU9" i="59"/>
  <c r="K101" i="57"/>
  <c r="K39" i="6"/>
  <c r="K80" i="6"/>
  <c r="K34" i="21"/>
  <c r="K105" i="21"/>
  <c r="K31" i="8"/>
  <c r="K34" i="12"/>
  <c r="K38" i="63"/>
  <c r="K34" i="14"/>
  <c r="K111" i="49"/>
  <c r="K123" i="49"/>
  <c r="K111" i="16"/>
  <c r="K123" i="16"/>
  <c r="K123" i="31"/>
  <c r="K34" i="30"/>
  <c r="J142" i="30"/>
  <c r="J151" i="30" s="1"/>
  <c r="K105" i="29"/>
  <c r="J111" i="29"/>
  <c r="J142" i="29" s="1"/>
  <c r="J151" i="29" s="1"/>
  <c r="K111" i="35"/>
  <c r="K123" i="35"/>
  <c r="J142" i="50"/>
  <c r="J151" i="50" s="1"/>
  <c r="K143" i="50"/>
  <c r="K22" i="34"/>
  <c r="K67" i="34"/>
  <c r="K70" i="34"/>
  <c r="K105" i="34"/>
  <c r="K111" i="34"/>
  <c r="K123" i="34"/>
  <c r="K34" i="33"/>
  <c r="J142" i="33"/>
  <c r="J151" i="33" s="1"/>
  <c r="K143" i="33"/>
  <c r="K22" i="54"/>
  <c r="K67" i="54"/>
  <c r="K70" i="54"/>
  <c r="K105" i="54"/>
  <c r="K111" i="54"/>
  <c r="K123" i="54"/>
  <c r="K34" i="53"/>
  <c r="K143" i="53"/>
  <c r="K22" i="55"/>
  <c r="K67" i="55"/>
  <c r="K70" i="55"/>
  <c r="K105" i="55"/>
  <c r="K111" i="55"/>
  <c r="K123" i="55"/>
  <c r="K34" i="52"/>
  <c r="J142" i="52"/>
  <c r="J151" i="52" s="1"/>
  <c r="K143" i="52"/>
  <c r="K22" i="51"/>
  <c r="K61" i="51"/>
  <c r="K88" i="51"/>
  <c r="K101" i="51"/>
  <c r="K143" i="51"/>
  <c r="K22" i="47"/>
  <c r="K67" i="47"/>
  <c r="K70" i="47"/>
  <c r="K105" i="47"/>
  <c r="K114" i="47"/>
  <c r="K123" i="47"/>
  <c r="BC88" i="59"/>
  <c r="BK111" i="59"/>
  <c r="K14" i="5"/>
  <c r="K18" i="5"/>
  <c r="K28" i="5"/>
  <c r="K32" i="5"/>
  <c r="K44" i="5"/>
  <c r="K48" i="5"/>
  <c r="K62" i="5"/>
  <c r="K66" i="5"/>
  <c r="K78" i="5"/>
  <c r="K107" i="5"/>
  <c r="K136" i="5"/>
  <c r="K50" i="6"/>
  <c r="K54" i="6"/>
  <c r="K84" i="6"/>
  <c r="K53" i="6"/>
  <c r="K79" i="9"/>
  <c r="I75" i="9"/>
  <c r="I74" i="9" s="1"/>
  <c r="I142" i="9"/>
  <c r="I151" i="9" s="1"/>
  <c r="K31" i="10"/>
  <c r="I30" i="10"/>
  <c r="K30" i="10" s="1"/>
  <c r="K63" i="10"/>
  <c r="I61" i="10"/>
  <c r="K61" i="10" s="1"/>
  <c r="K89" i="10"/>
  <c r="I88" i="10"/>
  <c r="K88" i="10" s="1"/>
  <c r="K31" i="11"/>
  <c r="I30" i="11"/>
  <c r="K30" i="11" s="1"/>
  <c r="K79" i="11"/>
  <c r="I75" i="11"/>
  <c r="K31" i="12"/>
  <c r="I30" i="12"/>
  <c r="K30" i="12" s="1"/>
  <c r="K79" i="12"/>
  <c r="I75" i="12"/>
  <c r="K10" i="13"/>
  <c r="I9" i="13"/>
  <c r="K89" i="13"/>
  <c r="I88" i="13"/>
  <c r="K88" i="13" s="1"/>
  <c r="K79" i="14"/>
  <c r="I75" i="14"/>
  <c r="I74" i="14" s="1"/>
  <c r="K74" i="14" s="1"/>
  <c r="K31" i="49"/>
  <c r="I30" i="49"/>
  <c r="K30" i="49" s="1"/>
  <c r="K79" i="49"/>
  <c r="I75" i="49"/>
  <c r="K31" i="15"/>
  <c r="I30" i="15"/>
  <c r="K30" i="15" s="1"/>
  <c r="K49" i="16"/>
  <c r="I45" i="16"/>
  <c r="K45" i="16" s="1"/>
  <c r="I45" i="17"/>
  <c r="I75" i="17"/>
  <c r="I74" i="17" s="1"/>
  <c r="K10" i="32"/>
  <c r="I9" i="32"/>
  <c r="K89" i="32"/>
  <c r="I88" i="32"/>
  <c r="K88" i="32" s="1"/>
  <c r="K49" i="31"/>
  <c r="I45" i="31"/>
  <c r="K45" i="31" s="1"/>
  <c r="K49" i="30"/>
  <c r="I45" i="30"/>
  <c r="K45" i="30" s="1"/>
  <c r="K49" i="29"/>
  <c r="I45" i="29"/>
  <c r="K45" i="29" s="1"/>
  <c r="K134" i="27"/>
  <c r="I128" i="27"/>
  <c r="K128" i="27" s="1"/>
  <c r="J25" i="26"/>
  <c r="K75" i="26"/>
  <c r="I74" i="26"/>
  <c r="K74" i="26" s="1"/>
  <c r="K114" i="37"/>
  <c r="K111" i="37"/>
  <c r="K49" i="36"/>
  <c r="I45" i="36"/>
  <c r="K45" i="36" s="1"/>
  <c r="K49" i="35"/>
  <c r="I45" i="35"/>
  <c r="K45" i="35" s="1"/>
  <c r="K49" i="50"/>
  <c r="I45" i="50"/>
  <c r="K45" i="50" s="1"/>
  <c r="K49" i="34"/>
  <c r="I45" i="34"/>
  <c r="K45" i="34" s="1"/>
  <c r="K49" i="33"/>
  <c r="I45" i="33"/>
  <c r="K45" i="33" s="1"/>
  <c r="K49" i="54"/>
  <c r="I45" i="54"/>
  <c r="K45" i="54" s="1"/>
  <c r="K49" i="53"/>
  <c r="I45" i="53"/>
  <c r="K45" i="53" s="1"/>
  <c r="K49" i="55"/>
  <c r="I45" i="55"/>
  <c r="K45" i="55" s="1"/>
  <c r="K49" i="52"/>
  <c r="I45" i="52"/>
  <c r="K45" i="52" s="1"/>
  <c r="K49" i="47"/>
  <c r="I45" i="47"/>
  <c r="K45" i="47" s="1"/>
  <c r="K10" i="48"/>
  <c r="I9" i="48"/>
  <c r="K9" i="48" s="1"/>
  <c r="M79" i="59"/>
  <c r="M75" i="59" s="1"/>
  <c r="M74" i="59" s="1"/>
  <c r="M85" i="59" s="1"/>
  <c r="I81" i="45"/>
  <c r="K81" i="45" s="1"/>
  <c r="U123" i="59"/>
  <c r="U111" i="59" s="1"/>
  <c r="K45" i="19"/>
  <c r="K9" i="18"/>
  <c r="J9" i="5"/>
  <c r="J9" i="4" s="1"/>
  <c r="I22" i="5"/>
  <c r="I22" i="4" s="1"/>
  <c r="K40" i="5"/>
  <c r="K46" i="5"/>
  <c r="J49" i="5"/>
  <c r="J49" i="4" s="1"/>
  <c r="K64" i="5"/>
  <c r="J67" i="5"/>
  <c r="J67" i="4" s="1"/>
  <c r="I38" i="5"/>
  <c r="I38" i="4" s="1"/>
  <c r="K52" i="6"/>
  <c r="J67" i="6"/>
  <c r="V67" i="4" s="1"/>
  <c r="K78" i="6"/>
  <c r="J10" i="5"/>
  <c r="J10" i="4" s="1"/>
  <c r="I34" i="5"/>
  <c r="I34" i="4" s="1"/>
  <c r="I49" i="5"/>
  <c r="I49" i="4" s="1"/>
  <c r="I67" i="5"/>
  <c r="I67" i="4" s="1"/>
  <c r="K67" i="4" s="1"/>
  <c r="I91" i="5"/>
  <c r="I91" i="4" s="1"/>
  <c r="K91" i="4" s="1"/>
  <c r="I100" i="5"/>
  <c r="I100" i="4" s="1"/>
  <c r="K100" i="4" s="1"/>
  <c r="K10" i="19"/>
  <c r="K34" i="19"/>
  <c r="K49" i="19"/>
  <c r="K67" i="19"/>
  <c r="K70" i="19"/>
  <c r="I89" i="19"/>
  <c r="I88" i="19" s="1"/>
  <c r="K90" i="5"/>
  <c r="K135" i="5"/>
  <c r="K137" i="5"/>
  <c r="K139" i="5"/>
  <c r="K141" i="5"/>
  <c r="K145" i="5"/>
  <c r="K10" i="18"/>
  <c r="J25" i="18"/>
  <c r="J73" i="18" s="1"/>
  <c r="J85" i="18" s="1"/>
  <c r="K33" i="5"/>
  <c r="J34" i="5"/>
  <c r="J34" i="4" s="1"/>
  <c r="K39" i="5"/>
  <c r="K41" i="5"/>
  <c r="K43" i="5"/>
  <c r="I45" i="18"/>
  <c r="I45" i="5" s="1"/>
  <c r="I45" i="4" s="1"/>
  <c r="K51" i="5"/>
  <c r="K53" i="5"/>
  <c r="K55" i="5"/>
  <c r="K57" i="5"/>
  <c r="K59" i="5"/>
  <c r="I61" i="5"/>
  <c r="I61" i="4" s="1"/>
  <c r="I75" i="18"/>
  <c r="I74" i="18" s="1"/>
  <c r="K74" i="18" s="1"/>
  <c r="K84" i="5"/>
  <c r="J88" i="18"/>
  <c r="K101" i="18"/>
  <c r="K38" i="57"/>
  <c r="K79" i="57"/>
  <c r="I128" i="57"/>
  <c r="I128" i="5" s="1"/>
  <c r="I128" i="4" s="1"/>
  <c r="K143" i="57"/>
  <c r="K16" i="5"/>
  <c r="K20" i="5"/>
  <c r="K22" i="77"/>
  <c r="I25" i="77"/>
  <c r="I73" i="77" s="1"/>
  <c r="K31" i="77"/>
  <c r="K34" i="77"/>
  <c r="K42" i="5"/>
  <c r="K49" i="77"/>
  <c r="K50" i="5"/>
  <c r="K58" i="5"/>
  <c r="J61" i="5"/>
  <c r="J61" i="4" s="1"/>
  <c r="K67" i="77"/>
  <c r="K68" i="5"/>
  <c r="K70" i="77"/>
  <c r="K76" i="5"/>
  <c r="J79" i="5"/>
  <c r="J79" i="4" s="1"/>
  <c r="J88" i="77"/>
  <c r="K88" i="77" s="1"/>
  <c r="K134" i="77"/>
  <c r="I143" i="6"/>
  <c r="U143" i="4" s="1"/>
  <c r="K10" i="22"/>
  <c r="J25" i="22"/>
  <c r="K83" i="6"/>
  <c r="K91" i="6"/>
  <c r="K97" i="6"/>
  <c r="K99" i="6"/>
  <c r="I101" i="6"/>
  <c r="U101" i="4" s="1"/>
  <c r="K107" i="6"/>
  <c r="K24" i="6"/>
  <c r="I25" i="46"/>
  <c r="K31" i="46"/>
  <c r="K32" i="6"/>
  <c r="I34" i="6"/>
  <c r="U34" i="4" s="1"/>
  <c r="K40" i="6"/>
  <c r="K42" i="6"/>
  <c r="K44" i="6"/>
  <c r="K49" i="46"/>
  <c r="K56" i="6"/>
  <c r="K58" i="6"/>
  <c r="K60" i="6"/>
  <c r="K67" i="46"/>
  <c r="K68" i="6"/>
  <c r="I70" i="6"/>
  <c r="U70" i="4" s="1"/>
  <c r="K76" i="6"/>
  <c r="J79" i="6"/>
  <c r="V79" i="4" s="1"/>
  <c r="I88" i="46"/>
  <c r="K105" i="46"/>
  <c r="K114" i="46"/>
  <c r="K123" i="46"/>
  <c r="K134" i="46"/>
  <c r="J25" i="21"/>
  <c r="I45" i="21"/>
  <c r="K67" i="21"/>
  <c r="K70" i="21"/>
  <c r="K79" i="21"/>
  <c r="K88" i="21"/>
  <c r="K101" i="21"/>
  <c r="K123" i="21"/>
  <c r="K134" i="21"/>
  <c r="J25" i="20"/>
  <c r="J73" i="20" s="1"/>
  <c r="J85" i="20" s="1"/>
  <c r="K45" i="20"/>
  <c r="K75" i="20"/>
  <c r="I74" i="20"/>
  <c r="K74" i="20" s="1"/>
  <c r="K33" i="6"/>
  <c r="K43" i="6"/>
  <c r="K45" i="58"/>
  <c r="K74" i="58"/>
  <c r="K89" i="58"/>
  <c r="I88" i="58"/>
  <c r="I142" i="58" s="1"/>
  <c r="K94" i="6"/>
  <c r="K98" i="6"/>
  <c r="J101" i="6"/>
  <c r="V101" i="4" s="1"/>
  <c r="K47" i="8"/>
  <c r="I45" i="8"/>
  <c r="K45" i="8" s="1"/>
  <c r="K49" i="10"/>
  <c r="I45" i="10"/>
  <c r="K45" i="10" s="1"/>
  <c r="K49" i="11"/>
  <c r="I45" i="11"/>
  <c r="K45" i="11" s="1"/>
  <c r="J142" i="11"/>
  <c r="J151" i="11" s="1"/>
  <c r="K49" i="12"/>
  <c r="I45" i="12"/>
  <c r="K45" i="12" s="1"/>
  <c r="J25" i="63"/>
  <c r="J73" i="63" s="1"/>
  <c r="J85" i="63" s="1"/>
  <c r="K45" i="63"/>
  <c r="K75" i="63"/>
  <c r="I74" i="63"/>
  <c r="K74" i="63" s="1"/>
  <c r="J142" i="63"/>
  <c r="J151" i="63" s="1"/>
  <c r="K134" i="63"/>
  <c r="I128" i="63"/>
  <c r="K128" i="63" s="1"/>
  <c r="K118" i="13"/>
  <c r="I114" i="13"/>
  <c r="K45" i="14"/>
  <c r="K49" i="49"/>
  <c r="I45" i="49"/>
  <c r="K45" i="49" s="1"/>
  <c r="J142" i="49"/>
  <c r="J151" i="49" s="1"/>
  <c r="K79" i="15"/>
  <c r="I75" i="15"/>
  <c r="I74" i="15" s="1"/>
  <c r="K74" i="15" s="1"/>
  <c r="K31" i="16"/>
  <c r="I30" i="16"/>
  <c r="K30" i="16" s="1"/>
  <c r="K79" i="16"/>
  <c r="I75" i="16"/>
  <c r="J134" i="7"/>
  <c r="AH134" i="4" s="1"/>
  <c r="J128" i="17"/>
  <c r="K128" i="17" s="1"/>
  <c r="K79" i="31"/>
  <c r="I75" i="31"/>
  <c r="K31" i="30"/>
  <c r="I30" i="30"/>
  <c r="K30" i="30" s="1"/>
  <c r="K79" i="30"/>
  <c r="I75" i="30"/>
  <c r="K31" i="29"/>
  <c r="I30" i="29"/>
  <c r="K30" i="29" s="1"/>
  <c r="K79" i="29"/>
  <c r="I75" i="29"/>
  <c r="K55" i="28"/>
  <c r="I45" i="28"/>
  <c r="K45" i="28" s="1"/>
  <c r="K79" i="28"/>
  <c r="I75" i="28"/>
  <c r="I74" i="28" s="1"/>
  <c r="K74" i="28" s="1"/>
  <c r="K134" i="28"/>
  <c r="I128" i="28"/>
  <c r="K128" i="28" s="1"/>
  <c r="J25" i="27"/>
  <c r="J73" i="27" s="1"/>
  <c r="J85" i="27" s="1"/>
  <c r="K45" i="27"/>
  <c r="K75" i="27"/>
  <c r="I74" i="27"/>
  <c r="K74" i="27" s="1"/>
  <c r="K79" i="37"/>
  <c r="I75" i="37"/>
  <c r="K22" i="20"/>
  <c r="I25" i="20"/>
  <c r="I73" i="20" s="1"/>
  <c r="K31" i="20"/>
  <c r="K34" i="20"/>
  <c r="K49" i="20"/>
  <c r="K67" i="20"/>
  <c r="K70" i="20"/>
  <c r="K79" i="20"/>
  <c r="K101" i="20"/>
  <c r="K109" i="6"/>
  <c r="K114" i="20"/>
  <c r="K134" i="20"/>
  <c r="K139" i="6"/>
  <c r="K22" i="58"/>
  <c r="K23" i="6"/>
  <c r="K26" i="58"/>
  <c r="K27" i="6"/>
  <c r="K29" i="6"/>
  <c r="K34" i="58"/>
  <c r="I49" i="6"/>
  <c r="U49" i="4" s="1"/>
  <c r="K67" i="58"/>
  <c r="K70" i="58"/>
  <c r="K79" i="58"/>
  <c r="J88" i="58"/>
  <c r="J142" i="58" s="1"/>
  <c r="J151" i="58" s="1"/>
  <c r="K101" i="58"/>
  <c r="K134" i="58"/>
  <c r="K22" i="9"/>
  <c r="K34" i="9"/>
  <c r="K61" i="9"/>
  <c r="K101" i="9"/>
  <c r="K134" i="9"/>
  <c r="K10" i="10"/>
  <c r="J25" i="10"/>
  <c r="J73" i="10" s="1"/>
  <c r="J85" i="10" s="1"/>
  <c r="K38" i="10"/>
  <c r="K67" i="10"/>
  <c r="K70" i="10"/>
  <c r="K79" i="10"/>
  <c r="K105" i="10"/>
  <c r="K134" i="10"/>
  <c r="J25" i="11"/>
  <c r="K38" i="11"/>
  <c r="K61" i="11"/>
  <c r="K88" i="11"/>
  <c r="K101" i="11"/>
  <c r="K134" i="11"/>
  <c r="J25" i="12"/>
  <c r="J73" i="12" s="1"/>
  <c r="J85" i="12" s="1"/>
  <c r="K38" i="12"/>
  <c r="K61" i="12"/>
  <c r="K88" i="12"/>
  <c r="K101" i="12"/>
  <c r="K134" i="12"/>
  <c r="K22" i="63"/>
  <c r="I25" i="63"/>
  <c r="I73" i="63" s="1"/>
  <c r="K31" i="63"/>
  <c r="K34" i="63"/>
  <c r="K49" i="63"/>
  <c r="K67" i="63"/>
  <c r="K70" i="63"/>
  <c r="K79" i="63"/>
  <c r="K105" i="63"/>
  <c r="K111" i="63"/>
  <c r="K123" i="63"/>
  <c r="K143" i="63"/>
  <c r="K22" i="13"/>
  <c r="K26" i="13"/>
  <c r="K34" i="13"/>
  <c r="K49" i="13"/>
  <c r="K67" i="13"/>
  <c r="K70" i="13"/>
  <c r="K79" i="13"/>
  <c r="K105" i="13"/>
  <c r="K134" i="13"/>
  <c r="K10" i="14"/>
  <c r="J25" i="14"/>
  <c r="J73" i="14" s="1"/>
  <c r="J85" i="14" s="1"/>
  <c r="K38" i="14"/>
  <c r="K61" i="14"/>
  <c r="K105" i="14"/>
  <c r="K114" i="14"/>
  <c r="K134" i="14"/>
  <c r="J25" i="49"/>
  <c r="J73" i="49" s="1"/>
  <c r="J85" i="49" s="1"/>
  <c r="K38" i="49"/>
  <c r="K61" i="49"/>
  <c r="K88" i="49"/>
  <c r="K101" i="49"/>
  <c r="K134" i="49"/>
  <c r="J25" i="15"/>
  <c r="J73" i="15" s="1"/>
  <c r="J85" i="15" s="1"/>
  <c r="K38" i="15"/>
  <c r="K61" i="15"/>
  <c r="K105" i="15"/>
  <c r="K114" i="15"/>
  <c r="K134" i="15"/>
  <c r="J25" i="16"/>
  <c r="J73" i="16" s="1"/>
  <c r="J85" i="16" s="1"/>
  <c r="K38" i="16"/>
  <c r="K61" i="16"/>
  <c r="K88" i="16"/>
  <c r="K101" i="16"/>
  <c r="K134" i="16"/>
  <c r="J25" i="17"/>
  <c r="J73" i="17" s="1"/>
  <c r="J85" i="17" s="1"/>
  <c r="K89" i="17"/>
  <c r="K105" i="17"/>
  <c r="K134" i="17"/>
  <c r="K22" i="32"/>
  <c r="K26" i="32"/>
  <c r="K34" i="32"/>
  <c r="K49" i="32"/>
  <c r="K67" i="32"/>
  <c r="K70" i="32"/>
  <c r="K79" i="32"/>
  <c r="K105" i="32"/>
  <c r="K114" i="32"/>
  <c r="K134" i="32"/>
  <c r="K10" i="31"/>
  <c r="J25" i="31"/>
  <c r="J73" i="31" s="1"/>
  <c r="J85" i="31" s="1"/>
  <c r="K38" i="31"/>
  <c r="K61" i="31"/>
  <c r="K88" i="31"/>
  <c r="K101" i="31"/>
  <c r="K134" i="31"/>
  <c r="J25" i="30"/>
  <c r="J73" i="30" s="1"/>
  <c r="J85" i="30" s="1"/>
  <c r="K38" i="30"/>
  <c r="K61" i="30"/>
  <c r="K88" i="30"/>
  <c r="K101" i="30"/>
  <c r="K134" i="30"/>
  <c r="J25" i="29"/>
  <c r="J73" i="29" s="1"/>
  <c r="J85" i="29" s="1"/>
  <c r="K38" i="29"/>
  <c r="K61" i="29"/>
  <c r="K88" i="29"/>
  <c r="K101" i="29"/>
  <c r="K134" i="29"/>
  <c r="K10" i="28"/>
  <c r="J25" i="28"/>
  <c r="J73" i="28" s="1"/>
  <c r="J85" i="28" s="1"/>
  <c r="K38" i="28"/>
  <c r="K49" i="28"/>
  <c r="K61" i="28"/>
  <c r="K105" i="28"/>
  <c r="K143" i="28"/>
  <c r="K22" i="27"/>
  <c r="K31" i="27"/>
  <c r="K34" i="27"/>
  <c r="K49" i="27"/>
  <c r="K67" i="27"/>
  <c r="K70" i="27"/>
  <c r="K79" i="27"/>
  <c r="K105" i="27"/>
  <c r="I111" i="27"/>
  <c r="K143" i="27"/>
  <c r="K22" i="26"/>
  <c r="I25" i="26"/>
  <c r="I73" i="26" s="1"/>
  <c r="K31" i="26"/>
  <c r="K34" i="26"/>
  <c r="K49" i="26"/>
  <c r="K67" i="26"/>
  <c r="K70" i="26"/>
  <c r="K79" i="26"/>
  <c r="K105" i="26"/>
  <c r="K134" i="26"/>
  <c r="K22" i="37"/>
  <c r="K26" i="37"/>
  <c r="K31" i="37"/>
  <c r="K34" i="37"/>
  <c r="K49" i="37"/>
  <c r="K67" i="37"/>
  <c r="K70" i="37"/>
  <c r="K105" i="37"/>
  <c r="K134" i="37"/>
  <c r="K31" i="36"/>
  <c r="I30" i="36"/>
  <c r="K30" i="36" s="1"/>
  <c r="K79" i="36"/>
  <c r="I75" i="36"/>
  <c r="K31" i="35"/>
  <c r="I30" i="35"/>
  <c r="K30" i="35" s="1"/>
  <c r="K79" i="35"/>
  <c r="I75" i="35"/>
  <c r="K31" i="50"/>
  <c r="I30" i="50"/>
  <c r="K30" i="50" s="1"/>
  <c r="K79" i="50"/>
  <c r="I75" i="50"/>
  <c r="K31" i="34"/>
  <c r="I30" i="34"/>
  <c r="K30" i="34" s="1"/>
  <c r="K79" i="34"/>
  <c r="I75" i="34"/>
  <c r="K31" i="33"/>
  <c r="I30" i="33"/>
  <c r="K30" i="33" s="1"/>
  <c r="K79" i="33"/>
  <c r="I75" i="33"/>
  <c r="K31" i="54"/>
  <c r="I30" i="54"/>
  <c r="K30" i="54" s="1"/>
  <c r="K79" i="54"/>
  <c r="I75" i="54"/>
  <c r="K31" i="53"/>
  <c r="I30" i="53"/>
  <c r="K30" i="53" s="1"/>
  <c r="K79" i="53"/>
  <c r="I75" i="53"/>
  <c r="K31" i="55"/>
  <c r="I30" i="55"/>
  <c r="K30" i="55" s="1"/>
  <c r="K79" i="55"/>
  <c r="I75" i="55"/>
  <c r="K31" i="52"/>
  <c r="I30" i="52"/>
  <c r="K30" i="52" s="1"/>
  <c r="K79" i="52"/>
  <c r="I75" i="52"/>
  <c r="K31" i="51"/>
  <c r="I30" i="51"/>
  <c r="K30" i="51" s="1"/>
  <c r="K75" i="51"/>
  <c r="I74" i="51"/>
  <c r="K74" i="51" s="1"/>
  <c r="K116" i="51"/>
  <c r="I114" i="51"/>
  <c r="I111" i="51" s="1"/>
  <c r="K31" i="47"/>
  <c r="I30" i="47"/>
  <c r="K30" i="47" s="1"/>
  <c r="K79" i="47"/>
  <c r="I75" i="47"/>
  <c r="J142" i="47"/>
  <c r="J151" i="47" s="1"/>
  <c r="K134" i="47"/>
  <c r="I128" i="47"/>
  <c r="K128" i="47" s="1"/>
  <c r="K45" i="48"/>
  <c r="K75" i="48"/>
  <c r="I74" i="48"/>
  <c r="K74" i="48" s="1"/>
  <c r="J142" i="48"/>
  <c r="J151" i="48" s="1"/>
  <c r="K134" i="48"/>
  <c r="I128" i="48"/>
  <c r="I142" i="48" s="1"/>
  <c r="I9" i="59"/>
  <c r="AI79" i="59"/>
  <c r="AI75" i="59" s="1"/>
  <c r="AI74" i="59" s="1"/>
  <c r="AI88" i="59"/>
  <c r="AM111" i="59"/>
  <c r="AU88" i="59"/>
  <c r="BC22" i="59"/>
  <c r="BG30" i="59"/>
  <c r="BG25" i="59" s="1"/>
  <c r="BG73" i="59" s="1"/>
  <c r="BG85" i="59" s="1"/>
  <c r="BG88" i="59"/>
  <c r="BG123" i="59"/>
  <c r="BG111" i="59" s="1"/>
  <c r="BK88" i="59"/>
  <c r="I126" i="45"/>
  <c r="K126" i="45" s="1"/>
  <c r="I140" i="45"/>
  <c r="K140" i="45" s="1"/>
  <c r="K10" i="36"/>
  <c r="J25" i="36"/>
  <c r="J73" i="36" s="1"/>
  <c r="J85" i="36" s="1"/>
  <c r="K38" i="36"/>
  <c r="K61" i="36"/>
  <c r="K88" i="36"/>
  <c r="K101" i="36"/>
  <c r="K123" i="36"/>
  <c r="K134" i="36"/>
  <c r="J25" i="35"/>
  <c r="J73" i="35" s="1"/>
  <c r="J85" i="35" s="1"/>
  <c r="K38" i="35"/>
  <c r="K61" i="35"/>
  <c r="K88" i="35"/>
  <c r="K101" i="35"/>
  <c r="K134" i="35"/>
  <c r="J25" i="50"/>
  <c r="J73" i="50" s="1"/>
  <c r="J85" i="50" s="1"/>
  <c r="K38" i="50"/>
  <c r="K61" i="50"/>
  <c r="K88" i="50"/>
  <c r="K101" i="50"/>
  <c r="K134" i="50"/>
  <c r="J25" i="34"/>
  <c r="J73" i="34" s="1"/>
  <c r="J85" i="34" s="1"/>
  <c r="K38" i="34"/>
  <c r="K61" i="34"/>
  <c r="K88" i="34"/>
  <c r="K101" i="34"/>
  <c r="K134" i="34"/>
  <c r="J25" i="33"/>
  <c r="J73" i="33" s="1"/>
  <c r="J85" i="33" s="1"/>
  <c r="K38" i="33"/>
  <c r="K61" i="33"/>
  <c r="K88" i="33"/>
  <c r="K101" i="33"/>
  <c r="K134" i="33"/>
  <c r="J25" i="54"/>
  <c r="J73" i="54" s="1"/>
  <c r="J85" i="54" s="1"/>
  <c r="K38" i="54"/>
  <c r="K61" i="54"/>
  <c r="K101" i="54"/>
  <c r="K134" i="54"/>
  <c r="J25" i="53"/>
  <c r="J73" i="53" s="1"/>
  <c r="J85" i="53" s="1"/>
  <c r="K38" i="53"/>
  <c r="K61" i="53"/>
  <c r="K134" i="53"/>
  <c r="J25" i="55"/>
  <c r="J73" i="55" s="1"/>
  <c r="J85" i="55" s="1"/>
  <c r="K38" i="55"/>
  <c r="K61" i="55"/>
  <c r="K88" i="55"/>
  <c r="K101" i="55"/>
  <c r="K134" i="55"/>
  <c r="J25" i="52"/>
  <c r="J73" i="52" s="1"/>
  <c r="J85" i="52" s="1"/>
  <c r="K38" i="52"/>
  <c r="K61" i="52"/>
  <c r="K88" i="52"/>
  <c r="K101" i="52"/>
  <c r="K134" i="52"/>
  <c r="J25" i="51"/>
  <c r="J73" i="51" s="1"/>
  <c r="J85" i="51" s="1"/>
  <c r="K38" i="51"/>
  <c r="K49" i="51"/>
  <c r="K67" i="51"/>
  <c r="K70" i="51"/>
  <c r="K79" i="51"/>
  <c r="K105" i="51"/>
  <c r="K123" i="51"/>
  <c r="K134" i="51"/>
  <c r="J25" i="47"/>
  <c r="J73" i="47" s="1"/>
  <c r="J85" i="47" s="1"/>
  <c r="K38" i="47"/>
  <c r="K61" i="47"/>
  <c r="K88" i="47"/>
  <c r="K101" i="47"/>
  <c r="K143" i="47"/>
  <c r="K22" i="48"/>
  <c r="K26" i="48"/>
  <c r="K34" i="48"/>
  <c r="K49" i="48"/>
  <c r="K67" i="48"/>
  <c r="K70" i="48"/>
  <c r="K79" i="48"/>
  <c r="K105" i="48"/>
  <c r="K111" i="48"/>
  <c r="K123" i="48"/>
  <c r="K143" i="48"/>
  <c r="I88" i="59"/>
  <c r="I143" i="59"/>
  <c r="Q111" i="59"/>
  <c r="Y30" i="59"/>
  <c r="Y25" i="59" s="1"/>
  <c r="Y73" i="59" s="1"/>
  <c r="Y85" i="59" s="1"/>
  <c r="I133" i="45"/>
  <c r="K133" i="45" s="1"/>
  <c r="I139" i="45"/>
  <c r="K139" i="45" s="1"/>
  <c r="I111" i="59"/>
  <c r="I142" i="59" s="1"/>
  <c r="I88" i="28"/>
  <c r="K88" i="28" s="1"/>
  <c r="K88" i="53"/>
  <c r="K101" i="53"/>
  <c r="J142" i="53"/>
  <c r="J151" i="53" s="1"/>
  <c r="K88" i="54"/>
  <c r="J142" i="54"/>
  <c r="J151" i="54" s="1"/>
  <c r="K151" i="37"/>
  <c r="AG91" i="4"/>
  <c r="K91" i="7"/>
  <c r="I88" i="8"/>
  <c r="K88" i="8" s="1"/>
  <c r="I88" i="14"/>
  <c r="K88" i="14" s="1"/>
  <c r="I88" i="15"/>
  <c r="AG146" i="4"/>
  <c r="K146" i="7"/>
  <c r="K121" i="5"/>
  <c r="K113" i="5"/>
  <c r="K123" i="57"/>
  <c r="J123" i="5"/>
  <c r="J123" i="4" s="1"/>
  <c r="K119" i="5"/>
  <c r="K109" i="5"/>
  <c r="K105" i="77"/>
  <c r="K104" i="5"/>
  <c r="I101" i="5"/>
  <c r="I101" i="4" s="1"/>
  <c r="I142" i="77"/>
  <c r="I151" i="77" s="1"/>
  <c r="J61" i="6"/>
  <c r="V61" i="4" s="1"/>
  <c r="K137" i="6"/>
  <c r="K122" i="6"/>
  <c r="K118" i="6"/>
  <c r="K117" i="6"/>
  <c r="K104" i="6"/>
  <c r="K100" i="6"/>
  <c r="E111" i="59"/>
  <c r="I30" i="59"/>
  <c r="I25" i="59" s="1"/>
  <c r="M88" i="59"/>
  <c r="Q88" i="59"/>
  <c r="AC111" i="59"/>
  <c r="AC142" i="59" s="1"/>
  <c r="AC151" i="59" s="1"/>
  <c r="AI30" i="59"/>
  <c r="AI25" i="59" s="1"/>
  <c r="AI73" i="59" s="1"/>
  <c r="AI111" i="59"/>
  <c r="AM88" i="59"/>
  <c r="AQ111" i="59"/>
  <c r="AU30" i="59"/>
  <c r="AU25" i="59" s="1"/>
  <c r="AY30" i="59"/>
  <c r="AY25" i="59" s="1"/>
  <c r="AY111" i="59"/>
  <c r="BC30" i="59"/>
  <c r="BC25" i="59" s="1"/>
  <c r="I12" i="7"/>
  <c r="AG12" i="4" s="1"/>
  <c r="I20" i="7"/>
  <c r="AG20" i="4" s="1"/>
  <c r="I28" i="7"/>
  <c r="AG28" i="4" s="1"/>
  <c r="I14" i="7"/>
  <c r="AG14" i="4" s="1"/>
  <c r="I18" i="7"/>
  <c r="AG18" i="4" s="1"/>
  <c r="I102" i="7"/>
  <c r="AG102" i="4" s="1"/>
  <c r="AU111" i="59"/>
  <c r="I11" i="7"/>
  <c r="AG11" i="4" s="1"/>
  <c r="I13" i="7"/>
  <c r="AG13" i="4" s="1"/>
  <c r="I15" i="7"/>
  <c r="AG15" i="4" s="1"/>
  <c r="I17" i="7"/>
  <c r="AG17" i="4" s="1"/>
  <c r="I19" i="7"/>
  <c r="AG19" i="4" s="1"/>
  <c r="I62" i="7"/>
  <c r="AG62" i="4" s="1"/>
  <c r="I110" i="7"/>
  <c r="AG110" i="4" s="1"/>
  <c r="I37" i="7"/>
  <c r="AG37" i="4" s="1"/>
  <c r="I53" i="7"/>
  <c r="AG53" i="4" s="1"/>
  <c r="I66" i="7"/>
  <c r="AG66" i="4" s="1"/>
  <c r="I103" i="7"/>
  <c r="AG103" i="4" s="1"/>
  <c r="I106" i="7"/>
  <c r="AG106" i="4" s="1"/>
  <c r="I129" i="7"/>
  <c r="AG129" i="4" s="1"/>
  <c r="I145" i="7"/>
  <c r="AG145" i="4" s="1"/>
  <c r="I93" i="7"/>
  <c r="AG93" i="4" s="1"/>
  <c r="I97" i="7"/>
  <c r="AG97" i="4" s="1"/>
  <c r="I35" i="7"/>
  <c r="AG35" i="4" s="1"/>
  <c r="I57" i="7"/>
  <c r="AG57" i="4" s="1"/>
  <c r="I64" i="7"/>
  <c r="AG64" i="4" s="1"/>
  <c r="I69" i="7"/>
  <c r="AG69" i="4" s="1"/>
  <c r="I77" i="7"/>
  <c r="AG77" i="4" s="1"/>
  <c r="I84" i="7"/>
  <c r="AG84" i="4" s="1"/>
  <c r="I90" i="7"/>
  <c r="AG90" i="4" s="1"/>
  <c r="I95" i="7"/>
  <c r="AG95" i="4" s="1"/>
  <c r="I99" i="7"/>
  <c r="AG99" i="4" s="1"/>
  <c r="I108" i="7"/>
  <c r="AG108" i="4" s="1"/>
  <c r="I131" i="7"/>
  <c r="AG131" i="4" s="1"/>
  <c r="I36" i="7"/>
  <c r="AG36" i="4" s="1"/>
  <c r="I63" i="7"/>
  <c r="AG63" i="4" s="1"/>
  <c r="I65" i="7"/>
  <c r="AG65" i="4" s="1"/>
  <c r="I32" i="7"/>
  <c r="AG32" i="4" s="1"/>
  <c r="I116" i="7"/>
  <c r="AG116" i="4" s="1"/>
  <c r="I125" i="7"/>
  <c r="AG125" i="4" s="1"/>
  <c r="I127" i="7"/>
  <c r="AG127" i="4" s="1"/>
  <c r="I130" i="7"/>
  <c r="AG130" i="4" s="1"/>
  <c r="I132" i="7"/>
  <c r="AG132" i="4" s="1"/>
  <c r="I141" i="7"/>
  <c r="AG141" i="4" s="1"/>
  <c r="I144" i="7"/>
  <c r="AG144" i="4" s="1"/>
  <c r="I148" i="7"/>
  <c r="AG148" i="4" s="1"/>
  <c r="I150" i="7"/>
  <c r="AG150" i="4" s="1"/>
  <c r="E88" i="59"/>
  <c r="I42" i="7"/>
  <c r="AG42" i="4" s="1"/>
  <c r="I51" i="7"/>
  <c r="AG51" i="4" s="1"/>
  <c r="I55" i="7"/>
  <c r="AG55" i="4" s="1"/>
  <c r="I59" i="7"/>
  <c r="AG59" i="4" s="1"/>
  <c r="I71" i="7"/>
  <c r="AG71" i="4" s="1"/>
  <c r="I72" i="7"/>
  <c r="K72" i="7" s="1"/>
  <c r="I113" i="7"/>
  <c r="AG113" i="4" s="1"/>
  <c r="E30" i="59"/>
  <c r="I24" i="7"/>
  <c r="AG24" i="4" s="1"/>
  <c r="I40" i="7"/>
  <c r="AG40" i="4" s="1"/>
  <c r="I44" i="7"/>
  <c r="K44" i="7" s="1"/>
  <c r="I46" i="7"/>
  <c r="AG46" i="4" s="1"/>
  <c r="I47" i="7"/>
  <c r="AG47" i="4" s="1"/>
  <c r="I48" i="7"/>
  <c r="K48" i="7" s="1"/>
  <c r="I76" i="7"/>
  <c r="AG76" i="4" s="1"/>
  <c r="I78" i="7"/>
  <c r="AG78" i="4" s="1"/>
  <c r="I83" i="7"/>
  <c r="AG83" i="4" s="1"/>
  <c r="I92" i="7"/>
  <c r="AG92" i="4" s="1"/>
  <c r="I94" i="7"/>
  <c r="AG94" i="4" s="1"/>
  <c r="I96" i="7"/>
  <c r="AG96" i="4" s="1"/>
  <c r="I98" i="7"/>
  <c r="AG98" i="4" s="1"/>
  <c r="I100" i="7"/>
  <c r="AG100" i="4" s="1"/>
  <c r="I107" i="7"/>
  <c r="AG107" i="4" s="1"/>
  <c r="I109" i="7"/>
  <c r="AG109" i="4" s="1"/>
  <c r="I117" i="7"/>
  <c r="AG117" i="4" s="1"/>
  <c r="I23" i="7"/>
  <c r="AG23" i="4" s="1"/>
  <c r="I27" i="7"/>
  <c r="AG27" i="4" s="1"/>
  <c r="I29" i="7"/>
  <c r="AG29" i="4" s="1"/>
  <c r="I33" i="7"/>
  <c r="AG33" i="4" s="1"/>
  <c r="I39" i="7"/>
  <c r="AG39" i="4" s="1"/>
  <c r="I41" i="7"/>
  <c r="K41" i="7" s="1"/>
  <c r="I43" i="7"/>
  <c r="AG43" i="4" s="1"/>
  <c r="I50" i="7"/>
  <c r="AG50" i="4" s="1"/>
  <c r="I52" i="7"/>
  <c r="AG52" i="4" s="1"/>
  <c r="I54" i="7"/>
  <c r="AG54" i="4" s="1"/>
  <c r="I56" i="7"/>
  <c r="K56" i="7" s="1"/>
  <c r="I58" i="7"/>
  <c r="AG58" i="4" s="1"/>
  <c r="I60" i="7"/>
  <c r="K60" i="7" s="1"/>
  <c r="I68" i="7"/>
  <c r="AG68" i="4" s="1"/>
  <c r="I122" i="7"/>
  <c r="AG122" i="4" s="1"/>
  <c r="K30" i="48"/>
  <c r="I25" i="48"/>
  <c r="K31" i="48"/>
  <c r="K89" i="48"/>
  <c r="K114" i="48"/>
  <c r="K9" i="47"/>
  <c r="K10" i="47"/>
  <c r="K26" i="47"/>
  <c r="K89" i="47"/>
  <c r="I112" i="7"/>
  <c r="AG112" i="4" s="1"/>
  <c r="I111" i="47"/>
  <c r="K111" i="47" s="1"/>
  <c r="K9" i="51"/>
  <c r="K10" i="51"/>
  <c r="K26" i="51"/>
  <c r="K89" i="51"/>
  <c r="K128" i="51"/>
  <c r="I45" i="51"/>
  <c r="K45" i="51" s="1"/>
  <c r="K9" i="52"/>
  <c r="I142" i="52"/>
  <c r="K10" i="52"/>
  <c r="K26" i="52"/>
  <c r="K89" i="52"/>
  <c r="K114" i="52"/>
  <c r="K128" i="52"/>
  <c r="K9" i="55"/>
  <c r="I142" i="55"/>
  <c r="K10" i="55"/>
  <c r="K26" i="55"/>
  <c r="K89" i="55"/>
  <c r="K114" i="55"/>
  <c r="K128" i="55"/>
  <c r="I142" i="53"/>
  <c r="K9" i="53"/>
  <c r="K10" i="53"/>
  <c r="K26" i="53"/>
  <c r="K89" i="53"/>
  <c r="K114" i="53"/>
  <c r="K128" i="53"/>
  <c r="K9" i="54"/>
  <c r="I142" i="54"/>
  <c r="K10" i="54"/>
  <c r="K26" i="54"/>
  <c r="K89" i="54"/>
  <c r="K114" i="54"/>
  <c r="K128" i="54"/>
  <c r="K9" i="33"/>
  <c r="I142" i="33"/>
  <c r="K10" i="33"/>
  <c r="K26" i="33"/>
  <c r="K89" i="33"/>
  <c r="K114" i="33"/>
  <c r="K128" i="33"/>
  <c r="I142" i="34"/>
  <c r="K9" i="34"/>
  <c r="K10" i="34"/>
  <c r="K26" i="34"/>
  <c r="K89" i="34"/>
  <c r="K114" i="34"/>
  <c r="K128" i="34"/>
  <c r="K9" i="50"/>
  <c r="I142" i="50"/>
  <c r="K10" i="50"/>
  <c r="K26" i="50"/>
  <c r="K89" i="50"/>
  <c r="K114" i="50"/>
  <c r="K128" i="50"/>
  <c r="I142" i="35"/>
  <c r="K9" i="35"/>
  <c r="K10" i="35"/>
  <c r="K26" i="35"/>
  <c r="K89" i="35"/>
  <c r="K114" i="35"/>
  <c r="K128" i="35"/>
  <c r="K9" i="36"/>
  <c r="K26" i="36"/>
  <c r="K89" i="36"/>
  <c r="K114" i="36"/>
  <c r="K128" i="36"/>
  <c r="I30" i="37"/>
  <c r="K128" i="37"/>
  <c r="K9" i="37"/>
  <c r="K9" i="26"/>
  <c r="J73" i="26"/>
  <c r="J85" i="26" s="1"/>
  <c r="K10" i="26"/>
  <c r="K26" i="26"/>
  <c r="K89" i="26"/>
  <c r="K128" i="26"/>
  <c r="I114" i="26"/>
  <c r="K9" i="27"/>
  <c r="K10" i="27"/>
  <c r="K26" i="27"/>
  <c r="K89" i="27"/>
  <c r="K114" i="27"/>
  <c r="K30" i="28"/>
  <c r="I25" i="28"/>
  <c r="K9" i="28"/>
  <c r="K31" i="28"/>
  <c r="I115" i="7"/>
  <c r="AG115" i="4" s="1"/>
  <c r="I118" i="7"/>
  <c r="AG118" i="4" s="1"/>
  <c r="I114" i="28"/>
  <c r="K9" i="29"/>
  <c r="K10" i="29"/>
  <c r="K26" i="29"/>
  <c r="K89" i="29"/>
  <c r="K114" i="29"/>
  <c r="K128" i="29"/>
  <c r="I142" i="30"/>
  <c r="K9" i="30"/>
  <c r="K10" i="30"/>
  <c r="K26" i="30"/>
  <c r="K89" i="30"/>
  <c r="K114" i="30"/>
  <c r="K128" i="30"/>
  <c r="K30" i="31"/>
  <c r="I25" i="31"/>
  <c r="I142" i="31"/>
  <c r="K9" i="31"/>
  <c r="K31" i="31"/>
  <c r="K89" i="31"/>
  <c r="K114" i="31"/>
  <c r="K128" i="31"/>
  <c r="J22" i="7"/>
  <c r="AH22" i="4" s="1"/>
  <c r="J38" i="7"/>
  <c r="AH38" i="4" s="1"/>
  <c r="K30" i="32"/>
  <c r="I25" i="32"/>
  <c r="K9" i="32"/>
  <c r="K31" i="32"/>
  <c r="K75" i="32"/>
  <c r="K128" i="32"/>
  <c r="J114" i="7"/>
  <c r="AH114" i="4" s="1"/>
  <c r="J34" i="7"/>
  <c r="AH34" i="4" s="1"/>
  <c r="I25" i="17"/>
  <c r="K114" i="17"/>
  <c r="K143" i="17"/>
  <c r="I123" i="17"/>
  <c r="K123" i="17" s="1"/>
  <c r="I142" i="16"/>
  <c r="K9" i="16"/>
  <c r="K10" i="16"/>
  <c r="K26" i="16"/>
  <c r="K89" i="16"/>
  <c r="K114" i="16"/>
  <c r="K128" i="16"/>
  <c r="K9" i="15"/>
  <c r="K10" i="15"/>
  <c r="K26" i="15"/>
  <c r="K49" i="15"/>
  <c r="K128" i="15"/>
  <c r="I142" i="49"/>
  <c r="K9" i="49"/>
  <c r="K10" i="49"/>
  <c r="K26" i="49"/>
  <c r="K89" i="49"/>
  <c r="K114" i="49"/>
  <c r="K128" i="49"/>
  <c r="K30" i="14"/>
  <c r="I25" i="14"/>
  <c r="K9" i="14"/>
  <c r="K31" i="14"/>
  <c r="K49" i="14"/>
  <c r="K75" i="14"/>
  <c r="K128" i="14"/>
  <c r="J89" i="7"/>
  <c r="AH89" i="4" s="1"/>
  <c r="J70" i="7"/>
  <c r="AH70" i="4" s="1"/>
  <c r="K30" i="13"/>
  <c r="I25" i="13"/>
  <c r="K9" i="13"/>
  <c r="K31" i="13"/>
  <c r="K45" i="13"/>
  <c r="K75" i="13"/>
  <c r="K128" i="13"/>
  <c r="J26" i="7"/>
  <c r="AH26" i="4" s="1"/>
  <c r="K9" i="63"/>
  <c r="K10" i="63"/>
  <c r="K26" i="63"/>
  <c r="K89" i="63"/>
  <c r="K114" i="63"/>
  <c r="J79" i="7"/>
  <c r="AH79" i="4" s="1"/>
  <c r="J123" i="7"/>
  <c r="AH123" i="4" s="1"/>
  <c r="K9" i="12"/>
  <c r="J142" i="12"/>
  <c r="J151" i="12" s="1"/>
  <c r="K10" i="12"/>
  <c r="K26" i="12"/>
  <c r="K70" i="12"/>
  <c r="K89" i="12"/>
  <c r="K114" i="12"/>
  <c r="K143" i="12"/>
  <c r="J61" i="7"/>
  <c r="AH61" i="4" s="1"/>
  <c r="J101" i="7"/>
  <c r="AH101" i="4" s="1"/>
  <c r="K11" i="11"/>
  <c r="I10" i="11"/>
  <c r="I142" i="11"/>
  <c r="J9" i="11"/>
  <c r="J10" i="7"/>
  <c r="AH10" i="4" s="1"/>
  <c r="K26" i="11"/>
  <c r="K89" i="11"/>
  <c r="K114" i="11"/>
  <c r="K128" i="11"/>
  <c r="J67" i="7"/>
  <c r="AH67" i="4" s="1"/>
  <c r="J105" i="7"/>
  <c r="AH105" i="4" s="1"/>
  <c r="J142" i="10"/>
  <c r="I9" i="10"/>
  <c r="I74" i="10"/>
  <c r="K74" i="10" s="1"/>
  <c r="K140" i="10"/>
  <c r="K45" i="9"/>
  <c r="J74" i="9"/>
  <c r="J75" i="7"/>
  <c r="AH75" i="4" s="1"/>
  <c r="K128" i="9"/>
  <c r="J49" i="7"/>
  <c r="AH49" i="4" s="1"/>
  <c r="K9" i="9"/>
  <c r="K10" i="9"/>
  <c r="K26" i="9"/>
  <c r="K31" i="9"/>
  <c r="K49" i="9"/>
  <c r="K67" i="9"/>
  <c r="K88" i="9"/>
  <c r="K89" i="9"/>
  <c r="K105" i="9"/>
  <c r="K111" i="9"/>
  <c r="K114" i="9"/>
  <c r="J142" i="9"/>
  <c r="J45" i="7"/>
  <c r="AH45" i="4" s="1"/>
  <c r="I9" i="8"/>
  <c r="K10" i="8"/>
  <c r="K22" i="8"/>
  <c r="K34" i="8"/>
  <c r="K38" i="8"/>
  <c r="K61" i="8"/>
  <c r="K67" i="8"/>
  <c r="K124" i="8"/>
  <c r="I123" i="8"/>
  <c r="J143" i="7"/>
  <c r="AH143" i="4" s="1"/>
  <c r="K26" i="8"/>
  <c r="I30" i="8"/>
  <c r="I25" i="8" s="1"/>
  <c r="K101" i="8"/>
  <c r="K105" i="8"/>
  <c r="K135" i="8"/>
  <c r="I134" i="8"/>
  <c r="I135" i="7"/>
  <c r="AI149" i="4"/>
  <c r="J30" i="8"/>
  <c r="J31" i="7"/>
  <c r="AH31" i="4" s="1"/>
  <c r="K70" i="8"/>
  <c r="K119" i="8"/>
  <c r="I114" i="8"/>
  <c r="I119" i="7"/>
  <c r="K143" i="8"/>
  <c r="K149" i="7"/>
  <c r="AI104" i="4"/>
  <c r="K104" i="7"/>
  <c r="I30" i="58"/>
  <c r="I30" i="6" s="1"/>
  <c r="U30" i="4" s="1"/>
  <c r="K31" i="58"/>
  <c r="I31" i="6"/>
  <c r="U31" i="4" s="1"/>
  <c r="K10" i="58"/>
  <c r="K49" i="58"/>
  <c r="K75" i="58"/>
  <c r="K114" i="58"/>
  <c r="K128" i="58"/>
  <c r="K47" i="6"/>
  <c r="K55" i="6"/>
  <c r="K57" i="6"/>
  <c r="K59" i="6"/>
  <c r="I61" i="6"/>
  <c r="U61" i="4" s="1"/>
  <c r="K69" i="6"/>
  <c r="J70" i="6"/>
  <c r="V70" i="4" s="1"/>
  <c r="K81" i="6"/>
  <c r="K130" i="6"/>
  <c r="K132" i="6"/>
  <c r="I134" i="6"/>
  <c r="U134" i="4" s="1"/>
  <c r="J34" i="6"/>
  <c r="V34" i="4" s="1"/>
  <c r="K41" i="6"/>
  <c r="K90" i="6"/>
  <c r="K110" i="6"/>
  <c r="K120" i="6"/>
  <c r="K9" i="20"/>
  <c r="K10" i="20"/>
  <c r="K26" i="20"/>
  <c r="K89" i="20"/>
  <c r="K128" i="20"/>
  <c r="J31" i="6"/>
  <c r="V31" i="4" s="1"/>
  <c r="K18" i="6"/>
  <c r="K20" i="6"/>
  <c r="I22" i="6"/>
  <c r="U22" i="4" s="1"/>
  <c r="K36" i="6"/>
  <c r="I38" i="6"/>
  <c r="U38" i="4" s="1"/>
  <c r="K62" i="6"/>
  <c r="K66" i="6"/>
  <c r="J142" i="21"/>
  <c r="J89" i="6"/>
  <c r="V89" i="4" s="1"/>
  <c r="K35" i="6"/>
  <c r="K37" i="6"/>
  <c r="J38" i="6"/>
  <c r="V38" i="4" s="1"/>
  <c r="K113" i="6"/>
  <c r="J45" i="6"/>
  <c r="V45" i="4" s="1"/>
  <c r="K9" i="21"/>
  <c r="K10" i="21"/>
  <c r="K14" i="21"/>
  <c r="K14" i="6" s="1"/>
  <c r="I14" i="6"/>
  <c r="U14" i="4" s="1"/>
  <c r="W14" i="4" s="1"/>
  <c r="K22" i="21"/>
  <c r="K26" i="21"/>
  <c r="K30" i="21"/>
  <c r="K31" i="21"/>
  <c r="K38" i="21"/>
  <c r="K49" i="21"/>
  <c r="K74" i="21"/>
  <c r="K75" i="21"/>
  <c r="K89" i="21"/>
  <c r="K112" i="21"/>
  <c r="K112" i="6" s="1"/>
  <c r="I111" i="21"/>
  <c r="K111" i="21" s="1"/>
  <c r="K114" i="21"/>
  <c r="K128" i="21"/>
  <c r="J151" i="21"/>
  <c r="J143" i="6"/>
  <c r="V143" i="4" s="1"/>
  <c r="K15" i="6"/>
  <c r="K17" i="6"/>
  <c r="K19" i="6"/>
  <c r="K21" i="6"/>
  <c r="J22" i="6"/>
  <c r="V22" i="4" s="1"/>
  <c r="K63" i="6"/>
  <c r="K65" i="6"/>
  <c r="I67" i="6"/>
  <c r="U67" i="4" s="1"/>
  <c r="K71" i="6"/>
  <c r="K77" i="6"/>
  <c r="I79" i="6"/>
  <c r="U79" i="4" s="1"/>
  <c r="K12" i="6"/>
  <c r="K46" i="6"/>
  <c r="K48" i="6"/>
  <c r="J49" i="6"/>
  <c r="V49" i="4" s="1"/>
  <c r="K93" i="6"/>
  <c r="K95" i="6"/>
  <c r="K138" i="6"/>
  <c r="K140" i="6"/>
  <c r="K144" i="6"/>
  <c r="I9" i="46"/>
  <c r="I10" i="6"/>
  <c r="U10" i="4" s="1"/>
  <c r="K10" i="46"/>
  <c r="K22" i="46"/>
  <c r="K26" i="46"/>
  <c r="K34" i="46"/>
  <c r="K38" i="46"/>
  <c r="K70" i="46"/>
  <c r="K89" i="46"/>
  <c r="K128" i="46"/>
  <c r="K45" i="46"/>
  <c r="K61" i="46"/>
  <c r="J75" i="46"/>
  <c r="K79" i="46"/>
  <c r="J30" i="6"/>
  <c r="V30" i="4" s="1"/>
  <c r="K103" i="6"/>
  <c r="K126" i="6"/>
  <c r="I128" i="6"/>
  <c r="U128" i="4" s="1"/>
  <c r="K136" i="6"/>
  <c r="K147" i="6"/>
  <c r="K149" i="6"/>
  <c r="K61" i="22"/>
  <c r="K67" i="22"/>
  <c r="I75" i="6"/>
  <c r="U75" i="4" s="1"/>
  <c r="K75" i="22"/>
  <c r="K79" i="22"/>
  <c r="K115" i="22"/>
  <c r="K115" i="6" s="1"/>
  <c r="I114" i="22"/>
  <c r="I115" i="6"/>
  <c r="U115" i="4" s="1"/>
  <c r="W115" i="4" s="1"/>
  <c r="K121" i="22"/>
  <c r="K121" i="6" s="1"/>
  <c r="I121" i="6"/>
  <c r="U121" i="4" s="1"/>
  <c r="W121" i="4" s="1"/>
  <c r="K123" i="22"/>
  <c r="K128" i="22"/>
  <c r="K134" i="22"/>
  <c r="W11" i="4"/>
  <c r="W13" i="4"/>
  <c r="W15" i="4"/>
  <c r="W17" i="4"/>
  <c r="W19" i="4"/>
  <c r="W21" i="4"/>
  <c r="W23" i="4"/>
  <c r="J26" i="6"/>
  <c r="V26" i="4" s="1"/>
  <c r="W27" i="4"/>
  <c r="W29" i="4"/>
  <c r="W33" i="4"/>
  <c r="W35" i="4"/>
  <c r="W37" i="4"/>
  <c r="W39" i="4"/>
  <c r="W41" i="4"/>
  <c r="W43" i="4"/>
  <c r="I47" i="6"/>
  <c r="U47" i="4" s="1"/>
  <c r="W47" i="4" s="1"/>
  <c r="W51" i="4"/>
  <c r="W59" i="4"/>
  <c r="W63" i="4"/>
  <c r="W71" i="4"/>
  <c r="K22" i="22"/>
  <c r="K26" i="22"/>
  <c r="K30" i="22"/>
  <c r="K31" i="22"/>
  <c r="K38" i="22"/>
  <c r="I45" i="22"/>
  <c r="K70" i="22"/>
  <c r="I88" i="22"/>
  <c r="I89" i="6"/>
  <c r="U89" i="4" s="1"/>
  <c r="K89" i="22"/>
  <c r="K101" i="22"/>
  <c r="K106" i="22"/>
  <c r="I105" i="22"/>
  <c r="J111" i="22"/>
  <c r="J114" i="6"/>
  <c r="V114" i="4" s="1"/>
  <c r="W83" i="4"/>
  <c r="W93" i="4"/>
  <c r="W97" i="4"/>
  <c r="W109" i="4"/>
  <c r="W113" i="4"/>
  <c r="W117" i="4"/>
  <c r="W125" i="4"/>
  <c r="W129" i="4"/>
  <c r="W133" i="4"/>
  <c r="W53" i="4"/>
  <c r="W57" i="4"/>
  <c r="W65" i="4"/>
  <c r="W69" i="4"/>
  <c r="W77" i="4"/>
  <c r="W81" i="4"/>
  <c r="W127" i="4"/>
  <c r="W131" i="4"/>
  <c r="W135" i="4"/>
  <c r="W18" i="4"/>
  <c r="W42" i="4"/>
  <c r="W50" i="4"/>
  <c r="W54" i="4"/>
  <c r="W58" i="4"/>
  <c r="W62" i="4"/>
  <c r="W66" i="4"/>
  <c r="W78" i="4"/>
  <c r="W84" i="4"/>
  <c r="W90" i="4"/>
  <c r="W92" i="4"/>
  <c r="W94" i="4"/>
  <c r="W96" i="4"/>
  <c r="W98" i="4"/>
  <c r="W100" i="4"/>
  <c r="W102" i="4"/>
  <c r="W104" i="4"/>
  <c r="W112" i="4"/>
  <c r="W116" i="4"/>
  <c r="W118" i="4"/>
  <c r="W120" i="4"/>
  <c r="W122" i="4"/>
  <c r="W126" i="4"/>
  <c r="W130" i="4"/>
  <c r="W132" i="4"/>
  <c r="W136" i="4"/>
  <c r="K9" i="77"/>
  <c r="K10" i="77"/>
  <c r="K26" i="77"/>
  <c r="K38" i="77"/>
  <c r="K89" i="77"/>
  <c r="K114" i="77"/>
  <c r="J30" i="77"/>
  <c r="J25" i="77" s="1"/>
  <c r="J73" i="77" s="1"/>
  <c r="J31" i="5"/>
  <c r="J31" i="4" s="1"/>
  <c r="K45" i="77"/>
  <c r="K61" i="77"/>
  <c r="J75" i="77"/>
  <c r="J74" i="77" s="1"/>
  <c r="K79" i="77"/>
  <c r="K101" i="77"/>
  <c r="J111" i="77"/>
  <c r="K111" i="77" s="1"/>
  <c r="K123" i="77"/>
  <c r="K128" i="77"/>
  <c r="K143" i="77"/>
  <c r="K108" i="5"/>
  <c r="K110" i="5"/>
  <c r="K94" i="5"/>
  <c r="K98" i="5"/>
  <c r="K100" i="5"/>
  <c r="K24" i="5"/>
  <c r="K36" i="5"/>
  <c r="K52" i="5"/>
  <c r="K56" i="5"/>
  <c r="K60" i="5"/>
  <c r="I70" i="5"/>
  <c r="I70" i="4" s="1"/>
  <c r="K80" i="5"/>
  <c r="K140" i="5"/>
  <c r="K144" i="5"/>
  <c r="K147" i="5"/>
  <c r="K149" i="5"/>
  <c r="J74" i="57"/>
  <c r="K74" i="57" s="1"/>
  <c r="K83" i="5"/>
  <c r="J105" i="5"/>
  <c r="J105" i="4" s="1"/>
  <c r="K130" i="5"/>
  <c r="I134" i="5"/>
  <c r="I134" i="4" s="1"/>
  <c r="K9" i="57"/>
  <c r="K10" i="57"/>
  <c r="K22" i="57"/>
  <c r="I25" i="57"/>
  <c r="I26" i="5"/>
  <c r="I26" i="4" s="1"/>
  <c r="K26" i="57"/>
  <c r="K31" i="57"/>
  <c r="J45" i="57"/>
  <c r="J45" i="5" s="1"/>
  <c r="J45" i="4" s="1"/>
  <c r="K49" i="57"/>
  <c r="K67" i="57"/>
  <c r="K70" i="57"/>
  <c r="K75" i="57"/>
  <c r="K88" i="57"/>
  <c r="K89" i="57"/>
  <c r="K105" i="57"/>
  <c r="K111" i="57"/>
  <c r="K114" i="57"/>
  <c r="J142" i="57"/>
  <c r="J151" i="57" s="1"/>
  <c r="K40" i="4"/>
  <c r="K44" i="4"/>
  <c r="K52" i="4"/>
  <c r="K56" i="4"/>
  <c r="K60" i="4"/>
  <c r="K116" i="5"/>
  <c r="K118" i="5"/>
  <c r="K120" i="5"/>
  <c r="K122" i="5"/>
  <c r="K102" i="5"/>
  <c r="K126" i="5"/>
  <c r="K138" i="5"/>
  <c r="K106" i="18"/>
  <c r="K106" i="5" s="1"/>
  <c r="I105" i="18"/>
  <c r="K105" i="18" s="1"/>
  <c r="J143" i="5"/>
  <c r="J143" i="4" s="1"/>
  <c r="AT143" i="4" s="1"/>
  <c r="K42" i="4"/>
  <c r="K50" i="4"/>
  <c r="K54" i="4"/>
  <c r="K58" i="4"/>
  <c r="I106" i="5"/>
  <c r="I106" i="4" s="1"/>
  <c r="K106" i="4" s="1"/>
  <c r="K22" i="18"/>
  <c r="K26" i="18"/>
  <c r="K30" i="18"/>
  <c r="I30" i="5"/>
  <c r="I30" i="4" s="1"/>
  <c r="K31" i="18"/>
  <c r="K38" i="18"/>
  <c r="K61" i="18"/>
  <c r="K114" i="18"/>
  <c r="K128" i="18"/>
  <c r="K134" i="18"/>
  <c r="K143" i="18"/>
  <c r="K14" i="4"/>
  <c r="K18" i="4"/>
  <c r="K36" i="4"/>
  <c r="K78" i="4"/>
  <c r="K80" i="4"/>
  <c r="K84" i="4"/>
  <c r="K150" i="4"/>
  <c r="K11" i="5"/>
  <c r="K13" i="5"/>
  <c r="K15" i="5"/>
  <c r="K17" i="5"/>
  <c r="K19" i="5"/>
  <c r="K21" i="5"/>
  <c r="J22" i="5"/>
  <c r="J22" i="4" s="1"/>
  <c r="K35" i="5"/>
  <c r="K37" i="5"/>
  <c r="J38" i="5"/>
  <c r="J38" i="4" s="1"/>
  <c r="K71" i="5"/>
  <c r="K77" i="5"/>
  <c r="I79" i="5"/>
  <c r="I79" i="4" s="1"/>
  <c r="K148" i="4"/>
  <c r="J25" i="19"/>
  <c r="J73" i="19" s="1"/>
  <c r="J26" i="5"/>
  <c r="J26" i="4" s="1"/>
  <c r="K112" i="19"/>
  <c r="K112" i="5" s="1"/>
  <c r="I112" i="5"/>
  <c r="I112" i="4" s="1"/>
  <c r="K112" i="4" s="1"/>
  <c r="J114" i="5"/>
  <c r="J114" i="4" s="1"/>
  <c r="J111" i="19"/>
  <c r="K124" i="19"/>
  <c r="K124" i="5" s="1"/>
  <c r="I123" i="19"/>
  <c r="I124" i="5"/>
  <c r="I124" i="4" s="1"/>
  <c r="K124" i="4" s="1"/>
  <c r="K11" i="4"/>
  <c r="K12" i="4"/>
  <c r="K13" i="4"/>
  <c r="K15" i="4"/>
  <c r="K16" i="4"/>
  <c r="K17" i="4"/>
  <c r="K19" i="4"/>
  <c r="K20" i="4"/>
  <c r="K21" i="4"/>
  <c r="K23" i="4"/>
  <c r="K24" i="4"/>
  <c r="K27" i="4"/>
  <c r="K28" i="4"/>
  <c r="K29" i="4"/>
  <c r="K32" i="4"/>
  <c r="K33" i="4"/>
  <c r="K35" i="4"/>
  <c r="K37" i="4"/>
  <c r="K39" i="4"/>
  <c r="K41" i="4"/>
  <c r="K43" i="4"/>
  <c r="K46" i="4"/>
  <c r="K47" i="4"/>
  <c r="K48" i="4"/>
  <c r="K51" i="4"/>
  <c r="K53" i="4"/>
  <c r="K55" i="4"/>
  <c r="K57" i="4"/>
  <c r="K59" i="4"/>
  <c r="K62" i="4"/>
  <c r="K63" i="4"/>
  <c r="K64" i="4"/>
  <c r="K65" i="4"/>
  <c r="K66" i="4"/>
  <c r="K68" i="4"/>
  <c r="K69" i="4"/>
  <c r="K71" i="4"/>
  <c r="K76" i="4"/>
  <c r="K77" i="4"/>
  <c r="K81" i="4"/>
  <c r="K90" i="4"/>
  <c r="K93" i="4"/>
  <c r="K94" i="4"/>
  <c r="K95" i="4"/>
  <c r="K96" i="4"/>
  <c r="K97" i="4"/>
  <c r="K99" i="4"/>
  <c r="K102" i="4"/>
  <c r="K103" i="4"/>
  <c r="K104" i="4"/>
  <c r="K107" i="4"/>
  <c r="K108" i="4"/>
  <c r="K109" i="4"/>
  <c r="K110" i="4"/>
  <c r="K113" i="4"/>
  <c r="K116" i="4"/>
  <c r="K117" i="4"/>
  <c r="K118" i="4"/>
  <c r="K119" i="4"/>
  <c r="K120" i="4"/>
  <c r="K121" i="4"/>
  <c r="K122" i="4"/>
  <c r="K125" i="4"/>
  <c r="K126" i="4"/>
  <c r="K127" i="4"/>
  <c r="K132" i="4"/>
  <c r="K138" i="4"/>
  <c r="I73" i="19"/>
  <c r="K92" i="19"/>
  <c r="K92" i="5" s="1"/>
  <c r="I92" i="5"/>
  <c r="I92" i="4" s="1"/>
  <c r="K92" i="4" s="1"/>
  <c r="K101" i="19"/>
  <c r="K105" i="19"/>
  <c r="J134" i="5"/>
  <c r="J134" i="4" s="1"/>
  <c r="J128" i="19"/>
  <c r="K129" i="4"/>
  <c r="K130" i="4"/>
  <c r="K131" i="4"/>
  <c r="K133" i="4"/>
  <c r="K135" i="4"/>
  <c r="K136" i="4"/>
  <c r="K137" i="4"/>
  <c r="K139" i="4"/>
  <c r="K140" i="4"/>
  <c r="K141" i="4"/>
  <c r="K144" i="4"/>
  <c r="K145" i="4"/>
  <c r="K147" i="4"/>
  <c r="K149" i="4"/>
  <c r="K22" i="19"/>
  <c r="K26" i="19"/>
  <c r="K30" i="19"/>
  <c r="K31" i="19"/>
  <c r="K38" i="19"/>
  <c r="I74" i="19"/>
  <c r="K75" i="19"/>
  <c r="K79" i="19"/>
  <c r="K115" i="19"/>
  <c r="K115" i="5" s="1"/>
  <c r="I114" i="19"/>
  <c r="I115" i="5"/>
  <c r="I115" i="4" s="1"/>
  <c r="K115" i="4" s="1"/>
  <c r="K134" i="19"/>
  <c r="I143" i="5"/>
  <c r="I143" i="4" s="1"/>
  <c r="K143" i="19"/>
  <c r="W137" i="4"/>
  <c r="W138" i="4"/>
  <c r="W139" i="4"/>
  <c r="W140" i="4"/>
  <c r="W141" i="4"/>
  <c r="W144" i="4"/>
  <c r="W145" i="4"/>
  <c r="W147" i="4"/>
  <c r="W148" i="4"/>
  <c r="W149" i="4"/>
  <c r="W150" i="4"/>
  <c r="W12" i="4"/>
  <c r="W16" i="4"/>
  <c r="W20" i="4"/>
  <c r="W24" i="4"/>
  <c r="W28" i="4"/>
  <c r="W32" i="4"/>
  <c r="W36" i="4"/>
  <c r="W40" i="4"/>
  <c r="W44" i="4"/>
  <c r="W48" i="4"/>
  <c r="W52" i="4"/>
  <c r="W56" i="4"/>
  <c r="W60" i="4"/>
  <c r="W64" i="4"/>
  <c r="W68" i="4"/>
  <c r="W72" i="4"/>
  <c r="W76" i="4"/>
  <c r="W80" i="4"/>
  <c r="W91" i="4"/>
  <c r="W95" i="4"/>
  <c r="W99" i="4"/>
  <c r="W103" i="4"/>
  <c r="W107" i="4"/>
  <c r="W119" i="4"/>
  <c r="F11" i="11"/>
  <c r="I142" i="57" l="1"/>
  <c r="K111" i="36"/>
  <c r="J142" i="31"/>
  <c r="J151" i="31" s="1"/>
  <c r="K89" i="19"/>
  <c r="K45" i="18"/>
  <c r="AT105" i="4"/>
  <c r="K45" i="4"/>
  <c r="AT49" i="4"/>
  <c r="AT70" i="4"/>
  <c r="K34" i="4"/>
  <c r="K88" i="18"/>
  <c r="I142" i="27"/>
  <c r="K30" i="27"/>
  <c r="K111" i="51"/>
  <c r="AT134" i="4"/>
  <c r="BS88" i="59"/>
  <c r="I88" i="45" s="1"/>
  <c r="K88" i="45" s="1"/>
  <c r="BS30" i="59"/>
  <c r="I30" i="45" s="1"/>
  <c r="K30" i="45" s="1"/>
  <c r="AT26" i="4"/>
  <c r="AT31" i="4"/>
  <c r="W143" i="4"/>
  <c r="AT67" i="4"/>
  <c r="J44" i="60"/>
  <c r="J48" i="60" s="1"/>
  <c r="J63" i="60" s="1"/>
  <c r="AT22" i="4"/>
  <c r="K147" i="45"/>
  <c r="I147" i="7"/>
  <c r="AG147" i="4" s="1"/>
  <c r="AS147" i="4" s="1"/>
  <c r="K80" i="45"/>
  <c r="I80" i="7"/>
  <c r="AG80" i="4" s="1"/>
  <c r="AS80" i="4" s="1"/>
  <c r="AT114" i="4"/>
  <c r="AT45" i="4"/>
  <c r="AU104" i="4"/>
  <c r="I73" i="8"/>
  <c r="AT61" i="4"/>
  <c r="AT79" i="4"/>
  <c r="AT34" i="4"/>
  <c r="AT89" i="4"/>
  <c r="I9" i="6"/>
  <c r="U9" i="4" s="1"/>
  <c r="W9" i="4" s="1"/>
  <c r="BS79" i="59"/>
  <c r="I79" i="45" s="1"/>
  <c r="AU149" i="4"/>
  <c r="AT123" i="4"/>
  <c r="K61" i="4"/>
  <c r="AT101" i="4"/>
  <c r="BS143" i="59"/>
  <c r="I143" i="45" s="1"/>
  <c r="E74" i="59"/>
  <c r="BS74" i="59" s="1"/>
  <c r="I74" i="45" s="1"/>
  <c r="K74" i="45" s="1"/>
  <c r="BS75" i="59"/>
  <c r="I75" i="45" s="1"/>
  <c r="W17" i="76"/>
  <c r="BS22" i="59"/>
  <c r="I22" i="45" s="1"/>
  <c r="AT38" i="4"/>
  <c r="AT10" i="4"/>
  <c r="AG120" i="4"/>
  <c r="AI120" i="4" s="1"/>
  <c r="AU120" i="4" s="1"/>
  <c r="BS128" i="59"/>
  <c r="BS123" i="59"/>
  <c r="I114" i="45"/>
  <c r="K114" i="45" s="1"/>
  <c r="AI107" i="4"/>
  <c r="AU107" i="4" s="1"/>
  <c r="AS107" i="4"/>
  <c r="AI115" i="4"/>
  <c r="AU115" i="4" s="1"/>
  <c r="AS115" i="4"/>
  <c r="AI112" i="4"/>
  <c r="AU112" i="4" s="1"/>
  <c r="AS112" i="4"/>
  <c r="AI122" i="4"/>
  <c r="AU122" i="4" s="1"/>
  <c r="AS122" i="4"/>
  <c r="AI109" i="4"/>
  <c r="AU109" i="4" s="1"/>
  <c r="AS109" i="4"/>
  <c r="AI100" i="4"/>
  <c r="AU100" i="4" s="1"/>
  <c r="AS100" i="4"/>
  <c r="AI96" i="4"/>
  <c r="AU96" i="4" s="1"/>
  <c r="AS96" i="4"/>
  <c r="AI92" i="4"/>
  <c r="AU92" i="4" s="1"/>
  <c r="AS92" i="4"/>
  <c r="AI148" i="4"/>
  <c r="AU148" i="4" s="1"/>
  <c r="AS148" i="4"/>
  <c r="AI141" i="4"/>
  <c r="AU141" i="4" s="1"/>
  <c r="I43" i="60" s="1"/>
  <c r="AS141" i="4"/>
  <c r="AI130" i="4"/>
  <c r="AU130" i="4" s="1"/>
  <c r="AS130" i="4"/>
  <c r="AI125" i="4"/>
  <c r="AU125" i="4" s="1"/>
  <c r="AS125" i="4"/>
  <c r="AI108" i="4"/>
  <c r="AU108" i="4" s="1"/>
  <c r="AS108" i="4"/>
  <c r="AI95" i="4"/>
  <c r="AU95" i="4" s="1"/>
  <c r="AS95" i="4"/>
  <c r="AI97" i="4"/>
  <c r="AU97" i="4" s="1"/>
  <c r="AS97" i="4"/>
  <c r="AI145" i="4"/>
  <c r="AU145" i="4" s="1"/>
  <c r="AS145" i="4"/>
  <c r="AI106" i="4"/>
  <c r="AU106" i="4" s="1"/>
  <c r="AS106" i="4"/>
  <c r="AI110" i="4"/>
  <c r="AU110" i="4" s="1"/>
  <c r="AS110" i="4"/>
  <c r="AI102" i="4"/>
  <c r="AU102" i="4" s="1"/>
  <c r="AS102" i="4"/>
  <c r="AI146" i="4"/>
  <c r="AU146" i="4" s="1"/>
  <c r="V29" i="76" s="1"/>
  <c r="AS146" i="4"/>
  <c r="I59" i="60" s="1"/>
  <c r="I60" i="60" s="1"/>
  <c r="AI136" i="4"/>
  <c r="AU136" i="4" s="1"/>
  <c r="AS136" i="4"/>
  <c r="AI118" i="4"/>
  <c r="AU118" i="4" s="1"/>
  <c r="AS118" i="4"/>
  <c r="AI117" i="4"/>
  <c r="AU117" i="4" s="1"/>
  <c r="AS117" i="4"/>
  <c r="AI98" i="4"/>
  <c r="AU98" i="4" s="1"/>
  <c r="AS98" i="4"/>
  <c r="AI94" i="4"/>
  <c r="AU94" i="4" s="1"/>
  <c r="AS94" i="4"/>
  <c r="AI113" i="4"/>
  <c r="AU113" i="4" s="1"/>
  <c r="AS113" i="4"/>
  <c r="AI150" i="4"/>
  <c r="AU150" i="4" s="1"/>
  <c r="AS150" i="4"/>
  <c r="AI144" i="4"/>
  <c r="AU144" i="4" s="1"/>
  <c r="AS144" i="4"/>
  <c r="AI132" i="4"/>
  <c r="AU132" i="4" s="1"/>
  <c r="AS132" i="4"/>
  <c r="AI127" i="4"/>
  <c r="AU127" i="4" s="1"/>
  <c r="AS127" i="4"/>
  <c r="AI116" i="4"/>
  <c r="AU116" i="4" s="1"/>
  <c r="AS116" i="4"/>
  <c r="AI131" i="4"/>
  <c r="AU131" i="4" s="1"/>
  <c r="AS131" i="4"/>
  <c r="AI99" i="4"/>
  <c r="AU99" i="4" s="1"/>
  <c r="AS99" i="4"/>
  <c r="AI90" i="4"/>
  <c r="AU90" i="4" s="1"/>
  <c r="AS90" i="4"/>
  <c r="AI93" i="4"/>
  <c r="AU93" i="4" s="1"/>
  <c r="AS93" i="4"/>
  <c r="AI129" i="4"/>
  <c r="AU129" i="4" s="1"/>
  <c r="I23" i="60" s="1"/>
  <c r="AS129" i="4"/>
  <c r="V18" i="76" s="1"/>
  <c r="X18" i="76" s="1"/>
  <c r="AI103" i="4"/>
  <c r="AU103" i="4" s="1"/>
  <c r="AS103" i="4"/>
  <c r="AI91" i="4"/>
  <c r="AU91" i="4" s="1"/>
  <c r="AS91" i="4"/>
  <c r="AI68" i="4"/>
  <c r="AU68" i="4" s="1"/>
  <c r="AS68" i="4"/>
  <c r="AI58" i="4"/>
  <c r="AU58" i="4" s="1"/>
  <c r="AS58" i="4"/>
  <c r="AI54" i="4"/>
  <c r="AU54" i="4" s="1"/>
  <c r="AS54" i="4"/>
  <c r="AI50" i="4"/>
  <c r="AU50" i="4" s="1"/>
  <c r="AS50" i="4"/>
  <c r="AI33" i="4"/>
  <c r="AU33" i="4" s="1"/>
  <c r="AS33" i="4"/>
  <c r="AI27" i="4"/>
  <c r="AU27" i="4" s="1"/>
  <c r="AS27" i="4"/>
  <c r="AI83" i="4"/>
  <c r="AU83" i="4" s="1"/>
  <c r="AS83" i="4"/>
  <c r="AI76" i="4"/>
  <c r="AU76" i="4" s="1"/>
  <c r="AS76" i="4"/>
  <c r="AI47" i="4"/>
  <c r="AU47" i="4" s="1"/>
  <c r="AS47" i="4"/>
  <c r="AI24" i="4"/>
  <c r="AU24" i="4" s="1"/>
  <c r="AS24" i="4"/>
  <c r="AI71" i="4"/>
  <c r="AU71" i="4" s="1"/>
  <c r="AS71" i="4"/>
  <c r="AI55" i="4"/>
  <c r="AU55" i="4" s="1"/>
  <c r="AS55" i="4"/>
  <c r="AI42" i="4"/>
  <c r="AU42" i="4" s="1"/>
  <c r="AS42" i="4"/>
  <c r="AI52" i="4"/>
  <c r="AU52" i="4" s="1"/>
  <c r="AS52" i="4"/>
  <c r="AI43" i="4"/>
  <c r="AU43" i="4" s="1"/>
  <c r="AS43" i="4"/>
  <c r="AI39" i="4"/>
  <c r="AU39" i="4" s="1"/>
  <c r="AS39" i="4"/>
  <c r="AI29" i="4"/>
  <c r="AU29" i="4" s="1"/>
  <c r="AS29" i="4"/>
  <c r="AI23" i="4"/>
  <c r="AU23" i="4" s="1"/>
  <c r="AS23" i="4"/>
  <c r="AI78" i="4"/>
  <c r="AU78" i="4" s="1"/>
  <c r="AS78" i="4"/>
  <c r="AI46" i="4"/>
  <c r="AU46" i="4" s="1"/>
  <c r="AS46" i="4"/>
  <c r="AI40" i="4"/>
  <c r="AU40" i="4" s="1"/>
  <c r="AS40" i="4"/>
  <c r="AI59" i="4"/>
  <c r="AU59" i="4" s="1"/>
  <c r="AS59" i="4"/>
  <c r="AI51" i="4"/>
  <c r="AU51" i="4" s="1"/>
  <c r="AS51" i="4"/>
  <c r="AI32" i="4"/>
  <c r="AU32" i="4" s="1"/>
  <c r="AS32" i="4"/>
  <c r="AI63" i="4"/>
  <c r="AU63" i="4" s="1"/>
  <c r="I31" i="60" s="1"/>
  <c r="AS63" i="4"/>
  <c r="AI84" i="4"/>
  <c r="AU84" i="4" s="1"/>
  <c r="AS84" i="4"/>
  <c r="AI69" i="4"/>
  <c r="AU69" i="4" s="1"/>
  <c r="AS69" i="4"/>
  <c r="AI57" i="4"/>
  <c r="AU57" i="4" s="1"/>
  <c r="AS57" i="4"/>
  <c r="AI53" i="4"/>
  <c r="AU53" i="4" s="1"/>
  <c r="AS53" i="4"/>
  <c r="AI19" i="4"/>
  <c r="AU19" i="4" s="1"/>
  <c r="AS19" i="4"/>
  <c r="AI15" i="4"/>
  <c r="AU15" i="4" s="1"/>
  <c r="AS15" i="4"/>
  <c r="AI11" i="4"/>
  <c r="AU11" i="4" s="1"/>
  <c r="AS11" i="4"/>
  <c r="AI14" i="4"/>
  <c r="AU14" i="4" s="1"/>
  <c r="AS14" i="4"/>
  <c r="AI20" i="4"/>
  <c r="AU20" i="4" s="1"/>
  <c r="AS20" i="4"/>
  <c r="AI16" i="4"/>
  <c r="AU16" i="4" s="1"/>
  <c r="AS16" i="4"/>
  <c r="AI65" i="4"/>
  <c r="AU65" i="4" s="1"/>
  <c r="AS65" i="4"/>
  <c r="AI36" i="4"/>
  <c r="AU36" i="4" s="1"/>
  <c r="AS36" i="4"/>
  <c r="AI77" i="4"/>
  <c r="AU77" i="4" s="1"/>
  <c r="AS77" i="4"/>
  <c r="AI64" i="4"/>
  <c r="AU64" i="4" s="1"/>
  <c r="I32" i="60" s="1"/>
  <c r="AS64" i="4"/>
  <c r="AI35" i="4"/>
  <c r="AU35" i="4" s="1"/>
  <c r="AS35" i="4"/>
  <c r="AI66" i="4"/>
  <c r="AU66" i="4" s="1"/>
  <c r="AS66" i="4"/>
  <c r="AI37" i="4"/>
  <c r="AU37" i="4" s="1"/>
  <c r="AS37" i="4"/>
  <c r="AI62" i="4"/>
  <c r="AU62" i="4" s="1"/>
  <c r="AS62" i="4"/>
  <c r="AI17" i="4"/>
  <c r="AU17" i="4" s="1"/>
  <c r="AS17" i="4"/>
  <c r="AI13" i="4"/>
  <c r="AU13" i="4" s="1"/>
  <c r="AS13" i="4"/>
  <c r="AI18" i="4"/>
  <c r="AU18" i="4" s="1"/>
  <c r="AS18" i="4"/>
  <c r="AI28" i="4"/>
  <c r="AU28" i="4" s="1"/>
  <c r="AS28" i="4"/>
  <c r="AI12" i="4"/>
  <c r="AU12" i="4" s="1"/>
  <c r="AS12" i="4"/>
  <c r="BS111" i="59"/>
  <c r="I111" i="45" s="1"/>
  <c r="K111" i="45" s="1"/>
  <c r="BS9" i="59"/>
  <c r="I61" i="7"/>
  <c r="AG61" i="4" s="1"/>
  <c r="I31" i="7"/>
  <c r="AG31" i="4" s="1"/>
  <c r="I21" i="7"/>
  <c r="AG21" i="4" s="1"/>
  <c r="BC142" i="59"/>
  <c r="K142" i="9"/>
  <c r="I34" i="7"/>
  <c r="AG34" i="4" s="1"/>
  <c r="J128" i="7"/>
  <c r="AH128" i="4" s="1"/>
  <c r="I142" i="63"/>
  <c r="K142" i="63" s="1"/>
  <c r="K70" i="5"/>
  <c r="K70" i="4"/>
  <c r="AY142" i="59"/>
  <c r="AY151" i="59" s="1"/>
  <c r="I49" i="7"/>
  <c r="AG49" i="4" s="1"/>
  <c r="I10" i="7"/>
  <c r="AG10" i="4" s="1"/>
  <c r="K114" i="51"/>
  <c r="K123" i="14"/>
  <c r="AQ73" i="59"/>
  <c r="AQ85" i="59" s="1"/>
  <c r="K9" i="19"/>
  <c r="K9" i="5" s="1"/>
  <c r="K61" i="5"/>
  <c r="K128" i="57"/>
  <c r="K31" i="4"/>
  <c r="J111" i="6"/>
  <c r="V111" i="4" s="1"/>
  <c r="K106" i="6"/>
  <c r="J73" i="22"/>
  <c r="J85" i="22" s="1"/>
  <c r="W26" i="4"/>
  <c r="K134" i="6"/>
  <c r="K20" i="7"/>
  <c r="I25" i="10"/>
  <c r="K25" i="10" s="1"/>
  <c r="J73" i="11"/>
  <c r="J85" i="11" s="1"/>
  <c r="K25" i="13"/>
  <c r="K75" i="15"/>
  <c r="I137" i="7"/>
  <c r="AG137" i="4" s="1"/>
  <c r="AQ142" i="59"/>
  <c r="AQ151" i="59" s="1"/>
  <c r="AI142" i="59"/>
  <c r="AI151" i="59" s="1"/>
  <c r="M142" i="59"/>
  <c r="M151" i="59" s="1"/>
  <c r="M152" i="59" s="1"/>
  <c r="J142" i="36"/>
  <c r="J151" i="36" s="1"/>
  <c r="K25" i="21"/>
  <c r="K123" i="18"/>
  <c r="I89" i="5"/>
  <c r="I89" i="4" s="1"/>
  <c r="K89" i="4" s="1"/>
  <c r="K89" i="18"/>
  <c r="K89" i="5" s="1"/>
  <c r="W49" i="4"/>
  <c r="I74" i="8"/>
  <c r="K74" i="8" s="1"/>
  <c r="K75" i="9"/>
  <c r="I101" i="7"/>
  <c r="AG101" i="4" s="1"/>
  <c r="I142" i="51"/>
  <c r="I151" i="51" s="1"/>
  <c r="K151" i="51" s="1"/>
  <c r="I138" i="7"/>
  <c r="AG138" i="4" s="1"/>
  <c r="I126" i="7"/>
  <c r="AG126" i="4" s="1"/>
  <c r="AM142" i="59"/>
  <c r="AM151" i="59" s="1"/>
  <c r="AI85" i="59"/>
  <c r="K101" i="4"/>
  <c r="Y142" i="59"/>
  <c r="Y151" i="59" s="1"/>
  <c r="Y152" i="59" s="1"/>
  <c r="K88" i="46"/>
  <c r="K25" i="22"/>
  <c r="K9" i="4"/>
  <c r="J142" i="15"/>
  <c r="J151" i="15" s="1"/>
  <c r="K111" i="32"/>
  <c r="K9" i="22"/>
  <c r="W128" i="4"/>
  <c r="I38" i="7"/>
  <c r="AG38" i="4" s="1"/>
  <c r="I89" i="7"/>
  <c r="AG89" i="4" s="1"/>
  <c r="K25" i="31"/>
  <c r="K25" i="48"/>
  <c r="AY73" i="59"/>
  <c r="AY85" i="59" s="1"/>
  <c r="AU73" i="59"/>
  <c r="AU85" i="59" s="1"/>
  <c r="I111" i="20"/>
  <c r="K111" i="20" s="1"/>
  <c r="K123" i="32"/>
  <c r="K123" i="20"/>
  <c r="K123" i="6" s="1"/>
  <c r="I73" i="21"/>
  <c r="I85" i="21" s="1"/>
  <c r="K88" i="20"/>
  <c r="K26" i="4"/>
  <c r="W101" i="4"/>
  <c r="K49" i="4"/>
  <c r="AM73" i="59"/>
  <c r="AM85" i="59" s="1"/>
  <c r="K111" i="15"/>
  <c r="I139" i="7"/>
  <c r="AG139" i="4" s="1"/>
  <c r="K49" i="5"/>
  <c r="K34" i="5"/>
  <c r="K25" i="9"/>
  <c r="K10" i="4"/>
  <c r="I73" i="18"/>
  <c r="K73" i="18" s="1"/>
  <c r="W79" i="4"/>
  <c r="J88" i="7"/>
  <c r="AH88" i="4" s="1"/>
  <c r="K67" i="5"/>
  <c r="K143" i="6"/>
  <c r="J142" i="22"/>
  <c r="J151" i="22" s="1"/>
  <c r="J25" i="6"/>
  <c r="V25" i="4" s="1"/>
  <c r="J111" i="7"/>
  <c r="AH111" i="4" s="1"/>
  <c r="K22" i="4"/>
  <c r="K75" i="18"/>
  <c r="K101" i="6"/>
  <c r="W67" i="4"/>
  <c r="J88" i="6"/>
  <c r="V88" i="4" s="1"/>
  <c r="W134" i="4"/>
  <c r="W70" i="4"/>
  <c r="K12" i="7"/>
  <c r="K79" i="8"/>
  <c r="I73" i="9"/>
  <c r="K73" i="9" s="1"/>
  <c r="I75" i="5"/>
  <c r="I75" i="4" s="1"/>
  <c r="K79" i="4"/>
  <c r="K38" i="4"/>
  <c r="J142" i="18"/>
  <c r="J151" i="18" s="1"/>
  <c r="J88" i="5"/>
  <c r="J88" i="4" s="1"/>
  <c r="K70" i="6"/>
  <c r="K67" i="6"/>
  <c r="K34" i="6"/>
  <c r="W10" i="4"/>
  <c r="J73" i="21"/>
  <c r="J85" i="21" s="1"/>
  <c r="J142" i="20"/>
  <c r="J151" i="20" s="1"/>
  <c r="W34" i="4"/>
  <c r="K19" i="7"/>
  <c r="K14" i="7"/>
  <c r="K136" i="7"/>
  <c r="K28" i="7"/>
  <c r="K16" i="7"/>
  <c r="I26" i="7"/>
  <c r="AG26" i="4" s="1"/>
  <c r="I124" i="7"/>
  <c r="AG124" i="4" s="1"/>
  <c r="I67" i="7"/>
  <c r="AG67" i="4" s="1"/>
  <c r="K128" i="12"/>
  <c r="I70" i="7"/>
  <c r="AG70" i="4" s="1"/>
  <c r="K25" i="32"/>
  <c r="K25" i="28"/>
  <c r="K25" i="26"/>
  <c r="K128" i="48"/>
  <c r="I81" i="7"/>
  <c r="K81" i="7" s="1"/>
  <c r="BC73" i="59"/>
  <c r="Q142" i="59"/>
  <c r="Q151" i="59" s="1"/>
  <c r="Q152" i="59" s="1"/>
  <c r="I73" i="59"/>
  <c r="I85" i="59" s="1"/>
  <c r="K88" i="15"/>
  <c r="BK142" i="59"/>
  <c r="BK151" i="59" s="1"/>
  <c r="BK152" i="59" s="1"/>
  <c r="K111" i="27"/>
  <c r="K123" i="29"/>
  <c r="K123" i="15"/>
  <c r="J142" i="17"/>
  <c r="J151" i="17" s="1"/>
  <c r="K25" i="46"/>
  <c r="K25" i="18"/>
  <c r="U142" i="59"/>
  <c r="U151" i="59" s="1"/>
  <c r="U152" i="59" s="1"/>
  <c r="K32" i="7"/>
  <c r="K25" i="14"/>
  <c r="K75" i="28"/>
  <c r="I133" i="7"/>
  <c r="AG133" i="4" s="1"/>
  <c r="I140" i="7"/>
  <c r="AG140" i="4" s="1"/>
  <c r="K45" i="21"/>
  <c r="K111" i="18"/>
  <c r="W123" i="4"/>
  <c r="BG142" i="59"/>
  <c r="BG151" i="59" s="1"/>
  <c r="BG152" i="59" s="1"/>
  <c r="I25" i="12"/>
  <c r="I25" i="11"/>
  <c r="K25" i="11" s="1"/>
  <c r="K88" i="17"/>
  <c r="K111" i="14"/>
  <c r="I142" i="14"/>
  <c r="I151" i="14" s="1"/>
  <c r="K151" i="14" s="1"/>
  <c r="AU142" i="59"/>
  <c r="AU151" i="59" s="1"/>
  <c r="I121" i="7"/>
  <c r="AG121" i="4" s="1"/>
  <c r="K25" i="27"/>
  <c r="I25" i="15"/>
  <c r="I25" i="49"/>
  <c r="I73" i="49" s="1"/>
  <c r="K73" i="49" s="1"/>
  <c r="I142" i="10"/>
  <c r="I151" i="10" s="1"/>
  <c r="K134" i="4"/>
  <c r="K31" i="6"/>
  <c r="I45" i="7"/>
  <c r="AG45" i="4" s="1"/>
  <c r="K143" i="4"/>
  <c r="K31" i="5"/>
  <c r="K105" i="5"/>
  <c r="W31" i="4"/>
  <c r="J151" i="9"/>
  <c r="K151" i="9" s="1"/>
  <c r="K111" i="29"/>
  <c r="K79" i="5"/>
  <c r="J111" i="5"/>
  <c r="J111" i="4" s="1"/>
  <c r="J85" i="77"/>
  <c r="J9" i="7"/>
  <c r="AH9" i="4" s="1"/>
  <c r="AT9" i="4" s="1"/>
  <c r="K151" i="12"/>
  <c r="E25" i="59"/>
  <c r="BS25" i="59" s="1"/>
  <c r="K75" i="47"/>
  <c r="I74" i="47"/>
  <c r="K74" i="47" s="1"/>
  <c r="K75" i="52"/>
  <c r="I74" i="52"/>
  <c r="K74" i="52" s="1"/>
  <c r="K75" i="55"/>
  <c r="I74" i="55"/>
  <c r="K74" i="55" s="1"/>
  <c r="K75" i="53"/>
  <c r="I74" i="53"/>
  <c r="K74" i="53" s="1"/>
  <c r="K75" i="54"/>
  <c r="I74" i="54"/>
  <c r="K74" i="54" s="1"/>
  <c r="K75" i="33"/>
  <c r="I74" i="33"/>
  <c r="K74" i="33" s="1"/>
  <c r="K75" i="34"/>
  <c r="I74" i="34"/>
  <c r="K74" i="34" s="1"/>
  <c r="K75" i="50"/>
  <c r="I74" i="50"/>
  <c r="K74" i="50" s="1"/>
  <c r="K75" i="35"/>
  <c r="I74" i="35"/>
  <c r="K74" i="35" s="1"/>
  <c r="K75" i="36"/>
  <c r="I74" i="36"/>
  <c r="K74" i="36" s="1"/>
  <c r="K75" i="37"/>
  <c r="I74" i="37"/>
  <c r="K74" i="37" s="1"/>
  <c r="K75" i="29"/>
  <c r="I74" i="29"/>
  <c r="K74" i="29" s="1"/>
  <c r="K75" i="30"/>
  <c r="I74" i="30"/>
  <c r="K74" i="30" s="1"/>
  <c r="K75" i="31"/>
  <c r="I74" i="31"/>
  <c r="K74" i="31" s="1"/>
  <c r="K75" i="16"/>
  <c r="I74" i="16"/>
  <c r="K74" i="16" s="1"/>
  <c r="K114" i="13"/>
  <c r="I111" i="13"/>
  <c r="I25" i="47"/>
  <c r="I25" i="51"/>
  <c r="K25" i="51" s="1"/>
  <c r="I25" i="52"/>
  <c r="I25" i="53"/>
  <c r="I25" i="54"/>
  <c r="I25" i="34"/>
  <c r="I25" i="50"/>
  <c r="I25" i="16"/>
  <c r="K75" i="49"/>
  <c r="I74" i="49"/>
  <c r="K74" i="49" s="1"/>
  <c r="K75" i="12"/>
  <c r="I74" i="12"/>
  <c r="K74" i="12" s="1"/>
  <c r="K75" i="11"/>
  <c r="I74" i="11"/>
  <c r="K74" i="11" s="1"/>
  <c r="J74" i="5"/>
  <c r="J74" i="4" s="1"/>
  <c r="K134" i="5"/>
  <c r="K38" i="5"/>
  <c r="K10" i="5"/>
  <c r="J30" i="5"/>
  <c r="J30" i="4" s="1"/>
  <c r="K38" i="6"/>
  <c r="J151" i="46"/>
  <c r="W38" i="4"/>
  <c r="W22" i="4"/>
  <c r="J85" i="9"/>
  <c r="J151" i="10"/>
  <c r="K25" i="63"/>
  <c r="K25" i="20"/>
  <c r="K88" i="58"/>
  <c r="I142" i="46"/>
  <c r="I151" i="46" s="1"/>
  <c r="I25" i="55"/>
  <c r="I25" i="33"/>
  <c r="I25" i="35"/>
  <c r="I25" i="36"/>
  <c r="I25" i="29"/>
  <c r="I25" i="30"/>
  <c r="I142" i="32"/>
  <c r="I151" i="32" s="1"/>
  <c r="K151" i="32" s="1"/>
  <c r="I151" i="59"/>
  <c r="I105" i="7"/>
  <c r="AG105" i="4" s="1"/>
  <c r="E142" i="59"/>
  <c r="I142" i="15"/>
  <c r="I151" i="15" s="1"/>
  <c r="J142" i="77"/>
  <c r="J151" i="77" s="1"/>
  <c r="K151" i="77" s="1"/>
  <c r="K101" i="5"/>
  <c r="W61" i="4"/>
  <c r="K18" i="7"/>
  <c r="K99" i="7"/>
  <c r="K11" i="7"/>
  <c r="K110" i="7"/>
  <c r="K35" i="7"/>
  <c r="K15" i="7"/>
  <c r="K102" i="7"/>
  <c r="K65" i="7"/>
  <c r="AG41" i="4"/>
  <c r="AC152" i="59"/>
  <c r="AD153" i="59" s="1"/>
  <c r="K145" i="7"/>
  <c r="K17" i="7"/>
  <c r="K13" i="7"/>
  <c r="K150" i="7"/>
  <c r="K129" i="7"/>
  <c r="K93" i="7"/>
  <c r="K62" i="7"/>
  <c r="K66" i="7"/>
  <c r="K131" i="7"/>
  <c r="K103" i="7"/>
  <c r="AG48" i="4"/>
  <c r="K37" i="7"/>
  <c r="K57" i="7"/>
  <c r="K69" i="7"/>
  <c r="K113" i="7"/>
  <c r="K55" i="7"/>
  <c r="K77" i="7"/>
  <c r="K106" i="7"/>
  <c r="K90" i="7"/>
  <c r="K53" i="7"/>
  <c r="K97" i="7"/>
  <c r="K78" i="7"/>
  <c r="K39" i="7"/>
  <c r="K116" i="7"/>
  <c r="K109" i="7"/>
  <c r="K108" i="7"/>
  <c r="K96" i="7"/>
  <c r="K46" i="7"/>
  <c r="K144" i="7"/>
  <c r="K127" i="7"/>
  <c r="K95" i="7"/>
  <c r="K84" i="7"/>
  <c r="AG56" i="4"/>
  <c r="K40" i="7"/>
  <c r="K52" i="7"/>
  <c r="K141" i="7"/>
  <c r="K71" i="7"/>
  <c r="K42" i="7"/>
  <c r="K130" i="7"/>
  <c r="K64" i="7"/>
  <c r="K36" i="7"/>
  <c r="K63" i="7"/>
  <c r="K27" i="7"/>
  <c r="K132" i="7"/>
  <c r="K98" i="7"/>
  <c r="K94" i="7"/>
  <c r="K76" i="7"/>
  <c r="K125" i="7"/>
  <c r="K83" i="7"/>
  <c r="K112" i="7"/>
  <c r="K58" i="7"/>
  <c r="K148" i="7"/>
  <c r="AG44" i="4"/>
  <c r="AG72" i="4"/>
  <c r="K59" i="7"/>
  <c r="K51" i="7"/>
  <c r="K100" i="7"/>
  <c r="K92" i="7"/>
  <c r="K122" i="7"/>
  <c r="AG60" i="4"/>
  <c r="K117" i="7"/>
  <c r="K47" i="7"/>
  <c r="K54" i="7"/>
  <c r="K50" i="7"/>
  <c r="K107" i="7"/>
  <c r="K24" i="7"/>
  <c r="K68" i="7"/>
  <c r="K33" i="7"/>
  <c r="K43" i="7"/>
  <c r="K23" i="7"/>
  <c r="K29" i="7"/>
  <c r="I73" i="48"/>
  <c r="I151" i="48"/>
  <c r="K151" i="48" s="1"/>
  <c r="K142" i="48"/>
  <c r="I142" i="47"/>
  <c r="I151" i="52"/>
  <c r="K151" i="52" s="1"/>
  <c r="K142" i="52"/>
  <c r="I151" i="55"/>
  <c r="K151" i="55" s="1"/>
  <c r="K142" i="55"/>
  <c r="K115" i="7"/>
  <c r="K118" i="7"/>
  <c r="I151" i="53"/>
  <c r="K151" i="53" s="1"/>
  <c r="K142" i="53"/>
  <c r="I151" i="54"/>
  <c r="K151" i="54" s="1"/>
  <c r="K142" i="54"/>
  <c r="I151" i="33"/>
  <c r="K151" i="33" s="1"/>
  <c r="K142" i="33"/>
  <c r="I151" i="34"/>
  <c r="K151" i="34" s="1"/>
  <c r="K142" i="34"/>
  <c r="I151" i="50"/>
  <c r="K151" i="50" s="1"/>
  <c r="K142" i="50"/>
  <c r="I151" i="35"/>
  <c r="K151" i="35" s="1"/>
  <c r="K142" i="35"/>
  <c r="I151" i="36"/>
  <c r="I25" i="37"/>
  <c r="K30" i="37"/>
  <c r="K114" i="26"/>
  <c r="I111" i="26"/>
  <c r="K73" i="26"/>
  <c r="I85" i="26"/>
  <c r="K85" i="26" s="1"/>
  <c r="K73" i="27"/>
  <c r="I85" i="27"/>
  <c r="K85" i="27" s="1"/>
  <c r="I151" i="27"/>
  <c r="K151" i="27" s="1"/>
  <c r="K142" i="27"/>
  <c r="K114" i="28"/>
  <c r="I111" i="28"/>
  <c r="I73" i="28"/>
  <c r="I151" i="29"/>
  <c r="K151" i="29" s="1"/>
  <c r="K142" i="29"/>
  <c r="I151" i="30"/>
  <c r="K151" i="30" s="1"/>
  <c r="K142" i="30"/>
  <c r="I151" i="31"/>
  <c r="K151" i="31" s="1"/>
  <c r="K142" i="31"/>
  <c r="I73" i="31"/>
  <c r="I73" i="32"/>
  <c r="I73" i="17"/>
  <c r="I111" i="17"/>
  <c r="I151" i="16"/>
  <c r="K151" i="16" s="1"/>
  <c r="K142" i="16"/>
  <c r="I151" i="49"/>
  <c r="K151" i="49" s="1"/>
  <c r="K142" i="49"/>
  <c r="I73" i="14"/>
  <c r="I73" i="13"/>
  <c r="K73" i="63"/>
  <c r="I85" i="63"/>
  <c r="K85" i="63" s="1"/>
  <c r="K142" i="12"/>
  <c r="K10" i="11"/>
  <c r="I9" i="11"/>
  <c r="I151" i="11"/>
  <c r="K151" i="11" s="1"/>
  <c r="K142" i="11"/>
  <c r="K9" i="10"/>
  <c r="K74" i="9"/>
  <c r="J74" i="7"/>
  <c r="AH74" i="4" s="1"/>
  <c r="K114" i="8"/>
  <c r="I111" i="8"/>
  <c r="K134" i="8"/>
  <c r="I134" i="7"/>
  <c r="I128" i="8"/>
  <c r="K9" i="8"/>
  <c r="K119" i="7"/>
  <c r="AG119" i="4"/>
  <c r="J30" i="7"/>
  <c r="AH30" i="4" s="1"/>
  <c r="J25" i="8"/>
  <c r="K135" i="7"/>
  <c r="AG135" i="4"/>
  <c r="K30" i="8"/>
  <c r="J151" i="8"/>
  <c r="K123" i="8"/>
  <c r="K30" i="58"/>
  <c r="K30" i="6" s="1"/>
  <c r="I25" i="58"/>
  <c r="K10" i="6"/>
  <c r="K49" i="6"/>
  <c r="I151" i="58"/>
  <c r="K151" i="58" s="1"/>
  <c r="K142" i="58"/>
  <c r="K26" i="6"/>
  <c r="W30" i="4"/>
  <c r="K73" i="20"/>
  <c r="I85" i="20"/>
  <c r="K85" i="20" s="1"/>
  <c r="W89" i="4"/>
  <c r="K22" i="6"/>
  <c r="K128" i="6"/>
  <c r="I142" i="21"/>
  <c r="K89" i="6"/>
  <c r="K79" i="6"/>
  <c r="K61" i="6"/>
  <c r="J74" i="46"/>
  <c r="J75" i="6"/>
  <c r="V75" i="4" s="1"/>
  <c r="K75" i="46"/>
  <c r="K75" i="6" s="1"/>
  <c r="I73" i="46"/>
  <c r="K9" i="46"/>
  <c r="K105" i="22"/>
  <c r="K105" i="6" s="1"/>
  <c r="I105" i="6"/>
  <c r="U105" i="4" s="1"/>
  <c r="W105" i="4" s="1"/>
  <c r="K88" i="22"/>
  <c r="I88" i="6"/>
  <c r="U88" i="4" s="1"/>
  <c r="I45" i="6"/>
  <c r="U45" i="4" s="1"/>
  <c r="W45" i="4" s="1"/>
  <c r="K45" i="22"/>
  <c r="I73" i="22"/>
  <c r="I85" i="22" s="1"/>
  <c r="K114" i="22"/>
  <c r="K114" i="6" s="1"/>
  <c r="I111" i="22"/>
  <c r="I114" i="6"/>
  <c r="U114" i="4" s="1"/>
  <c r="W114" i="4" s="1"/>
  <c r="K74" i="22"/>
  <c r="I74" i="6"/>
  <c r="U74" i="4" s="1"/>
  <c r="K25" i="77"/>
  <c r="K74" i="77"/>
  <c r="K30" i="77"/>
  <c r="K30" i="5" s="1"/>
  <c r="J75" i="5"/>
  <c r="J75" i="4" s="1"/>
  <c r="K75" i="77"/>
  <c r="K73" i="77"/>
  <c r="I85" i="77"/>
  <c r="K25" i="57"/>
  <c r="I25" i="5"/>
  <c r="I25" i="4" s="1"/>
  <c r="I73" i="57"/>
  <c r="K142" i="57"/>
  <c r="I151" i="57"/>
  <c r="K151" i="57" s="1"/>
  <c r="J73" i="57"/>
  <c r="J85" i="57" s="1"/>
  <c r="K26" i="5"/>
  <c r="K45" i="57"/>
  <c r="K45" i="5" s="1"/>
  <c r="I142" i="18"/>
  <c r="K143" i="5"/>
  <c r="K22" i="5"/>
  <c r="I105" i="5"/>
  <c r="I105" i="4" s="1"/>
  <c r="K105" i="4" s="1"/>
  <c r="K74" i="19"/>
  <c r="I74" i="5"/>
  <c r="I74" i="4" s="1"/>
  <c r="J85" i="19"/>
  <c r="J128" i="5"/>
  <c r="J128" i="4" s="1"/>
  <c r="K128" i="4" s="1"/>
  <c r="J142" i="19"/>
  <c r="K88" i="19"/>
  <c r="K88" i="5" s="1"/>
  <c r="I88" i="5"/>
  <c r="I88" i="4" s="1"/>
  <c r="K123" i="19"/>
  <c r="I123" i="5"/>
  <c r="I123" i="4" s="1"/>
  <c r="K123" i="4" s="1"/>
  <c r="J25" i="5"/>
  <c r="J25" i="4" s="1"/>
  <c r="K25" i="19"/>
  <c r="K128" i="19"/>
  <c r="K114" i="19"/>
  <c r="K114" i="5" s="1"/>
  <c r="I114" i="5"/>
  <c r="I114" i="4" s="1"/>
  <c r="K114" i="4" s="1"/>
  <c r="I85" i="19"/>
  <c r="K73" i="19"/>
  <c r="I111" i="19"/>
  <c r="H20" i="39"/>
  <c r="H21" i="39"/>
  <c r="F124" i="22"/>
  <c r="F121" i="22"/>
  <c r="F55" i="22"/>
  <c r="F47" i="22"/>
  <c r="I151" i="63" l="1"/>
  <c r="K151" i="63" s="1"/>
  <c r="K142" i="51"/>
  <c r="J151" i="7"/>
  <c r="AH151" i="4" s="1"/>
  <c r="K142" i="36"/>
  <c r="AI147" i="4"/>
  <c r="AU147" i="4" s="1"/>
  <c r="K85" i="21"/>
  <c r="I9" i="45"/>
  <c r="K9" i="45" s="1"/>
  <c r="AQ152" i="59"/>
  <c r="AT88" i="4"/>
  <c r="K147" i="7"/>
  <c r="K80" i="7"/>
  <c r="AI80" i="4"/>
  <c r="AU80" i="4" s="1"/>
  <c r="H24" i="76" s="1"/>
  <c r="J24" i="76" s="1"/>
  <c r="X19" i="76"/>
  <c r="V19" i="76"/>
  <c r="I143" i="7"/>
  <c r="AG143" i="4" s="1"/>
  <c r="AS143" i="4" s="1"/>
  <c r="K143" i="45"/>
  <c r="K30" i="4"/>
  <c r="AT30" i="4"/>
  <c r="AT111" i="4"/>
  <c r="W15" i="76" s="1"/>
  <c r="W23" i="76" s="1"/>
  <c r="W28" i="76" s="1"/>
  <c r="W31" i="76" s="1"/>
  <c r="AT128" i="4"/>
  <c r="I85" i="8"/>
  <c r="K22" i="45"/>
  <c r="I22" i="7"/>
  <c r="AG22" i="4" s="1"/>
  <c r="AI22" i="4" s="1"/>
  <c r="AU22" i="4" s="1"/>
  <c r="W75" i="4"/>
  <c r="AT75" i="4"/>
  <c r="AS120" i="4"/>
  <c r="I128" i="45"/>
  <c r="K128" i="45" s="1"/>
  <c r="V16" i="76"/>
  <c r="X16" i="76" s="1"/>
  <c r="I26" i="60"/>
  <c r="I25" i="60"/>
  <c r="V20" i="76"/>
  <c r="X20" i="76" s="1"/>
  <c r="I22" i="60"/>
  <c r="K85" i="22"/>
  <c r="K61" i="7"/>
  <c r="I123" i="45"/>
  <c r="K123" i="45" s="1"/>
  <c r="I114" i="7"/>
  <c r="AG114" i="4" s="1"/>
  <c r="AI139" i="4"/>
  <c r="AU139" i="4" s="1"/>
  <c r="AS139" i="4"/>
  <c r="AI126" i="4"/>
  <c r="AU126" i="4" s="1"/>
  <c r="AS126" i="4"/>
  <c r="AI137" i="4"/>
  <c r="AU137" i="4" s="1"/>
  <c r="AS137" i="4"/>
  <c r="AI135" i="4"/>
  <c r="AU135" i="4" s="1"/>
  <c r="AS135" i="4"/>
  <c r="AI119" i="4"/>
  <c r="AU119" i="4" s="1"/>
  <c r="AS119" i="4"/>
  <c r="AI105" i="4"/>
  <c r="AU105" i="4" s="1"/>
  <c r="AS105" i="4"/>
  <c r="AI121" i="4"/>
  <c r="AU121" i="4" s="1"/>
  <c r="AS121" i="4"/>
  <c r="AI133" i="4"/>
  <c r="AU133" i="4" s="1"/>
  <c r="I24" i="60" s="1"/>
  <c r="AS133" i="4"/>
  <c r="AI124" i="4"/>
  <c r="AU124" i="4" s="1"/>
  <c r="AS124" i="4"/>
  <c r="AI89" i="4"/>
  <c r="AU89" i="4" s="1"/>
  <c r="AS89" i="4"/>
  <c r="AI138" i="4"/>
  <c r="AU138" i="4" s="1"/>
  <c r="AS138" i="4"/>
  <c r="AI101" i="4"/>
  <c r="AU101" i="4" s="1"/>
  <c r="AS101" i="4"/>
  <c r="V26" i="76"/>
  <c r="X26" i="76" s="1"/>
  <c r="AI140" i="4"/>
  <c r="AU140" i="4" s="1"/>
  <c r="AS140" i="4"/>
  <c r="V30" i="76"/>
  <c r="X30" i="76" s="1"/>
  <c r="X29" i="76"/>
  <c r="AI60" i="4"/>
  <c r="AU60" i="4" s="1"/>
  <c r="AS60" i="4"/>
  <c r="AI72" i="4"/>
  <c r="AU72" i="4" s="1"/>
  <c r="I36" i="60" s="1"/>
  <c r="AS72" i="4"/>
  <c r="AI70" i="4"/>
  <c r="AU70" i="4" s="1"/>
  <c r="AS70" i="4"/>
  <c r="AI67" i="4"/>
  <c r="AU67" i="4" s="1"/>
  <c r="AS67" i="4"/>
  <c r="AI26" i="4"/>
  <c r="AU26" i="4" s="1"/>
  <c r="AS26" i="4"/>
  <c r="AI38" i="4"/>
  <c r="AU38" i="4" s="1"/>
  <c r="AS38" i="4"/>
  <c r="AI49" i="4"/>
  <c r="AU49" i="4" s="1"/>
  <c r="AS49" i="4"/>
  <c r="AI34" i="4"/>
  <c r="AU34" i="4" s="1"/>
  <c r="AS34" i="4"/>
  <c r="AI44" i="4"/>
  <c r="AU44" i="4" s="1"/>
  <c r="AS44" i="4"/>
  <c r="AI56" i="4"/>
  <c r="AU56" i="4" s="1"/>
  <c r="AS56" i="4"/>
  <c r="AI48" i="4"/>
  <c r="AU48" i="4" s="1"/>
  <c r="AS48" i="4"/>
  <c r="AI41" i="4"/>
  <c r="AU41" i="4" s="1"/>
  <c r="AS41" i="4"/>
  <c r="AI45" i="4"/>
  <c r="AU45" i="4" s="1"/>
  <c r="AS45" i="4"/>
  <c r="AI10" i="4"/>
  <c r="AU10" i="4" s="1"/>
  <c r="I13" i="60" s="1"/>
  <c r="AS10" i="4"/>
  <c r="AI31" i="4"/>
  <c r="AU31" i="4" s="1"/>
  <c r="AS31" i="4"/>
  <c r="AI21" i="4"/>
  <c r="AU21" i="4" s="1"/>
  <c r="I14" i="60" s="1"/>
  <c r="AS21" i="4"/>
  <c r="AI61" i="4"/>
  <c r="AU61" i="4" s="1"/>
  <c r="H20" i="76" s="1"/>
  <c r="J20" i="76" s="1"/>
  <c r="AS61" i="4"/>
  <c r="K21" i="7"/>
  <c r="K31" i="7"/>
  <c r="K49" i="7"/>
  <c r="BC151" i="59"/>
  <c r="BS142" i="59"/>
  <c r="I142" i="45" s="1"/>
  <c r="K142" i="45" s="1"/>
  <c r="BC85" i="59"/>
  <c r="AI152" i="59"/>
  <c r="K138" i="7"/>
  <c r="K34" i="7"/>
  <c r="K10" i="7"/>
  <c r="K101" i="7"/>
  <c r="K126" i="7"/>
  <c r="K123" i="5"/>
  <c r="I85" i="9"/>
  <c r="K85" i="9" s="1"/>
  <c r="K153" i="9" s="1"/>
  <c r="K142" i="37"/>
  <c r="K142" i="14"/>
  <c r="AU152" i="59"/>
  <c r="AY152" i="59"/>
  <c r="K128" i="5"/>
  <c r="I85" i="18"/>
  <c r="K85" i="18" s="1"/>
  <c r="I73" i="10"/>
  <c r="I85" i="10" s="1"/>
  <c r="K85" i="10" s="1"/>
  <c r="K38" i="7"/>
  <c r="K151" i="36"/>
  <c r="K137" i="7"/>
  <c r="I142" i="20"/>
  <c r="I151" i="20" s="1"/>
  <c r="K73" i="21"/>
  <c r="K151" i="20"/>
  <c r="K153" i="20" s="1"/>
  <c r="J73" i="6"/>
  <c r="V73" i="4" s="1"/>
  <c r="K45" i="6"/>
  <c r="K89" i="7"/>
  <c r="K133" i="7"/>
  <c r="K121" i="7"/>
  <c r="AM152" i="59"/>
  <c r="K9" i="6"/>
  <c r="J151" i="6"/>
  <c r="V151" i="4" s="1"/>
  <c r="K74" i="4"/>
  <c r="I73" i="5"/>
  <c r="I73" i="4" s="1"/>
  <c r="K75" i="4"/>
  <c r="W88" i="4"/>
  <c r="K124" i="7"/>
  <c r="K67" i="7"/>
  <c r="J142" i="7"/>
  <c r="AH142" i="4" s="1"/>
  <c r="K151" i="10"/>
  <c r="K45" i="7"/>
  <c r="J85" i="5"/>
  <c r="J85" i="4" s="1"/>
  <c r="K85" i="77"/>
  <c r="K153" i="77" s="1"/>
  <c r="K75" i="5"/>
  <c r="K26" i="7"/>
  <c r="K139" i="7"/>
  <c r="AG81" i="4"/>
  <c r="J142" i="6"/>
  <c r="V142" i="4" s="1"/>
  <c r="K151" i="46"/>
  <c r="K88" i="4"/>
  <c r="K88" i="6"/>
  <c r="K70" i="7"/>
  <c r="K140" i="7"/>
  <c r="I30" i="7"/>
  <c r="AG30" i="4" s="1"/>
  <c r="I74" i="7"/>
  <c r="AG74" i="4" s="1"/>
  <c r="K105" i="7"/>
  <c r="K75" i="45"/>
  <c r="I75" i="7"/>
  <c r="K25" i="12"/>
  <c r="I73" i="12"/>
  <c r="K73" i="12" s="1"/>
  <c r="I85" i="49"/>
  <c r="K85" i="49" s="1"/>
  <c r="K153" i="49" s="1"/>
  <c r="I73" i="51"/>
  <c r="K73" i="51" s="1"/>
  <c r="K153" i="27"/>
  <c r="K142" i="32"/>
  <c r="K142" i="77"/>
  <c r="K25" i="49"/>
  <c r="I73" i="15"/>
  <c r="K25" i="15"/>
  <c r="K79" i="45"/>
  <c r="I79" i="7"/>
  <c r="K142" i="10"/>
  <c r="K25" i="4"/>
  <c r="K25" i="5"/>
  <c r="J73" i="5"/>
  <c r="J73" i="4" s="1"/>
  <c r="K25" i="29"/>
  <c r="I73" i="29"/>
  <c r="K25" i="35"/>
  <c r="I73" i="35"/>
  <c r="I73" i="55"/>
  <c r="K25" i="55"/>
  <c r="K25" i="16"/>
  <c r="I73" i="16"/>
  <c r="I73" i="50"/>
  <c r="K25" i="50"/>
  <c r="I73" i="54"/>
  <c r="K25" i="54"/>
  <c r="I73" i="52"/>
  <c r="K25" i="52"/>
  <c r="I73" i="47"/>
  <c r="K25" i="47"/>
  <c r="E73" i="59"/>
  <c r="BS73" i="59" s="1"/>
  <c r="I25" i="45"/>
  <c r="K142" i="46"/>
  <c r="K25" i="30"/>
  <c r="I73" i="30"/>
  <c r="K25" i="36"/>
  <c r="I73" i="36"/>
  <c r="I73" i="33"/>
  <c r="K25" i="33"/>
  <c r="K25" i="34"/>
  <c r="I73" i="34"/>
  <c r="K25" i="53"/>
  <c r="I73" i="53"/>
  <c r="K111" i="13"/>
  <c r="I142" i="13"/>
  <c r="I152" i="59"/>
  <c r="I88" i="7"/>
  <c r="AG88" i="4" s="1"/>
  <c r="E151" i="59"/>
  <c r="K151" i="15"/>
  <c r="K142" i="15"/>
  <c r="K73" i="48"/>
  <c r="I85" i="48"/>
  <c r="K85" i="48" s="1"/>
  <c r="K153" i="48" s="1"/>
  <c r="I151" i="47"/>
  <c r="K151" i="47" s="1"/>
  <c r="K142" i="47"/>
  <c r="K25" i="37"/>
  <c r="I73" i="37"/>
  <c r="K111" i="26"/>
  <c r="I142" i="26"/>
  <c r="I85" i="28"/>
  <c r="K85" i="28" s="1"/>
  <c r="K73" i="28"/>
  <c r="K111" i="28"/>
  <c r="I142" i="28"/>
  <c r="K73" i="31"/>
  <c r="I85" i="31"/>
  <c r="K85" i="31" s="1"/>
  <c r="K153" i="31" s="1"/>
  <c r="I85" i="32"/>
  <c r="K85" i="32" s="1"/>
  <c r="K153" i="32" s="1"/>
  <c r="K73" i="32"/>
  <c r="I85" i="17"/>
  <c r="K111" i="17"/>
  <c r="I142" i="17"/>
  <c r="I85" i="14"/>
  <c r="K85" i="14" s="1"/>
  <c r="K153" i="14" s="1"/>
  <c r="K73" i="14"/>
  <c r="I85" i="13"/>
  <c r="K85" i="13" s="1"/>
  <c r="K73" i="13"/>
  <c r="K153" i="63"/>
  <c r="I73" i="11"/>
  <c r="K9" i="11"/>
  <c r="K73" i="10"/>
  <c r="I142" i="8"/>
  <c r="K128" i="8"/>
  <c r="J25" i="7"/>
  <c r="AH25" i="4" s="1"/>
  <c r="AT25" i="4" s="1"/>
  <c r="J73" i="8"/>
  <c r="K25" i="8"/>
  <c r="K134" i="7"/>
  <c r="AG134" i="4"/>
  <c r="I111" i="7"/>
  <c r="K111" i="8"/>
  <c r="K25" i="58"/>
  <c r="K25" i="6" s="1"/>
  <c r="I73" i="58"/>
  <c r="I25" i="6"/>
  <c r="U25" i="4" s="1"/>
  <c r="W25" i="4" s="1"/>
  <c r="I151" i="21"/>
  <c r="K151" i="21" s="1"/>
  <c r="K153" i="21" s="1"/>
  <c r="K142" i="21"/>
  <c r="K73" i="46"/>
  <c r="I85" i="46"/>
  <c r="K74" i="46"/>
  <c r="K74" i="6" s="1"/>
  <c r="J74" i="6"/>
  <c r="V74" i="4" s="1"/>
  <c r="J85" i="46"/>
  <c r="J85" i="6" s="1"/>
  <c r="V85" i="4" s="1"/>
  <c r="I111" i="6"/>
  <c r="U111" i="4" s="1"/>
  <c r="W111" i="4" s="1"/>
  <c r="K111" i="22"/>
  <c r="K111" i="6" s="1"/>
  <c r="I142" i="22"/>
  <c r="I73" i="6"/>
  <c r="U73" i="4" s="1"/>
  <c r="K73" i="22"/>
  <c r="K74" i="5"/>
  <c r="K73" i="57"/>
  <c r="K73" i="5" s="1"/>
  <c r="I85" i="57"/>
  <c r="K85" i="57" s="1"/>
  <c r="K153" i="57" s="1"/>
  <c r="I151" i="18"/>
  <c r="K151" i="18" s="1"/>
  <c r="K142" i="18"/>
  <c r="K111" i="19"/>
  <c r="K111" i="5" s="1"/>
  <c r="I111" i="5"/>
  <c r="I111" i="4" s="1"/>
  <c r="K111" i="4" s="1"/>
  <c r="I142" i="19"/>
  <c r="K85" i="19"/>
  <c r="J142" i="5"/>
  <c r="J142" i="4" s="1"/>
  <c r="J151" i="19"/>
  <c r="J151" i="5" s="1"/>
  <c r="J151" i="4" s="1"/>
  <c r="F138" i="14"/>
  <c r="F137" i="14"/>
  <c r="F138" i="8"/>
  <c r="F137" i="8"/>
  <c r="G41" i="40"/>
  <c r="G43" i="40"/>
  <c r="AI143" i="4" l="1"/>
  <c r="AU143" i="4" s="1"/>
  <c r="I9" i="7"/>
  <c r="K9" i="7" s="1"/>
  <c r="M73" i="45"/>
  <c r="M9" i="7"/>
  <c r="H25" i="76"/>
  <c r="J25" i="76" s="1"/>
  <c r="K143" i="7"/>
  <c r="K142" i="20"/>
  <c r="AT151" i="4"/>
  <c r="AT142" i="4"/>
  <c r="K22" i="7"/>
  <c r="AS22" i="4"/>
  <c r="I128" i="7"/>
  <c r="K128" i="7" s="1"/>
  <c r="W74" i="4"/>
  <c r="AT74" i="4"/>
  <c r="I39" i="60"/>
  <c r="H16" i="76"/>
  <c r="J16" i="76" s="1"/>
  <c r="I16" i="60"/>
  <c r="I38" i="60"/>
  <c r="H19" i="76"/>
  <c r="J19" i="76" s="1"/>
  <c r="I35" i="60"/>
  <c r="H18" i="76"/>
  <c r="I34" i="60"/>
  <c r="V14" i="76"/>
  <c r="X14" i="76" s="1"/>
  <c r="I20" i="60"/>
  <c r="H15" i="76"/>
  <c r="J15" i="76" s="1"/>
  <c r="I11" i="60"/>
  <c r="K114" i="7"/>
  <c r="I123" i="7"/>
  <c r="AG123" i="4" s="1"/>
  <c r="AI123" i="4" s="1"/>
  <c r="AU123" i="4" s="1"/>
  <c r="AI134" i="4"/>
  <c r="AU134" i="4" s="1"/>
  <c r="AS134" i="4"/>
  <c r="V21" i="76"/>
  <c r="AI114" i="4"/>
  <c r="AU114" i="4" s="1"/>
  <c r="AS114" i="4"/>
  <c r="V24" i="76"/>
  <c r="V25" i="76"/>
  <c r="X25" i="76" s="1"/>
  <c r="AI88" i="4"/>
  <c r="AU88" i="4" s="1"/>
  <c r="AS88" i="4"/>
  <c r="AI81" i="4"/>
  <c r="AU81" i="4" s="1"/>
  <c r="H26" i="76" s="1"/>
  <c r="AS81" i="4"/>
  <c r="AI74" i="4"/>
  <c r="AS74" i="4"/>
  <c r="AI30" i="4"/>
  <c r="AU30" i="4" s="1"/>
  <c r="AS30" i="4"/>
  <c r="BS151" i="59"/>
  <c r="I151" i="45" s="1"/>
  <c r="BC152" i="59"/>
  <c r="I85" i="12"/>
  <c r="K85" i="12" s="1"/>
  <c r="K153" i="12" s="1"/>
  <c r="K153" i="18"/>
  <c r="W73" i="4"/>
  <c r="K74" i="7"/>
  <c r="K30" i="7"/>
  <c r="K153" i="10"/>
  <c r="K73" i="4"/>
  <c r="I85" i="51"/>
  <c r="K85" i="51" s="1"/>
  <c r="K153" i="51" s="1"/>
  <c r="AG75" i="4"/>
  <c r="K75" i="7"/>
  <c r="I85" i="15"/>
  <c r="K85" i="15" s="1"/>
  <c r="K153" i="15" s="1"/>
  <c r="K73" i="15"/>
  <c r="AG79" i="4"/>
  <c r="K79" i="7"/>
  <c r="I85" i="5"/>
  <c r="I85" i="4" s="1"/>
  <c r="K85" i="4" s="1"/>
  <c r="I85" i="33"/>
  <c r="K85" i="33" s="1"/>
  <c r="K153" i="33" s="1"/>
  <c r="K73" i="33"/>
  <c r="K25" i="45"/>
  <c r="I25" i="7"/>
  <c r="AG25" i="4" s="1"/>
  <c r="I85" i="16"/>
  <c r="K85" i="16" s="1"/>
  <c r="K153" i="16" s="1"/>
  <c r="K73" i="16"/>
  <c r="I85" i="35"/>
  <c r="K85" i="35" s="1"/>
  <c r="K153" i="35" s="1"/>
  <c r="K73" i="35"/>
  <c r="I85" i="29"/>
  <c r="K85" i="29" s="1"/>
  <c r="K153" i="29" s="1"/>
  <c r="K73" i="29"/>
  <c r="I151" i="13"/>
  <c r="K151" i="13" s="1"/>
  <c r="K153" i="13" s="1"/>
  <c r="K142" i="13"/>
  <c r="K73" i="53"/>
  <c r="I85" i="53"/>
  <c r="K85" i="53" s="1"/>
  <c r="K153" i="53" s="1"/>
  <c r="I85" i="34"/>
  <c r="K85" i="34" s="1"/>
  <c r="K153" i="34" s="1"/>
  <c r="K73" i="34"/>
  <c r="K73" i="36"/>
  <c r="I85" i="36"/>
  <c r="K85" i="36" s="1"/>
  <c r="K153" i="36" s="1"/>
  <c r="I85" i="30"/>
  <c r="K85" i="30" s="1"/>
  <c r="K153" i="30" s="1"/>
  <c r="K73" i="30"/>
  <c r="E85" i="59"/>
  <c r="E152" i="59" s="1"/>
  <c r="I73" i="45"/>
  <c r="K73" i="45" s="1"/>
  <c r="K73" i="47"/>
  <c r="I85" i="47"/>
  <c r="K85" i="47" s="1"/>
  <c r="K153" i="47" s="1"/>
  <c r="I85" i="52"/>
  <c r="K85" i="52" s="1"/>
  <c r="K153" i="52" s="1"/>
  <c r="K73" i="52"/>
  <c r="K73" i="54"/>
  <c r="I85" i="54"/>
  <c r="K85" i="54" s="1"/>
  <c r="K153" i="54" s="1"/>
  <c r="I85" i="50"/>
  <c r="K85" i="50" s="1"/>
  <c r="K153" i="50" s="1"/>
  <c r="K73" i="50"/>
  <c r="K73" i="55"/>
  <c r="I85" i="55"/>
  <c r="K85" i="55" s="1"/>
  <c r="K153" i="55" s="1"/>
  <c r="K88" i="7"/>
  <c r="K73" i="37"/>
  <c r="I85" i="37"/>
  <c r="K85" i="37" s="1"/>
  <c r="K153" i="37" s="1"/>
  <c r="I151" i="26"/>
  <c r="K151" i="26" s="1"/>
  <c r="K153" i="26" s="1"/>
  <c r="K142" i="26"/>
  <c r="I151" i="28"/>
  <c r="K151" i="28" s="1"/>
  <c r="K153" i="28" s="1"/>
  <c r="K142" i="28"/>
  <c r="K142" i="17"/>
  <c r="I151" i="17"/>
  <c r="K151" i="17" s="1"/>
  <c r="AG9" i="4"/>
  <c r="K73" i="11"/>
  <c r="I85" i="11"/>
  <c r="K85" i="11" s="1"/>
  <c r="K153" i="11" s="1"/>
  <c r="K111" i="7"/>
  <c r="AG111" i="4"/>
  <c r="J85" i="8"/>
  <c r="J85" i="7" s="1"/>
  <c r="AH85" i="4" s="1"/>
  <c r="AT85" i="4" s="1"/>
  <c r="J73" i="7"/>
  <c r="AH73" i="4" s="1"/>
  <c r="AT73" i="4" s="1"/>
  <c r="I142" i="7"/>
  <c r="I151" i="8"/>
  <c r="K142" i="8"/>
  <c r="K73" i="8"/>
  <c r="I85" i="58"/>
  <c r="K85" i="58" s="1"/>
  <c r="K153" i="58" s="1"/>
  <c r="K73" i="58"/>
  <c r="K73" i="6" s="1"/>
  <c r="K85" i="46"/>
  <c r="K153" i="46" s="1"/>
  <c r="K142" i="22"/>
  <c r="I151" i="22"/>
  <c r="I142" i="6"/>
  <c r="U142" i="4" s="1"/>
  <c r="W142" i="4" s="1"/>
  <c r="J153" i="5"/>
  <c r="K85" i="5"/>
  <c r="K142" i="19"/>
  <c r="K142" i="5" s="1"/>
  <c r="I142" i="5"/>
  <c r="I142" i="4" s="1"/>
  <c r="K142" i="4" s="1"/>
  <c r="I151" i="19"/>
  <c r="G23" i="76"/>
  <c r="G16" i="76"/>
  <c r="K142" i="6" l="1"/>
  <c r="AU74" i="4"/>
  <c r="H21" i="76"/>
  <c r="J21" i="76" s="1"/>
  <c r="AK9" i="4"/>
  <c r="N9" i="7"/>
  <c r="M85" i="45"/>
  <c r="N73" i="45"/>
  <c r="M73" i="7"/>
  <c r="AT152" i="4"/>
  <c r="BS85" i="59"/>
  <c r="I85" i="45" s="1"/>
  <c r="K85" i="45" s="1"/>
  <c r="I85" i="6"/>
  <c r="AG128" i="4"/>
  <c r="AI128" i="4" s="1"/>
  <c r="AU128" i="4" s="1"/>
  <c r="J18" i="76"/>
  <c r="V22" i="76"/>
  <c r="X22" i="76" s="1"/>
  <c r="I27" i="60"/>
  <c r="K123" i="7"/>
  <c r="V13" i="76"/>
  <c r="X13" i="76" s="1"/>
  <c r="I19" i="60"/>
  <c r="AS123" i="4"/>
  <c r="K151" i="45"/>
  <c r="I151" i="7"/>
  <c r="K151" i="7" s="1"/>
  <c r="I44" i="60"/>
  <c r="AI111" i="4"/>
  <c r="AU111" i="4" s="1"/>
  <c r="I21" i="60" s="1"/>
  <c r="AS111" i="4"/>
  <c r="X24" i="76"/>
  <c r="V27" i="76"/>
  <c r="X27" i="76" s="1"/>
  <c r="X21" i="76"/>
  <c r="AI25" i="4"/>
  <c r="AU25" i="4" s="1"/>
  <c r="AS25" i="4"/>
  <c r="AI79" i="4"/>
  <c r="AU79" i="4" s="1"/>
  <c r="I52" i="60" s="1"/>
  <c r="AS79" i="4"/>
  <c r="AI75" i="4"/>
  <c r="AU75" i="4" s="1"/>
  <c r="AS75" i="4"/>
  <c r="J26" i="76"/>
  <c r="H27" i="76"/>
  <c r="AI9" i="4"/>
  <c r="AU9" i="4" s="1"/>
  <c r="H13" i="76" s="1"/>
  <c r="AS9" i="4"/>
  <c r="K25" i="7"/>
  <c r="U85" i="4"/>
  <c r="W85" i="4" s="1"/>
  <c r="I73" i="7"/>
  <c r="AG73" i="4" s="1"/>
  <c r="K142" i="7"/>
  <c r="AG142" i="4"/>
  <c r="K151" i="8"/>
  <c r="K85" i="8"/>
  <c r="N86" i="8" s="1"/>
  <c r="I151" i="6"/>
  <c r="U151" i="4" s="1"/>
  <c r="W151" i="4" s="1"/>
  <c r="W152" i="4" s="1"/>
  <c r="K151" i="22"/>
  <c r="K151" i="6" s="1"/>
  <c r="K85" i="6"/>
  <c r="K151" i="19"/>
  <c r="I151" i="5"/>
  <c r="E41" i="41"/>
  <c r="E50" i="41"/>
  <c r="AK73" i="4" l="1"/>
  <c r="N73" i="7"/>
  <c r="N85" i="45"/>
  <c r="N153" i="45" s="1"/>
  <c r="M85" i="7"/>
  <c r="AL9" i="4"/>
  <c r="AX9" i="4" s="1"/>
  <c r="K13" i="76" s="1"/>
  <c r="AW9" i="4"/>
  <c r="AS128" i="4"/>
  <c r="V17" i="76"/>
  <c r="X17" i="76" s="1"/>
  <c r="H14" i="76"/>
  <c r="J14" i="76" s="1"/>
  <c r="I12" i="60"/>
  <c r="K153" i="45"/>
  <c r="V15" i="76"/>
  <c r="AI142" i="4"/>
  <c r="AU142" i="4" s="1"/>
  <c r="AS142" i="4"/>
  <c r="AI73" i="4"/>
  <c r="AU73" i="4" s="1"/>
  <c r="AS73" i="4"/>
  <c r="H30" i="76"/>
  <c r="J30" i="76" s="1"/>
  <c r="J27" i="76"/>
  <c r="H28" i="76"/>
  <c r="J28" i="76" s="1"/>
  <c r="J13" i="76"/>
  <c r="I85" i="7"/>
  <c r="AG85" i="4" s="1"/>
  <c r="K73" i="7"/>
  <c r="K153" i="6"/>
  <c r="K153" i="22"/>
  <c r="K153" i="8"/>
  <c r="AG151" i="4"/>
  <c r="K151" i="5"/>
  <c r="K153" i="5" s="1"/>
  <c r="K153" i="19"/>
  <c r="I151" i="4"/>
  <c r="K151" i="4" s="1"/>
  <c r="K152" i="4" s="1"/>
  <c r="I153" i="5"/>
  <c r="U18" i="76"/>
  <c r="K17" i="76" l="1"/>
  <c r="M13" i="76"/>
  <c r="AK85" i="4"/>
  <c r="N85" i="7"/>
  <c r="N153" i="7" s="1"/>
  <c r="AW73" i="4"/>
  <c r="AL73" i="4"/>
  <c r="AX73" i="4" s="1"/>
  <c r="H17" i="76"/>
  <c r="J17" i="76" s="1"/>
  <c r="AI151" i="4"/>
  <c r="AU151" i="4" s="1"/>
  <c r="AS151" i="4"/>
  <c r="X15" i="76"/>
  <c r="V23" i="76"/>
  <c r="AI85" i="4"/>
  <c r="AU85" i="4" s="1"/>
  <c r="AS85" i="4"/>
  <c r="K85" i="7"/>
  <c r="N86" i="7" s="1"/>
  <c r="K29" i="76" l="1"/>
  <c r="M17" i="76"/>
  <c r="K22" i="76"/>
  <c r="M22" i="76" s="1"/>
  <c r="AW85" i="4"/>
  <c r="AW152" i="4" s="1"/>
  <c r="AL85" i="4"/>
  <c r="AU152" i="4"/>
  <c r="AS152" i="4"/>
  <c r="AI152" i="4"/>
  <c r="H22" i="76"/>
  <c r="J22" i="76" s="1"/>
  <c r="H29" i="76"/>
  <c r="J29" i="76" s="1"/>
  <c r="K153" i="7"/>
  <c r="X23" i="76"/>
  <c r="V28" i="76"/>
  <c r="M29" i="76" l="1"/>
  <c r="K31" i="76"/>
  <c r="M31" i="76" s="1"/>
  <c r="AL152" i="4"/>
  <c r="AX85" i="4"/>
  <c r="AX152" i="4" s="1"/>
  <c r="H31" i="76"/>
  <c r="J31" i="76" s="1"/>
  <c r="X28" i="76"/>
  <c r="V31" i="76"/>
  <c r="X31" i="76" s="1"/>
  <c r="G148" i="43" l="1"/>
  <c r="G149" i="43"/>
  <c r="G150" i="43"/>
  <c r="E12" i="41" l="1"/>
  <c r="F119" i="8" l="1"/>
  <c r="F119" i="28"/>
  <c r="L137" i="59" l="1"/>
  <c r="L121" i="59"/>
  <c r="F63" i="10" l="1"/>
  <c r="F14" i="21"/>
  <c r="F104" i="22" l="1"/>
  <c r="AH138" i="59" l="1"/>
  <c r="AH137" i="59"/>
  <c r="AB138" i="59" l="1"/>
  <c r="AB137" i="59"/>
  <c r="F138" i="63"/>
  <c r="F137" i="63"/>
  <c r="F138" i="10"/>
  <c r="F137" i="10"/>
  <c r="F138" i="31"/>
  <c r="F137" i="31"/>
  <c r="F140" i="10"/>
  <c r="F139" i="10"/>
  <c r="F140" i="28"/>
  <c r="F139" i="28"/>
  <c r="F140" i="63"/>
  <c r="F139" i="63"/>
  <c r="F140" i="31"/>
  <c r="F139" i="31"/>
  <c r="F140" i="32"/>
  <c r="F139" i="32"/>
  <c r="F137" i="22"/>
  <c r="G67" i="40" l="1"/>
  <c r="G27" i="40"/>
  <c r="G22" i="40"/>
  <c r="G14" i="40"/>
  <c r="H36" i="39"/>
  <c r="H34" i="39"/>
  <c r="H33" i="39"/>
  <c r="H27" i="39"/>
  <c r="H19" i="39"/>
  <c r="H18" i="39"/>
  <c r="H12" i="39"/>
  <c r="H10" i="39"/>
  <c r="G32" i="40" l="1"/>
  <c r="F135" i="8"/>
  <c r="F131" i="12"/>
  <c r="F118" i="28" l="1"/>
  <c r="X124" i="59"/>
  <c r="X137" i="59"/>
  <c r="F124" i="47"/>
  <c r="F112" i="47"/>
  <c r="BQ72" i="59"/>
  <c r="BR72" i="59"/>
  <c r="F80" i="8"/>
  <c r="C72" i="4"/>
  <c r="D72" i="4"/>
  <c r="F72" i="4"/>
  <c r="G72" i="4"/>
  <c r="R72" i="4"/>
  <c r="S72" i="4"/>
  <c r="AA72" i="4"/>
  <c r="AB72" i="4"/>
  <c r="AE72" i="4"/>
  <c r="H72" i="5"/>
  <c r="H72" i="19"/>
  <c r="H72" i="18"/>
  <c r="H72" i="57"/>
  <c r="H72" i="77"/>
  <c r="H72" i="6"/>
  <c r="H72" i="22"/>
  <c r="H72" i="46"/>
  <c r="H72" i="21"/>
  <c r="H72" i="20"/>
  <c r="H72" i="58"/>
  <c r="H72" i="48"/>
  <c r="H72" i="47"/>
  <c r="H72" i="51"/>
  <c r="H72" i="52"/>
  <c r="H72" i="55"/>
  <c r="H72" i="53"/>
  <c r="H72" i="54"/>
  <c r="H72" i="33"/>
  <c r="H72" i="34"/>
  <c r="H72" i="50"/>
  <c r="H72" i="35"/>
  <c r="H72" i="36"/>
  <c r="H72" i="37"/>
  <c r="H72" i="26"/>
  <c r="H72" i="27"/>
  <c r="H72" i="28"/>
  <c r="H72" i="29"/>
  <c r="H72" i="30"/>
  <c r="H72" i="31"/>
  <c r="H72" i="32"/>
  <c r="H72" i="17"/>
  <c r="H72" i="16"/>
  <c r="H72" i="15"/>
  <c r="H72" i="49"/>
  <c r="H72" i="14"/>
  <c r="H72" i="13"/>
  <c r="H72" i="63"/>
  <c r="H72" i="12"/>
  <c r="H72" i="11"/>
  <c r="H72" i="10"/>
  <c r="H72" i="9"/>
  <c r="H72" i="8"/>
  <c r="F124" i="51"/>
  <c r="F116" i="51"/>
  <c r="F55" i="51"/>
  <c r="F54" i="51"/>
  <c r="AM72" i="4" l="1"/>
  <c r="AC72" i="4"/>
  <c r="AN72" i="4"/>
  <c r="T72" i="4"/>
  <c r="H72" i="4"/>
  <c r="E72" i="4"/>
  <c r="AQ72" i="4"/>
  <c r="Q72" i="4"/>
  <c r="F72" i="45"/>
  <c r="AO72" i="4" l="1"/>
  <c r="H72" i="45"/>
  <c r="F72" i="7"/>
  <c r="AB121" i="59"/>
  <c r="AB124" i="59"/>
  <c r="AT120" i="59"/>
  <c r="AT121" i="59"/>
  <c r="AT90" i="59"/>
  <c r="AD72" i="4" l="1"/>
  <c r="H72" i="7"/>
  <c r="BR150" i="59"/>
  <c r="F150" i="45" s="1"/>
  <c r="BR149" i="59"/>
  <c r="F149" i="45" s="1"/>
  <c r="BR148" i="59"/>
  <c r="F148" i="45" s="1"/>
  <c r="BR146" i="59"/>
  <c r="F146" i="45" s="1"/>
  <c r="BR145" i="59"/>
  <c r="F145" i="45" s="1"/>
  <c r="BR144" i="59"/>
  <c r="F144" i="45" s="1"/>
  <c r="BR141" i="59"/>
  <c r="F141" i="45" s="1"/>
  <c r="BR136" i="59"/>
  <c r="F136" i="45" s="1"/>
  <c r="BR135" i="59"/>
  <c r="F135" i="45" s="1"/>
  <c r="BR132" i="59"/>
  <c r="F132" i="45" s="1"/>
  <c r="BR131" i="59"/>
  <c r="F131" i="45" s="1"/>
  <c r="BR130" i="59"/>
  <c r="F130" i="45" s="1"/>
  <c r="BR129" i="59"/>
  <c r="F129" i="45" s="1"/>
  <c r="BR127" i="59"/>
  <c r="F127" i="45" s="1"/>
  <c r="BR125" i="59"/>
  <c r="F125" i="45" s="1"/>
  <c r="BR122" i="59"/>
  <c r="F122" i="45" s="1"/>
  <c r="BR120" i="59"/>
  <c r="F120" i="45" s="1"/>
  <c r="BR119" i="59"/>
  <c r="F119" i="45" s="1"/>
  <c r="BR118" i="59"/>
  <c r="F118" i="45" s="1"/>
  <c r="BR117" i="59"/>
  <c r="F117" i="45" s="1"/>
  <c r="BR116" i="59"/>
  <c r="F116" i="45" s="1"/>
  <c r="BR115" i="59"/>
  <c r="F115" i="45" s="1"/>
  <c r="BR113" i="59"/>
  <c r="F113" i="45" s="1"/>
  <c r="BR112" i="59"/>
  <c r="F112" i="45" s="1"/>
  <c r="BR110" i="59"/>
  <c r="F110" i="45" s="1"/>
  <c r="BR109" i="59"/>
  <c r="F109" i="45" s="1"/>
  <c r="BR108" i="59"/>
  <c r="F108" i="45" s="1"/>
  <c r="BR107" i="59"/>
  <c r="F107" i="45" s="1"/>
  <c r="BR106" i="59"/>
  <c r="F106" i="45" s="1"/>
  <c r="BR104" i="59"/>
  <c r="F104" i="45" s="1"/>
  <c r="BR103" i="59"/>
  <c r="F103" i="45" s="1"/>
  <c r="BR102" i="59"/>
  <c r="F102" i="45" s="1"/>
  <c r="BR100" i="59"/>
  <c r="F100" i="45" s="1"/>
  <c r="BR99" i="59"/>
  <c r="F99" i="45" s="1"/>
  <c r="BR98" i="59"/>
  <c r="F98" i="45" s="1"/>
  <c r="BR97" i="59"/>
  <c r="F97" i="45" s="1"/>
  <c r="BR96" i="59"/>
  <c r="F96" i="45" s="1"/>
  <c r="BR95" i="59"/>
  <c r="F95" i="45" s="1"/>
  <c r="BR94" i="59"/>
  <c r="F94" i="45" s="1"/>
  <c r="BR93" i="59"/>
  <c r="F93" i="45" s="1"/>
  <c r="BR92" i="59"/>
  <c r="F92" i="45" s="1"/>
  <c r="BR91" i="59"/>
  <c r="F91" i="45" s="1"/>
  <c r="BR11" i="59"/>
  <c r="F11" i="45" s="1"/>
  <c r="BR12" i="59"/>
  <c r="F12" i="45" s="1"/>
  <c r="BR13" i="59"/>
  <c r="F13" i="45" s="1"/>
  <c r="BR14" i="59"/>
  <c r="F14" i="45" s="1"/>
  <c r="BR15" i="59"/>
  <c r="F15" i="45" s="1"/>
  <c r="BR16" i="59"/>
  <c r="F16" i="45" s="1"/>
  <c r="BR17" i="59"/>
  <c r="F17" i="45" s="1"/>
  <c r="BR18" i="59"/>
  <c r="F18" i="45" s="1"/>
  <c r="BR19" i="59"/>
  <c r="F19" i="45" s="1"/>
  <c r="BR20" i="59"/>
  <c r="F20" i="45" s="1"/>
  <c r="BR24" i="59"/>
  <c r="F24" i="45" s="1"/>
  <c r="BR27" i="59"/>
  <c r="F27" i="45" s="1"/>
  <c r="BR28" i="59"/>
  <c r="F28" i="45" s="1"/>
  <c r="BR29" i="59"/>
  <c r="F29" i="45" s="1"/>
  <c r="BR32" i="59"/>
  <c r="F32" i="45" s="1"/>
  <c r="BR33" i="59"/>
  <c r="F33" i="45" s="1"/>
  <c r="BR35" i="59"/>
  <c r="F35" i="45" s="1"/>
  <c r="BR36" i="59"/>
  <c r="F36" i="45" s="1"/>
  <c r="BR37" i="59"/>
  <c r="F37" i="45" s="1"/>
  <c r="BR39" i="59"/>
  <c r="F39" i="45" s="1"/>
  <c r="BR40" i="59"/>
  <c r="F40" i="45" s="1"/>
  <c r="BR41" i="59"/>
  <c r="F41" i="45" s="1"/>
  <c r="BR42" i="59"/>
  <c r="F42" i="45" s="1"/>
  <c r="BR43" i="59"/>
  <c r="F43" i="45" s="1"/>
  <c r="BR44" i="59"/>
  <c r="F44" i="45" s="1"/>
  <c r="BR46" i="59"/>
  <c r="F46" i="45" s="1"/>
  <c r="BR47" i="59"/>
  <c r="F47" i="45" s="1"/>
  <c r="BR48" i="59"/>
  <c r="F48" i="45" s="1"/>
  <c r="BR50" i="59"/>
  <c r="F50" i="45" s="1"/>
  <c r="BR51" i="59"/>
  <c r="F51" i="45" s="1"/>
  <c r="BR52" i="59"/>
  <c r="F52" i="45" s="1"/>
  <c r="BR53" i="59"/>
  <c r="F53" i="45" s="1"/>
  <c r="BR54" i="59"/>
  <c r="F54" i="45" s="1"/>
  <c r="BR55" i="59"/>
  <c r="F55" i="45" s="1"/>
  <c r="BR56" i="59"/>
  <c r="F56" i="45" s="1"/>
  <c r="BR57" i="59"/>
  <c r="F57" i="45" s="1"/>
  <c r="BR58" i="59"/>
  <c r="F58" i="45" s="1"/>
  <c r="BR59" i="59"/>
  <c r="F59" i="45" s="1"/>
  <c r="BR60" i="59"/>
  <c r="F60" i="45" s="1"/>
  <c r="BR62" i="59"/>
  <c r="F62" i="45" s="1"/>
  <c r="BR63" i="59"/>
  <c r="F63" i="45" s="1"/>
  <c r="BR64" i="59"/>
  <c r="F64" i="45" s="1"/>
  <c r="BR65" i="59"/>
  <c r="F65" i="45" s="1"/>
  <c r="BR66" i="59"/>
  <c r="F66" i="45" s="1"/>
  <c r="BR68" i="59"/>
  <c r="F68" i="45" s="1"/>
  <c r="BR69" i="59"/>
  <c r="F69" i="45" s="1"/>
  <c r="BR71" i="59"/>
  <c r="F71" i="45" s="1"/>
  <c r="BR76" i="59"/>
  <c r="F76" i="45" s="1"/>
  <c r="BR77" i="59"/>
  <c r="F77" i="45" s="1"/>
  <c r="BR78" i="59"/>
  <c r="F78" i="45" s="1"/>
  <c r="BR82" i="59"/>
  <c r="F82" i="45" s="1"/>
  <c r="BR83" i="59"/>
  <c r="F83" i="45" s="1"/>
  <c r="BR84" i="59"/>
  <c r="F84" i="45" s="1"/>
  <c r="F13" i="11"/>
  <c r="F12" i="11"/>
  <c r="F110" i="22"/>
  <c r="F106" i="22"/>
  <c r="F138" i="22"/>
  <c r="F100" i="19"/>
  <c r="F112" i="19"/>
  <c r="F115" i="19"/>
  <c r="AP72" i="4" l="1"/>
  <c r="AF72" i="4"/>
  <c r="AR72" i="4" s="1"/>
  <c r="H36" i="60" s="1"/>
  <c r="F103" i="26" l="1"/>
  <c r="H90" i="17"/>
  <c r="H91" i="17"/>
  <c r="H92" i="17"/>
  <c r="H93" i="17"/>
  <c r="H94" i="17"/>
  <c r="H95" i="17"/>
  <c r="H96" i="17"/>
  <c r="H97" i="17"/>
  <c r="H98" i="17"/>
  <c r="H99" i="17"/>
  <c r="H100" i="17"/>
  <c r="H102" i="17"/>
  <c r="H103" i="17"/>
  <c r="H104" i="17"/>
  <c r="H106" i="17"/>
  <c r="H107" i="17"/>
  <c r="H108" i="17"/>
  <c r="H109" i="17"/>
  <c r="H110" i="17"/>
  <c r="H112" i="17"/>
  <c r="H113" i="17"/>
  <c r="H115" i="17"/>
  <c r="H116" i="17"/>
  <c r="H117" i="17"/>
  <c r="H118" i="17"/>
  <c r="H119" i="17"/>
  <c r="H120" i="17"/>
  <c r="H121" i="17"/>
  <c r="H122" i="17"/>
  <c r="H125" i="17"/>
  <c r="H126" i="17"/>
  <c r="H127" i="17"/>
  <c r="H129" i="17"/>
  <c r="H130" i="17"/>
  <c r="H131" i="17"/>
  <c r="H132" i="17"/>
  <c r="H133" i="17"/>
  <c r="H135" i="17"/>
  <c r="H136" i="17"/>
  <c r="H137" i="17"/>
  <c r="H138" i="17"/>
  <c r="H139" i="17"/>
  <c r="H140" i="17"/>
  <c r="H141" i="17"/>
  <c r="H144" i="17"/>
  <c r="H145" i="17"/>
  <c r="H146" i="17"/>
  <c r="H147" i="17"/>
  <c r="H148" i="17"/>
  <c r="H149" i="17"/>
  <c r="H150" i="17"/>
  <c r="BJ143" i="59" l="1"/>
  <c r="BI143" i="59"/>
  <c r="BJ134" i="59"/>
  <c r="BJ128" i="59" s="1"/>
  <c r="BI134" i="59"/>
  <c r="BI128" i="59" s="1"/>
  <c r="BJ123" i="59"/>
  <c r="BI123" i="59"/>
  <c r="BJ114" i="59"/>
  <c r="BI114" i="59"/>
  <c r="BJ105" i="59"/>
  <c r="BI105" i="59"/>
  <c r="BJ101" i="59"/>
  <c r="BI101" i="59"/>
  <c r="BJ89" i="59"/>
  <c r="BI89" i="59"/>
  <c r="BJ79" i="59"/>
  <c r="BJ75" i="59" s="1"/>
  <c r="BJ74" i="59" s="1"/>
  <c r="BI79" i="59"/>
  <c r="BI75" i="59" s="1"/>
  <c r="BI74" i="59" s="1"/>
  <c r="BJ70" i="59"/>
  <c r="BI70" i="59"/>
  <c r="BJ67" i="59"/>
  <c r="BI67" i="59"/>
  <c r="BJ61" i="59"/>
  <c r="BI61" i="59"/>
  <c r="BJ49" i="59"/>
  <c r="BJ45" i="59" s="1"/>
  <c r="BI49" i="59"/>
  <c r="BI45" i="59" s="1"/>
  <c r="BJ38" i="59"/>
  <c r="BI38" i="59"/>
  <c r="BJ34" i="59"/>
  <c r="BI34" i="59"/>
  <c r="BJ31" i="59"/>
  <c r="BI31" i="59"/>
  <c r="BJ26" i="59"/>
  <c r="BI26" i="59"/>
  <c r="BJ22" i="59"/>
  <c r="BI22" i="59"/>
  <c r="BJ10" i="59"/>
  <c r="BJ9" i="59" s="1"/>
  <c r="BI10" i="59"/>
  <c r="BI9" i="59" s="1"/>
  <c r="F140" i="20"/>
  <c r="F139" i="20"/>
  <c r="F122" i="22"/>
  <c r="F97" i="22"/>
  <c r="F124" i="21"/>
  <c r="F112" i="21"/>
  <c r="BJ88" i="59" l="1"/>
  <c r="BI88" i="59"/>
  <c r="BJ30" i="59"/>
  <c r="BJ25" i="59" s="1"/>
  <c r="BJ73" i="59" s="1"/>
  <c r="BJ85" i="59" s="1"/>
  <c r="BJ111" i="59"/>
  <c r="BI30" i="59"/>
  <c r="BI25" i="59" s="1"/>
  <c r="BI73" i="59" s="1"/>
  <c r="BI85" i="59" s="1"/>
  <c r="BI111" i="59"/>
  <c r="BI142" i="59" s="1"/>
  <c r="BI151" i="59" s="1"/>
  <c r="G90" i="5"/>
  <c r="G91" i="5"/>
  <c r="H91" i="5"/>
  <c r="G92" i="5"/>
  <c r="F93" i="5"/>
  <c r="G93" i="5"/>
  <c r="F94" i="5"/>
  <c r="G94" i="5"/>
  <c r="F95" i="5"/>
  <c r="G95" i="5"/>
  <c r="F96" i="5"/>
  <c r="G96" i="5"/>
  <c r="F97" i="5"/>
  <c r="G97" i="5"/>
  <c r="G98" i="5"/>
  <c r="F99" i="5"/>
  <c r="G99" i="5"/>
  <c r="G100" i="5"/>
  <c r="F102" i="5"/>
  <c r="G102" i="5"/>
  <c r="F103" i="5"/>
  <c r="G103" i="5"/>
  <c r="F104" i="5"/>
  <c r="G104" i="5"/>
  <c r="G106" i="5"/>
  <c r="F107" i="5"/>
  <c r="G107" i="5"/>
  <c r="F108" i="5"/>
  <c r="G108" i="5"/>
  <c r="F109" i="5"/>
  <c r="G109" i="5"/>
  <c r="F110" i="5"/>
  <c r="G110" i="5"/>
  <c r="F112" i="5"/>
  <c r="G112" i="5"/>
  <c r="F113" i="5"/>
  <c r="G113" i="5"/>
  <c r="F115" i="5"/>
  <c r="G115" i="5"/>
  <c r="F116" i="5"/>
  <c r="G116" i="5"/>
  <c r="F117" i="5"/>
  <c r="G117" i="5"/>
  <c r="F118" i="5"/>
  <c r="G118" i="5"/>
  <c r="F119" i="5"/>
  <c r="G119" i="5"/>
  <c r="F120" i="5"/>
  <c r="G120" i="5"/>
  <c r="F121" i="5"/>
  <c r="G121" i="5"/>
  <c r="F122" i="5"/>
  <c r="G122" i="5"/>
  <c r="G124" i="5"/>
  <c r="F125" i="5"/>
  <c r="G125" i="5"/>
  <c r="F126" i="5"/>
  <c r="G126" i="5"/>
  <c r="F127" i="5"/>
  <c r="G127" i="5"/>
  <c r="F129" i="5"/>
  <c r="G129" i="5"/>
  <c r="F130" i="5"/>
  <c r="G130" i="5"/>
  <c r="F131" i="5"/>
  <c r="G131" i="5"/>
  <c r="F132" i="5"/>
  <c r="G132" i="5"/>
  <c r="F133" i="5"/>
  <c r="G133" i="5"/>
  <c r="F135" i="5"/>
  <c r="G135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4" i="5"/>
  <c r="G144" i="5"/>
  <c r="F145" i="5"/>
  <c r="G145" i="5"/>
  <c r="F146" i="5"/>
  <c r="G146" i="5"/>
  <c r="H146" i="5"/>
  <c r="F147" i="5"/>
  <c r="G147" i="5"/>
  <c r="F148" i="5"/>
  <c r="G148" i="5"/>
  <c r="F149" i="5"/>
  <c r="G149" i="5"/>
  <c r="F150" i="5"/>
  <c r="G15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3" i="5"/>
  <c r="G23" i="5"/>
  <c r="F24" i="5"/>
  <c r="G24" i="5"/>
  <c r="F27" i="5"/>
  <c r="G27" i="5"/>
  <c r="F28" i="5"/>
  <c r="G28" i="5"/>
  <c r="F29" i="5"/>
  <c r="G29" i="5"/>
  <c r="F32" i="5"/>
  <c r="G32" i="5"/>
  <c r="F33" i="5"/>
  <c r="G33" i="5"/>
  <c r="F35" i="5"/>
  <c r="G35" i="5"/>
  <c r="F36" i="5"/>
  <c r="G36" i="5"/>
  <c r="F37" i="5"/>
  <c r="G37" i="5"/>
  <c r="F39" i="5"/>
  <c r="G39" i="5"/>
  <c r="F40" i="5"/>
  <c r="G40" i="5"/>
  <c r="F41" i="5"/>
  <c r="G41" i="5"/>
  <c r="F42" i="5"/>
  <c r="G42" i="5"/>
  <c r="F43" i="5"/>
  <c r="G43" i="5"/>
  <c r="F44" i="5"/>
  <c r="G44" i="5"/>
  <c r="F46" i="5"/>
  <c r="G46" i="5"/>
  <c r="F47" i="5"/>
  <c r="G47" i="5"/>
  <c r="F48" i="5"/>
  <c r="G48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2" i="5"/>
  <c r="G62" i="5"/>
  <c r="F63" i="5"/>
  <c r="G63" i="5"/>
  <c r="F64" i="5"/>
  <c r="G64" i="5"/>
  <c r="F65" i="5"/>
  <c r="G65" i="5"/>
  <c r="F66" i="5"/>
  <c r="G66" i="5"/>
  <c r="F68" i="5"/>
  <c r="G68" i="5"/>
  <c r="F69" i="5"/>
  <c r="G69" i="5"/>
  <c r="F71" i="5"/>
  <c r="G71" i="5"/>
  <c r="F76" i="5"/>
  <c r="G76" i="5"/>
  <c r="F77" i="5"/>
  <c r="G77" i="5"/>
  <c r="F78" i="5"/>
  <c r="G78" i="5"/>
  <c r="F80" i="5"/>
  <c r="G80" i="5"/>
  <c r="F81" i="5"/>
  <c r="G81" i="5"/>
  <c r="F82" i="5"/>
  <c r="G82" i="5"/>
  <c r="H82" i="5"/>
  <c r="F83" i="5"/>
  <c r="G83" i="5"/>
  <c r="F84" i="5"/>
  <c r="G84" i="5"/>
  <c r="H150" i="77"/>
  <c r="E150" i="77"/>
  <c r="H149" i="77"/>
  <c r="E149" i="77"/>
  <c r="H148" i="77"/>
  <c r="E148" i="77"/>
  <c r="H147" i="77"/>
  <c r="E147" i="77"/>
  <c r="H145" i="77"/>
  <c r="E145" i="77"/>
  <c r="H144" i="77"/>
  <c r="E144" i="77"/>
  <c r="G143" i="77"/>
  <c r="F143" i="77"/>
  <c r="D143" i="77"/>
  <c r="C143" i="77"/>
  <c r="H141" i="77"/>
  <c r="E141" i="77"/>
  <c r="H140" i="77"/>
  <c r="E140" i="77"/>
  <c r="H139" i="77"/>
  <c r="E139" i="77"/>
  <c r="H138" i="77"/>
  <c r="E138" i="77"/>
  <c r="H137" i="77"/>
  <c r="E137" i="77"/>
  <c r="H136" i="77"/>
  <c r="E136" i="77"/>
  <c r="H135" i="77"/>
  <c r="E135" i="77"/>
  <c r="G134" i="77"/>
  <c r="G128" i="77" s="1"/>
  <c r="F134" i="77"/>
  <c r="F128" i="77" s="1"/>
  <c r="D134" i="77"/>
  <c r="D128" i="77" s="1"/>
  <c r="C134" i="77"/>
  <c r="H133" i="77"/>
  <c r="E133" i="77"/>
  <c r="H132" i="77"/>
  <c r="E132" i="77"/>
  <c r="H131" i="77"/>
  <c r="E131" i="77"/>
  <c r="H130" i="77"/>
  <c r="E130" i="77"/>
  <c r="H129" i="77"/>
  <c r="E129" i="77"/>
  <c r="H127" i="77"/>
  <c r="E127" i="77"/>
  <c r="H126" i="77"/>
  <c r="E126" i="77"/>
  <c r="H125" i="77"/>
  <c r="E125" i="77"/>
  <c r="H124" i="77"/>
  <c r="E124" i="77"/>
  <c r="G123" i="77"/>
  <c r="F123" i="77"/>
  <c r="D123" i="77"/>
  <c r="C123" i="77"/>
  <c r="H122" i="77"/>
  <c r="E122" i="77"/>
  <c r="H121" i="77"/>
  <c r="E121" i="77"/>
  <c r="H120" i="77"/>
  <c r="E120" i="77"/>
  <c r="H119" i="77"/>
  <c r="E119" i="77"/>
  <c r="H118" i="77"/>
  <c r="E118" i="77"/>
  <c r="H117" i="77"/>
  <c r="E117" i="77"/>
  <c r="H116" i="77"/>
  <c r="E116" i="77"/>
  <c r="H115" i="77"/>
  <c r="E115" i="77"/>
  <c r="G114" i="77"/>
  <c r="F114" i="77"/>
  <c r="D114" i="77"/>
  <c r="C114" i="77"/>
  <c r="H113" i="77"/>
  <c r="E113" i="77"/>
  <c r="H112" i="77"/>
  <c r="E112" i="77"/>
  <c r="H110" i="77"/>
  <c r="E110" i="77"/>
  <c r="H109" i="77"/>
  <c r="E109" i="77"/>
  <c r="H108" i="77"/>
  <c r="E108" i="77"/>
  <c r="H107" i="77"/>
  <c r="E107" i="77"/>
  <c r="H106" i="77"/>
  <c r="E106" i="77"/>
  <c r="G105" i="77"/>
  <c r="F105" i="77"/>
  <c r="D105" i="77"/>
  <c r="C105" i="77"/>
  <c r="H104" i="77"/>
  <c r="E104" i="77"/>
  <c r="H103" i="77"/>
  <c r="E103" i="77"/>
  <c r="H102" i="77"/>
  <c r="E102" i="77"/>
  <c r="G101" i="77"/>
  <c r="F101" i="77"/>
  <c r="D101" i="77"/>
  <c r="C101" i="77"/>
  <c r="H100" i="77"/>
  <c r="E100" i="77"/>
  <c r="H99" i="77"/>
  <c r="E99" i="77"/>
  <c r="H98" i="77"/>
  <c r="E98" i="77"/>
  <c r="H97" i="77"/>
  <c r="E97" i="77"/>
  <c r="H96" i="77"/>
  <c r="E96" i="77"/>
  <c r="H95" i="77"/>
  <c r="E95" i="77"/>
  <c r="H94" i="77"/>
  <c r="E94" i="77"/>
  <c r="H93" i="77"/>
  <c r="E93" i="77"/>
  <c r="H92" i="77"/>
  <c r="E92" i="77"/>
  <c r="H90" i="77"/>
  <c r="E90" i="77"/>
  <c r="G89" i="77"/>
  <c r="F89" i="77"/>
  <c r="D89" i="77"/>
  <c r="C89" i="77"/>
  <c r="H84" i="77"/>
  <c r="E84" i="77"/>
  <c r="H83" i="77"/>
  <c r="E83" i="77"/>
  <c r="H81" i="77"/>
  <c r="E81" i="77"/>
  <c r="H80" i="77"/>
  <c r="E80" i="77"/>
  <c r="G79" i="77"/>
  <c r="G75" i="77" s="1"/>
  <c r="G74" i="77" s="1"/>
  <c r="F79" i="77"/>
  <c r="F75" i="77" s="1"/>
  <c r="F74" i="77" s="1"/>
  <c r="D79" i="77"/>
  <c r="D75" i="77" s="1"/>
  <c r="D74" i="77" s="1"/>
  <c r="C79" i="77"/>
  <c r="C75" i="77" s="1"/>
  <c r="C74" i="77" s="1"/>
  <c r="H78" i="77"/>
  <c r="E78" i="77"/>
  <c r="H77" i="77"/>
  <c r="E77" i="77"/>
  <c r="H76" i="77"/>
  <c r="E76" i="77"/>
  <c r="H71" i="77"/>
  <c r="E71" i="77"/>
  <c r="G70" i="77"/>
  <c r="F70" i="77"/>
  <c r="D70" i="77"/>
  <c r="C70" i="77"/>
  <c r="H69" i="77"/>
  <c r="E69" i="77"/>
  <c r="H68" i="77"/>
  <c r="E68" i="77"/>
  <c r="G67" i="77"/>
  <c r="F67" i="77"/>
  <c r="D67" i="77"/>
  <c r="C67" i="77"/>
  <c r="H66" i="77"/>
  <c r="E66" i="77"/>
  <c r="H65" i="77"/>
  <c r="E65" i="77"/>
  <c r="H64" i="77"/>
  <c r="E64" i="77"/>
  <c r="H63" i="77"/>
  <c r="E63" i="77"/>
  <c r="H62" i="77"/>
  <c r="E62" i="77"/>
  <c r="G61" i="77"/>
  <c r="F61" i="77"/>
  <c r="D61" i="77"/>
  <c r="C61" i="77"/>
  <c r="H60" i="77"/>
  <c r="E60" i="77"/>
  <c r="H59" i="77"/>
  <c r="E59" i="77"/>
  <c r="H58" i="77"/>
  <c r="E58" i="77"/>
  <c r="H57" i="77"/>
  <c r="E57" i="77"/>
  <c r="H56" i="77"/>
  <c r="E56" i="77"/>
  <c r="H55" i="77"/>
  <c r="E55" i="77"/>
  <c r="H54" i="77"/>
  <c r="E54" i="77"/>
  <c r="H53" i="77"/>
  <c r="E53" i="77"/>
  <c r="H52" i="77"/>
  <c r="E52" i="77"/>
  <c r="H51" i="77"/>
  <c r="E51" i="77"/>
  <c r="H50" i="77"/>
  <c r="E50" i="77"/>
  <c r="G49" i="77"/>
  <c r="G45" i="77" s="1"/>
  <c r="F49" i="77"/>
  <c r="F45" i="77" s="1"/>
  <c r="D49" i="77"/>
  <c r="D45" i="77" s="1"/>
  <c r="C49" i="77"/>
  <c r="C45" i="77" s="1"/>
  <c r="H48" i="77"/>
  <c r="E48" i="77"/>
  <c r="H47" i="77"/>
  <c r="E47" i="77"/>
  <c r="H46" i="77"/>
  <c r="E46" i="77"/>
  <c r="H44" i="77"/>
  <c r="E44" i="77"/>
  <c r="H43" i="77"/>
  <c r="E43" i="77"/>
  <c r="H42" i="77"/>
  <c r="E42" i="77"/>
  <c r="H41" i="77"/>
  <c r="E41" i="77"/>
  <c r="H40" i="77"/>
  <c r="E40" i="77"/>
  <c r="H39" i="77"/>
  <c r="E39" i="77"/>
  <c r="G38" i="77"/>
  <c r="F38" i="77"/>
  <c r="D38" i="77"/>
  <c r="C38" i="77"/>
  <c r="H37" i="77"/>
  <c r="E37" i="77"/>
  <c r="H36" i="77"/>
  <c r="E36" i="77"/>
  <c r="H35" i="77"/>
  <c r="E35" i="77"/>
  <c r="G34" i="77"/>
  <c r="F34" i="77"/>
  <c r="D34" i="77"/>
  <c r="C34" i="77"/>
  <c r="H33" i="77"/>
  <c r="E33" i="77"/>
  <c r="H32" i="77"/>
  <c r="E32" i="77"/>
  <c r="G31" i="77"/>
  <c r="F31" i="77"/>
  <c r="D31" i="77"/>
  <c r="C31" i="77"/>
  <c r="H29" i="77"/>
  <c r="E29" i="77"/>
  <c r="H28" i="77"/>
  <c r="E28" i="77"/>
  <c r="H27" i="77"/>
  <c r="E27" i="77"/>
  <c r="G26" i="77"/>
  <c r="F26" i="77"/>
  <c r="D26" i="77"/>
  <c r="C26" i="77"/>
  <c r="H24" i="77"/>
  <c r="E24" i="77"/>
  <c r="H23" i="77"/>
  <c r="E23" i="77"/>
  <c r="G22" i="77"/>
  <c r="F22" i="77"/>
  <c r="D22" i="77"/>
  <c r="C22" i="77"/>
  <c r="H21" i="77"/>
  <c r="E21" i="77"/>
  <c r="H20" i="77"/>
  <c r="E20" i="77"/>
  <c r="H19" i="77"/>
  <c r="E19" i="77"/>
  <c r="H18" i="77"/>
  <c r="E18" i="77"/>
  <c r="H17" i="77"/>
  <c r="E17" i="77"/>
  <c r="H16" i="77"/>
  <c r="E16" i="77"/>
  <c r="H15" i="77"/>
  <c r="E15" i="77"/>
  <c r="H14" i="77"/>
  <c r="E14" i="77"/>
  <c r="H13" i="77"/>
  <c r="E13" i="77"/>
  <c r="H12" i="77"/>
  <c r="E12" i="77"/>
  <c r="H11" i="77"/>
  <c r="E11" i="77"/>
  <c r="G10" i="77"/>
  <c r="G9" i="77" s="1"/>
  <c r="F10" i="77"/>
  <c r="F9" i="77" s="1"/>
  <c r="D10" i="77"/>
  <c r="D9" i="77" s="1"/>
  <c r="C10" i="77"/>
  <c r="C9" i="77" s="1"/>
  <c r="BJ142" i="59" l="1"/>
  <c r="BJ151" i="59" s="1"/>
  <c r="BJ152" i="59" s="1"/>
  <c r="G30" i="77"/>
  <c r="G25" i="77" s="1"/>
  <c r="F30" i="77"/>
  <c r="D88" i="77"/>
  <c r="G88" i="77"/>
  <c r="E9" i="77"/>
  <c r="E31" i="77"/>
  <c r="E45" i="77"/>
  <c r="E38" i="77"/>
  <c r="H38" i="77"/>
  <c r="H67" i="77"/>
  <c r="C88" i="77"/>
  <c r="E88" i="77" s="1"/>
  <c r="E105" i="77"/>
  <c r="H105" i="77"/>
  <c r="C111" i="77"/>
  <c r="H114" i="77"/>
  <c r="D111" i="77"/>
  <c r="E74" i="77"/>
  <c r="E134" i="77"/>
  <c r="C128" i="77"/>
  <c r="E128" i="77" s="1"/>
  <c r="E22" i="77"/>
  <c r="E61" i="77"/>
  <c r="H61" i="77"/>
  <c r="E70" i="77"/>
  <c r="H70" i="77"/>
  <c r="E101" i="77"/>
  <c r="H101" i="77"/>
  <c r="E143" i="77"/>
  <c r="BI152" i="59"/>
  <c r="H9" i="77"/>
  <c r="H10" i="77"/>
  <c r="C30" i="77"/>
  <c r="C25" i="77" s="1"/>
  <c r="D30" i="77"/>
  <c r="D25" i="77" s="1"/>
  <c r="D73" i="77" s="1"/>
  <c r="D85" i="77" s="1"/>
  <c r="E34" i="77"/>
  <c r="F111" i="77"/>
  <c r="H89" i="77"/>
  <c r="G111" i="77"/>
  <c r="E123" i="77"/>
  <c r="H123" i="77"/>
  <c r="F88" i="77"/>
  <c r="H75" i="77"/>
  <c r="E10" i="77"/>
  <c r="H22" i="77"/>
  <c r="H31" i="77"/>
  <c r="E75" i="77"/>
  <c r="E79" i="77"/>
  <c r="E26" i="77"/>
  <c r="F25" i="77"/>
  <c r="H26" i="77"/>
  <c r="H34" i="77"/>
  <c r="E49" i="77"/>
  <c r="H45" i="77"/>
  <c r="H49" i="77"/>
  <c r="E67" i="77"/>
  <c r="H74" i="77"/>
  <c r="H79" i="77"/>
  <c r="H128" i="77"/>
  <c r="E89" i="77"/>
  <c r="E114" i="77"/>
  <c r="H134" i="77"/>
  <c r="H143" i="77"/>
  <c r="F106" i="36"/>
  <c r="AB143" i="59"/>
  <c r="AB134" i="59"/>
  <c r="AB128" i="59" s="1"/>
  <c r="AB123" i="59"/>
  <c r="AB114" i="59"/>
  <c r="H88" i="77" l="1"/>
  <c r="H30" i="77"/>
  <c r="D142" i="77"/>
  <c r="D151" i="77" s="1"/>
  <c r="E111" i="77"/>
  <c r="F142" i="77"/>
  <c r="F151" i="77" s="1"/>
  <c r="H111" i="77"/>
  <c r="C142" i="77"/>
  <c r="G73" i="77"/>
  <c r="G85" i="77" s="1"/>
  <c r="H25" i="77"/>
  <c r="E25" i="77"/>
  <c r="C73" i="77"/>
  <c r="E73" i="77" s="1"/>
  <c r="E30" i="77"/>
  <c r="G142" i="77"/>
  <c r="G151" i="77" s="1"/>
  <c r="F73" i="77"/>
  <c r="AB111" i="59"/>
  <c r="AB142" i="59" s="1"/>
  <c r="AB151" i="59" s="1"/>
  <c r="E142" i="77" l="1"/>
  <c r="C151" i="77"/>
  <c r="E151" i="77" s="1"/>
  <c r="H151" i="77"/>
  <c r="H142" i="77"/>
  <c r="C85" i="77"/>
  <c r="E85" i="77" s="1"/>
  <c r="F85" i="77"/>
  <c r="H73" i="77"/>
  <c r="H85" i="77" l="1"/>
  <c r="H153" i="77" l="1"/>
  <c r="F90" i="36" l="1"/>
  <c r="F21" i="36"/>
  <c r="AO91" i="4" l="1"/>
  <c r="G150" i="7"/>
  <c r="AE150" i="4" s="1"/>
  <c r="F150" i="7"/>
  <c r="G149" i="7"/>
  <c r="AE149" i="4" s="1"/>
  <c r="F149" i="7"/>
  <c r="AD149" i="4" s="1"/>
  <c r="G148" i="7"/>
  <c r="AE148" i="4" s="1"/>
  <c r="F148" i="7"/>
  <c r="AD148" i="4" s="1"/>
  <c r="G147" i="7"/>
  <c r="AE147" i="4" s="1"/>
  <c r="G146" i="7"/>
  <c r="AE146" i="4" s="1"/>
  <c r="F146" i="7"/>
  <c r="AD146" i="4" s="1"/>
  <c r="G145" i="7"/>
  <c r="AE145" i="4" s="1"/>
  <c r="F145" i="7"/>
  <c r="AD145" i="4" s="1"/>
  <c r="G144" i="7"/>
  <c r="AE144" i="4" s="1"/>
  <c r="F144" i="7"/>
  <c r="AD144" i="4" s="1"/>
  <c r="G141" i="7"/>
  <c r="AE141" i="4" s="1"/>
  <c r="F141" i="7"/>
  <c r="G140" i="7"/>
  <c r="AE140" i="4" s="1"/>
  <c r="G139" i="7"/>
  <c r="AE139" i="4" s="1"/>
  <c r="G138" i="7"/>
  <c r="AE138" i="4" s="1"/>
  <c r="G137" i="7"/>
  <c r="AE137" i="4" s="1"/>
  <c r="G136" i="7"/>
  <c r="AE136" i="4" s="1"/>
  <c r="F136" i="7"/>
  <c r="G135" i="7"/>
  <c r="AE135" i="4" s="1"/>
  <c r="F135" i="7"/>
  <c r="G133" i="7"/>
  <c r="AE133" i="4" s="1"/>
  <c r="G132" i="7"/>
  <c r="AE132" i="4" s="1"/>
  <c r="F132" i="7"/>
  <c r="AD132" i="4" s="1"/>
  <c r="G131" i="7"/>
  <c r="AE131" i="4" s="1"/>
  <c r="G130" i="7"/>
  <c r="AE130" i="4" s="1"/>
  <c r="F130" i="7"/>
  <c r="G129" i="7"/>
  <c r="AE129" i="4" s="1"/>
  <c r="F129" i="7"/>
  <c r="G127" i="7"/>
  <c r="AE127" i="4" s="1"/>
  <c r="F127" i="7"/>
  <c r="G126" i="7"/>
  <c r="AE126" i="4" s="1"/>
  <c r="G125" i="7"/>
  <c r="AE125" i="4" s="1"/>
  <c r="F125" i="7"/>
  <c r="AD125" i="4" s="1"/>
  <c r="G124" i="7"/>
  <c r="AE124" i="4" s="1"/>
  <c r="G122" i="7"/>
  <c r="AE122" i="4" s="1"/>
  <c r="F122" i="7"/>
  <c r="AD122" i="4" s="1"/>
  <c r="G121" i="7"/>
  <c r="AE121" i="4" s="1"/>
  <c r="G120" i="7"/>
  <c r="AE120" i="4" s="1"/>
  <c r="G119" i="7"/>
  <c r="AE119" i="4" s="1"/>
  <c r="F119" i="7"/>
  <c r="AD119" i="4" s="1"/>
  <c r="G118" i="7"/>
  <c r="AE118" i="4" s="1"/>
  <c r="G117" i="7"/>
  <c r="AE117" i="4" s="1"/>
  <c r="F117" i="7"/>
  <c r="AD117" i="4" s="1"/>
  <c r="G116" i="7"/>
  <c r="AE116" i="4" s="1"/>
  <c r="F116" i="7"/>
  <c r="AD116" i="4" s="1"/>
  <c r="G115" i="7"/>
  <c r="AE115" i="4" s="1"/>
  <c r="G113" i="7"/>
  <c r="AE113" i="4" s="1"/>
  <c r="F113" i="7"/>
  <c r="AD113" i="4" s="1"/>
  <c r="G112" i="7"/>
  <c r="AE112" i="4" s="1"/>
  <c r="G110" i="7"/>
  <c r="AE110" i="4" s="1"/>
  <c r="F110" i="7"/>
  <c r="AD110" i="4" s="1"/>
  <c r="G109" i="7"/>
  <c r="AE109" i="4" s="1"/>
  <c r="F109" i="7"/>
  <c r="AD109" i="4" s="1"/>
  <c r="G108" i="7"/>
  <c r="AE108" i="4" s="1"/>
  <c r="F108" i="7"/>
  <c r="AD108" i="4" s="1"/>
  <c r="G107" i="7"/>
  <c r="AE107" i="4" s="1"/>
  <c r="F107" i="7"/>
  <c r="AD107" i="4" s="1"/>
  <c r="G106" i="7"/>
  <c r="AE106" i="4" s="1"/>
  <c r="F106" i="7"/>
  <c r="G104" i="7"/>
  <c r="AE104" i="4" s="1"/>
  <c r="F104" i="7"/>
  <c r="AD104" i="4" s="1"/>
  <c r="G103" i="7"/>
  <c r="AE103" i="4" s="1"/>
  <c r="F103" i="7"/>
  <c r="AD103" i="4" s="1"/>
  <c r="G102" i="7"/>
  <c r="AE102" i="4" s="1"/>
  <c r="F102" i="7"/>
  <c r="AD102" i="4" s="1"/>
  <c r="G100" i="7"/>
  <c r="AE100" i="4" s="1"/>
  <c r="F100" i="7"/>
  <c r="AD100" i="4" s="1"/>
  <c r="G99" i="7"/>
  <c r="AE99" i="4" s="1"/>
  <c r="F99" i="7"/>
  <c r="AD99" i="4" s="1"/>
  <c r="G98" i="7"/>
  <c r="AE98" i="4" s="1"/>
  <c r="F98" i="7"/>
  <c r="AD98" i="4" s="1"/>
  <c r="G97" i="7"/>
  <c r="AE97" i="4" s="1"/>
  <c r="F97" i="7"/>
  <c r="AD97" i="4" s="1"/>
  <c r="G96" i="7"/>
  <c r="AE96" i="4" s="1"/>
  <c r="F96" i="7"/>
  <c r="AD96" i="4" s="1"/>
  <c r="G95" i="7"/>
  <c r="AE95" i="4" s="1"/>
  <c r="F95" i="7"/>
  <c r="AD95" i="4" s="1"/>
  <c r="G94" i="7"/>
  <c r="AE94" i="4" s="1"/>
  <c r="F94" i="7"/>
  <c r="AD94" i="4" s="1"/>
  <c r="G93" i="7"/>
  <c r="AE93" i="4" s="1"/>
  <c r="F93" i="7"/>
  <c r="AD93" i="4" s="1"/>
  <c r="G92" i="7"/>
  <c r="AE92" i="4" s="1"/>
  <c r="F92" i="7"/>
  <c r="AD92" i="4" s="1"/>
  <c r="G91" i="7"/>
  <c r="AE91" i="4" s="1"/>
  <c r="F91" i="7"/>
  <c r="AD91" i="4" s="1"/>
  <c r="G90" i="7"/>
  <c r="AE90" i="4" s="1"/>
  <c r="G84" i="7"/>
  <c r="AE84" i="4" s="1"/>
  <c r="F84" i="7"/>
  <c r="AD84" i="4" s="1"/>
  <c r="G83" i="7"/>
  <c r="AE83" i="4" s="1"/>
  <c r="F83" i="7"/>
  <c r="AD83" i="4" s="1"/>
  <c r="G82" i="7"/>
  <c r="AE82" i="4" s="1"/>
  <c r="F82" i="7"/>
  <c r="AD82" i="4" s="1"/>
  <c r="G81" i="7"/>
  <c r="AE81" i="4" s="1"/>
  <c r="G80" i="7"/>
  <c r="AE80" i="4" s="1"/>
  <c r="G78" i="7"/>
  <c r="AE78" i="4" s="1"/>
  <c r="F78" i="7"/>
  <c r="AD78" i="4" s="1"/>
  <c r="G77" i="7"/>
  <c r="AE77" i="4" s="1"/>
  <c r="F77" i="7"/>
  <c r="AD77" i="4" s="1"/>
  <c r="G76" i="7"/>
  <c r="AE76" i="4" s="1"/>
  <c r="F76" i="7"/>
  <c r="AD76" i="4" s="1"/>
  <c r="G71" i="7"/>
  <c r="AE71" i="4" s="1"/>
  <c r="F71" i="7"/>
  <c r="AD71" i="4" s="1"/>
  <c r="G69" i="7"/>
  <c r="AE69" i="4" s="1"/>
  <c r="F69" i="7"/>
  <c r="G68" i="7"/>
  <c r="AE68" i="4" s="1"/>
  <c r="F68" i="7"/>
  <c r="G66" i="7"/>
  <c r="AE66" i="4" s="1"/>
  <c r="F66" i="7"/>
  <c r="AD66" i="4" s="1"/>
  <c r="G65" i="7"/>
  <c r="AE65" i="4" s="1"/>
  <c r="F65" i="7"/>
  <c r="AD65" i="4" s="1"/>
  <c r="G64" i="7"/>
  <c r="AE64" i="4" s="1"/>
  <c r="F64" i="7"/>
  <c r="AD64" i="4" s="1"/>
  <c r="G63" i="7"/>
  <c r="AE63" i="4" s="1"/>
  <c r="F63" i="7"/>
  <c r="AD63" i="4" s="1"/>
  <c r="G62" i="7"/>
  <c r="AE62" i="4" s="1"/>
  <c r="F62" i="7"/>
  <c r="AD62" i="4" s="1"/>
  <c r="G60" i="7"/>
  <c r="AE60" i="4" s="1"/>
  <c r="F60" i="7"/>
  <c r="G59" i="7"/>
  <c r="AE59" i="4" s="1"/>
  <c r="F59" i="7"/>
  <c r="G58" i="7"/>
  <c r="AE58" i="4" s="1"/>
  <c r="F58" i="7"/>
  <c r="G57" i="7"/>
  <c r="AE57" i="4" s="1"/>
  <c r="F57" i="7"/>
  <c r="G56" i="7"/>
  <c r="AE56" i="4" s="1"/>
  <c r="F56" i="7"/>
  <c r="G55" i="7"/>
  <c r="AE55" i="4" s="1"/>
  <c r="G54" i="7"/>
  <c r="AE54" i="4" s="1"/>
  <c r="F54" i="7"/>
  <c r="G53" i="7"/>
  <c r="AE53" i="4" s="1"/>
  <c r="F53" i="7"/>
  <c r="G52" i="7"/>
  <c r="AE52" i="4" s="1"/>
  <c r="F52" i="7"/>
  <c r="G51" i="7"/>
  <c r="AE51" i="4" s="1"/>
  <c r="F51" i="7"/>
  <c r="G50" i="7"/>
  <c r="AE50" i="4" s="1"/>
  <c r="F50" i="7"/>
  <c r="G48" i="7"/>
  <c r="AE48" i="4" s="1"/>
  <c r="G47" i="7"/>
  <c r="AE47" i="4" s="1"/>
  <c r="G46" i="7"/>
  <c r="AE46" i="4" s="1"/>
  <c r="F46" i="7"/>
  <c r="G44" i="7"/>
  <c r="AE44" i="4" s="1"/>
  <c r="F44" i="7"/>
  <c r="G43" i="7"/>
  <c r="AE43" i="4" s="1"/>
  <c r="F43" i="7"/>
  <c r="G42" i="7"/>
  <c r="AE42" i="4" s="1"/>
  <c r="F42" i="7"/>
  <c r="G41" i="7"/>
  <c r="AE41" i="4" s="1"/>
  <c r="F41" i="7"/>
  <c r="G40" i="7"/>
  <c r="AE40" i="4" s="1"/>
  <c r="F40" i="7"/>
  <c r="G39" i="7"/>
  <c r="AE39" i="4" s="1"/>
  <c r="F39" i="7"/>
  <c r="G37" i="7"/>
  <c r="AE37" i="4" s="1"/>
  <c r="F37" i="7"/>
  <c r="G36" i="7"/>
  <c r="AE36" i="4" s="1"/>
  <c r="F36" i="7"/>
  <c r="G35" i="7"/>
  <c r="AE35" i="4" s="1"/>
  <c r="F35" i="7"/>
  <c r="G33" i="7"/>
  <c r="AE33" i="4" s="1"/>
  <c r="F33" i="7"/>
  <c r="G32" i="7"/>
  <c r="AE32" i="4" s="1"/>
  <c r="F32" i="7"/>
  <c r="G29" i="7"/>
  <c r="AE29" i="4" s="1"/>
  <c r="F29" i="7"/>
  <c r="G28" i="7"/>
  <c r="AE28" i="4" s="1"/>
  <c r="F28" i="7"/>
  <c r="G27" i="7"/>
  <c r="AE27" i="4" s="1"/>
  <c r="F27" i="7"/>
  <c r="G24" i="7"/>
  <c r="AE24" i="4" s="1"/>
  <c r="F24" i="7"/>
  <c r="G23" i="7"/>
  <c r="AE23" i="4" s="1"/>
  <c r="G21" i="7"/>
  <c r="AE21" i="4" s="1"/>
  <c r="G20" i="7"/>
  <c r="AE20" i="4" s="1"/>
  <c r="F20" i="7"/>
  <c r="G19" i="7"/>
  <c r="AE19" i="4" s="1"/>
  <c r="F19" i="7"/>
  <c r="G18" i="7"/>
  <c r="AE18" i="4" s="1"/>
  <c r="F18" i="7"/>
  <c r="G17" i="7"/>
  <c r="AE17" i="4" s="1"/>
  <c r="F17" i="7"/>
  <c r="G16" i="7"/>
  <c r="AE16" i="4" s="1"/>
  <c r="F16" i="7"/>
  <c r="G15" i="7"/>
  <c r="AE15" i="4" s="1"/>
  <c r="F15" i="7"/>
  <c r="G14" i="7"/>
  <c r="AE14" i="4" s="1"/>
  <c r="F14" i="7"/>
  <c r="G13" i="7"/>
  <c r="AE13" i="4" s="1"/>
  <c r="F13" i="7"/>
  <c r="G12" i="7"/>
  <c r="AE12" i="4" s="1"/>
  <c r="F12" i="7"/>
  <c r="G11" i="7"/>
  <c r="AE11" i="4" s="1"/>
  <c r="F11" i="7"/>
  <c r="AR82" i="4"/>
  <c r="J55" i="60" s="1"/>
  <c r="AD150" i="4"/>
  <c r="G150" i="4"/>
  <c r="F150" i="4"/>
  <c r="G149" i="4"/>
  <c r="F149" i="4"/>
  <c r="G148" i="4"/>
  <c r="F148" i="4"/>
  <c r="G147" i="4"/>
  <c r="F147" i="4"/>
  <c r="G146" i="4"/>
  <c r="F146" i="4"/>
  <c r="G145" i="4"/>
  <c r="F145" i="4"/>
  <c r="G144" i="4"/>
  <c r="F144" i="4"/>
  <c r="G141" i="4"/>
  <c r="F141" i="4"/>
  <c r="G140" i="4"/>
  <c r="F140" i="4"/>
  <c r="G139" i="4"/>
  <c r="F139" i="4"/>
  <c r="G138" i="4"/>
  <c r="F138" i="4"/>
  <c r="G137" i="4"/>
  <c r="F137" i="4"/>
  <c r="G136" i="4"/>
  <c r="F136" i="4"/>
  <c r="G135" i="4"/>
  <c r="F135" i="4"/>
  <c r="G133" i="4"/>
  <c r="F133" i="4"/>
  <c r="G132" i="4"/>
  <c r="F132" i="4"/>
  <c r="G131" i="4"/>
  <c r="F131" i="4"/>
  <c r="G130" i="4"/>
  <c r="F130" i="4"/>
  <c r="G129" i="4"/>
  <c r="F129" i="4"/>
  <c r="G127" i="4"/>
  <c r="F127" i="4"/>
  <c r="G126" i="4"/>
  <c r="F126" i="4"/>
  <c r="G125" i="4"/>
  <c r="F125" i="4"/>
  <c r="G124" i="4"/>
  <c r="G122" i="4"/>
  <c r="F122" i="4"/>
  <c r="G121" i="4"/>
  <c r="F121" i="4"/>
  <c r="G120" i="4"/>
  <c r="F120" i="4"/>
  <c r="G119" i="4"/>
  <c r="F119" i="4"/>
  <c r="G118" i="4"/>
  <c r="F118" i="4"/>
  <c r="G117" i="4"/>
  <c r="F117" i="4"/>
  <c r="G116" i="4"/>
  <c r="F116" i="4"/>
  <c r="G115" i="4"/>
  <c r="F115" i="4"/>
  <c r="G113" i="4"/>
  <c r="F113" i="4"/>
  <c r="G112" i="4"/>
  <c r="F112" i="4"/>
  <c r="G110" i="4"/>
  <c r="F110" i="4"/>
  <c r="G109" i="4"/>
  <c r="F109" i="4"/>
  <c r="G108" i="4"/>
  <c r="F108" i="4"/>
  <c r="G107" i="4"/>
  <c r="F107" i="4"/>
  <c r="G106" i="4"/>
  <c r="G104" i="4"/>
  <c r="F104" i="4"/>
  <c r="G103" i="4"/>
  <c r="F103" i="4"/>
  <c r="G102" i="4"/>
  <c r="F102" i="4"/>
  <c r="G100" i="4"/>
  <c r="G99" i="4"/>
  <c r="F99" i="4"/>
  <c r="G98" i="4"/>
  <c r="G97" i="4"/>
  <c r="F97" i="4"/>
  <c r="G96" i="4"/>
  <c r="F96" i="4"/>
  <c r="G95" i="4"/>
  <c r="F95" i="4"/>
  <c r="G94" i="4"/>
  <c r="F94" i="4"/>
  <c r="G93" i="4"/>
  <c r="F93" i="4"/>
  <c r="G92" i="4"/>
  <c r="G91" i="4"/>
  <c r="G90" i="4"/>
  <c r="G84" i="4"/>
  <c r="F84" i="4"/>
  <c r="G83" i="4"/>
  <c r="F83" i="4"/>
  <c r="G82" i="4"/>
  <c r="F82" i="4"/>
  <c r="G81" i="4"/>
  <c r="F81" i="4"/>
  <c r="G80" i="4"/>
  <c r="F80" i="4"/>
  <c r="G78" i="4"/>
  <c r="F78" i="4"/>
  <c r="G77" i="4"/>
  <c r="F77" i="4"/>
  <c r="G76" i="4"/>
  <c r="F76" i="4"/>
  <c r="G71" i="4"/>
  <c r="F71" i="4"/>
  <c r="G69" i="4"/>
  <c r="F69" i="4"/>
  <c r="G68" i="4"/>
  <c r="F68" i="4"/>
  <c r="G66" i="4"/>
  <c r="F66" i="4"/>
  <c r="G65" i="4"/>
  <c r="F65" i="4"/>
  <c r="G64" i="4"/>
  <c r="F64" i="4"/>
  <c r="G63" i="4"/>
  <c r="F63" i="4"/>
  <c r="G62" i="4"/>
  <c r="F62" i="4"/>
  <c r="G60" i="4"/>
  <c r="F60" i="4"/>
  <c r="G59" i="4"/>
  <c r="F59" i="4"/>
  <c r="G58" i="4"/>
  <c r="F58" i="4"/>
  <c r="G57" i="4"/>
  <c r="F57" i="4"/>
  <c r="G56" i="4"/>
  <c r="F56" i="4"/>
  <c r="G55" i="4"/>
  <c r="F55" i="4"/>
  <c r="G54" i="4"/>
  <c r="F54" i="4"/>
  <c r="G53" i="4"/>
  <c r="F53" i="4"/>
  <c r="G52" i="4"/>
  <c r="F52" i="4"/>
  <c r="G51" i="4"/>
  <c r="F51" i="4"/>
  <c r="G50" i="4"/>
  <c r="F50" i="4"/>
  <c r="G48" i="4"/>
  <c r="F48" i="4"/>
  <c r="G47" i="4"/>
  <c r="F47" i="4"/>
  <c r="G46" i="4"/>
  <c r="F46" i="4"/>
  <c r="G44" i="4"/>
  <c r="F44" i="4"/>
  <c r="G43" i="4"/>
  <c r="F43" i="4"/>
  <c r="G42" i="4"/>
  <c r="F42" i="4"/>
  <c r="G41" i="4"/>
  <c r="F41" i="4"/>
  <c r="G40" i="4"/>
  <c r="F40" i="4"/>
  <c r="G39" i="4"/>
  <c r="F39" i="4"/>
  <c r="G37" i="4"/>
  <c r="F37" i="4"/>
  <c r="G36" i="4"/>
  <c r="F36" i="4"/>
  <c r="G35" i="4"/>
  <c r="F35" i="4"/>
  <c r="G33" i="4"/>
  <c r="F33" i="4"/>
  <c r="G32" i="4"/>
  <c r="F32" i="4"/>
  <c r="G29" i="4"/>
  <c r="F29" i="4"/>
  <c r="G28" i="4"/>
  <c r="F28" i="4"/>
  <c r="G27" i="4"/>
  <c r="F27" i="4"/>
  <c r="G24" i="4"/>
  <c r="F24" i="4"/>
  <c r="G23" i="4"/>
  <c r="F23" i="4"/>
  <c r="G21" i="4"/>
  <c r="F21" i="4"/>
  <c r="G20" i="4"/>
  <c r="F20" i="4"/>
  <c r="G19" i="4"/>
  <c r="F19" i="4"/>
  <c r="G18" i="4"/>
  <c r="F18" i="4"/>
  <c r="G17" i="4"/>
  <c r="F17" i="4"/>
  <c r="G16" i="4"/>
  <c r="F16" i="4"/>
  <c r="G15" i="4"/>
  <c r="F15" i="4"/>
  <c r="G14" i="4"/>
  <c r="F14" i="4"/>
  <c r="G13" i="4"/>
  <c r="F13" i="4"/>
  <c r="G12" i="4"/>
  <c r="F12" i="4"/>
  <c r="G11" i="4"/>
  <c r="F11" i="4"/>
  <c r="G70" i="40"/>
  <c r="G64" i="40"/>
  <c r="G40" i="40"/>
  <c r="H49" i="39"/>
  <c r="H28" i="39"/>
  <c r="H25" i="39"/>
  <c r="H15" i="39"/>
  <c r="H150" i="45"/>
  <c r="H149" i="45"/>
  <c r="H148" i="45"/>
  <c r="H145" i="45"/>
  <c r="H144" i="45"/>
  <c r="G143" i="45"/>
  <c r="H141" i="45"/>
  <c r="H136" i="45"/>
  <c r="H135" i="45"/>
  <c r="G134" i="45"/>
  <c r="G128" i="45" s="1"/>
  <c r="H132" i="45"/>
  <c r="H131" i="45"/>
  <c r="H130" i="45"/>
  <c r="H129" i="45"/>
  <c r="H127" i="45"/>
  <c r="H125" i="45"/>
  <c r="G123" i="45"/>
  <c r="H122" i="45"/>
  <c r="H120" i="45"/>
  <c r="H119" i="45"/>
  <c r="H118" i="45"/>
  <c r="H117" i="45"/>
  <c r="H116" i="45"/>
  <c r="H115" i="45"/>
  <c r="G114" i="45"/>
  <c r="G111" i="45" s="1"/>
  <c r="H113" i="45"/>
  <c r="H112" i="45"/>
  <c r="H110" i="45"/>
  <c r="H109" i="45"/>
  <c r="H108" i="45"/>
  <c r="H107" i="45"/>
  <c r="H106" i="45"/>
  <c r="G105" i="45"/>
  <c r="H104" i="45"/>
  <c r="H103" i="45"/>
  <c r="H102" i="45"/>
  <c r="G101" i="45"/>
  <c r="H100" i="45"/>
  <c r="H99" i="45"/>
  <c r="H98" i="45"/>
  <c r="H97" i="45"/>
  <c r="H96" i="45"/>
  <c r="H95" i="45"/>
  <c r="H94" i="45"/>
  <c r="H93" i="45"/>
  <c r="H92" i="45"/>
  <c r="G89" i="45"/>
  <c r="G88" i="45" s="1"/>
  <c r="H84" i="45"/>
  <c r="H83" i="45"/>
  <c r="G79" i="45"/>
  <c r="G75" i="45" s="1"/>
  <c r="G74" i="45" s="1"/>
  <c r="H78" i="45"/>
  <c r="H77" i="45"/>
  <c r="H76" i="45"/>
  <c r="H71" i="45"/>
  <c r="G70" i="45"/>
  <c r="H69" i="45"/>
  <c r="H68" i="45"/>
  <c r="G67" i="45"/>
  <c r="H66" i="45"/>
  <c r="H65" i="45"/>
  <c r="H64" i="45"/>
  <c r="H63" i="45"/>
  <c r="H62" i="45"/>
  <c r="G61" i="45"/>
  <c r="H60" i="45"/>
  <c r="H59" i="45"/>
  <c r="H58" i="45"/>
  <c r="H57" i="45"/>
  <c r="H56" i="45"/>
  <c r="H55" i="45"/>
  <c r="H54" i="45"/>
  <c r="H53" i="45"/>
  <c r="H52" i="45"/>
  <c r="H51" i="45"/>
  <c r="H50" i="45"/>
  <c r="G49" i="45"/>
  <c r="H48" i="45"/>
  <c r="H47" i="45"/>
  <c r="H46" i="45"/>
  <c r="H44" i="45"/>
  <c r="H43" i="45"/>
  <c r="H42" i="45"/>
  <c r="H41" i="45"/>
  <c r="H40" i="45"/>
  <c r="H39" i="45"/>
  <c r="G38" i="45"/>
  <c r="H37" i="45"/>
  <c r="H36" i="45"/>
  <c r="H35" i="45"/>
  <c r="G34" i="45"/>
  <c r="H33" i="45"/>
  <c r="H32" i="45"/>
  <c r="G31" i="45"/>
  <c r="H29" i="45"/>
  <c r="H28" i="45"/>
  <c r="H27" i="45"/>
  <c r="G26" i="45"/>
  <c r="H24" i="45"/>
  <c r="G22" i="45"/>
  <c r="H20" i="45"/>
  <c r="H19" i="45"/>
  <c r="H18" i="45"/>
  <c r="H17" i="45"/>
  <c r="H16" i="45"/>
  <c r="H15" i="45"/>
  <c r="H14" i="45"/>
  <c r="H13" i="45"/>
  <c r="H12" i="45"/>
  <c r="H11" i="45"/>
  <c r="G10" i="45"/>
  <c r="G9" i="45" s="1"/>
  <c r="H150" i="48"/>
  <c r="H149" i="48"/>
  <c r="H148" i="48"/>
  <c r="H147" i="48"/>
  <c r="H145" i="48"/>
  <c r="H144" i="48"/>
  <c r="G143" i="48"/>
  <c r="F143" i="48"/>
  <c r="H141" i="48"/>
  <c r="H140" i="48"/>
  <c r="H139" i="48"/>
  <c r="H138" i="48"/>
  <c r="H137" i="48"/>
  <c r="H136" i="48"/>
  <c r="H135" i="48"/>
  <c r="G134" i="48"/>
  <c r="G128" i="48" s="1"/>
  <c r="F134" i="48"/>
  <c r="H133" i="48"/>
  <c r="H132" i="48"/>
  <c r="H131" i="48"/>
  <c r="H130" i="48"/>
  <c r="H129" i="48"/>
  <c r="H127" i="48"/>
  <c r="H126" i="48"/>
  <c r="H125" i="48"/>
  <c r="H124" i="48"/>
  <c r="G123" i="48"/>
  <c r="F123" i="48"/>
  <c r="H122" i="48"/>
  <c r="H121" i="48"/>
  <c r="H120" i="48"/>
  <c r="H119" i="48"/>
  <c r="H118" i="48"/>
  <c r="H117" i="48"/>
  <c r="H116" i="48"/>
  <c r="H115" i="48"/>
  <c r="G114" i="48"/>
  <c r="F114" i="48"/>
  <c r="F111" i="48" s="1"/>
  <c r="H113" i="48"/>
  <c r="H112" i="48"/>
  <c r="G111" i="48"/>
  <c r="H110" i="48"/>
  <c r="H109" i="48"/>
  <c r="H108" i="48"/>
  <c r="H107" i="48"/>
  <c r="H106" i="48"/>
  <c r="G105" i="48"/>
  <c r="F105" i="48"/>
  <c r="H104" i="48"/>
  <c r="H103" i="48"/>
  <c r="H102" i="48"/>
  <c r="G101" i="48"/>
  <c r="F101" i="48"/>
  <c r="H100" i="48"/>
  <c r="H99" i="48"/>
  <c r="H98" i="48"/>
  <c r="H97" i="48"/>
  <c r="H96" i="48"/>
  <c r="H95" i="48"/>
  <c r="H94" i="48"/>
  <c r="H93" i="48"/>
  <c r="H92" i="48"/>
  <c r="H90" i="48"/>
  <c r="G89" i="48"/>
  <c r="F89" i="48"/>
  <c r="F88" i="48" s="1"/>
  <c r="G88" i="48"/>
  <c r="H84" i="48"/>
  <c r="H83" i="48"/>
  <c r="H81" i="48"/>
  <c r="H80" i="48"/>
  <c r="G79" i="48"/>
  <c r="G75" i="48" s="1"/>
  <c r="G74" i="48" s="1"/>
  <c r="F79" i="48"/>
  <c r="H78" i="48"/>
  <c r="H77" i="48"/>
  <c r="H76" i="48"/>
  <c r="F75" i="48"/>
  <c r="H71" i="48"/>
  <c r="G70" i="48"/>
  <c r="F70" i="48"/>
  <c r="H69" i="48"/>
  <c r="H68" i="48"/>
  <c r="G67" i="48"/>
  <c r="F67" i="48"/>
  <c r="H66" i="48"/>
  <c r="H65" i="48"/>
  <c r="H64" i="48"/>
  <c r="H63" i="48"/>
  <c r="H62" i="48"/>
  <c r="G61" i="48"/>
  <c r="F61" i="48"/>
  <c r="H60" i="48"/>
  <c r="H59" i="48"/>
  <c r="H58" i="48"/>
  <c r="H57" i="48"/>
  <c r="H56" i="48"/>
  <c r="H55" i="48"/>
  <c r="H54" i="48"/>
  <c r="H53" i="48"/>
  <c r="H52" i="48"/>
  <c r="H51" i="48"/>
  <c r="H50" i="48"/>
  <c r="G49" i="48"/>
  <c r="G45" i="48" s="1"/>
  <c r="F49" i="48"/>
  <c r="H48" i="48"/>
  <c r="H47" i="48"/>
  <c r="H46" i="48"/>
  <c r="H44" i="48"/>
  <c r="H43" i="48"/>
  <c r="H42" i="48"/>
  <c r="H41" i="48"/>
  <c r="H40" i="48"/>
  <c r="H39" i="48"/>
  <c r="G38" i="48"/>
  <c r="H38" i="48" s="1"/>
  <c r="H37" i="48"/>
  <c r="H36" i="48"/>
  <c r="H35" i="48"/>
  <c r="G34" i="48"/>
  <c r="F34" i="48"/>
  <c r="H33" i="48"/>
  <c r="H32" i="48"/>
  <c r="G31" i="48"/>
  <c r="G30" i="48" s="1"/>
  <c r="F31" i="48"/>
  <c r="F30" i="48" s="1"/>
  <c r="H29" i="48"/>
  <c r="H28" i="48"/>
  <c r="H27" i="48"/>
  <c r="G26" i="48"/>
  <c r="F26" i="48"/>
  <c r="H24" i="48"/>
  <c r="H23" i="48"/>
  <c r="G22" i="48"/>
  <c r="F22" i="48"/>
  <c r="H21" i="48"/>
  <c r="H20" i="48"/>
  <c r="H19" i="48"/>
  <c r="H18" i="48"/>
  <c r="H17" i="48"/>
  <c r="H16" i="48"/>
  <c r="H15" i="48"/>
  <c r="H14" i="48"/>
  <c r="H13" i="48"/>
  <c r="H12" i="48"/>
  <c r="H11" i="48"/>
  <c r="G10" i="48"/>
  <c r="F10" i="48"/>
  <c r="F9" i="48" s="1"/>
  <c r="G9" i="48"/>
  <c r="H150" i="47"/>
  <c r="H149" i="47"/>
  <c r="H148" i="47"/>
  <c r="H147" i="47"/>
  <c r="H145" i="47"/>
  <c r="H144" i="47"/>
  <c r="G143" i="47"/>
  <c r="F143" i="47"/>
  <c r="H141" i="47"/>
  <c r="H140" i="47"/>
  <c r="H139" i="47"/>
  <c r="H138" i="47"/>
  <c r="H137" i="47"/>
  <c r="H136" i="47"/>
  <c r="H135" i="47"/>
  <c r="G134" i="47"/>
  <c r="G128" i="47" s="1"/>
  <c r="F134" i="47"/>
  <c r="H133" i="47"/>
  <c r="H132" i="47"/>
  <c r="H131" i="47"/>
  <c r="H130" i="47"/>
  <c r="H129" i="47"/>
  <c r="H127" i="47"/>
  <c r="H126" i="47"/>
  <c r="H125" i="47"/>
  <c r="H124" i="47"/>
  <c r="G123" i="47"/>
  <c r="H122" i="47"/>
  <c r="H121" i="47"/>
  <c r="H120" i="47"/>
  <c r="H119" i="47"/>
  <c r="H118" i="47"/>
  <c r="H117" i="47"/>
  <c r="H116" i="47"/>
  <c r="H115" i="47"/>
  <c r="G114" i="47"/>
  <c r="F114" i="47"/>
  <c r="H113" i="47"/>
  <c r="H112" i="47"/>
  <c r="H110" i="47"/>
  <c r="H109" i="47"/>
  <c r="H108" i="47"/>
  <c r="H107" i="47"/>
  <c r="H106" i="47"/>
  <c r="G105" i="47"/>
  <c r="F105" i="47"/>
  <c r="H104" i="47"/>
  <c r="H103" i="47"/>
  <c r="H102" i="47"/>
  <c r="G101" i="47"/>
  <c r="F101" i="47"/>
  <c r="H100" i="47"/>
  <c r="H99" i="47"/>
  <c r="H98" i="47"/>
  <c r="H97" i="47"/>
  <c r="H96" i="47"/>
  <c r="H95" i="47"/>
  <c r="H94" i="47"/>
  <c r="H93" i="47"/>
  <c r="H92" i="47"/>
  <c r="H90" i="47"/>
  <c r="G89" i="47"/>
  <c r="G88" i="47" s="1"/>
  <c r="F89" i="47"/>
  <c r="F88" i="47" s="1"/>
  <c r="H84" i="47"/>
  <c r="H83" i="47"/>
  <c r="H81" i="47"/>
  <c r="H80" i="47"/>
  <c r="G79" i="47"/>
  <c r="G75" i="47" s="1"/>
  <c r="G74" i="47" s="1"/>
  <c r="F79" i="47"/>
  <c r="H78" i="47"/>
  <c r="H77" i="47"/>
  <c r="H76" i="47"/>
  <c r="H71" i="47"/>
  <c r="G70" i="47"/>
  <c r="F70" i="47"/>
  <c r="H69" i="47"/>
  <c r="H68" i="47"/>
  <c r="G67" i="47"/>
  <c r="F67" i="47"/>
  <c r="H66" i="47"/>
  <c r="H65" i="47"/>
  <c r="H64" i="47"/>
  <c r="H63" i="47"/>
  <c r="H62" i="47"/>
  <c r="G61" i="47"/>
  <c r="F61" i="47"/>
  <c r="H60" i="47"/>
  <c r="H59" i="47"/>
  <c r="H58" i="47"/>
  <c r="H57" i="47"/>
  <c r="H56" i="47"/>
  <c r="H55" i="47"/>
  <c r="H54" i="47"/>
  <c r="H53" i="47"/>
  <c r="H52" i="47"/>
  <c r="H51" i="47"/>
  <c r="H50" i="47"/>
  <c r="G49" i="47"/>
  <c r="G45" i="47" s="1"/>
  <c r="F49" i="47"/>
  <c r="H48" i="47"/>
  <c r="H47" i="47"/>
  <c r="H46" i="47"/>
  <c r="F45" i="47"/>
  <c r="H44" i="47"/>
  <c r="H43" i="47"/>
  <c r="H42" i="47"/>
  <c r="H41" i="47"/>
  <c r="H40" i="47"/>
  <c r="H39" i="47"/>
  <c r="G38" i="47"/>
  <c r="F38" i="47"/>
  <c r="H37" i="47"/>
  <c r="H36" i="47"/>
  <c r="H35" i="47"/>
  <c r="G34" i="47"/>
  <c r="F34" i="47"/>
  <c r="H33" i="47"/>
  <c r="H32" i="47"/>
  <c r="G31" i="47"/>
  <c r="G30" i="47" s="1"/>
  <c r="F31" i="47"/>
  <c r="F30" i="47" s="1"/>
  <c r="H29" i="47"/>
  <c r="H28" i="47"/>
  <c r="H27" i="47"/>
  <c r="G26" i="47"/>
  <c r="F26" i="47"/>
  <c r="H24" i="47"/>
  <c r="H23" i="47"/>
  <c r="G22" i="47"/>
  <c r="F22" i="47"/>
  <c r="H21" i="47"/>
  <c r="H20" i="47"/>
  <c r="H19" i="47"/>
  <c r="H18" i="47"/>
  <c r="H17" i="47"/>
  <c r="H16" i="47"/>
  <c r="H15" i="47"/>
  <c r="H14" i="47"/>
  <c r="H13" i="47"/>
  <c r="H12" i="47"/>
  <c r="H11" i="47"/>
  <c r="G10" i="47"/>
  <c r="F10" i="47"/>
  <c r="G9" i="47"/>
  <c r="H150" i="51"/>
  <c r="H149" i="51"/>
  <c r="H148" i="51"/>
  <c r="H147" i="51"/>
  <c r="H145" i="51"/>
  <c r="H144" i="51"/>
  <c r="G143" i="51"/>
  <c r="F143" i="51"/>
  <c r="H141" i="51"/>
  <c r="H140" i="51"/>
  <c r="H139" i="51"/>
  <c r="H138" i="51"/>
  <c r="H137" i="51"/>
  <c r="H136" i="51"/>
  <c r="H135" i="51"/>
  <c r="G134" i="51"/>
  <c r="G128" i="51" s="1"/>
  <c r="F134" i="51"/>
  <c r="H133" i="51"/>
  <c r="H132" i="51"/>
  <c r="H131" i="51"/>
  <c r="H130" i="51"/>
  <c r="H129" i="51"/>
  <c r="H127" i="51"/>
  <c r="H126" i="51"/>
  <c r="H125" i="51"/>
  <c r="H124" i="51"/>
  <c r="G123" i="51"/>
  <c r="F123" i="51"/>
  <c r="H122" i="51"/>
  <c r="H121" i="51"/>
  <c r="H120" i="51"/>
  <c r="H119" i="51"/>
  <c r="H118" i="51"/>
  <c r="H117" i="51"/>
  <c r="H116" i="51"/>
  <c r="H115" i="51"/>
  <c r="G114" i="51"/>
  <c r="F114" i="51"/>
  <c r="F111" i="51" s="1"/>
  <c r="H113" i="51"/>
  <c r="H112" i="51"/>
  <c r="G111" i="51"/>
  <c r="H110" i="51"/>
  <c r="H109" i="51"/>
  <c r="H108" i="51"/>
  <c r="H107" i="51"/>
  <c r="H106" i="51"/>
  <c r="G105" i="51"/>
  <c r="F105" i="51"/>
  <c r="H104" i="51"/>
  <c r="H103" i="51"/>
  <c r="H102" i="51"/>
  <c r="G101" i="51"/>
  <c r="F101" i="51"/>
  <c r="H100" i="51"/>
  <c r="H99" i="51"/>
  <c r="H98" i="51"/>
  <c r="H97" i="51"/>
  <c r="H96" i="51"/>
  <c r="H95" i="51"/>
  <c r="H94" i="51"/>
  <c r="H93" i="51"/>
  <c r="H92" i="51"/>
  <c r="H90" i="51"/>
  <c r="G89" i="51"/>
  <c r="G88" i="51" s="1"/>
  <c r="F89" i="51"/>
  <c r="F88" i="51" s="1"/>
  <c r="H84" i="51"/>
  <c r="H83" i="51"/>
  <c r="H81" i="51"/>
  <c r="H80" i="51"/>
  <c r="G79" i="51"/>
  <c r="G75" i="51" s="1"/>
  <c r="G74" i="51" s="1"/>
  <c r="F79" i="51"/>
  <c r="H78" i="51"/>
  <c r="H77" i="51"/>
  <c r="H76" i="51"/>
  <c r="H71" i="51"/>
  <c r="G70" i="51"/>
  <c r="F70" i="51"/>
  <c r="H69" i="51"/>
  <c r="H68" i="51"/>
  <c r="G67" i="51"/>
  <c r="F67" i="51"/>
  <c r="H66" i="51"/>
  <c r="H65" i="51"/>
  <c r="H64" i="51"/>
  <c r="H63" i="51"/>
  <c r="H62" i="51"/>
  <c r="G61" i="51"/>
  <c r="F61" i="51"/>
  <c r="H60" i="51"/>
  <c r="H59" i="51"/>
  <c r="H58" i="51"/>
  <c r="H57" i="51"/>
  <c r="H56" i="51"/>
  <c r="H55" i="51"/>
  <c r="H54" i="51"/>
  <c r="H53" i="51"/>
  <c r="H52" i="51"/>
  <c r="H51" i="51"/>
  <c r="H50" i="51"/>
  <c r="G49" i="51"/>
  <c r="G45" i="51" s="1"/>
  <c r="F49" i="51"/>
  <c r="H48" i="51"/>
  <c r="H47" i="51"/>
  <c r="H46" i="51"/>
  <c r="F45" i="51"/>
  <c r="H44" i="51"/>
  <c r="H43" i="51"/>
  <c r="H42" i="51"/>
  <c r="H41" i="51"/>
  <c r="H40" i="51"/>
  <c r="H39" i="51"/>
  <c r="G38" i="51"/>
  <c r="F38" i="51"/>
  <c r="H37" i="51"/>
  <c r="H36" i="51"/>
  <c r="H35" i="51"/>
  <c r="G34" i="51"/>
  <c r="F34" i="51"/>
  <c r="H33" i="51"/>
  <c r="H32" i="51"/>
  <c r="G31" i="51"/>
  <c r="F31" i="51"/>
  <c r="F30" i="51" s="1"/>
  <c r="G30" i="51"/>
  <c r="H29" i="51"/>
  <c r="H28" i="51"/>
  <c r="H27" i="51"/>
  <c r="G26" i="51"/>
  <c r="F26" i="51"/>
  <c r="H24" i="51"/>
  <c r="H23" i="51"/>
  <c r="G22" i="51"/>
  <c r="F22" i="51"/>
  <c r="H21" i="51"/>
  <c r="H20" i="51"/>
  <c r="H19" i="51"/>
  <c r="H18" i="51"/>
  <c r="H17" i="51"/>
  <c r="H16" i="51"/>
  <c r="H15" i="51"/>
  <c r="H14" i="51"/>
  <c r="H13" i="51"/>
  <c r="H12" i="51"/>
  <c r="H11" i="51"/>
  <c r="G10" i="51"/>
  <c r="G9" i="51" s="1"/>
  <c r="F10" i="51"/>
  <c r="H150" i="52"/>
  <c r="H149" i="52"/>
  <c r="H148" i="52"/>
  <c r="H147" i="52"/>
  <c r="H145" i="52"/>
  <c r="H144" i="52"/>
  <c r="G143" i="52"/>
  <c r="F143" i="52"/>
  <c r="H141" i="52"/>
  <c r="H140" i="52"/>
  <c r="H139" i="52"/>
  <c r="H138" i="52"/>
  <c r="H137" i="52"/>
  <c r="H136" i="52"/>
  <c r="H135" i="52"/>
  <c r="G134" i="52"/>
  <c r="G128" i="52" s="1"/>
  <c r="F134" i="52"/>
  <c r="H133" i="52"/>
  <c r="H132" i="52"/>
  <c r="H131" i="52"/>
  <c r="H130" i="52"/>
  <c r="H129" i="52"/>
  <c r="H127" i="52"/>
  <c r="H126" i="52"/>
  <c r="H125" i="52"/>
  <c r="H124" i="52"/>
  <c r="G123" i="52"/>
  <c r="F123" i="52"/>
  <c r="H122" i="52"/>
  <c r="H121" i="52"/>
  <c r="H120" i="52"/>
  <c r="H119" i="52"/>
  <c r="H118" i="52"/>
  <c r="H117" i="52"/>
  <c r="H116" i="52"/>
  <c r="H115" i="52"/>
  <c r="G114" i="52"/>
  <c r="F114" i="52"/>
  <c r="F111" i="52" s="1"/>
  <c r="H113" i="52"/>
  <c r="H112" i="52"/>
  <c r="G111" i="52"/>
  <c r="H110" i="52"/>
  <c r="H109" i="52"/>
  <c r="H108" i="52"/>
  <c r="H107" i="52"/>
  <c r="H106" i="52"/>
  <c r="G105" i="52"/>
  <c r="F105" i="52"/>
  <c r="H104" i="52"/>
  <c r="H103" i="52"/>
  <c r="H102" i="52"/>
  <c r="G101" i="52"/>
  <c r="F101" i="52"/>
  <c r="H100" i="52"/>
  <c r="H99" i="52"/>
  <c r="H98" i="52"/>
  <c r="H97" i="52"/>
  <c r="H96" i="52"/>
  <c r="H95" i="52"/>
  <c r="H94" i="52"/>
  <c r="H93" i="52"/>
  <c r="H92" i="52"/>
  <c r="H90" i="52"/>
  <c r="G89" i="52"/>
  <c r="G88" i="52" s="1"/>
  <c r="F89" i="52"/>
  <c r="F88" i="52" s="1"/>
  <c r="H84" i="52"/>
  <c r="H83" i="52"/>
  <c r="H81" i="52"/>
  <c r="H80" i="52"/>
  <c r="G79" i="52"/>
  <c r="G75" i="52" s="1"/>
  <c r="G74" i="52" s="1"/>
  <c r="F79" i="52"/>
  <c r="H78" i="52"/>
  <c r="H77" i="52"/>
  <c r="H76" i="52"/>
  <c r="F75" i="52"/>
  <c r="H71" i="52"/>
  <c r="G70" i="52"/>
  <c r="F70" i="52"/>
  <c r="H69" i="52"/>
  <c r="H68" i="52"/>
  <c r="G67" i="52"/>
  <c r="F67" i="52"/>
  <c r="H66" i="52"/>
  <c r="H65" i="52"/>
  <c r="H64" i="52"/>
  <c r="H63" i="52"/>
  <c r="H62" i="52"/>
  <c r="G61" i="52"/>
  <c r="F61" i="52"/>
  <c r="H60" i="52"/>
  <c r="H59" i="52"/>
  <c r="H58" i="52"/>
  <c r="H57" i="52"/>
  <c r="H56" i="52"/>
  <c r="H55" i="52"/>
  <c r="H54" i="52"/>
  <c r="H53" i="52"/>
  <c r="H52" i="52"/>
  <c r="H51" i="52"/>
  <c r="H50" i="52"/>
  <c r="G49" i="52"/>
  <c r="G45" i="52" s="1"/>
  <c r="F49" i="52"/>
  <c r="H48" i="52"/>
  <c r="H47" i="52"/>
  <c r="H46" i="52"/>
  <c r="H44" i="52"/>
  <c r="H43" i="52"/>
  <c r="H42" i="52"/>
  <c r="H41" i="52"/>
  <c r="H40" i="52"/>
  <c r="H39" i="52"/>
  <c r="G38" i="52"/>
  <c r="F38" i="52"/>
  <c r="H37" i="52"/>
  <c r="H36" i="52"/>
  <c r="H35" i="52"/>
  <c r="G34" i="52"/>
  <c r="F34" i="52"/>
  <c r="H33" i="52"/>
  <c r="H32" i="52"/>
  <c r="G31" i="52"/>
  <c r="F31" i="52"/>
  <c r="F30" i="52" s="1"/>
  <c r="G30" i="52"/>
  <c r="H29" i="52"/>
  <c r="H28" i="52"/>
  <c r="H27" i="52"/>
  <c r="G26" i="52"/>
  <c r="F26" i="52"/>
  <c r="H24" i="52"/>
  <c r="H23" i="52"/>
  <c r="G22" i="52"/>
  <c r="F22" i="52"/>
  <c r="H21" i="52"/>
  <c r="H20" i="52"/>
  <c r="H19" i="52"/>
  <c r="H18" i="52"/>
  <c r="H17" i="52"/>
  <c r="H16" i="52"/>
  <c r="H15" i="52"/>
  <c r="H14" i="52"/>
  <c r="H13" i="52"/>
  <c r="H12" i="52"/>
  <c r="H11" i="52"/>
  <c r="G10" i="52"/>
  <c r="G9" i="52" s="1"/>
  <c r="F10" i="52"/>
  <c r="F9" i="52" s="1"/>
  <c r="H150" i="55"/>
  <c r="H149" i="55"/>
  <c r="H148" i="55"/>
  <c r="H147" i="55"/>
  <c r="H145" i="55"/>
  <c r="H144" i="55"/>
  <c r="G143" i="55"/>
  <c r="F143" i="55"/>
  <c r="H141" i="55"/>
  <c r="H140" i="55"/>
  <c r="H139" i="55"/>
  <c r="H138" i="55"/>
  <c r="H137" i="55"/>
  <c r="H136" i="55"/>
  <c r="H135" i="55"/>
  <c r="G134" i="55"/>
  <c r="G128" i="55" s="1"/>
  <c r="F134" i="55"/>
  <c r="H133" i="55"/>
  <c r="H132" i="55"/>
  <c r="H131" i="55"/>
  <c r="H130" i="55"/>
  <c r="H129" i="55"/>
  <c r="F128" i="55"/>
  <c r="H127" i="55"/>
  <c r="H126" i="55"/>
  <c r="H125" i="55"/>
  <c r="H124" i="55"/>
  <c r="G123" i="55"/>
  <c r="F123" i="55"/>
  <c r="H122" i="55"/>
  <c r="H121" i="55"/>
  <c r="H120" i="55"/>
  <c r="H119" i="55"/>
  <c r="H118" i="55"/>
  <c r="H117" i="55"/>
  <c r="H116" i="55"/>
  <c r="H115" i="55"/>
  <c r="G114" i="55"/>
  <c r="F114" i="55"/>
  <c r="H113" i="55"/>
  <c r="H112" i="55"/>
  <c r="G111" i="55"/>
  <c r="F111" i="55"/>
  <c r="H110" i="55"/>
  <c r="H109" i="55"/>
  <c r="H108" i="55"/>
  <c r="H107" i="55"/>
  <c r="H106" i="55"/>
  <c r="G105" i="55"/>
  <c r="F105" i="55"/>
  <c r="H104" i="55"/>
  <c r="H103" i="55"/>
  <c r="H102" i="55"/>
  <c r="G101" i="55"/>
  <c r="F101" i="55"/>
  <c r="H100" i="55"/>
  <c r="H99" i="55"/>
  <c r="H98" i="55"/>
  <c r="H97" i="55"/>
  <c r="H96" i="55"/>
  <c r="H95" i="55"/>
  <c r="H94" i="55"/>
  <c r="H93" i="55"/>
  <c r="H92" i="55"/>
  <c r="H90" i="55"/>
  <c r="G89" i="55"/>
  <c r="F89" i="55"/>
  <c r="G88" i="55"/>
  <c r="F88" i="55"/>
  <c r="H84" i="55"/>
  <c r="H83" i="55"/>
  <c r="H81" i="55"/>
  <c r="H80" i="55"/>
  <c r="G79" i="55"/>
  <c r="G75" i="55" s="1"/>
  <c r="G74" i="55" s="1"/>
  <c r="F79" i="55"/>
  <c r="H78" i="55"/>
  <c r="H77" i="55"/>
  <c r="H76" i="55"/>
  <c r="H71" i="55"/>
  <c r="G70" i="55"/>
  <c r="F70" i="55"/>
  <c r="H69" i="55"/>
  <c r="H68" i="55"/>
  <c r="G67" i="55"/>
  <c r="F67" i="55"/>
  <c r="H66" i="55"/>
  <c r="H65" i="55"/>
  <c r="H64" i="55"/>
  <c r="H63" i="55"/>
  <c r="H62" i="55"/>
  <c r="G61" i="55"/>
  <c r="F61" i="55"/>
  <c r="H60" i="55"/>
  <c r="H59" i="55"/>
  <c r="H58" i="55"/>
  <c r="H57" i="55"/>
  <c r="H56" i="55"/>
  <c r="H55" i="55"/>
  <c r="H54" i="55"/>
  <c r="H53" i="55"/>
  <c r="H52" i="55"/>
  <c r="H51" i="55"/>
  <c r="H50" i="55"/>
  <c r="G49" i="55"/>
  <c r="G45" i="55" s="1"/>
  <c r="F49" i="55"/>
  <c r="H48" i="55"/>
  <c r="H47" i="55"/>
  <c r="H46" i="55"/>
  <c r="H44" i="55"/>
  <c r="H43" i="55"/>
  <c r="H42" i="55"/>
  <c r="H41" i="55"/>
  <c r="H40" i="55"/>
  <c r="H39" i="55"/>
  <c r="G38" i="55"/>
  <c r="F38" i="55"/>
  <c r="H37" i="55"/>
  <c r="H36" i="55"/>
  <c r="H35" i="55"/>
  <c r="G34" i="55"/>
  <c r="F34" i="55"/>
  <c r="H33" i="55"/>
  <c r="H32" i="55"/>
  <c r="G31" i="55"/>
  <c r="F31" i="55"/>
  <c r="F30" i="55" s="1"/>
  <c r="G30" i="55"/>
  <c r="H29" i="55"/>
  <c r="H28" i="55"/>
  <c r="H27" i="55"/>
  <c r="G26" i="55"/>
  <c r="F26" i="55"/>
  <c r="H24" i="55"/>
  <c r="H23" i="55"/>
  <c r="G22" i="55"/>
  <c r="F22" i="55"/>
  <c r="H21" i="55"/>
  <c r="H20" i="55"/>
  <c r="H19" i="55"/>
  <c r="H18" i="55"/>
  <c r="H17" i="55"/>
  <c r="H16" i="55"/>
  <c r="H15" i="55"/>
  <c r="H14" i="55"/>
  <c r="H13" i="55"/>
  <c r="H12" i="55"/>
  <c r="H11" i="55"/>
  <c r="G10" i="55"/>
  <c r="F10" i="55"/>
  <c r="G9" i="55"/>
  <c r="F9" i="55"/>
  <c r="H150" i="53"/>
  <c r="H149" i="53"/>
  <c r="H148" i="53"/>
  <c r="H147" i="53"/>
  <c r="H145" i="53"/>
  <c r="H144" i="53"/>
  <c r="G143" i="53"/>
  <c r="F143" i="53"/>
  <c r="H141" i="53"/>
  <c r="H140" i="53"/>
  <c r="H139" i="53"/>
  <c r="H138" i="53"/>
  <c r="H137" i="53"/>
  <c r="H136" i="53"/>
  <c r="H135" i="53"/>
  <c r="G134" i="53"/>
  <c r="G128" i="53" s="1"/>
  <c r="F134" i="53"/>
  <c r="H133" i="53"/>
  <c r="H132" i="53"/>
  <c r="H131" i="53"/>
  <c r="H130" i="53"/>
  <c r="H129" i="53"/>
  <c r="H127" i="53"/>
  <c r="H126" i="53"/>
  <c r="H125" i="53"/>
  <c r="H124" i="53"/>
  <c r="G123" i="53"/>
  <c r="F123" i="53"/>
  <c r="H122" i="53"/>
  <c r="H121" i="53"/>
  <c r="H120" i="53"/>
  <c r="H119" i="53"/>
  <c r="H118" i="53"/>
  <c r="H117" i="53"/>
  <c r="H116" i="53"/>
  <c r="H115" i="53"/>
  <c r="G114" i="53"/>
  <c r="F114" i="53"/>
  <c r="F111" i="53" s="1"/>
  <c r="H113" i="53"/>
  <c r="H112" i="53"/>
  <c r="G111" i="53"/>
  <c r="H110" i="53"/>
  <c r="H109" i="53"/>
  <c r="H108" i="53"/>
  <c r="H107" i="53"/>
  <c r="H106" i="53"/>
  <c r="G105" i="53"/>
  <c r="F105" i="53"/>
  <c r="H104" i="53"/>
  <c r="H103" i="53"/>
  <c r="H102" i="53"/>
  <c r="G101" i="53"/>
  <c r="F101" i="53"/>
  <c r="H100" i="53"/>
  <c r="H99" i="53"/>
  <c r="H98" i="53"/>
  <c r="H97" i="53"/>
  <c r="H96" i="53"/>
  <c r="H95" i="53"/>
  <c r="H94" i="53"/>
  <c r="H93" i="53"/>
  <c r="H92" i="53"/>
  <c r="H90" i="53"/>
  <c r="G89" i="53"/>
  <c r="G88" i="53" s="1"/>
  <c r="F89" i="53"/>
  <c r="F88" i="53" s="1"/>
  <c r="H84" i="53"/>
  <c r="H83" i="53"/>
  <c r="H81" i="53"/>
  <c r="H80" i="53"/>
  <c r="G79" i="53"/>
  <c r="G75" i="53" s="1"/>
  <c r="G74" i="53" s="1"/>
  <c r="F79" i="53"/>
  <c r="H78" i="53"/>
  <c r="H77" i="53"/>
  <c r="H76" i="53"/>
  <c r="F75" i="53"/>
  <c r="H71" i="53"/>
  <c r="G70" i="53"/>
  <c r="F70" i="53"/>
  <c r="H69" i="53"/>
  <c r="H68" i="53"/>
  <c r="G67" i="53"/>
  <c r="F67" i="53"/>
  <c r="H66" i="53"/>
  <c r="H65" i="53"/>
  <c r="H64" i="53"/>
  <c r="H63" i="53"/>
  <c r="H62" i="53"/>
  <c r="G61" i="53"/>
  <c r="F61" i="53"/>
  <c r="H60" i="53"/>
  <c r="H59" i="53"/>
  <c r="H58" i="53"/>
  <c r="H57" i="53"/>
  <c r="H56" i="53"/>
  <c r="H55" i="53"/>
  <c r="H54" i="53"/>
  <c r="H53" i="53"/>
  <c r="H52" i="53"/>
  <c r="H51" i="53"/>
  <c r="H50" i="53"/>
  <c r="G49" i="53"/>
  <c r="G45" i="53" s="1"/>
  <c r="F49" i="53"/>
  <c r="H48" i="53"/>
  <c r="H47" i="53"/>
  <c r="H46" i="53"/>
  <c r="H44" i="53"/>
  <c r="H43" i="53"/>
  <c r="H42" i="53"/>
  <c r="H41" i="53"/>
  <c r="H40" i="53"/>
  <c r="H39" i="53"/>
  <c r="G38" i="53"/>
  <c r="F38" i="53"/>
  <c r="H37" i="53"/>
  <c r="H36" i="53"/>
  <c r="H35" i="53"/>
  <c r="G34" i="53"/>
  <c r="F34" i="53"/>
  <c r="H33" i="53"/>
  <c r="H32" i="53"/>
  <c r="G31" i="53"/>
  <c r="F31" i="53"/>
  <c r="F30" i="53" s="1"/>
  <c r="G30" i="53"/>
  <c r="H29" i="53"/>
  <c r="H28" i="53"/>
  <c r="H27" i="53"/>
  <c r="G26" i="53"/>
  <c r="F26" i="53"/>
  <c r="H24" i="53"/>
  <c r="H23" i="53"/>
  <c r="G22" i="53"/>
  <c r="F22" i="53"/>
  <c r="H21" i="53"/>
  <c r="H20" i="53"/>
  <c r="H19" i="53"/>
  <c r="H18" i="53"/>
  <c r="H17" i="53"/>
  <c r="H16" i="53"/>
  <c r="H15" i="53"/>
  <c r="H14" i="53"/>
  <c r="H13" i="53"/>
  <c r="H12" i="53"/>
  <c r="H11" i="53"/>
  <c r="G10" i="53"/>
  <c r="G9" i="53" s="1"/>
  <c r="F10" i="53"/>
  <c r="F9" i="53" s="1"/>
  <c r="H150" i="54"/>
  <c r="H149" i="54"/>
  <c r="H148" i="54"/>
  <c r="H147" i="54"/>
  <c r="H145" i="54"/>
  <c r="H144" i="54"/>
  <c r="G143" i="54"/>
  <c r="F143" i="54"/>
  <c r="H141" i="54"/>
  <c r="H140" i="54"/>
  <c r="H139" i="54"/>
  <c r="H138" i="54"/>
  <c r="H137" i="54"/>
  <c r="H136" i="54"/>
  <c r="H135" i="54"/>
  <c r="G134" i="54"/>
  <c r="G128" i="54" s="1"/>
  <c r="F134" i="54"/>
  <c r="H133" i="54"/>
  <c r="H132" i="54"/>
  <c r="H131" i="54"/>
  <c r="H130" i="54"/>
  <c r="H129" i="54"/>
  <c r="F128" i="54"/>
  <c r="H127" i="54"/>
  <c r="H126" i="54"/>
  <c r="H125" i="54"/>
  <c r="H124" i="54"/>
  <c r="G123" i="54"/>
  <c r="F123" i="54"/>
  <c r="H122" i="54"/>
  <c r="H121" i="54"/>
  <c r="H120" i="54"/>
  <c r="H119" i="54"/>
  <c r="H118" i="54"/>
  <c r="H117" i="54"/>
  <c r="H116" i="54"/>
  <c r="H115" i="54"/>
  <c r="G114" i="54"/>
  <c r="F114" i="54"/>
  <c r="F111" i="54" s="1"/>
  <c r="H113" i="54"/>
  <c r="H112" i="54"/>
  <c r="G111" i="54"/>
  <c r="H110" i="54"/>
  <c r="H109" i="54"/>
  <c r="H108" i="54"/>
  <c r="H107" i="54"/>
  <c r="H106" i="54"/>
  <c r="G105" i="54"/>
  <c r="F105" i="54"/>
  <c r="H104" i="54"/>
  <c r="H103" i="54"/>
  <c r="H102" i="54"/>
  <c r="G101" i="54"/>
  <c r="F101" i="54"/>
  <c r="H100" i="54"/>
  <c r="H99" i="54"/>
  <c r="H98" i="54"/>
  <c r="H97" i="54"/>
  <c r="H96" i="54"/>
  <c r="H95" i="54"/>
  <c r="H94" i="54"/>
  <c r="H93" i="54"/>
  <c r="H92" i="54"/>
  <c r="H90" i="54"/>
  <c r="G89" i="54"/>
  <c r="F89" i="54"/>
  <c r="F88" i="54" s="1"/>
  <c r="G88" i="54"/>
  <c r="H84" i="54"/>
  <c r="H83" i="54"/>
  <c r="H81" i="54"/>
  <c r="H80" i="54"/>
  <c r="G79" i="54"/>
  <c r="G75" i="54" s="1"/>
  <c r="G74" i="54" s="1"/>
  <c r="F79" i="54"/>
  <c r="H78" i="54"/>
  <c r="H77" i="54"/>
  <c r="H76" i="54"/>
  <c r="H71" i="54"/>
  <c r="G70" i="54"/>
  <c r="F70" i="54"/>
  <c r="H69" i="54"/>
  <c r="H68" i="54"/>
  <c r="G67" i="54"/>
  <c r="F67" i="54"/>
  <c r="H66" i="54"/>
  <c r="H65" i="54"/>
  <c r="H64" i="54"/>
  <c r="H63" i="54"/>
  <c r="H62" i="54"/>
  <c r="G61" i="54"/>
  <c r="F61" i="54"/>
  <c r="H60" i="54"/>
  <c r="H59" i="54"/>
  <c r="H58" i="54"/>
  <c r="H57" i="54"/>
  <c r="H56" i="54"/>
  <c r="H55" i="54"/>
  <c r="H54" i="54"/>
  <c r="H53" i="54"/>
  <c r="H52" i="54"/>
  <c r="H51" i="54"/>
  <c r="H50" i="54"/>
  <c r="G49" i="54"/>
  <c r="G45" i="54" s="1"/>
  <c r="F49" i="54"/>
  <c r="H48" i="54"/>
  <c r="H47" i="54"/>
  <c r="H46" i="54"/>
  <c r="F45" i="54"/>
  <c r="H44" i="54"/>
  <c r="H43" i="54"/>
  <c r="H42" i="54"/>
  <c r="H41" i="54"/>
  <c r="H40" i="54"/>
  <c r="H39" i="54"/>
  <c r="G38" i="54"/>
  <c r="F38" i="54"/>
  <c r="H37" i="54"/>
  <c r="H36" i="54"/>
  <c r="H35" i="54"/>
  <c r="G34" i="54"/>
  <c r="F34" i="54"/>
  <c r="H33" i="54"/>
  <c r="H32" i="54"/>
  <c r="G31" i="54"/>
  <c r="F31" i="54"/>
  <c r="F30" i="54" s="1"/>
  <c r="G30" i="54"/>
  <c r="H29" i="54"/>
  <c r="H28" i="54"/>
  <c r="H27" i="54"/>
  <c r="G26" i="54"/>
  <c r="F26" i="54"/>
  <c r="H24" i="54"/>
  <c r="H23" i="54"/>
  <c r="G22" i="54"/>
  <c r="F22" i="54"/>
  <c r="H21" i="54"/>
  <c r="H20" i="54"/>
  <c r="H19" i="54"/>
  <c r="H18" i="54"/>
  <c r="H17" i="54"/>
  <c r="H16" i="54"/>
  <c r="H15" i="54"/>
  <c r="H14" i="54"/>
  <c r="H13" i="54"/>
  <c r="H12" i="54"/>
  <c r="H11" i="54"/>
  <c r="G10" i="54"/>
  <c r="G9" i="54" s="1"/>
  <c r="F10" i="54"/>
  <c r="H150" i="33"/>
  <c r="H149" i="33"/>
  <c r="H148" i="33"/>
  <c r="H147" i="33"/>
  <c r="H145" i="33"/>
  <c r="H144" i="33"/>
  <c r="G143" i="33"/>
  <c r="F143" i="33"/>
  <c r="H141" i="33"/>
  <c r="H140" i="33"/>
  <c r="H139" i="33"/>
  <c r="H138" i="33"/>
  <c r="H137" i="33"/>
  <c r="H136" i="33"/>
  <c r="H135" i="33"/>
  <c r="G134" i="33"/>
  <c r="G128" i="33" s="1"/>
  <c r="F134" i="33"/>
  <c r="H133" i="33"/>
  <c r="H132" i="33"/>
  <c r="H131" i="33"/>
  <c r="H130" i="33"/>
  <c r="H129" i="33"/>
  <c r="H127" i="33"/>
  <c r="H126" i="33"/>
  <c r="H125" i="33"/>
  <c r="H124" i="33"/>
  <c r="G123" i="33"/>
  <c r="F123" i="33"/>
  <c r="H122" i="33"/>
  <c r="H121" i="33"/>
  <c r="H120" i="33"/>
  <c r="H119" i="33"/>
  <c r="H118" i="33"/>
  <c r="H117" i="33"/>
  <c r="H116" i="33"/>
  <c r="H115" i="33"/>
  <c r="G114" i="33"/>
  <c r="F114" i="33"/>
  <c r="F111" i="33" s="1"/>
  <c r="H113" i="33"/>
  <c r="H112" i="33"/>
  <c r="G111" i="33"/>
  <c r="H110" i="33"/>
  <c r="H109" i="33"/>
  <c r="H108" i="33"/>
  <c r="H107" i="33"/>
  <c r="H106" i="33"/>
  <c r="G105" i="33"/>
  <c r="F105" i="33"/>
  <c r="H104" i="33"/>
  <c r="H103" i="33"/>
  <c r="H102" i="33"/>
  <c r="G101" i="33"/>
  <c r="F101" i="33"/>
  <c r="H100" i="33"/>
  <c r="H99" i="33"/>
  <c r="H98" i="33"/>
  <c r="H97" i="33"/>
  <c r="H96" i="33"/>
  <c r="H95" i="33"/>
  <c r="H94" i="33"/>
  <c r="H93" i="33"/>
  <c r="H92" i="33"/>
  <c r="H90" i="33"/>
  <c r="G89" i="33"/>
  <c r="F89" i="33"/>
  <c r="F88" i="33" s="1"/>
  <c r="G88" i="33"/>
  <c r="H84" i="33"/>
  <c r="H83" i="33"/>
  <c r="H81" i="33"/>
  <c r="H80" i="33"/>
  <c r="G79" i="33"/>
  <c r="G75" i="33" s="1"/>
  <c r="G74" i="33" s="1"/>
  <c r="F79" i="33"/>
  <c r="H78" i="33"/>
  <c r="H77" i="33"/>
  <c r="H76" i="33"/>
  <c r="F75" i="33"/>
  <c r="H71" i="33"/>
  <c r="G70" i="33"/>
  <c r="F70" i="33"/>
  <c r="H69" i="33"/>
  <c r="H68" i="33"/>
  <c r="G67" i="33"/>
  <c r="F67" i="33"/>
  <c r="H66" i="33"/>
  <c r="H65" i="33"/>
  <c r="H64" i="33"/>
  <c r="H63" i="33"/>
  <c r="H62" i="33"/>
  <c r="G61" i="33"/>
  <c r="F61" i="33"/>
  <c r="H60" i="33"/>
  <c r="H59" i="33"/>
  <c r="H58" i="33"/>
  <c r="H57" i="33"/>
  <c r="H56" i="33"/>
  <c r="H55" i="33"/>
  <c r="H54" i="33"/>
  <c r="H53" i="33"/>
  <c r="H52" i="33"/>
  <c r="H51" i="33"/>
  <c r="H50" i="33"/>
  <c r="G49" i="33"/>
  <c r="G45" i="33" s="1"/>
  <c r="F49" i="33"/>
  <c r="H48" i="33"/>
  <c r="H47" i="33"/>
  <c r="H46" i="33"/>
  <c r="H44" i="33"/>
  <c r="H43" i="33"/>
  <c r="H42" i="33"/>
  <c r="H41" i="33"/>
  <c r="H40" i="33"/>
  <c r="H39" i="33"/>
  <c r="G38" i="33"/>
  <c r="F38" i="33"/>
  <c r="H37" i="33"/>
  <c r="H36" i="33"/>
  <c r="H35" i="33"/>
  <c r="G34" i="33"/>
  <c r="F34" i="33"/>
  <c r="H33" i="33"/>
  <c r="H32" i="33"/>
  <c r="G31" i="33"/>
  <c r="F31" i="33"/>
  <c r="F30" i="33" s="1"/>
  <c r="G30" i="33"/>
  <c r="H29" i="33"/>
  <c r="H28" i="33"/>
  <c r="H27" i="33"/>
  <c r="G26" i="33"/>
  <c r="F26" i="33"/>
  <c r="H24" i="33"/>
  <c r="H23" i="33"/>
  <c r="G22" i="33"/>
  <c r="F22" i="33"/>
  <c r="H21" i="33"/>
  <c r="H20" i="33"/>
  <c r="H19" i="33"/>
  <c r="H18" i="33"/>
  <c r="H17" i="33"/>
  <c r="H16" i="33"/>
  <c r="H15" i="33"/>
  <c r="H14" i="33"/>
  <c r="H13" i="33"/>
  <c r="H12" i="33"/>
  <c r="H11" i="33"/>
  <c r="G10" i="33"/>
  <c r="G9" i="33" s="1"/>
  <c r="F10" i="33"/>
  <c r="F9" i="33" s="1"/>
  <c r="H150" i="34"/>
  <c r="H149" i="34"/>
  <c r="H148" i="34"/>
  <c r="H147" i="34"/>
  <c r="H145" i="34"/>
  <c r="H144" i="34"/>
  <c r="G143" i="34"/>
  <c r="F143" i="34"/>
  <c r="H141" i="34"/>
  <c r="H140" i="34"/>
  <c r="H139" i="34"/>
  <c r="H138" i="34"/>
  <c r="H137" i="34"/>
  <c r="H136" i="34"/>
  <c r="H135" i="34"/>
  <c r="G134" i="34"/>
  <c r="G128" i="34" s="1"/>
  <c r="F134" i="34"/>
  <c r="H133" i="34"/>
  <c r="H132" i="34"/>
  <c r="H131" i="34"/>
  <c r="H130" i="34"/>
  <c r="H129" i="34"/>
  <c r="F128" i="34"/>
  <c r="H127" i="34"/>
  <c r="H126" i="34"/>
  <c r="H125" i="34"/>
  <c r="H124" i="34"/>
  <c r="G123" i="34"/>
  <c r="F123" i="34"/>
  <c r="H122" i="34"/>
  <c r="H121" i="34"/>
  <c r="H120" i="34"/>
  <c r="H119" i="34"/>
  <c r="H118" i="34"/>
  <c r="H117" i="34"/>
  <c r="H116" i="34"/>
  <c r="H115" i="34"/>
  <c r="G114" i="34"/>
  <c r="G111" i="34" s="1"/>
  <c r="F114" i="34"/>
  <c r="H113" i="34"/>
  <c r="H112" i="34"/>
  <c r="H110" i="34"/>
  <c r="H109" i="34"/>
  <c r="H108" i="34"/>
  <c r="H107" i="34"/>
  <c r="H106" i="34"/>
  <c r="G105" i="34"/>
  <c r="F105" i="34"/>
  <c r="H104" i="34"/>
  <c r="H103" i="34"/>
  <c r="H102" i="34"/>
  <c r="G101" i="34"/>
  <c r="F101" i="34"/>
  <c r="H100" i="34"/>
  <c r="H99" i="34"/>
  <c r="H98" i="34"/>
  <c r="H97" i="34"/>
  <c r="H96" i="34"/>
  <c r="H95" i="34"/>
  <c r="H94" i="34"/>
  <c r="H93" i="34"/>
  <c r="H92" i="34"/>
  <c r="H90" i="34"/>
  <c r="G89" i="34"/>
  <c r="G88" i="34" s="1"/>
  <c r="F89" i="34"/>
  <c r="F88" i="34" s="1"/>
  <c r="H84" i="34"/>
  <c r="H83" i="34"/>
  <c r="H81" i="34"/>
  <c r="H80" i="34"/>
  <c r="G79" i="34"/>
  <c r="G75" i="34" s="1"/>
  <c r="G74" i="34" s="1"/>
  <c r="F79" i="34"/>
  <c r="H78" i="34"/>
  <c r="H77" i="34"/>
  <c r="H76" i="34"/>
  <c r="H71" i="34"/>
  <c r="G70" i="34"/>
  <c r="F70" i="34"/>
  <c r="H69" i="34"/>
  <c r="H68" i="34"/>
  <c r="G67" i="34"/>
  <c r="F67" i="34"/>
  <c r="H66" i="34"/>
  <c r="H65" i="34"/>
  <c r="H64" i="34"/>
  <c r="H63" i="34"/>
  <c r="H62" i="34"/>
  <c r="G61" i="34"/>
  <c r="F61" i="34"/>
  <c r="H60" i="34"/>
  <c r="H59" i="34"/>
  <c r="H58" i="34"/>
  <c r="H57" i="34"/>
  <c r="H56" i="34"/>
  <c r="H55" i="34"/>
  <c r="H54" i="34"/>
  <c r="H53" i="34"/>
  <c r="H52" i="34"/>
  <c r="H51" i="34"/>
  <c r="H50" i="34"/>
  <c r="G49" i="34"/>
  <c r="G45" i="34" s="1"/>
  <c r="F49" i="34"/>
  <c r="H48" i="34"/>
  <c r="H47" i="34"/>
  <c r="H46" i="34"/>
  <c r="F45" i="34"/>
  <c r="H44" i="34"/>
  <c r="H43" i="34"/>
  <c r="H42" i="34"/>
  <c r="H41" i="34"/>
  <c r="H40" i="34"/>
  <c r="H39" i="34"/>
  <c r="G38" i="34"/>
  <c r="F38" i="34"/>
  <c r="H37" i="34"/>
  <c r="H36" i="34"/>
  <c r="H35" i="34"/>
  <c r="G34" i="34"/>
  <c r="F34" i="34"/>
  <c r="H33" i="34"/>
  <c r="H32" i="34"/>
  <c r="G31" i="34"/>
  <c r="G30" i="34" s="1"/>
  <c r="F31" i="34"/>
  <c r="F30" i="34" s="1"/>
  <c r="H29" i="34"/>
  <c r="H28" i="34"/>
  <c r="H27" i="34"/>
  <c r="G26" i="34"/>
  <c r="F26" i="34"/>
  <c r="H24" i="34"/>
  <c r="H23" i="34"/>
  <c r="G22" i="34"/>
  <c r="F22" i="34"/>
  <c r="H21" i="34"/>
  <c r="H20" i="34"/>
  <c r="H19" i="34"/>
  <c r="H18" i="34"/>
  <c r="H17" i="34"/>
  <c r="H16" i="34"/>
  <c r="H15" i="34"/>
  <c r="H14" i="34"/>
  <c r="H13" i="34"/>
  <c r="H12" i="34"/>
  <c r="H11" i="34"/>
  <c r="G10" i="34"/>
  <c r="F10" i="34"/>
  <c r="G9" i="34"/>
  <c r="H150" i="50"/>
  <c r="H149" i="50"/>
  <c r="H148" i="50"/>
  <c r="H147" i="50"/>
  <c r="H145" i="50"/>
  <c r="H144" i="50"/>
  <c r="G143" i="50"/>
  <c r="F143" i="50"/>
  <c r="H141" i="50"/>
  <c r="H140" i="50"/>
  <c r="H139" i="50"/>
  <c r="H138" i="50"/>
  <c r="H137" i="50"/>
  <c r="H136" i="50"/>
  <c r="H135" i="50"/>
  <c r="G134" i="50"/>
  <c r="G128" i="50" s="1"/>
  <c r="F134" i="50"/>
  <c r="H133" i="50"/>
  <c r="H132" i="50"/>
  <c r="H131" i="50"/>
  <c r="H130" i="50"/>
  <c r="H129" i="50"/>
  <c r="H127" i="50"/>
  <c r="H126" i="50"/>
  <c r="H125" i="50"/>
  <c r="H124" i="50"/>
  <c r="G123" i="50"/>
  <c r="F123" i="50"/>
  <c r="H122" i="50"/>
  <c r="H121" i="50"/>
  <c r="H120" i="50"/>
  <c r="H119" i="50"/>
  <c r="H118" i="50"/>
  <c r="H117" i="50"/>
  <c r="H116" i="50"/>
  <c r="H115" i="50"/>
  <c r="G114" i="50"/>
  <c r="F114" i="50"/>
  <c r="F111" i="50" s="1"/>
  <c r="H113" i="50"/>
  <c r="H112" i="50"/>
  <c r="G111" i="50"/>
  <c r="H110" i="50"/>
  <c r="H109" i="50"/>
  <c r="H108" i="50"/>
  <c r="H107" i="50"/>
  <c r="H106" i="50"/>
  <c r="G105" i="50"/>
  <c r="F105" i="50"/>
  <c r="H104" i="50"/>
  <c r="H103" i="50"/>
  <c r="H102" i="50"/>
  <c r="G101" i="50"/>
  <c r="F101" i="50"/>
  <c r="H100" i="50"/>
  <c r="H99" i="50"/>
  <c r="H98" i="50"/>
  <c r="H97" i="50"/>
  <c r="H96" i="50"/>
  <c r="H95" i="50"/>
  <c r="H94" i="50"/>
  <c r="H93" i="50"/>
  <c r="H92" i="50"/>
  <c r="H90" i="50"/>
  <c r="G89" i="50"/>
  <c r="G88" i="50" s="1"/>
  <c r="F89" i="50"/>
  <c r="F88" i="50" s="1"/>
  <c r="H84" i="50"/>
  <c r="H83" i="50"/>
  <c r="H81" i="50"/>
  <c r="H80" i="50"/>
  <c r="G79" i="50"/>
  <c r="G75" i="50" s="1"/>
  <c r="G74" i="50" s="1"/>
  <c r="F79" i="50"/>
  <c r="H78" i="50"/>
  <c r="H77" i="50"/>
  <c r="H76" i="50"/>
  <c r="F75" i="50"/>
  <c r="H71" i="50"/>
  <c r="G70" i="50"/>
  <c r="F70" i="50"/>
  <c r="H69" i="50"/>
  <c r="H68" i="50"/>
  <c r="G67" i="50"/>
  <c r="F67" i="50"/>
  <c r="H66" i="50"/>
  <c r="H65" i="50"/>
  <c r="H64" i="50"/>
  <c r="H63" i="50"/>
  <c r="H62" i="50"/>
  <c r="G61" i="50"/>
  <c r="F61" i="50"/>
  <c r="H60" i="50"/>
  <c r="H59" i="50"/>
  <c r="H58" i="50"/>
  <c r="H57" i="50"/>
  <c r="H56" i="50"/>
  <c r="H55" i="50"/>
  <c r="H54" i="50"/>
  <c r="H53" i="50"/>
  <c r="H52" i="50"/>
  <c r="H51" i="50"/>
  <c r="H50" i="50"/>
  <c r="G49" i="50"/>
  <c r="G45" i="50" s="1"/>
  <c r="F49" i="50"/>
  <c r="H48" i="50"/>
  <c r="H47" i="50"/>
  <c r="H46" i="50"/>
  <c r="H44" i="50"/>
  <c r="H43" i="50"/>
  <c r="H42" i="50"/>
  <c r="H41" i="50"/>
  <c r="H40" i="50"/>
  <c r="H39" i="50"/>
  <c r="G38" i="50"/>
  <c r="F38" i="50"/>
  <c r="H37" i="50"/>
  <c r="H36" i="50"/>
  <c r="H35" i="50"/>
  <c r="G34" i="50"/>
  <c r="F34" i="50"/>
  <c r="H33" i="50"/>
  <c r="H32" i="50"/>
  <c r="G31" i="50"/>
  <c r="F31" i="50"/>
  <c r="F30" i="50" s="1"/>
  <c r="G30" i="50"/>
  <c r="H29" i="50"/>
  <c r="H28" i="50"/>
  <c r="H27" i="50"/>
  <c r="G26" i="50"/>
  <c r="F26" i="50"/>
  <c r="H24" i="50"/>
  <c r="H23" i="50"/>
  <c r="G22" i="50"/>
  <c r="F22" i="50"/>
  <c r="H21" i="50"/>
  <c r="H20" i="50"/>
  <c r="H19" i="50"/>
  <c r="H18" i="50"/>
  <c r="H17" i="50"/>
  <c r="H16" i="50"/>
  <c r="H15" i="50"/>
  <c r="H14" i="50"/>
  <c r="H13" i="50"/>
  <c r="H12" i="50"/>
  <c r="H11" i="50"/>
  <c r="G10" i="50"/>
  <c r="G9" i="50" s="1"/>
  <c r="F10" i="50"/>
  <c r="F9" i="50" s="1"/>
  <c r="H150" i="35"/>
  <c r="H149" i="35"/>
  <c r="H148" i="35"/>
  <c r="H147" i="35"/>
  <c r="H145" i="35"/>
  <c r="H144" i="35"/>
  <c r="G143" i="35"/>
  <c r="F143" i="35"/>
  <c r="H141" i="35"/>
  <c r="H140" i="35"/>
  <c r="H139" i="35"/>
  <c r="H138" i="35"/>
  <c r="H137" i="35"/>
  <c r="H136" i="35"/>
  <c r="H135" i="35"/>
  <c r="G134" i="35"/>
  <c r="G128" i="35" s="1"/>
  <c r="F134" i="35"/>
  <c r="H133" i="35"/>
  <c r="H132" i="35"/>
  <c r="H131" i="35"/>
  <c r="H130" i="35"/>
  <c r="H129" i="35"/>
  <c r="F128" i="35"/>
  <c r="H127" i="35"/>
  <c r="H126" i="35"/>
  <c r="H125" i="35"/>
  <c r="H124" i="35"/>
  <c r="G123" i="35"/>
  <c r="F123" i="35"/>
  <c r="H122" i="35"/>
  <c r="H121" i="35"/>
  <c r="H120" i="35"/>
  <c r="H119" i="35"/>
  <c r="H118" i="35"/>
  <c r="H117" i="35"/>
  <c r="H116" i="35"/>
  <c r="H115" i="35"/>
  <c r="G114" i="35"/>
  <c r="G111" i="35" s="1"/>
  <c r="F114" i="35"/>
  <c r="H113" i="35"/>
  <c r="H112" i="35"/>
  <c r="H110" i="35"/>
  <c r="H109" i="35"/>
  <c r="H108" i="35"/>
  <c r="H107" i="35"/>
  <c r="H106" i="35"/>
  <c r="G105" i="35"/>
  <c r="F105" i="35"/>
  <c r="H104" i="35"/>
  <c r="H103" i="35"/>
  <c r="H102" i="35"/>
  <c r="G101" i="35"/>
  <c r="F101" i="35"/>
  <c r="H100" i="35"/>
  <c r="H99" i="35"/>
  <c r="H98" i="35"/>
  <c r="H97" i="35"/>
  <c r="H96" i="35"/>
  <c r="H95" i="35"/>
  <c r="H94" i="35"/>
  <c r="H93" i="35"/>
  <c r="H92" i="35"/>
  <c r="H90" i="35"/>
  <c r="G89" i="35"/>
  <c r="G88" i="35" s="1"/>
  <c r="F89" i="35"/>
  <c r="F88" i="35" s="1"/>
  <c r="H84" i="35"/>
  <c r="H83" i="35"/>
  <c r="H81" i="35"/>
  <c r="H80" i="35"/>
  <c r="G79" i="35"/>
  <c r="G75" i="35" s="1"/>
  <c r="G74" i="35" s="1"/>
  <c r="F79" i="35"/>
  <c r="H78" i="35"/>
  <c r="H77" i="35"/>
  <c r="H76" i="35"/>
  <c r="H71" i="35"/>
  <c r="G70" i="35"/>
  <c r="F70" i="35"/>
  <c r="H69" i="35"/>
  <c r="H68" i="35"/>
  <c r="G67" i="35"/>
  <c r="F67" i="35"/>
  <c r="H66" i="35"/>
  <c r="H65" i="35"/>
  <c r="H64" i="35"/>
  <c r="H63" i="35"/>
  <c r="H62" i="35"/>
  <c r="G61" i="35"/>
  <c r="F61" i="35"/>
  <c r="H60" i="35"/>
  <c r="H59" i="35"/>
  <c r="H58" i="35"/>
  <c r="H57" i="35"/>
  <c r="H56" i="35"/>
  <c r="H55" i="35"/>
  <c r="H54" i="35"/>
  <c r="H53" i="35"/>
  <c r="H52" i="35"/>
  <c r="H51" i="35"/>
  <c r="H50" i="35"/>
  <c r="G49" i="35"/>
  <c r="G45" i="35" s="1"/>
  <c r="F49" i="35"/>
  <c r="H48" i="35"/>
  <c r="H47" i="35"/>
  <c r="H46" i="35"/>
  <c r="F45" i="35"/>
  <c r="H44" i="35"/>
  <c r="H43" i="35"/>
  <c r="H42" i="35"/>
  <c r="H41" i="35"/>
  <c r="H40" i="35"/>
  <c r="H39" i="35"/>
  <c r="G38" i="35"/>
  <c r="F38" i="35"/>
  <c r="H37" i="35"/>
  <c r="H36" i="35"/>
  <c r="H35" i="35"/>
  <c r="G34" i="35"/>
  <c r="F34" i="35"/>
  <c r="H33" i="35"/>
  <c r="H32" i="35"/>
  <c r="G31" i="35"/>
  <c r="G30" i="35" s="1"/>
  <c r="F31" i="35"/>
  <c r="F30" i="35" s="1"/>
  <c r="H29" i="35"/>
  <c r="H28" i="35"/>
  <c r="H27" i="35"/>
  <c r="G26" i="35"/>
  <c r="F26" i="35"/>
  <c r="H24" i="35"/>
  <c r="H23" i="35"/>
  <c r="G22" i="35"/>
  <c r="F22" i="35"/>
  <c r="H21" i="35"/>
  <c r="H20" i="35"/>
  <c r="H19" i="35"/>
  <c r="H18" i="35"/>
  <c r="H17" i="35"/>
  <c r="H16" i="35"/>
  <c r="H15" i="35"/>
  <c r="H14" i="35"/>
  <c r="H13" i="35"/>
  <c r="H12" i="35"/>
  <c r="H11" i="35"/>
  <c r="G10" i="35"/>
  <c r="F10" i="35"/>
  <c r="G9" i="35"/>
  <c r="H150" i="36"/>
  <c r="H149" i="36"/>
  <c r="H148" i="36"/>
  <c r="H147" i="36"/>
  <c r="H145" i="36"/>
  <c r="H144" i="36"/>
  <c r="G143" i="36"/>
  <c r="F143" i="36"/>
  <c r="H141" i="36"/>
  <c r="H140" i="36"/>
  <c r="H139" i="36"/>
  <c r="H138" i="36"/>
  <c r="H137" i="36"/>
  <c r="H136" i="36"/>
  <c r="H135" i="36"/>
  <c r="G134" i="36"/>
  <c r="G128" i="36" s="1"/>
  <c r="F134" i="36"/>
  <c r="H133" i="36"/>
  <c r="H132" i="36"/>
  <c r="H131" i="36"/>
  <c r="H130" i="36"/>
  <c r="H129" i="36"/>
  <c r="H127" i="36"/>
  <c r="H126" i="36"/>
  <c r="H125" i="36"/>
  <c r="F124" i="36"/>
  <c r="H124" i="36" s="1"/>
  <c r="G123" i="36"/>
  <c r="H122" i="36"/>
  <c r="H121" i="36"/>
  <c r="H120" i="36"/>
  <c r="H119" i="36"/>
  <c r="H118" i="36"/>
  <c r="H117" i="36"/>
  <c r="H116" i="36"/>
  <c r="F115" i="36"/>
  <c r="H115" i="36" s="1"/>
  <c r="G114" i="36"/>
  <c r="F114" i="36"/>
  <c r="H113" i="36"/>
  <c r="H112" i="36"/>
  <c r="H110" i="36"/>
  <c r="H109" i="36"/>
  <c r="H108" i="36"/>
  <c r="H107" i="36"/>
  <c r="H106" i="36"/>
  <c r="G105" i="36"/>
  <c r="F105" i="36"/>
  <c r="H104" i="36"/>
  <c r="H103" i="36"/>
  <c r="H102" i="36"/>
  <c r="G101" i="36"/>
  <c r="F101" i="36"/>
  <c r="H100" i="36"/>
  <c r="H99" i="36"/>
  <c r="H98" i="36"/>
  <c r="H97" i="36"/>
  <c r="H96" i="36"/>
  <c r="H95" i="36"/>
  <c r="H94" i="36"/>
  <c r="H93" i="36"/>
  <c r="H92" i="36"/>
  <c r="H90" i="36"/>
  <c r="G89" i="36"/>
  <c r="G88" i="36" s="1"/>
  <c r="H84" i="36"/>
  <c r="H83" i="36"/>
  <c r="H81" i="36"/>
  <c r="H80" i="36"/>
  <c r="G79" i="36"/>
  <c r="G75" i="36" s="1"/>
  <c r="G74" i="36" s="1"/>
  <c r="F79" i="36"/>
  <c r="H78" i="36"/>
  <c r="H77" i="36"/>
  <c r="H76" i="36"/>
  <c r="F75" i="36"/>
  <c r="F74" i="36" s="1"/>
  <c r="H71" i="36"/>
  <c r="G70" i="36"/>
  <c r="F70" i="36"/>
  <c r="H69" i="36"/>
  <c r="H68" i="36"/>
  <c r="G67" i="36"/>
  <c r="F67" i="36"/>
  <c r="H66" i="36"/>
  <c r="H65" i="36"/>
  <c r="H64" i="36"/>
  <c r="H63" i="36"/>
  <c r="H62" i="36"/>
  <c r="G61" i="36"/>
  <c r="F61" i="36"/>
  <c r="H60" i="36"/>
  <c r="H59" i="36"/>
  <c r="H58" i="36"/>
  <c r="H57" i="36"/>
  <c r="H56" i="36"/>
  <c r="H55" i="36"/>
  <c r="H54" i="36"/>
  <c r="H53" i="36"/>
  <c r="H52" i="36"/>
  <c r="H51" i="36"/>
  <c r="H50" i="36"/>
  <c r="G49" i="36"/>
  <c r="G45" i="36" s="1"/>
  <c r="F49" i="36"/>
  <c r="H48" i="36"/>
  <c r="H47" i="36"/>
  <c r="H46" i="36"/>
  <c r="H44" i="36"/>
  <c r="H43" i="36"/>
  <c r="H42" i="36"/>
  <c r="H41" i="36"/>
  <c r="H40" i="36"/>
  <c r="H39" i="36"/>
  <c r="G38" i="36"/>
  <c r="F38" i="36"/>
  <c r="H37" i="36"/>
  <c r="H36" i="36"/>
  <c r="H35" i="36"/>
  <c r="G34" i="36"/>
  <c r="F34" i="36"/>
  <c r="H33" i="36"/>
  <c r="H32" i="36"/>
  <c r="G31" i="36"/>
  <c r="G30" i="36" s="1"/>
  <c r="F31" i="36"/>
  <c r="H29" i="36"/>
  <c r="H28" i="36"/>
  <c r="H27" i="36"/>
  <c r="G26" i="36"/>
  <c r="F26" i="36"/>
  <c r="H24" i="36"/>
  <c r="H23" i="36"/>
  <c r="G22" i="36"/>
  <c r="F22" i="36"/>
  <c r="H21" i="36"/>
  <c r="H20" i="36"/>
  <c r="H19" i="36"/>
  <c r="H18" i="36"/>
  <c r="H17" i="36"/>
  <c r="H16" i="36"/>
  <c r="H15" i="36"/>
  <c r="H14" i="36"/>
  <c r="H13" i="36"/>
  <c r="H12" i="36"/>
  <c r="H11" i="36"/>
  <c r="G10" i="36"/>
  <c r="F10" i="36"/>
  <c r="F9" i="36" s="1"/>
  <c r="G9" i="36"/>
  <c r="H150" i="37"/>
  <c r="H149" i="37"/>
  <c r="H148" i="37"/>
  <c r="H147" i="37"/>
  <c r="H145" i="37"/>
  <c r="H144" i="37"/>
  <c r="G143" i="37"/>
  <c r="F143" i="37"/>
  <c r="H141" i="37"/>
  <c r="H140" i="37"/>
  <c r="H139" i="37"/>
  <c r="H138" i="37"/>
  <c r="H137" i="37"/>
  <c r="H136" i="37"/>
  <c r="H135" i="37"/>
  <c r="G134" i="37"/>
  <c r="G128" i="37" s="1"/>
  <c r="F134" i="37"/>
  <c r="H133" i="37"/>
  <c r="H132" i="37"/>
  <c r="H131" i="37"/>
  <c r="H130" i="37"/>
  <c r="H129" i="37"/>
  <c r="F128" i="37"/>
  <c r="H127" i="37"/>
  <c r="H126" i="37"/>
  <c r="H125" i="37"/>
  <c r="H124" i="37"/>
  <c r="G123" i="37"/>
  <c r="F123" i="37"/>
  <c r="H122" i="37"/>
  <c r="H121" i="37"/>
  <c r="F120" i="37"/>
  <c r="H120" i="37" s="1"/>
  <c r="H119" i="37"/>
  <c r="H118" i="37"/>
  <c r="H117" i="37"/>
  <c r="H116" i="37"/>
  <c r="H115" i="37"/>
  <c r="G114" i="37"/>
  <c r="H113" i="37"/>
  <c r="H112" i="37"/>
  <c r="F111" i="37"/>
  <c r="H110" i="37"/>
  <c r="H109" i="37"/>
  <c r="H108" i="37"/>
  <c r="H107" i="37"/>
  <c r="H106" i="37"/>
  <c r="G105" i="37"/>
  <c r="F105" i="37"/>
  <c r="H104" i="37"/>
  <c r="H103" i="37"/>
  <c r="H102" i="37"/>
  <c r="G101" i="37"/>
  <c r="F101" i="37"/>
  <c r="H100" i="37"/>
  <c r="H99" i="37"/>
  <c r="H98" i="37"/>
  <c r="H97" i="37"/>
  <c r="H96" i="37"/>
  <c r="H95" i="37"/>
  <c r="H94" i="37"/>
  <c r="H93" i="37"/>
  <c r="H92" i="37"/>
  <c r="H90" i="37"/>
  <c r="G89" i="37"/>
  <c r="G88" i="37" s="1"/>
  <c r="F89" i="37"/>
  <c r="F88" i="37" s="1"/>
  <c r="H84" i="37"/>
  <c r="H83" i="37"/>
  <c r="H81" i="37"/>
  <c r="H80" i="37"/>
  <c r="G79" i="37"/>
  <c r="G75" i="37" s="1"/>
  <c r="G74" i="37" s="1"/>
  <c r="F79" i="37"/>
  <c r="H78" i="37"/>
  <c r="H77" i="37"/>
  <c r="H76" i="37"/>
  <c r="F75" i="37"/>
  <c r="H71" i="37"/>
  <c r="G70" i="37"/>
  <c r="F70" i="37"/>
  <c r="H69" i="37"/>
  <c r="H68" i="37"/>
  <c r="G67" i="37"/>
  <c r="F67" i="37"/>
  <c r="H66" i="37"/>
  <c r="H65" i="37"/>
  <c r="H64" i="37"/>
  <c r="H63" i="37"/>
  <c r="H62" i="37"/>
  <c r="G61" i="37"/>
  <c r="F61" i="37"/>
  <c r="H60" i="37"/>
  <c r="H59" i="37"/>
  <c r="H58" i="37"/>
  <c r="H57" i="37"/>
  <c r="H56" i="37"/>
  <c r="H55" i="37"/>
  <c r="H54" i="37"/>
  <c r="H53" i="37"/>
  <c r="H52" i="37"/>
  <c r="H51" i="37"/>
  <c r="H50" i="37"/>
  <c r="G49" i="37"/>
  <c r="G45" i="37" s="1"/>
  <c r="F49" i="37"/>
  <c r="H48" i="37"/>
  <c r="H47" i="37"/>
  <c r="H46" i="37"/>
  <c r="H44" i="37"/>
  <c r="H43" i="37"/>
  <c r="H42" i="37"/>
  <c r="H41" i="37"/>
  <c r="H40" i="37"/>
  <c r="H39" i="37"/>
  <c r="G38" i="37"/>
  <c r="F38" i="37"/>
  <c r="H37" i="37"/>
  <c r="H36" i="37"/>
  <c r="H35" i="37"/>
  <c r="G34" i="37"/>
  <c r="F34" i="37"/>
  <c r="H33" i="37"/>
  <c r="H32" i="37"/>
  <c r="G31" i="37"/>
  <c r="F31" i="37"/>
  <c r="F30" i="37" s="1"/>
  <c r="G30" i="37"/>
  <c r="H29" i="37"/>
  <c r="H28" i="37"/>
  <c r="H27" i="37"/>
  <c r="G26" i="37"/>
  <c r="F26" i="37"/>
  <c r="H24" i="37"/>
  <c r="H23" i="37"/>
  <c r="G22" i="37"/>
  <c r="F22" i="37"/>
  <c r="H21" i="37"/>
  <c r="H20" i="37"/>
  <c r="H19" i="37"/>
  <c r="H18" i="37"/>
  <c r="H17" i="37"/>
  <c r="H16" i="37"/>
  <c r="H15" i="37"/>
  <c r="H14" i="37"/>
  <c r="H13" i="37"/>
  <c r="H12" i="37"/>
  <c r="H11" i="37"/>
  <c r="G10" i="37"/>
  <c r="G9" i="37" s="1"/>
  <c r="F10" i="37"/>
  <c r="F9" i="37" s="1"/>
  <c r="H150" i="26"/>
  <c r="H149" i="26"/>
  <c r="H148" i="26"/>
  <c r="H147" i="26"/>
  <c r="H145" i="26"/>
  <c r="H144" i="26"/>
  <c r="G143" i="26"/>
  <c r="F143" i="26"/>
  <c r="H141" i="26"/>
  <c r="H140" i="26"/>
  <c r="H139" i="26"/>
  <c r="H138" i="26"/>
  <c r="H137" i="26"/>
  <c r="H136" i="26"/>
  <c r="H135" i="26"/>
  <c r="G134" i="26"/>
  <c r="G128" i="26" s="1"/>
  <c r="F134" i="26"/>
  <c r="H133" i="26"/>
  <c r="H132" i="26"/>
  <c r="H131" i="26"/>
  <c r="H130" i="26"/>
  <c r="H129" i="26"/>
  <c r="F128" i="26"/>
  <c r="H127" i="26"/>
  <c r="H126" i="26"/>
  <c r="H125" i="26"/>
  <c r="F124" i="26"/>
  <c r="H124" i="26" s="1"/>
  <c r="G123" i="26"/>
  <c r="F123" i="26"/>
  <c r="H122" i="26"/>
  <c r="H121" i="26"/>
  <c r="F120" i="26"/>
  <c r="H119" i="26"/>
  <c r="H118" i="26"/>
  <c r="H117" i="26"/>
  <c r="H116" i="26"/>
  <c r="F115" i="26"/>
  <c r="H115" i="26" s="1"/>
  <c r="G114" i="26"/>
  <c r="G111" i="26" s="1"/>
  <c r="H113" i="26"/>
  <c r="H112" i="26"/>
  <c r="H110" i="26"/>
  <c r="H109" i="26"/>
  <c r="H108" i="26"/>
  <c r="H107" i="26"/>
  <c r="H106" i="26"/>
  <c r="G105" i="26"/>
  <c r="F105" i="26"/>
  <c r="H104" i="26"/>
  <c r="H103" i="26"/>
  <c r="H102" i="26"/>
  <c r="G101" i="26"/>
  <c r="F101" i="26"/>
  <c r="H100" i="26"/>
  <c r="H99" i="26"/>
  <c r="H98" i="26"/>
  <c r="H97" i="26"/>
  <c r="H96" i="26"/>
  <c r="H95" i="26"/>
  <c r="H94" i="26"/>
  <c r="H93" i="26"/>
  <c r="H92" i="26"/>
  <c r="H90" i="26"/>
  <c r="G89" i="26"/>
  <c r="G88" i="26" s="1"/>
  <c r="F89" i="26"/>
  <c r="H84" i="26"/>
  <c r="H83" i="26"/>
  <c r="H81" i="26"/>
  <c r="H80" i="26"/>
  <c r="G79" i="26"/>
  <c r="G75" i="26" s="1"/>
  <c r="G74" i="26" s="1"/>
  <c r="F79" i="26"/>
  <c r="H78" i="26"/>
  <c r="H77" i="26"/>
  <c r="H76" i="26"/>
  <c r="H71" i="26"/>
  <c r="G70" i="26"/>
  <c r="F70" i="26"/>
  <c r="H69" i="26"/>
  <c r="H68" i="26"/>
  <c r="G67" i="26"/>
  <c r="F67" i="26"/>
  <c r="H66" i="26"/>
  <c r="H65" i="26"/>
  <c r="H64" i="26"/>
  <c r="H63" i="26"/>
  <c r="H62" i="26"/>
  <c r="G61" i="26"/>
  <c r="F61" i="26"/>
  <c r="H60" i="26"/>
  <c r="H59" i="26"/>
  <c r="H58" i="26"/>
  <c r="H57" i="26"/>
  <c r="H56" i="26"/>
  <c r="H55" i="26"/>
  <c r="H54" i="26"/>
  <c r="H53" i="26"/>
  <c r="H52" i="26"/>
  <c r="H51" i="26"/>
  <c r="H50" i="26"/>
  <c r="G49" i="26"/>
  <c r="G45" i="26" s="1"/>
  <c r="F49" i="26"/>
  <c r="H48" i="26"/>
  <c r="H47" i="26"/>
  <c r="H46" i="26"/>
  <c r="F45" i="26"/>
  <c r="H44" i="26"/>
  <c r="H43" i="26"/>
  <c r="H42" i="26"/>
  <c r="H41" i="26"/>
  <c r="H40" i="26"/>
  <c r="H39" i="26"/>
  <c r="G38" i="26"/>
  <c r="F38" i="26"/>
  <c r="H37" i="26"/>
  <c r="H36" i="26"/>
  <c r="H35" i="26"/>
  <c r="G34" i="26"/>
  <c r="F34" i="26"/>
  <c r="H33" i="26"/>
  <c r="H32" i="26"/>
  <c r="G31" i="26"/>
  <c r="G30" i="26" s="1"/>
  <c r="F31" i="26"/>
  <c r="F30" i="26" s="1"/>
  <c r="H29" i="26"/>
  <c r="H28" i="26"/>
  <c r="H27" i="26"/>
  <c r="G26" i="26"/>
  <c r="F26" i="26"/>
  <c r="H24" i="26"/>
  <c r="H23" i="26"/>
  <c r="G22" i="26"/>
  <c r="F22" i="26"/>
  <c r="H21" i="26"/>
  <c r="H20" i="26"/>
  <c r="H19" i="26"/>
  <c r="H18" i="26"/>
  <c r="H17" i="26"/>
  <c r="H16" i="26"/>
  <c r="H15" i="26"/>
  <c r="H14" i="26"/>
  <c r="H13" i="26"/>
  <c r="H12" i="26"/>
  <c r="H11" i="26"/>
  <c r="G10" i="26"/>
  <c r="F10" i="26"/>
  <c r="F9" i="26" s="1"/>
  <c r="G9" i="26"/>
  <c r="H150" i="27"/>
  <c r="H149" i="27"/>
  <c r="H148" i="27"/>
  <c r="H147" i="27"/>
  <c r="H145" i="27"/>
  <c r="H144" i="27"/>
  <c r="G143" i="27"/>
  <c r="F143" i="27"/>
  <c r="H141" i="27"/>
  <c r="H140" i="27"/>
  <c r="H139" i="27"/>
  <c r="H138" i="27"/>
  <c r="H137" i="27"/>
  <c r="H136" i="27"/>
  <c r="H135" i="27"/>
  <c r="G134" i="27"/>
  <c r="G128" i="27" s="1"/>
  <c r="F134" i="27"/>
  <c r="H133" i="27"/>
  <c r="H132" i="27"/>
  <c r="H131" i="27"/>
  <c r="H130" i="27"/>
  <c r="H129" i="27"/>
  <c r="H127" i="27"/>
  <c r="H126" i="27"/>
  <c r="H125" i="27"/>
  <c r="F124" i="27"/>
  <c r="H124" i="27" s="1"/>
  <c r="G123" i="27"/>
  <c r="H122" i="27"/>
  <c r="H121" i="27"/>
  <c r="H120" i="27"/>
  <c r="H119" i="27"/>
  <c r="H118" i="27"/>
  <c r="H117" i="27"/>
  <c r="H116" i="27"/>
  <c r="F115" i="27"/>
  <c r="H115" i="27" s="1"/>
  <c r="G114" i="27"/>
  <c r="H113" i="27"/>
  <c r="H112" i="27"/>
  <c r="H110" i="27"/>
  <c r="H109" i="27"/>
  <c r="H108" i="27"/>
  <c r="H107" i="27"/>
  <c r="H106" i="27"/>
  <c r="G105" i="27"/>
  <c r="F105" i="27"/>
  <c r="H104" i="27"/>
  <c r="H103" i="27"/>
  <c r="H102" i="27"/>
  <c r="G101" i="27"/>
  <c r="F101" i="27"/>
  <c r="H100" i="27"/>
  <c r="H99" i="27"/>
  <c r="H98" i="27"/>
  <c r="H97" i="27"/>
  <c r="H96" i="27"/>
  <c r="H95" i="27"/>
  <c r="H94" i="27"/>
  <c r="H93" i="27"/>
  <c r="H92" i="27"/>
  <c r="H90" i="27"/>
  <c r="G89" i="27"/>
  <c r="G88" i="27" s="1"/>
  <c r="F89" i="27"/>
  <c r="F88" i="27" s="1"/>
  <c r="H84" i="27"/>
  <c r="H83" i="27"/>
  <c r="H81" i="27"/>
  <c r="H80" i="27"/>
  <c r="G79" i="27"/>
  <c r="G75" i="27" s="1"/>
  <c r="G74" i="27" s="1"/>
  <c r="F79" i="27"/>
  <c r="H78" i="27"/>
  <c r="H77" i="27"/>
  <c r="H76" i="27"/>
  <c r="H71" i="27"/>
  <c r="G70" i="27"/>
  <c r="F70" i="27"/>
  <c r="H69" i="27"/>
  <c r="H68" i="27"/>
  <c r="G67" i="27"/>
  <c r="F67" i="27"/>
  <c r="H66" i="27"/>
  <c r="H65" i="27"/>
  <c r="H64" i="27"/>
  <c r="H63" i="27"/>
  <c r="H62" i="27"/>
  <c r="G61" i="27"/>
  <c r="F61" i="27"/>
  <c r="H60" i="27"/>
  <c r="H59" i="27"/>
  <c r="H58" i="27"/>
  <c r="H57" i="27"/>
  <c r="H56" i="27"/>
  <c r="H55" i="27"/>
  <c r="H54" i="27"/>
  <c r="H53" i="27"/>
  <c r="H52" i="27"/>
  <c r="H51" i="27"/>
  <c r="H50" i="27"/>
  <c r="G49" i="27"/>
  <c r="G45" i="27" s="1"/>
  <c r="F49" i="27"/>
  <c r="H48" i="27"/>
  <c r="H47" i="27"/>
  <c r="H46" i="27"/>
  <c r="F45" i="27"/>
  <c r="H44" i="27"/>
  <c r="H43" i="27"/>
  <c r="H42" i="27"/>
  <c r="H41" i="27"/>
  <c r="H40" i="27"/>
  <c r="H39" i="27"/>
  <c r="G38" i="27"/>
  <c r="F38" i="27"/>
  <c r="H37" i="27"/>
  <c r="H36" i="27"/>
  <c r="H35" i="27"/>
  <c r="G34" i="27"/>
  <c r="F34" i="27"/>
  <c r="H33" i="27"/>
  <c r="H32" i="27"/>
  <c r="G31" i="27"/>
  <c r="G30" i="27" s="1"/>
  <c r="F31" i="27"/>
  <c r="F30" i="27" s="1"/>
  <c r="H29" i="27"/>
  <c r="H28" i="27"/>
  <c r="H27" i="27"/>
  <c r="G26" i="27"/>
  <c r="F26" i="27"/>
  <c r="H24" i="27"/>
  <c r="H23" i="27"/>
  <c r="G22" i="27"/>
  <c r="F22" i="27"/>
  <c r="H21" i="27"/>
  <c r="H20" i="27"/>
  <c r="H19" i="27"/>
  <c r="H18" i="27"/>
  <c r="H17" i="27"/>
  <c r="H16" i="27"/>
  <c r="H15" i="27"/>
  <c r="H14" i="27"/>
  <c r="H13" i="27"/>
  <c r="H12" i="27"/>
  <c r="H11" i="27"/>
  <c r="G10" i="27"/>
  <c r="F10" i="27"/>
  <c r="G9" i="27"/>
  <c r="H150" i="28"/>
  <c r="H149" i="28"/>
  <c r="H148" i="28"/>
  <c r="H147" i="28"/>
  <c r="H145" i="28"/>
  <c r="H144" i="28"/>
  <c r="G143" i="28"/>
  <c r="F143" i="28"/>
  <c r="H141" i="28"/>
  <c r="H140" i="28"/>
  <c r="H139" i="28"/>
  <c r="H138" i="28"/>
  <c r="H137" i="28"/>
  <c r="H136" i="28"/>
  <c r="H135" i="28"/>
  <c r="G134" i="28"/>
  <c r="G128" i="28" s="1"/>
  <c r="F134" i="28"/>
  <c r="H133" i="28"/>
  <c r="H132" i="28"/>
  <c r="H131" i="28"/>
  <c r="H130" i="28"/>
  <c r="H129" i="28"/>
  <c r="H127" i="28"/>
  <c r="H126" i="28"/>
  <c r="H125" i="28"/>
  <c r="F124" i="28"/>
  <c r="H124" i="28" s="1"/>
  <c r="G123" i="28"/>
  <c r="H122" i="28"/>
  <c r="F121" i="28"/>
  <c r="H121" i="28" s="1"/>
  <c r="H120" i="28"/>
  <c r="H119" i="28"/>
  <c r="H118" i="28"/>
  <c r="H117" i="28"/>
  <c r="H116" i="28"/>
  <c r="F115" i="28"/>
  <c r="H115" i="28" s="1"/>
  <c r="G114" i="28"/>
  <c r="H113" i="28"/>
  <c r="H112" i="28"/>
  <c r="H110" i="28"/>
  <c r="H109" i="28"/>
  <c r="H108" i="28"/>
  <c r="H107" i="28"/>
  <c r="H106" i="28"/>
  <c r="G105" i="28"/>
  <c r="F105" i="28"/>
  <c r="H104" i="28"/>
  <c r="H103" i="28"/>
  <c r="H102" i="28"/>
  <c r="G101" i="28"/>
  <c r="F101" i="28"/>
  <c r="H100" i="28"/>
  <c r="H99" i="28"/>
  <c r="H98" i="28"/>
  <c r="H97" i="28"/>
  <c r="H96" i="28"/>
  <c r="H95" i="28"/>
  <c r="H94" i="28"/>
  <c r="H93" i="28"/>
  <c r="H92" i="28"/>
  <c r="H90" i="28"/>
  <c r="G89" i="28"/>
  <c r="G88" i="28" s="1"/>
  <c r="F89" i="28"/>
  <c r="H84" i="28"/>
  <c r="H83" i="28"/>
  <c r="H81" i="28"/>
  <c r="H80" i="28"/>
  <c r="G79" i="28"/>
  <c r="G75" i="28" s="1"/>
  <c r="G74" i="28" s="1"/>
  <c r="F79" i="28"/>
  <c r="H78" i="28"/>
  <c r="H77" i="28"/>
  <c r="H76" i="28"/>
  <c r="F75" i="28"/>
  <c r="F74" i="28" s="1"/>
  <c r="H71" i="28"/>
  <c r="G70" i="28"/>
  <c r="F70" i="28"/>
  <c r="H69" i="28"/>
  <c r="H68" i="28"/>
  <c r="G67" i="28"/>
  <c r="F67" i="28"/>
  <c r="H66" i="28"/>
  <c r="H65" i="28"/>
  <c r="H64" i="28"/>
  <c r="H63" i="28"/>
  <c r="H62" i="28"/>
  <c r="G61" i="28"/>
  <c r="F61" i="28"/>
  <c r="H60" i="28"/>
  <c r="H59" i="28"/>
  <c r="H58" i="28"/>
  <c r="H57" i="28"/>
  <c r="H56" i="28"/>
  <c r="F55" i="28"/>
  <c r="H55" i="28" s="1"/>
  <c r="H54" i="28"/>
  <c r="H53" i="28"/>
  <c r="H52" i="28"/>
  <c r="H51" i="28"/>
  <c r="H50" i="28"/>
  <c r="G49" i="28"/>
  <c r="G45" i="28" s="1"/>
  <c r="F49" i="28"/>
  <c r="H48" i="28"/>
  <c r="F47" i="28"/>
  <c r="H47" i="28" s="1"/>
  <c r="H46" i="28"/>
  <c r="H44" i="28"/>
  <c r="H43" i="28"/>
  <c r="H42" i="28"/>
  <c r="H41" i="28"/>
  <c r="H40" i="28"/>
  <c r="H39" i="28"/>
  <c r="G38" i="28"/>
  <c r="F38" i="28"/>
  <c r="H37" i="28"/>
  <c r="H36" i="28"/>
  <c r="H35" i="28"/>
  <c r="G34" i="28"/>
  <c r="F34" i="28"/>
  <c r="H33" i="28"/>
  <c r="H32" i="28"/>
  <c r="G31" i="28"/>
  <c r="G30" i="28" s="1"/>
  <c r="F31" i="28"/>
  <c r="H29" i="28"/>
  <c r="H28" i="28"/>
  <c r="H27" i="28"/>
  <c r="G26" i="28"/>
  <c r="F26" i="28"/>
  <c r="H24" i="28"/>
  <c r="H23" i="28"/>
  <c r="G22" i="28"/>
  <c r="F22" i="28"/>
  <c r="H21" i="28"/>
  <c r="H20" i="28"/>
  <c r="H19" i="28"/>
  <c r="H18" i="28"/>
  <c r="H17" i="28"/>
  <c r="H16" i="28"/>
  <c r="H15" i="28"/>
  <c r="H14" i="28"/>
  <c r="H13" i="28"/>
  <c r="H12" i="28"/>
  <c r="H11" i="28"/>
  <c r="G10" i="28"/>
  <c r="F10" i="28"/>
  <c r="F9" i="28" s="1"/>
  <c r="G9" i="28"/>
  <c r="H150" i="29"/>
  <c r="H149" i="29"/>
  <c r="H148" i="29"/>
  <c r="H147" i="29"/>
  <c r="H145" i="29"/>
  <c r="H144" i="29"/>
  <c r="G143" i="29"/>
  <c r="F143" i="29"/>
  <c r="H141" i="29"/>
  <c r="H140" i="29"/>
  <c r="H139" i="29"/>
  <c r="H138" i="29"/>
  <c r="H137" i="29"/>
  <c r="H136" i="29"/>
  <c r="H135" i="29"/>
  <c r="G134" i="29"/>
  <c r="G128" i="29" s="1"/>
  <c r="F134" i="29"/>
  <c r="H133" i="29"/>
  <c r="H132" i="29"/>
  <c r="H131" i="29"/>
  <c r="H130" i="29"/>
  <c r="H129" i="29"/>
  <c r="F128" i="29"/>
  <c r="H127" i="29"/>
  <c r="H126" i="29"/>
  <c r="H125" i="29"/>
  <c r="F124" i="29"/>
  <c r="H124" i="29" s="1"/>
  <c r="G123" i="29"/>
  <c r="F123" i="29"/>
  <c r="H122" i="29"/>
  <c r="F121" i="29"/>
  <c r="H120" i="29"/>
  <c r="H119" i="29"/>
  <c r="H118" i="29"/>
  <c r="H117" i="29"/>
  <c r="H116" i="29"/>
  <c r="H115" i="29"/>
  <c r="G114" i="29"/>
  <c r="F114" i="29"/>
  <c r="F111" i="29" s="1"/>
  <c r="H113" i="29"/>
  <c r="H112" i="29"/>
  <c r="H110" i="29"/>
  <c r="H109" i="29"/>
  <c r="H108" i="29"/>
  <c r="H107" i="29"/>
  <c r="H106" i="29"/>
  <c r="G105" i="29"/>
  <c r="F105" i="29"/>
  <c r="H104" i="29"/>
  <c r="H103" i="29"/>
  <c r="H102" i="29"/>
  <c r="G101" i="29"/>
  <c r="F101" i="29"/>
  <c r="H100" i="29"/>
  <c r="H99" i="29"/>
  <c r="H98" i="29"/>
  <c r="H97" i="29"/>
  <c r="H96" i="29"/>
  <c r="H95" i="29"/>
  <c r="H94" i="29"/>
  <c r="H93" i="29"/>
  <c r="H92" i="29"/>
  <c r="H90" i="29"/>
  <c r="G89" i="29"/>
  <c r="G88" i="29" s="1"/>
  <c r="F89" i="29"/>
  <c r="F88" i="29" s="1"/>
  <c r="H84" i="29"/>
  <c r="H83" i="29"/>
  <c r="H81" i="29"/>
  <c r="H80" i="29"/>
  <c r="G79" i="29"/>
  <c r="G75" i="29" s="1"/>
  <c r="G74" i="29" s="1"/>
  <c r="F79" i="29"/>
  <c r="H78" i="29"/>
  <c r="H77" i="29"/>
  <c r="H76" i="29"/>
  <c r="H71" i="29"/>
  <c r="G70" i="29"/>
  <c r="F70" i="29"/>
  <c r="H69" i="29"/>
  <c r="H68" i="29"/>
  <c r="G67" i="29"/>
  <c r="F67" i="29"/>
  <c r="H66" i="29"/>
  <c r="H65" i="29"/>
  <c r="H64" i="29"/>
  <c r="H63" i="29"/>
  <c r="H62" i="29"/>
  <c r="G61" i="29"/>
  <c r="F61" i="29"/>
  <c r="H60" i="29"/>
  <c r="H59" i="29"/>
  <c r="H58" i="29"/>
  <c r="H57" i="29"/>
  <c r="H56" i="29"/>
  <c r="H55" i="29"/>
  <c r="H54" i="29"/>
  <c r="H53" i="29"/>
  <c r="H52" i="29"/>
  <c r="H51" i="29"/>
  <c r="H50" i="29"/>
  <c r="G49" i="29"/>
  <c r="G45" i="29" s="1"/>
  <c r="F49" i="29"/>
  <c r="H48" i="29"/>
  <c r="H47" i="29"/>
  <c r="H46" i="29"/>
  <c r="F45" i="29"/>
  <c r="H44" i="29"/>
  <c r="H43" i="29"/>
  <c r="H42" i="29"/>
  <c r="H41" i="29"/>
  <c r="H40" i="29"/>
  <c r="H39" i="29"/>
  <c r="G38" i="29"/>
  <c r="F38" i="29"/>
  <c r="H37" i="29"/>
  <c r="H36" i="29"/>
  <c r="H35" i="29"/>
  <c r="G34" i="29"/>
  <c r="F34" i="29"/>
  <c r="H33" i="29"/>
  <c r="H32" i="29"/>
  <c r="G31" i="29"/>
  <c r="F31" i="29"/>
  <c r="F30" i="29" s="1"/>
  <c r="G30" i="29"/>
  <c r="H29" i="29"/>
  <c r="H28" i="29"/>
  <c r="H27" i="29"/>
  <c r="G26" i="29"/>
  <c r="F26" i="29"/>
  <c r="H24" i="29"/>
  <c r="H23" i="29"/>
  <c r="G22" i="29"/>
  <c r="F22" i="29"/>
  <c r="H21" i="29"/>
  <c r="H20" i="29"/>
  <c r="H19" i="29"/>
  <c r="H18" i="29"/>
  <c r="H17" i="29"/>
  <c r="H16" i="29"/>
  <c r="H15" i="29"/>
  <c r="H14" i="29"/>
  <c r="H13" i="29"/>
  <c r="H12" i="29"/>
  <c r="H11" i="29"/>
  <c r="G10" i="29"/>
  <c r="G9" i="29" s="1"/>
  <c r="F10" i="29"/>
  <c r="H150" i="30"/>
  <c r="H149" i="30"/>
  <c r="H148" i="30"/>
  <c r="H147" i="30"/>
  <c r="H145" i="30"/>
  <c r="H144" i="30"/>
  <c r="G143" i="30"/>
  <c r="F143" i="30"/>
  <c r="H141" i="30"/>
  <c r="H140" i="30"/>
  <c r="H139" i="30"/>
  <c r="H138" i="30"/>
  <c r="H137" i="30"/>
  <c r="H136" i="30"/>
  <c r="H135" i="30"/>
  <c r="G134" i="30"/>
  <c r="G128" i="30" s="1"/>
  <c r="F134" i="30"/>
  <c r="H133" i="30"/>
  <c r="H132" i="30"/>
  <c r="H131" i="30"/>
  <c r="H130" i="30"/>
  <c r="H129" i="30"/>
  <c r="H127" i="30"/>
  <c r="H126" i="30"/>
  <c r="H125" i="30"/>
  <c r="H124" i="30"/>
  <c r="G123" i="30"/>
  <c r="F123" i="30"/>
  <c r="H122" i="30"/>
  <c r="H121" i="30"/>
  <c r="H120" i="30"/>
  <c r="H119" i="30"/>
  <c r="H118" i="30"/>
  <c r="H117" i="30"/>
  <c r="H116" i="30"/>
  <c r="H115" i="30"/>
  <c r="G114" i="30"/>
  <c r="F114" i="30"/>
  <c r="F111" i="30" s="1"/>
  <c r="H113" i="30"/>
  <c r="H112" i="30"/>
  <c r="G111" i="30"/>
  <c r="H110" i="30"/>
  <c r="H109" i="30"/>
  <c r="H108" i="30"/>
  <c r="H107" i="30"/>
  <c r="H106" i="30"/>
  <c r="G105" i="30"/>
  <c r="F105" i="30"/>
  <c r="H104" i="30"/>
  <c r="H103" i="30"/>
  <c r="H102" i="30"/>
  <c r="G101" i="30"/>
  <c r="F101" i="30"/>
  <c r="H100" i="30"/>
  <c r="H99" i="30"/>
  <c r="H98" i="30"/>
  <c r="H97" i="30"/>
  <c r="H96" i="30"/>
  <c r="H95" i="30"/>
  <c r="H94" i="30"/>
  <c r="H93" i="30"/>
  <c r="H92" i="30"/>
  <c r="H90" i="30"/>
  <c r="G89" i="30"/>
  <c r="G88" i="30" s="1"/>
  <c r="F89" i="30"/>
  <c r="F88" i="30" s="1"/>
  <c r="H84" i="30"/>
  <c r="H83" i="30"/>
  <c r="H81" i="30"/>
  <c r="H80" i="30"/>
  <c r="G79" i="30"/>
  <c r="G75" i="30" s="1"/>
  <c r="G74" i="30" s="1"/>
  <c r="F79" i="30"/>
  <c r="H78" i="30"/>
  <c r="H77" i="30"/>
  <c r="H76" i="30"/>
  <c r="F75" i="30"/>
  <c r="H71" i="30"/>
  <c r="G70" i="30"/>
  <c r="F70" i="30"/>
  <c r="H69" i="30"/>
  <c r="H68" i="30"/>
  <c r="G67" i="30"/>
  <c r="F67" i="30"/>
  <c r="H66" i="30"/>
  <c r="H65" i="30"/>
  <c r="H64" i="30"/>
  <c r="H63" i="30"/>
  <c r="H62" i="30"/>
  <c r="G61" i="30"/>
  <c r="F61" i="30"/>
  <c r="H60" i="30"/>
  <c r="H59" i="30"/>
  <c r="H58" i="30"/>
  <c r="H57" i="30"/>
  <c r="H56" i="30"/>
  <c r="H55" i="30"/>
  <c r="H54" i="30"/>
  <c r="H53" i="30"/>
  <c r="H52" i="30"/>
  <c r="H51" i="30"/>
  <c r="H50" i="30"/>
  <c r="G49" i="30"/>
  <c r="G45" i="30" s="1"/>
  <c r="F49" i="30"/>
  <c r="H48" i="30"/>
  <c r="H47" i="30"/>
  <c r="H46" i="30"/>
  <c r="H44" i="30"/>
  <c r="H43" i="30"/>
  <c r="H42" i="30"/>
  <c r="H41" i="30"/>
  <c r="H40" i="30"/>
  <c r="H39" i="30"/>
  <c r="G38" i="30"/>
  <c r="F38" i="30"/>
  <c r="H37" i="30"/>
  <c r="H36" i="30"/>
  <c r="H35" i="30"/>
  <c r="G34" i="30"/>
  <c r="F34" i="30"/>
  <c r="H33" i="30"/>
  <c r="H32" i="30"/>
  <c r="G31" i="30"/>
  <c r="G30" i="30" s="1"/>
  <c r="F31" i="30"/>
  <c r="F30" i="30" s="1"/>
  <c r="H29" i="30"/>
  <c r="H28" i="30"/>
  <c r="H27" i="30"/>
  <c r="G26" i="30"/>
  <c r="F26" i="30"/>
  <c r="H24" i="30"/>
  <c r="H23" i="30"/>
  <c r="G22" i="30"/>
  <c r="F22" i="30"/>
  <c r="H21" i="30"/>
  <c r="H20" i="30"/>
  <c r="H19" i="30"/>
  <c r="H18" i="30"/>
  <c r="H17" i="30"/>
  <c r="H16" i="30"/>
  <c r="H15" i="30"/>
  <c r="H14" i="30"/>
  <c r="H13" i="30"/>
  <c r="H12" i="30"/>
  <c r="H11" i="30"/>
  <c r="G10" i="30"/>
  <c r="G9" i="30" s="1"/>
  <c r="F10" i="30"/>
  <c r="F9" i="30" s="1"/>
  <c r="H150" i="31"/>
  <c r="H149" i="31"/>
  <c r="H148" i="31"/>
  <c r="H147" i="31"/>
  <c r="H145" i="31"/>
  <c r="H144" i="31"/>
  <c r="G143" i="31"/>
  <c r="F143" i="31"/>
  <c r="H141" i="31"/>
  <c r="H140" i="31"/>
  <c r="H139" i="31"/>
  <c r="H138" i="31"/>
  <c r="H137" i="31"/>
  <c r="H136" i="31"/>
  <c r="H135" i="31"/>
  <c r="G134" i="31"/>
  <c r="G128" i="31" s="1"/>
  <c r="F134" i="31"/>
  <c r="H133" i="31"/>
  <c r="H132" i="31"/>
  <c r="H131" i="31"/>
  <c r="H130" i="31"/>
  <c r="H129" i="31"/>
  <c r="F128" i="31"/>
  <c r="H127" i="31"/>
  <c r="H126" i="31"/>
  <c r="H125" i="31"/>
  <c r="H124" i="31"/>
  <c r="G123" i="31"/>
  <c r="F123" i="31"/>
  <c r="H122" i="31"/>
  <c r="H121" i="31"/>
  <c r="H120" i="31"/>
  <c r="H119" i="31"/>
  <c r="H118" i="31"/>
  <c r="H117" i="31"/>
  <c r="H116" i="31"/>
  <c r="H115" i="31"/>
  <c r="G114" i="31"/>
  <c r="F114" i="31"/>
  <c r="F111" i="31" s="1"/>
  <c r="H113" i="31"/>
  <c r="H112" i="31"/>
  <c r="G111" i="31"/>
  <c r="H110" i="31"/>
  <c r="H109" i="31"/>
  <c r="H108" i="31"/>
  <c r="H107" i="31"/>
  <c r="H106" i="31"/>
  <c r="G105" i="31"/>
  <c r="F105" i="31"/>
  <c r="H104" i="31"/>
  <c r="H103" i="31"/>
  <c r="H102" i="31"/>
  <c r="G101" i="31"/>
  <c r="F101" i="31"/>
  <c r="H100" i="31"/>
  <c r="H99" i="31"/>
  <c r="H98" i="31"/>
  <c r="H97" i="31"/>
  <c r="H96" i="31"/>
  <c r="H95" i="31"/>
  <c r="H94" i="31"/>
  <c r="H93" i="31"/>
  <c r="H92" i="31"/>
  <c r="H90" i="31"/>
  <c r="G89" i="31"/>
  <c r="G88" i="31" s="1"/>
  <c r="F89" i="31"/>
  <c r="F88" i="31" s="1"/>
  <c r="H84" i="31"/>
  <c r="H83" i="31"/>
  <c r="H81" i="31"/>
  <c r="H80" i="31"/>
  <c r="G79" i="31"/>
  <c r="G75" i="31" s="1"/>
  <c r="G74" i="31" s="1"/>
  <c r="F79" i="31"/>
  <c r="H78" i="31"/>
  <c r="H77" i="31"/>
  <c r="H76" i="31"/>
  <c r="H71" i="31"/>
  <c r="G70" i="31"/>
  <c r="F70" i="31"/>
  <c r="H69" i="31"/>
  <c r="H68" i="31"/>
  <c r="G67" i="31"/>
  <c r="F67" i="31"/>
  <c r="H66" i="31"/>
  <c r="H65" i="31"/>
  <c r="H64" i="31"/>
  <c r="H63" i="31"/>
  <c r="H62" i="31"/>
  <c r="G61" i="31"/>
  <c r="F61" i="31"/>
  <c r="H60" i="31"/>
  <c r="H59" i="31"/>
  <c r="H58" i="31"/>
  <c r="H57" i="31"/>
  <c r="H56" i="31"/>
  <c r="F55" i="31"/>
  <c r="H55" i="31" s="1"/>
  <c r="H54" i="31"/>
  <c r="H53" i="31"/>
  <c r="H52" i="31"/>
  <c r="H51" i="31"/>
  <c r="H50" i="31"/>
  <c r="G49" i="31"/>
  <c r="G45" i="31" s="1"/>
  <c r="F49" i="31"/>
  <c r="H48" i="31"/>
  <c r="H47" i="31"/>
  <c r="H46" i="31"/>
  <c r="H44" i="31"/>
  <c r="H43" i="31"/>
  <c r="H42" i="31"/>
  <c r="H41" i="31"/>
  <c r="H40" i="31"/>
  <c r="H39" i="31"/>
  <c r="G38" i="31"/>
  <c r="F38" i="31"/>
  <c r="H37" i="31"/>
  <c r="H36" i="31"/>
  <c r="H35" i="31"/>
  <c r="G34" i="31"/>
  <c r="F34" i="31"/>
  <c r="H33" i="31"/>
  <c r="H32" i="31"/>
  <c r="G31" i="31"/>
  <c r="G30" i="31" s="1"/>
  <c r="F31" i="31"/>
  <c r="H29" i="31"/>
  <c r="H28" i="31"/>
  <c r="H27" i="31"/>
  <c r="G26" i="31"/>
  <c r="F26" i="31"/>
  <c r="H24" i="31"/>
  <c r="H23" i="31"/>
  <c r="G22" i="31"/>
  <c r="F22" i="31"/>
  <c r="H21" i="31"/>
  <c r="H20" i="31"/>
  <c r="H19" i="31"/>
  <c r="H18" i="31"/>
  <c r="H17" i="31"/>
  <c r="H16" i="31"/>
  <c r="H15" i="31"/>
  <c r="H14" i="31"/>
  <c r="H13" i="31"/>
  <c r="H12" i="31"/>
  <c r="H11" i="31"/>
  <c r="G10" i="31"/>
  <c r="F10" i="31"/>
  <c r="F9" i="31" s="1"/>
  <c r="G9" i="31"/>
  <c r="H150" i="32"/>
  <c r="H149" i="32"/>
  <c r="H148" i="32"/>
  <c r="H147" i="32"/>
  <c r="H145" i="32"/>
  <c r="H144" i="32"/>
  <c r="G143" i="32"/>
  <c r="F143" i="32"/>
  <c r="H141" i="32"/>
  <c r="H140" i="32"/>
  <c r="H139" i="32"/>
  <c r="H138" i="32"/>
  <c r="H137" i="32"/>
  <c r="H136" i="32"/>
  <c r="H135" i="32"/>
  <c r="G134" i="32"/>
  <c r="G128" i="32" s="1"/>
  <c r="F134" i="32"/>
  <c r="H133" i="32"/>
  <c r="H132" i="32"/>
  <c r="H131" i="32"/>
  <c r="H130" i="32"/>
  <c r="H129" i="32"/>
  <c r="F128" i="32"/>
  <c r="H127" i="32"/>
  <c r="H126" i="32"/>
  <c r="H125" i="32"/>
  <c r="F124" i="32"/>
  <c r="H124" i="32" s="1"/>
  <c r="G123" i="32"/>
  <c r="H122" i="32"/>
  <c r="H121" i="32"/>
  <c r="H120" i="32"/>
  <c r="H119" i="32"/>
  <c r="H118" i="32"/>
  <c r="H117" i="32"/>
  <c r="H116" i="32"/>
  <c r="H115" i="32"/>
  <c r="G114" i="32"/>
  <c r="F114" i="32"/>
  <c r="H113" i="32"/>
  <c r="H112" i="32"/>
  <c r="H110" i="32"/>
  <c r="H109" i="32"/>
  <c r="H108" i="32"/>
  <c r="H107" i="32"/>
  <c r="H106" i="32"/>
  <c r="G105" i="32"/>
  <c r="F105" i="32"/>
  <c r="H104" i="32"/>
  <c r="H103" i="32"/>
  <c r="H102" i="32"/>
  <c r="G101" i="32"/>
  <c r="F101" i="32"/>
  <c r="H100" i="32"/>
  <c r="H99" i="32"/>
  <c r="H98" i="32"/>
  <c r="H97" i="32"/>
  <c r="H96" i="32"/>
  <c r="H95" i="32"/>
  <c r="H94" i="32"/>
  <c r="H93" i="32"/>
  <c r="H92" i="32"/>
  <c r="H90" i="32"/>
  <c r="G89" i="32"/>
  <c r="G88" i="32" s="1"/>
  <c r="F89" i="32"/>
  <c r="H84" i="32"/>
  <c r="H83" i="32"/>
  <c r="H81" i="32"/>
  <c r="H80" i="32"/>
  <c r="G79" i="32"/>
  <c r="G75" i="32" s="1"/>
  <c r="G74" i="32" s="1"/>
  <c r="F79" i="32"/>
  <c r="H78" i="32"/>
  <c r="H77" i="32"/>
  <c r="H76" i="32"/>
  <c r="F75" i="32"/>
  <c r="F74" i="32" s="1"/>
  <c r="H71" i="32"/>
  <c r="G70" i="32"/>
  <c r="F70" i="32"/>
  <c r="H69" i="32"/>
  <c r="H68" i="32"/>
  <c r="G67" i="32"/>
  <c r="F67" i="32"/>
  <c r="H66" i="32"/>
  <c r="H65" i="32"/>
  <c r="H64" i="32"/>
  <c r="H63" i="32"/>
  <c r="H62" i="32"/>
  <c r="G61" i="32"/>
  <c r="F61" i="32"/>
  <c r="H60" i="32"/>
  <c r="H59" i="32"/>
  <c r="H58" i="32"/>
  <c r="H57" i="32"/>
  <c r="H56" i="32"/>
  <c r="H55" i="32"/>
  <c r="H54" i="32"/>
  <c r="H53" i="32"/>
  <c r="H52" i="32"/>
  <c r="H51" i="32"/>
  <c r="H50" i="32"/>
  <c r="G49" i="32"/>
  <c r="G45" i="32" s="1"/>
  <c r="F49" i="32"/>
  <c r="H48" i="32"/>
  <c r="H47" i="32"/>
  <c r="H46" i="32"/>
  <c r="H44" i="32"/>
  <c r="H43" i="32"/>
  <c r="H42" i="32"/>
  <c r="H41" i="32"/>
  <c r="H40" i="32"/>
  <c r="H39" i="32"/>
  <c r="G38" i="32"/>
  <c r="F38" i="32"/>
  <c r="H37" i="32"/>
  <c r="H36" i="32"/>
  <c r="H35" i="32"/>
  <c r="G34" i="32"/>
  <c r="F34" i="32"/>
  <c r="H33" i="32"/>
  <c r="H32" i="32"/>
  <c r="G31" i="32"/>
  <c r="G30" i="32" s="1"/>
  <c r="F31" i="32"/>
  <c r="H29" i="32"/>
  <c r="H28" i="32"/>
  <c r="H27" i="32"/>
  <c r="G26" i="32"/>
  <c r="F26" i="32"/>
  <c r="H24" i="32"/>
  <c r="H23" i="32"/>
  <c r="G22" i="32"/>
  <c r="F22" i="32"/>
  <c r="H21" i="32"/>
  <c r="H20" i="32"/>
  <c r="H19" i="32"/>
  <c r="H18" i="32"/>
  <c r="H17" i="32"/>
  <c r="H16" i="32"/>
  <c r="H15" i="32"/>
  <c r="H14" i="32"/>
  <c r="H13" i="32"/>
  <c r="H12" i="32"/>
  <c r="H11" i="32"/>
  <c r="G10" i="32"/>
  <c r="F10" i="32"/>
  <c r="F9" i="32" s="1"/>
  <c r="G9" i="32"/>
  <c r="G143" i="17"/>
  <c r="F143" i="17"/>
  <c r="G134" i="17"/>
  <c r="G128" i="17" s="1"/>
  <c r="F134" i="17"/>
  <c r="F128" i="17" s="1"/>
  <c r="F124" i="17"/>
  <c r="H124" i="17" s="1"/>
  <c r="G123" i="17"/>
  <c r="F123" i="17"/>
  <c r="G114" i="17"/>
  <c r="G111" i="17" s="1"/>
  <c r="F114" i="17"/>
  <c r="G105" i="17"/>
  <c r="F105" i="17"/>
  <c r="G101" i="17"/>
  <c r="F101" i="17"/>
  <c r="G89" i="17"/>
  <c r="G88" i="17" s="1"/>
  <c r="F89" i="17"/>
  <c r="G79" i="17"/>
  <c r="G75" i="17" s="1"/>
  <c r="G74" i="17" s="1"/>
  <c r="F79" i="17"/>
  <c r="F75" i="17" s="1"/>
  <c r="F74" i="17" s="1"/>
  <c r="G70" i="17"/>
  <c r="F70" i="17"/>
  <c r="G67" i="17"/>
  <c r="F67" i="17"/>
  <c r="G61" i="17"/>
  <c r="F61" i="17"/>
  <c r="G49" i="17"/>
  <c r="F49" i="17"/>
  <c r="G45" i="17"/>
  <c r="G38" i="17"/>
  <c r="F38" i="17"/>
  <c r="G34" i="17"/>
  <c r="F34" i="17"/>
  <c r="G31" i="17"/>
  <c r="G30" i="17" s="1"/>
  <c r="F31" i="17"/>
  <c r="G26" i="17"/>
  <c r="F26" i="17"/>
  <c r="G22" i="17"/>
  <c r="F22" i="17"/>
  <c r="G10" i="17"/>
  <c r="F10" i="17"/>
  <c r="F9" i="17" s="1"/>
  <c r="G9" i="17"/>
  <c r="H150" i="16"/>
  <c r="H149" i="16"/>
  <c r="H148" i="16"/>
  <c r="H147" i="16"/>
  <c r="H145" i="16"/>
  <c r="H144" i="16"/>
  <c r="G143" i="16"/>
  <c r="F143" i="16"/>
  <c r="H141" i="16"/>
  <c r="H140" i="16"/>
  <c r="H139" i="16"/>
  <c r="H138" i="16"/>
  <c r="H137" i="16"/>
  <c r="H136" i="16"/>
  <c r="H135" i="16"/>
  <c r="G134" i="16"/>
  <c r="G128" i="16" s="1"/>
  <c r="F134" i="16"/>
  <c r="H133" i="16"/>
  <c r="H132" i="16"/>
  <c r="H131" i="16"/>
  <c r="H130" i="16"/>
  <c r="H129" i="16"/>
  <c r="F128" i="16"/>
  <c r="H127" i="16"/>
  <c r="H126" i="16"/>
  <c r="H125" i="16"/>
  <c r="H124" i="16"/>
  <c r="G123" i="16"/>
  <c r="F123" i="16"/>
  <c r="H122" i="16"/>
  <c r="H121" i="16"/>
  <c r="H120" i="16"/>
  <c r="H119" i="16"/>
  <c r="H118" i="16"/>
  <c r="H117" i="16"/>
  <c r="H116" i="16"/>
  <c r="H115" i="16"/>
  <c r="G114" i="16"/>
  <c r="F114" i="16"/>
  <c r="F111" i="16" s="1"/>
  <c r="H113" i="16"/>
  <c r="H112" i="16"/>
  <c r="G111" i="16"/>
  <c r="H110" i="16"/>
  <c r="H109" i="16"/>
  <c r="H108" i="16"/>
  <c r="H107" i="16"/>
  <c r="H106" i="16"/>
  <c r="G105" i="16"/>
  <c r="F105" i="16"/>
  <c r="H104" i="16"/>
  <c r="H103" i="16"/>
  <c r="H102" i="16"/>
  <c r="G101" i="16"/>
  <c r="F101" i="16"/>
  <c r="H100" i="16"/>
  <c r="H99" i="16"/>
  <c r="H98" i="16"/>
  <c r="H97" i="16"/>
  <c r="H96" i="16"/>
  <c r="H95" i="16"/>
  <c r="H94" i="16"/>
  <c r="H93" i="16"/>
  <c r="H92" i="16"/>
  <c r="H90" i="16"/>
  <c r="G89" i="16"/>
  <c r="G88" i="16" s="1"/>
  <c r="F89" i="16"/>
  <c r="F88" i="16" s="1"/>
  <c r="H84" i="16"/>
  <c r="H83" i="16"/>
  <c r="H81" i="16"/>
  <c r="H80" i="16"/>
  <c r="G79" i="16"/>
  <c r="G75" i="16" s="1"/>
  <c r="G74" i="16" s="1"/>
  <c r="F79" i="16"/>
  <c r="H78" i="16"/>
  <c r="H77" i="16"/>
  <c r="H76" i="16"/>
  <c r="H71" i="16"/>
  <c r="G70" i="16"/>
  <c r="F70" i="16"/>
  <c r="H69" i="16"/>
  <c r="H68" i="16"/>
  <c r="G67" i="16"/>
  <c r="F67" i="16"/>
  <c r="H66" i="16"/>
  <c r="H65" i="16"/>
  <c r="H64" i="16"/>
  <c r="H63" i="16"/>
  <c r="H62" i="16"/>
  <c r="G61" i="16"/>
  <c r="F61" i="16"/>
  <c r="H60" i="16"/>
  <c r="H59" i="16"/>
  <c r="H58" i="16"/>
  <c r="H57" i="16"/>
  <c r="H56" i="16"/>
  <c r="H55" i="16"/>
  <c r="H54" i="16"/>
  <c r="H53" i="16"/>
  <c r="H52" i="16"/>
  <c r="H51" i="16"/>
  <c r="H50" i="16"/>
  <c r="G49" i="16"/>
  <c r="G45" i="16" s="1"/>
  <c r="F49" i="16"/>
  <c r="H48" i="16"/>
  <c r="H47" i="16"/>
  <c r="H46" i="16"/>
  <c r="F45" i="16"/>
  <c r="H44" i="16"/>
  <c r="H43" i="16"/>
  <c r="H42" i="16"/>
  <c r="H41" i="16"/>
  <c r="H40" i="16"/>
  <c r="H39" i="16"/>
  <c r="G38" i="16"/>
  <c r="F38" i="16"/>
  <c r="H37" i="16"/>
  <c r="H36" i="16"/>
  <c r="H35" i="16"/>
  <c r="G34" i="16"/>
  <c r="F34" i="16"/>
  <c r="H33" i="16"/>
  <c r="H32" i="16"/>
  <c r="G31" i="16"/>
  <c r="F31" i="16"/>
  <c r="F30" i="16" s="1"/>
  <c r="G30" i="16"/>
  <c r="H29" i="16"/>
  <c r="H28" i="16"/>
  <c r="H27" i="16"/>
  <c r="G26" i="16"/>
  <c r="F26" i="16"/>
  <c r="H24" i="16"/>
  <c r="H23" i="16"/>
  <c r="G22" i="16"/>
  <c r="F22" i="16"/>
  <c r="H21" i="16"/>
  <c r="H20" i="16"/>
  <c r="H19" i="16"/>
  <c r="H18" i="16"/>
  <c r="H17" i="16"/>
  <c r="H16" i="16"/>
  <c r="H15" i="16"/>
  <c r="H14" i="16"/>
  <c r="H13" i="16"/>
  <c r="H12" i="16"/>
  <c r="H11" i="16"/>
  <c r="G10" i="16"/>
  <c r="G9" i="16" s="1"/>
  <c r="F10" i="16"/>
  <c r="H150" i="15"/>
  <c r="H149" i="15"/>
  <c r="H148" i="15"/>
  <c r="H147" i="15"/>
  <c r="H145" i="15"/>
  <c r="H144" i="15"/>
  <c r="G143" i="15"/>
  <c r="F143" i="15"/>
  <c r="H141" i="15"/>
  <c r="H140" i="15"/>
  <c r="H139" i="15"/>
  <c r="H138" i="15"/>
  <c r="H137" i="15"/>
  <c r="H136" i="15"/>
  <c r="H135" i="15"/>
  <c r="G134" i="15"/>
  <c r="G128" i="15" s="1"/>
  <c r="F134" i="15"/>
  <c r="H133" i="15"/>
  <c r="H132" i="15"/>
  <c r="H131" i="15"/>
  <c r="H130" i="15"/>
  <c r="H129" i="15"/>
  <c r="H127" i="15"/>
  <c r="H126" i="15"/>
  <c r="H125" i="15"/>
  <c r="F124" i="15"/>
  <c r="H124" i="15" s="1"/>
  <c r="G123" i="15"/>
  <c r="H122" i="15"/>
  <c r="H121" i="15"/>
  <c r="H120" i="15"/>
  <c r="H119" i="15"/>
  <c r="H118" i="15"/>
  <c r="H117" i="15"/>
  <c r="H116" i="15"/>
  <c r="H115" i="15"/>
  <c r="G114" i="15"/>
  <c r="F114" i="15"/>
  <c r="H113" i="15"/>
  <c r="H112" i="15"/>
  <c r="H110" i="15"/>
  <c r="H109" i="15"/>
  <c r="H108" i="15"/>
  <c r="H107" i="15"/>
  <c r="H106" i="15"/>
  <c r="G105" i="15"/>
  <c r="F105" i="15"/>
  <c r="H104" i="15"/>
  <c r="H103" i="15"/>
  <c r="H102" i="15"/>
  <c r="G101" i="15"/>
  <c r="F101" i="15"/>
  <c r="H100" i="15"/>
  <c r="H99" i="15"/>
  <c r="H98" i="15"/>
  <c r="H97" i="15"/>
  <c r="H96" i="15"/>
  <c r="H95" i="15"/>
  <c r="H94" i="15"/>
  <c r="H93" i="15"/>
  <c r="H92" i="15"/>
  <c r="H90" i="15"/>
  <c r="G89" i="15"/>
  <c r="G88" i="15" s="1"/>
  <c r="F89" i="15"/>
  <c r="F88" i="15" s="1"/>
  <c r="H84" i="15"/>
  <c r="H83" i="15"/>
  <c r="H81" i="15"/>
  <c r="H80" i="15"/>
  <c r="G79" i="15"/>
  <c r="G75" i="15" s="1"/>
  <c r="G74" i="15" s="1"/>
  <c r="F79" i="15"/>
  <c r="H78" i="15"/>
  <c r="H77" i="15"/>
  <c r="H76" i="15"/>
  <c r="H71" i="15"/>
  <c r="G70" i="15"/>
  <c r="F70" i="15"/>
  <c r="H69" i="15"/>
  <c r="H68" i="15"/>
  <c r="G67" i="15"/>
  <c r="F67" i="15"/>
  <c r="H66" i="15"/>
  <c r="H65" i="15"/>
  <c r="H64" i="15"/>
  <c r="H63" i="15"/>
  <c r="H62" i="15"/>
  <c r="G61" i="15"/>
  <c r="F61" i="15"/>
  <c r="H60" i="15"/>
  <c r="H59" i="15"/>
  <c r="H58" i="15"/>
  <c r="H57" i="15"/>
  <c r="H56" i="15"/>
  <c r="H55" i="15"/>
  <c r="H54" i="15"/>
  <c r="H53" i="15"/>
  <c r="H52" i="15"/>
  <c r="H51" i="15"/>
  <c r="H50" i="15"/>
  <c r="G49" i="15"/>
  <c r="G45" i="15" s="1"/>
  <c r="F49" i="15"/>
  <c r="H48" i="15"/>
  <c r="F47" i="15"/>
  <c r="H47" i="15" s="1"/>
  <c r="H46" i="15"/>
  <c r="H44" i="15"/>
  <c r="H43" i="15"/>
  <c r="H42" i="15"/>
  <c r="H41" i="15"/>
  <c r="H40" i="15"/>
  <c r="H39" i="15"/>
  <c r="G38" i="15"/>
  <c r="F38" i="15"/>
  <c r="H37" i="15"/>
  <c r="H36" i="15"/>
  <c r="H35" i="15"/>
  <c r="G34" i="15"/>
  <c r="F34" i="15"/>
  <c r="H33" i="15"/>
  <c r="H32" i="15"/>
  <c r="G31" i="15"/>
  <c r="F31" i="15"/>
  <c r="F30" i="15" s="1"/>
  <c r="G30" i="15"/>
  <c r="H29" i="15"/>
  <c r="H28" i="15"/>
  <c r="H27" i="15"/>
  <c r="G26" i="15"/>
  <c r="F26" i="15"/>
  <c r="H24" i="15"/>
  <c r="H23" i="15"/>
  <c r="G22" i="15"/>
  <c r="F22" i="15"/>
  <c r="H21" i="15"/>
  <c r="H20" i="15"/>
  <c r="H19" i="15"/>
  <c r="H18" i="15"/>
  <c r="H17" i="15"/>
  <c r="H16" i="15"/>
  <c r="H15" i="15"/>
  <c r="H14" i="15"/>
  <c r="H13" i="15"/>
  <c r="H12" i="15"/>
  <c r="H11" i="15"/>
  <c r="G10" i="15"/>
  <c r="G9" i="15" s="1"/>
  <c r="F10" i="15"/>
  <c r="F9" i="15" s="1"/>
  <c r="H150" i="49"/>
  <c r="H149" i="49"/>
  <c r="H148" i="49"/>
  <c r="H147" i="49"/>
  <c r="H145" i="49"/>
  <c r="H144" i="49"/>
  <c r="G143" i="49"/>
  <c r="F143" i="49"/>
  <c r="H141" i="49"/>
  <c r="H140" i="49"/>
  <c r="H139" i="49"/>
  <c r="H138" i="49"/>
  <c r="H137" i="49"/>
  <c r="H136" i="49"/>
  <c r="H135" i="49"/>
  <c r="G134" i="49"/>
  <c r="G128" i="49" s="1"/>
  <c r="F134" i="49"/>
  <c r="H133" i="49"/>
  <c r="H132" i="49"/>
  <c r="H131" i="49"/>
  <c r="H130" i="49"/>
  <c r="H129" i="49"/>
  <c r="F128" i="49"/>
  <c r="H127" i="49"/>
  <c r="H126" i="49"/>
  <c r="H125" i="49"/>
  <c r="H124" i="49"/>
  <c r="G123" i="49"/>
  <c r="F123" i="49"/>
  <c r="H122" i="49"/>
  <c r="H121" i="49"/>
  <c r="H120" i="49"/>
  <c r="H119" i="49"/>
  <c r="H118" i="49"/>
  <c r="H117" i="49"/>
  <c r="H116" i="49"/>
  <c r="H115" i="49"/>
  <c r="G114" i="49"/>
  <c r="F114" i="49"/>
  <c r="F111" i="49" s="1"/>
  <c r="H113" i="49"/>
  <c r="H112" i="49"/>
  <c r="G111" i="49"/>
  <c r="H110" i="49"/>
  <c r="H109" i="49"/>
  <c r="H108" i="49"/>
  <c r="H107" i="49"/>
  <c r="H106" i="49"/>
  <c r="G105" i="49"/>
  <c r="F105" i="49"/>
  <c r="H104" i="49"/>
  <c r="H103" i="49"/>
  <c r="H102" i="49"/>
  <c r="G101" i="49"/>
  <c r="F101" i="49"/>
  <c r="H100" i="49"/>
  <c r="H99" i="49"/>
  <c r="H98" i="49"/>
  <c r="H97" i="49"/>
  <c r="H96" i="49"/>
  <c r="H95" i="49"/>
  <c r="H94" i="49"/>
  <c r="H93" i="49"/>
  <c r="H92" i="49"/>
  <c r="H90" i="49"/>
  <c r="G89" i="49"/>
  <c r="G88" i="49" s="1"/>
  <c r="F89" i="49"/>
  <c r="F88" i="49" s="1"/>
  <c r="H84" i="49"/>
  <c r="H83" i="49"/>
  <c r="H81" i="49"/>
  <c r="H80" i="49"/>
  <c r="G79" i="49"/>
  <c r="G75" i="49" s="1"/>
  <c r="G74" i="49" s="1"/>
  <c r="F79" i="49"/>
  <c r="H78" i="49"/>
  <c r="H77" i="49"/>
  <c r="H76" i="49"/>
  <c r="H71" i="49"/>
  <c r="G70" i="49"/>
  <c r="F70" i="49"/>
  <c r="H69" i="49"/>
  <c r="H68" i="49"/>
  <c r="G67" i="49"/>
  <c r="F67" i="49"/>
  <c r="H66" i="49"/>
  <c r="H65" i="49"/>
  <c r="H64" i="49"/>
  <c r="H63" i="49"/>
  <c r="H62" i="49"/>
  <c r="G61" i="49"/>
  <c r="F61" i="49"/>
  <c r="H60" i="49"/>
  <c r="H59" i="49"/>
  <c r="H58" i="49"/>
  <c r="H57" i="49"/>
  <c r="H56" i="49"/>
  <c r="H55" i="49"/>
  <c r="H54" i="49"/>
  <c r="H53" i="49"/>
  <c r="H52" i="49"/>
  <c r="H51" i="49"/>
  <c r="H50" i="49"/>
  <c r="G49" i="49"/>
  <c r="G45" i="49" s="1"/>
  <c r="F49" i="49"/>
  <c r="H48" i="49"/>
  <c r="H47" i="49"/>
  <c r="H46" i="49"/>
  <c r="F45" i="49"/>
  <c r="H44" i="49"/>
  <c r="H43" i="49"/>
  <c r="H42" i="49"/>
  <c r="H41" i="49"/>
  <c r="H40" i="49"/>
  <c r="H39" i="49"/>
  <c r="G38" i="49"/>
  <c r="F38" i="49"/>
  <c r="H37" i="49"/>
  <c r="H36" i="49"/>
  <c r="H35" i="49"/>
  <c r="G34" i="49"/>
  <c r="F34" i="49"/>
  <c r="H33" i="49"/>
  <c r="H32" i="49"/>
  <c r="G31" i="49"/>
  <c r="G30" i="49" s="1"/>
  <c r="F31" i="49"/>
  <c r="F30" i="49" s="1"/>
  <c r="H29" i="49"/>
  <c r="H28" i="49"/>
  <c r="H27" i="49"/>
  <c r="G26" i="49"/>
  <c r="F26" i="49"/>
  <c r="H24" i="49"/>
  <c r="H23" i="49"/>
  <c r="G22" i="49"/>
  <c r="F22" i="49"/>
  <c r="H21" i="49"/>
  <c r="H20" i="49"/>
  <c r="H19" i="49"/>
  <c r="H18" i="49"/>
  <c r="H17" i="49"/>
  <c r="H16" i="49"/>
  <c r="H15" i="49"/>
  <c r="H14" i="49"/>
  <c r="H13" i="49"/>
  <c r="H12" i="49"/>
  <c r="H11" i="49"/>
  <c r="G10" i="49"/>
  <c r="G9" i="49" s="1"/>
  <c r="F10" i="49"/>
  <c r="H150" i="14"/>
  <c r="H149" i="14"/>
  <c r="H148" i="14"/>
  <c r="H147" i="14"/>
  <c r="H145" i="14"/>
  <c r="H144" i="14"/>
  <c r="G143" i="14"/>
  <c r="F143" i="14"/>
  <c r="H141" i="14"/>
  <c r="H140" i="14"/>
  <c r="H139" i="14"/>
  <c r="H138" i="14"/>
  <c r="H137" i="14"/>
  <c r="H136" i="14"/>
  <c r="H135" i="14"/>
  <c r="G134" i="14"/>
  <c r="G128" i="14" s="1"/>
  <c r="F134" i="14"/>
  <c r="H133" i="14"/>
  <c r="H132" i="14"/>
  <c r="H131" i="14"/>
  <c r="H130" i="14"/>
  <c r="H129" i="14"/>
  <c r="H127" i="14"/>
  <c r="H126" i="14"/>
  <c r="H125" i="14"/>
  <c r="F124" i="14"/>
  <c r="H124" i="14" s="1"/>
  <c r="G123" i="14"/>
  <c r="H122" i="14"/>
  <c r="H121" i="14"/>
  <c r="H120" i="14"/>
  <c r="H119" i="14"/>
  <c r="H118" i="14"/>
  <c r="H117" i="14"/>
  <c r="H116" i="14"/>
  <c r="H115" i="14"/>
  <c r="G114" i="14"/>
  <c r="F114" i="14"/>
  <c r="H113" i="14"/>
  <c r="H112" i="14"/>
  <c r="H110" i="14"/>
  <c r="H109" i="14"/>
  <c r="H108" i="14"/>
  <c r="H107" i="14"/>
  <c r="H106" i="14"/>
  <c r="G105" i="14"/>
  <c r="F105" i="14"/>
  <c r="H104" i="14"/>
  <c r="H103" i="14"/>
  <c r="H102" i="14"/>
  <c r="G101" i="14"/>
  <c r="F101" i="14"/>
  <c r="H100" i="14"/>
  <c r="H99" i="14"/>
  <c r="H98" i="14"/>
  <c r="H97" i="14"/>
  <c r="H96" i="14"/>
  <c r="H95" i="14"/>
  <c r="H94" i="14"/>
  <c r="H93" i="14"/>
  <c r="H92" i="14"/>
  <c r="H90" i="14"/>
  <c r="G89" i="14"/>
  <c r="F89" i="14"/>
  <c r="G88" i="14"/>
  <c r="H84" i="14"/>
  <c r="H83" i="14"/>
  <c r="H81" i="14"/>
  <c r="H80" i="14"/>
  <c r="G79" i="14"/>
  <c r="G75" i="14" s="1"/>
  <c r="G74" i="14" s="1"/>
  <c r="F79" i="14"/>
  <c r="H78" i="14"/>
  <c r="H77" i="14"/>
  <c r="H76" i="14"/>
  <c r="H71" i="14"/>
  <c r="G70" i="14"/>
  <c r="F70" i="14"/>
  <c r="H69" i="14"/>
  <c r="H68" i="14"/>
  <c r="G67" i="14"/>
  <c r="F67" i="14"/>
  <c r="H66" i="14"/>
  <c r="H65" i="14"/>
  <c r="H64" i="14"/>
  <c r="H63" i="14"/>
  <c r="H62" i="14"/>
  <c r="G61" i="14"/>
  <c r="F61" i="14"/>
  <c r="H60" i="14"/>
  <c r="H59" i="14"/>
  <c r="H58" i="14"/>
  <c r="H57" i="14"/>
  <c r="H56" i="14"/>
  <c r="H55" i="14"/>
  <c r="H54" i="14"/>
  <c r="H53" i="14"/>
  <c r="H52" i="14"/>
  <c r="H51" i="14"/>
  <c r="H50" i="14"/>
  <c r="G49" i="14"/>
  <c r="G45" i="14" s="1"/>
  <c r="F49" i="14"/>
  <c r="H48" i="14"/>
  <c r="H47" i="14"/>
  <c r="H46" i="14"/>
  <c r="F45" i="14"/>
  <c r="H44" i="14"/>
  <c r="H43" i="14"/>
  <c r="H42" i="14"/>
  <c r="H41" i="14"/>
  <c r="H40" i="14"/>
  <c r="H39" i="14"/>
  <c r="G38" i="14"/>
  <c r="F38" i="14"/>
  <c r="H37" i="14"/>
  <c r="H36" i="14"/>
  <c r="H35" i="14"/>
  <c r="G34" i="14"/>
  <c r="F34" i="14"/>
  <c r="H33" i="14"/>
  <c r="H32" i="14"/>
  <c r="G31" i="14"/>
  <c r="F31" i="14"/>
  <c r="G30" i="14"/>
  <c r="H29" i="14"/>
  <c r="H28" i="14"/>
  <c r="H27" i="14"/>
  <c r="G26" i="14"/>
  <c r="F26" i="14"/>
  <c r="H24" i="14"/>
  <c r="H23" i="14"/>
  <c r="G22" i="14"/>
  <c r="F22" i="14"/>
  <c r="H21" i="14"/>
  <c r="H20" i="14"/>
  <c r="H19" i="14"/>
  <c r="H18" i="14"/>
  <c r="H17" i="14"/>
  <c r="H16" i="14"/>
  <c r="H15" i="14"/>
  <c r="H14" i="14"/>
  <c r="H13" i="14"/>
  <c r="H12" i="14"/>
  <c r="H11" i="14"/>
  <c r="G10" i="14"/>
  <c r="G9" i="14" s="1"/>
  <c r="F10" i="14"/>
  <c r="H150" i="13"/>
  <c r="H149" i="13"/>
  <c r="H148" i="13"/>
  <c r="H147" i="13"/>
  <c r="H145" i="13"/>
  <c r="H144" i="13"/>
  <c r="G143" i="13"/>
  <c r="F143" i="13"/>
  <c r="H141" i="13"/>
  <c r="H140" i="13"/>
  <c r="H139" i="13"/>
  <c r="H138" i="13"/>
  <c r="H137" i="13"/>
  <c r="H136" i="13"/>
  <c r="H135" i="13"/>
  <c r="G134" i="13"/>
  <c r="G128" i="13" s="1"/>
  <c r="F134" i="13"/>
  <c r="H133" i="13"/>
  <c r="H132" i="13"/>
  <c r="H131" i="13"/>
  <c r="H130" i="13"/>
  <c r="H129" i="13"/>
  <c r="H127" i="13"/>
  <c r="H126" i="13"/>
  <c r="H125" i="13"/>
  <c r="F124" i="13"/>
  <c r="H124" i="13" s="1"/>
  <c r="G123" i="13"/>
  <c r="H122" i="13"/>
  <c r="H121" i="13"/>
  <c r="H120" i="13"/>
  <c r="H119" i="13"/>
  <c r="F118" i="13"/>
  <c r="H117" i="13"/>
  <c r="H116" i="13"/>
  <c r="H115" i="13"/>
  <c r="G114" i="13"/>
  <c r="H113" i="13"/>
  <c r="F112" i="13"/>
  <c r="H112" i="13" s="1"/>
  <c r="H110" i="13"/>
  <c r="H109" i="13"/>
  <c r="H108" i="13"/>
  <c r="H107" i="13"/>
  <c r="H106" i="13"/>
  <c r="G105" i="13"/>
  <c r="F105" i="13"/>
  <c r="H104" i="13"/>
  <c r="H103" i="13"/>
  <c r="H102" i="13"/>
  <c r="G101" i="13"/>
  <c r="F101" i="13"/>
  <c r="H100" i="13"/>
  <c r="H99" i="13"/>
  <c r="H98" i="13"/>
  <c r="H97" i="13"/>
  <c r="H96" i="13"/>
  <c r="H95" i="13"/>
  <c r="H94" i="13"/>
  <c r="H93" i="13"/>
  <c r="H92" i="13"/>
  <c r="H90" i="13"/>
  <c r="G89" i="13"/>
  <c r="G88" i="13" s="1"/>
  <c r="F89" i="13"/>
  <c r="H84" i="13"/>
  <c r="H83" i="13"/>
  <c r="H81" i="13"/>
  <c r="H80" i="13"/>
  <c r="G79" i="13"/>
  <c r="G75" i="13" s="1"/>
  <c r="G74" i="13" s="1"/>
  <c r="F79" i="13"/>
  <c r="H78" i="13"/>
  <c r="H77" i="13"/>
  <c r="H76" i="13"/>
  <c r="F75" i="13"/>
  <c r="H71" i="13"/>
  <c r="G70" i="13"/>
  <c r="F70" i="13"/>
  <c r="H69" i="13"/>
  <c r="H68" i="13"/>
  <c r="G67" i="13"/>
  <c r="F67" i="13"/>
  <c r="H66" i="13"/>
  <c r="H65" i="13"/>
  <c r="H64" i="13"/>
  <c r="H63" i="13"/>
  <c r="H62" i="13"/>
  <c r="G61" i="13"/>
  <c r="F61" i="13"/>
  <c r="H60" i="13"/>
  <c r="H59" i="13"/>
  <c r="H58" i="13"/>
  <c r="H57" i="13"/>
  <c r="H56" i="13"/>
  <c r="H55" i="13"/>
  <c r="H54" i="13"/>
  <c r="H53" i="13"/>
  <c r="H52" i="13"/>
  <c r="H51" i="13"/>
  <c r="H50" i="13"/>
  <c r="G49" i="13"/>
  <c r="G45" i="13" s="1"/>
  <c r="F49" i="13"/>
  <c r="H48" i="13"/>
  <c r="H47" i="13"/>
  <c r="H46" i="13"/>
  <c r="H44" i="13"/>
  <c r="H43" i="13"/>
  <c r="H42" i="13"/>
  <c r="H41" i="13"/>
  <c r="H40" i="13"/>
  <c r="H39" i="13"/>
  <c r="G38" i="13"/>
  <c r="F38" i="13"/>
  <c r="H37" i="13"/>
  <c r="H36" i="13"/>
  <c r="H35" i="13"/>
  <c r="G34" i="13"/>
  <c r="F34" i="13"/>
  <c r="H33" i="13"/>
  <c r="H32" i="13"/>
  <c r="G31" i="13"/>
  <c r="F31" i="13"/>
  <c r="G30" i="13"/>
  <c r="H29" i="13"/>
  <c r="H28" i="13"/>
  <c r="H27" i="13"/>
  <c r="G26" i="13"/>
  <c r="F26" i="13"/>
  <c r="H24" i="13"/>
  <c r="H23" i="13"/>
  <c r="G22" i="13"/>
  <c r="F22" i="13"/>
  <c r="H21" i="13"/>
  <c r="H20" i="13"/>
  <c r="H19" i="13"/>
  <c r="H18" i="13"/>
  <c r="H17" i="13"/>
  <c r="H16" i="13"/>
  <c r="H15" i="13"/>
  <c r="H14" i="13"/>
  <c r="H13" i="13"/>
  <c r="H12" i="13"/>
  <c r="H11" i="13"/>
  <c r="G10" i="13"/>
  <c r="G9" i="13" s="1"/>
  <c r="F10" i="13"/>
  <c r="F9" i="13" s="1"/>
  <c r="H150" i="63"/>
  <c r="H149" i="63"/>
  <c r="H148" i="63"/>
  <c r="H147" i="63"/>
  <c r="H145" i="63"/>
  <c r="H144" i="63"/>
  <c r="G143" i="63"/>
  <c r="F143" i="63"/>
  <c r="H141" i="63"/>
  <c r="H140" i="63"/>
  <c r="H139" i="63"/>
  <c r="H138" i="63"/>
  <c r="H137" i="63"/>
  <c r="H136" i="63"/>
  <c r="H135" i="63"/>
  <c r="G134" i="63"/>
  <c r="G128" i="63" s="1"/>
  <c r="F134" i="63"/>
  <c r="H133" i="63"/>
  <c r="H132" i="63"/>
  <c r="H131" i="63"/>
  <c r="H130" i="63"/>
  <c r="H129" i="63"/>
  <c r="F128" i="63"/>
  <c r="H127" i="63"/>
  <c r="H126" i="63"/>
  <c r="H125" i="63"/>
  <c r="H124" i="63"/>
  <c r="G123" i="63"/>
  <c r="F123" i="63"/>
  <c r="H122" i="63"/>
  <c r="H121" i="63"/>
  <c r="H120" i="63"/>
  <c r="H119" i="63"/>
  <c r="H118" i="63"/>
  <c r="H117" i="63"/>
  <c r="H116" i="63"/>
  <c r="H115" i="63"/>
  <c r="G114" i="63"/>
  <c r="F114" i="63"/>
  <c r="F111" i="63" s="1"/>
  <c r="H113" i="63"/>
  <c r="H112" i="63"/>
  <c r="G111" i="63"/>
  <c r="H110" i="63"/>
  <c r="H109" i="63"/>
  <c r="H108" i="63"/>
  <c r="H107" i="63"/>
  <c r="H106" i="63"/>
  <c r="G105" i="63"/>
  <c r="F105" i="63"/>
  <c r="H104" i="63"/>
  <c r="H103" i="63"/>
  <c r="H102" i="63"/>
  <c r="G101" i="63"/>
  <c r="F101" i="63"/>
  <c r="H100" i="63"/>
  <c r="H99" i="63"/>
  <c r="H98" i="63"/>
  <c r="H97" i="63"/>
  <c r="H96" i="63"/>
  <c r="H95" i="63"/>
  <c r="H94" i="63"/>
  <c r="H93" i="63"/>
  <c r="H92" i="63"/>
  <c r="H90" i="63"/>
  <c r="G89" i="63"/>
  <c r="G88" i="63" s="1"/>
  <c r="F89" i="63"/>
  <c r="F88" i="63" s="1"/>
  <c r="H84" i="63"/>
  <c r="H83" i="63"/>
  <c r="H81" i="63"/>
  <c r="H80" i="63"/>
  <c r="G79" i="63"/>
  <c r="G75" i="63" s="1"/>
  <c r="G74" i="63" s="1"/>
  <c r="F79" i="63"/>
  <c r="H78" i="63"/>
  <c r="H77" i="63"/>
  <c r="H76" i="63"/>
  <c r="H71" i="63"/>
  <c r="G70" i="63"/>
  <c r="F70" i="63"/>
  <c r="H69" i="63"/>
  <c r="H68" i="63"/>
  <c r="G67" i="63"/>
  <c r="F67" i="63"/>
  <c r="H66" i="63"/>
  <c r="H65" i="63"/>
  <c r="H64" i="63"/>
  <c r="H63" i="63"/>
  <c r="H62" i="63"/>
  <c r="G61" i="63"/>
  <c r="F61" i="63"/>
  <c r="H60" i="63"/>
  <c r="H59" i="63"/>
  <c r="H58" i="63"/>
  <c r="H57" i="63"/>
  <c r="H56" i="63"/>
  <c r="H55" i="63"/>
  <c r="H54" i="63"/>
  <c r="H53" i="63"/>
  <c r="H52" i="63"/>
  <c r="H51" i="63"/>
  <c r="H50" i="63"/>
  <c r="G49" i="63"/>
  <c r="G45" i="63" s="1"/>
  <c r="F49" i="63"/>
  <c r="H48" i="63"/>
  <c r="H47" i="63"/>
  <c r="H46" i="63"/>
  <c r="F45" i="63"/>
  <c r="H44" i="63"/>
  <c r="H43" i="63"/>
  <c r="H42" i="63"/>
  <c r="H41" i="63"/>
  <c r="H40" i="63"/>
  <c r="H39" i="63"/>
  <c r="G38" i="63"/>
  <c r="F38" i="63"/>
  <c r="H37" i="63"/>
  <c r="H36" i="63"/>
  <c r="H35" i="63"/>
  <c r="G34" i="63"/>
  <c r="F34" i="63"/>
  <c r="H33" i="63"/>
  <c r="H32" i="63"/>
  <c r="G31" i="63"/>
  <c r="F31" i="63"/>
  <c r="F30" i="63" s="1"/>
  <c r="G30" i="63"/>
  <c r="H29" i="63"/>
  <c r="H28" i="63"/>
  <c r="H27" i="63"/>
  <c r="G26" i="63"/>
  <c r="F26" i="63"/>
  <c r="H24" i="63"/>
  <c r="H23" i="63"/>
  <c r="G22" i="63"/>
  <c r="F22" i="63"/>
  <c r="H21" i="63"/>
  <c r="H20" i="63"/>
  <c r="H19" i="63"/>
  <c r="H18" i="63"/>
  <c r="H17" i="63"/>
  <c r="H16" i="63"/>
  <c r="H15" i="63"/>
  <c r="H14" i="63"/>
  <c r="H13" i="63"/>
  <c r="H12" i="63"/>
  <c r="H11" i="63"/>
  <c r="G10" i="63"/>
  <c r="G9" i="63" s="1"/>
  <c r="F10" i="63"/>
  <c r="H150" i="12"/>
  <c r="H149" i="12"/>
  <c r="H148" i="12"/>
  <c r="H145" i="12"/>
  <c r="H144" i="12"/>
  <c r="G143" i="12"/>
  <c r="F143" i="12"/>
  <c r="H141" i="12"/>
  <c r="H140" i="12"/>
  <c r="H139" i="12"/>
  <c r="H138" i="12"/>
  <c r="H137" i="12"/>
  <c r="H136" i="12"/>
  <c r="H135" i="12"/>
  <c r="G134" i="12"/>
  <c r="G128" i="12" s="1"/>
  <c r="F134" i="12"/>
  <c r="F128" i="12" s="1"/>
  <c r="H133" i="12"/>
  <c r="H132" i="12"/>
  <c r="H131" i="12"/>
  <c r="F131" i="7"/>
  <c r="H130" i="12"/>
  <c r="H129" i="12"/>
  <c r="H127" i="12"/>
  <c r="H126" i="12"/>
  <c r="H125" i="12"/>
  <c r="H124" i="12"/>
  <c r="G123" i="12"/>
  <c r="F123" i="12"/>
  <c r="H122" i="12"/>
  <c r="H121" i="12"/>
  <c r="H120" i="12"/>
  <c r="H119" i="12"/>
  <c r="H118" i="12"/>
  <c r="H117" i="12"/>
  <c r="H116" i="12"/>
  <c r="H115" i="12"/>
  <c r="G114" i="12"/>
  <c r="F114" i="12"/>
  <c r="F111" i="12" s="1"/>
  <c r="H113" i="12"/>
  <c r="H112" i="12"/>
  <c r="G111" i="12"/>
  <c r="H110" i="12"/>
  <c r="H109" i="12"/>
  <c r="H108" i="12"/>
  <c r="H107" i="12"/>
  <c r="H106" i="12"/>
  <c r="G105" i="12"/>
  <c r="F105" i="12"/>
  <c r="H104" i="12"/>
  <c r="H103" i="12"/>
  <c r="H102" i="12"/>
  <c r="G101" i="12"/>
  <c r="F101" i="12"/>
  <c r="H100" i="12"/>
  <c r="H99" i="12"/>
  <c r="H98" i="12"/>
  <c r="H97" i="12"/>
  <c r="H96" i="12"/>
  <c r="H95" i="12"/>
  <c r="H94" i="12"/>
  <c r="H93" i="12"/>
  <c r="H92" i="12"/>
  <c r="H90" i="12"/>
  <c r="G89" i="12"/>
  <c r="F89" i="12"/>
  <c r="F88" i="12" s="1"/>
  <c r="G88" i="12"/>
  <c r="H84" i="12"/>
  <c r="H83" i="12"/>
  <c r="H81" i="12"/>
  <c r="H80" i="12"/>
  <c r="G79" i="12"/>
  <c r="G75" i="12" s="1"/>
  <c r="G74" i="12" s="1"/>
  <c r="F79" i="12"/>
  <c r="H78" i="12"/>
  <c r="H77" i="12"/>
  <c r="H76" i="12"/>
  <c r="H71" i="12"/>
  <c r="G70" i="12"/>
  <c r="F70" i="12"/>
  <c r="H69" i="12"/>
  <c r="H68" i="12"/>
  <c r="G67" i="12"/>
  <c r="F67" i="12"/>
  <c r="H66" i="12"/>
  <c r="H65" i="12"/>
  <c r="H64" i="12"/>
  <c r="H63" i="12"/>
  <c r="H62" i="12"/>
  <c r="G61" i="12"/>
  <c r="F61" i="12"/>
  <c r="H60" i="12"/>
  <c r="H59" i="12"/>
  <c r="H58" i="12"/>
  <c r="H57" i="12"/>
  <c r="H56" i="12"/>
  <c r="H55" i="12"/>
  <c r="H54" i="12"/>
  <c r="H53" i="12"/>
  <c r="H52" i="12"/>
  <c r="H51" i="12"/>
  <c r="H50" i="12"/>
  <c r="G49" i="12"/>
  <c r="G45" i="12" s="1"/>
  <c r="F49" i="12"/>
  <c r="H48" i="12"/>
  <c r="H47" i="12"/>
  <c r="H46" i="12"/>
  <c r="H44" i="12"/>
  <c r="H43" i="12"/>
  <c r="H42" i="12"/>
  <c r="H41" i="12"/>
  <c r="H40" i="12"/>
  <c r="H39" i="12"/>
  <c r="G38" i="12"/>
  <c r="F38" i="12"/>
  <c r="H37" i="12"/>
  <c r="H36" i="12"/>
  <c r="H35" i="12"/>
  <c r="G34" i="12"/>
  <c r="F34" i="12"/>
  <c r="H33" i="12"/>
  <c r="H32" i="12"/>
  <c r="G31" i="12"/>
  <c r="F31" i="12"/>
  <c r="F30" i="12" s="1"/>
  <c r="G30" i="12"/>
  <c r="H29" i="12"/>
  <c r="H28" i="12"/>
  <c r="H27" i="12"/>
  <c r="G26" i="12"/>
  <c r="F26" i="12"/>
  <c r="H24" i="12"/>
  <c r="H23" i="12"/>
  <c r="G22" i="12"/>
  <c r="F22" i="12"/>
  <c r="H21" i="12"/>
  <c r="H20" i="12"/>
  <c r="H19" i="12"/>
  <c r="H18" i="12"/>
  <c r="H17" i="12"/>
  <c r="H16" i="12"/>
  <c r="H15" i="12"/>
  <c r="H14" i="12"/>
  <c r="H13" i="12"/>
  <c r="H12" i="12"/>
  <c r="H11" i="12"/>
  <c r="G10" i="12"/>
  <c r="G9" i="12" s="1"/>
  <c r="F10" i="12"/>
  <c r="F9" i="12" s="1"/>
  <c r="H150" i="11"/>
  <c r="H149" i="11"/>
  <c r="H148" i="11"/>
  <c r="H147" i="11"/>
  <c r="H145" i="11"/>
  <c r="H144" i="11"/>
  <c r="G143" i="11"/>
  <c r="F143" i="11"/>
  <c r="H141" i="11"/>
  <c r="H140" i="11"/>
  <c r="H139" i="11"/>
  <c r="H138" i="11"/>
  <c r="H137" i="11"/>
  <c r="H136" i="11"/>
  <c r="H135" i="11"/>
  <c r="G134" i="11"/>
  <c r="G128" i="11" s="1"/>
  <c r="F134" i="11"/>
  <c r="H133" i="11"/>
  <c r="H132" i="11"/>
  <c r="H131" i="11"/>
  <c r="H130" i="11"/>
  <c r="H129" i="11"/>
  <c r="F128" i="11"/>
  <c r="H127" i="11"/>
  <c r="H126" i="11"/>
  <c r="H125" i="11"/>
  <c r="H124" i="11"/>
  <c r="G123" i="11"/>
  <c r="F123" i="11"/>
  <c r="H122" i="11"/>
  <c r="H121" i="11"/>
  <c r="H120" i="11"/>
  <c r="H119" i="11"/>
  <c r="H118" i="11"/>
  <c r="H117" i="11"/>
  <c r="H116" i="11"/>
  <c r="H115" i="11"/>
  <c r="G114" i="11"/>
  <c r="G111" i="11" s="1"/>
  <c r="F114" i="11"/>
  <c r="H113" i="11"/>
  <c r="H112" i="11"/>
  <c r="H110" i="11"/>
  <c r="H109" i="11"/>
  <c r="H108" i="11"/>
  <c r="H107" i="11"/>
  <c r="H106" i="11"/>
  <c r="G105" i="11"/>
  <c r="F105" i="11"/>
  <c r="H104" i="11"/>
  <c r="H103" i="11"/>
  <c r="H102" i="11"/>
  <c r="G101" i="11"/>
  <c r="F101" i="11"/>
  <c r="H100" i="11"/>
  <c r="H99" i="11"/>
  <c r="H98" i="11"/>
  <c r="H97" i="11"/>
  <c r="H96" i="11"/>
  <c r="H95" i="11"/>
  <c r="H94" i="11"/>
  <c r="H93" i="11"/>
  <c r="H92" i="11"/>
  <c r="H90" i="11"/>
  <c r="G89" i="11"/>
  <c r="G88" i="11" s="1"/>
  <c r="F89" i="11"/>
  <c r="F88" i="11" s="1"/>
  <c r="H84" i="11"/>
  <c r="H83" i="11"/>
  <c r="H81" i="11"/>
  <c r="H80" i="11"/>
  <c r="G79" i="11"/>
  <c r="G75" i="11" s="1"/>
  <c r="G74" i="11" s="1"/>
  <c r="F79" i="11"/>
  <c r="H78" i="11"/>
  <c r="H77" i="11"/>
  <c r="H76" i="11"/>
  <c r="H71" i="11"/>
  <c r="G70" i="11"/>
  <c r="F70" i="11"/>
  <c r="H69" i="11"/>
  <c r="H68" i="11"/>
  <c r="G67" i="11"/>
  <c r="F67" i="11"/>
  <c r="H66" i="11"/>
  <c r="H65" i="11"/>
  <c r="H64" i="11"/>
  <c r="H63" i="11"/>
  <c r="H62" i="11"/>
  <c r="G61" i="11"/>
  <c r="F61" i="11"/>
  <c r="H60" i="11"/>
  <c r="H59" i="11"/>
  <c r="H58" i="11"/>
  <c r="H57" i="11"/>
  <c r="H56" i="11"/>
  <c r="H55" i="11"/>
  <c r="H54" i="11"/>
  <c r="H53" i="11"/>
  <c r="H52" i="11"/>
  <c r="H51" i="11"/>
  <c r="H50" i="11"/>
  <c r="G49" i="11"/>
  <c r="G45" i="11" s="1"/>
  <c r="F49" i="11"/>
  <c r="H48" i="11"/>
  <c r="H47" i="11"/>
  <c r="H46" i="11"/>
  <c r="F45" i="11"/>
  <c r="H44" i="11"/>
  <c r="H43" i="11"/>
  <c r="H42" i="11"/>
  <c r="H41" i="11"/>
  <c r="H40" i="11"/>
  <c r="H39" i="11"/>
  <c r="G38" i="11"/>
  <c r="F38" i="11"/>
  <c r="H37" i="11"/>
  <c r="H36" i="11"/>
  <c r="H35" i="11"/>
  <c r="G34" i="11"/>
  <c r="F34" i="11"/>
  <c r="H33" i="11"/>
  <c r="H32" i="11"/>
  <c r="G31" i="11"/>
  <c r="G30" i="11" s="1"/>
  <c r="F31" i="11"/>
  <c r="F30" i="11" s="1"/>
  <c r="H29" i="11"/>
  <c r="H28" i="11"/>
  <c r="H27" i="11"/>
  <c r="G26" i="11"/>
  <c r="F26" i="11"/>
  <c r="H24" i="11"/>
  <c r="H23" i="11"/>
  <c r="G22" i="11"/>
  <c r="F22" i="11"/>
  <c r="H21" i="11"/>
  <c r="H20" i="11"/>
  <c r="H19" i="11"/>
  <c r="H18" i="11"/>
  <c r="H17" i="11"/>
  <c r="H16" i="11"/>
  <c r="H15" i="11"/>
  <c r="H14" i="11"/>
  <c r="H13" i="11"/>
  <c r="H12" i="11"/>
  <c r="H11" i="11"/>
  <c r="G10" i="11"/>
  <c r="F10" i="11"/>
  <c r="G9" i="11"/>
  <c r="H150" i="10"/>
  <c r="H149" i="10"/>
  <c r="H148" i="10"/>
  <c r="H147" i="10"/>
  <c r="H145" i="10"/>
  <c r="H144" i="10"/>
  <c r="G143" i="10"/>
  <c r="F143" i="10"/>
  <c r="H141" i="10"/>
  <c r="H138" i="10"/>
  <c r="H137" i="10"/>
  <c r="H136" i="10"/>
  <c r="H135" i="10"/>
  <c r="G134" i="10"/>
  <c r="G128" i="10" s="1"/>
  <c r="F134" i="10"/>
  <c r="H133" i="10"/>
  <c r="H132" i="10"/>
  <c r="H131" i="10"/>
  <c r="H130" i="10"/>
  <c r="H129" i="10"/>
  <c r="H127" i="10"/>
  <c r="H126" i="10"/>
  <c r="H125" i="10"/>
  <c r="H124" i="10"/>
  <c r="G123" i="10"/>
  <c r="F123" i="10"/>
  <c r="H122" i="10"/>
  <c r="H121" i="10"/>
  <c r="H120" i="10"/>
  <c r="H119" i="10"/>
  <c r="H118" i="10"/>
  <c r="H117" i="10"/>
  <c r="H116" i="10"/>
  <c r="H115" i="10"/>
  <c r="G114" i="10"/>
  <c r="F114" i="10"/>
  <c r="F111" i="10" s="1"/>
  <c r="H113" i="10"/>
  <c r="H112" i="10"/>
  <c r="G111" i="10"/>
  <c r="H110" i="10"/>
  <c r="H109" i="10"/>
  <c r="H108" i="10"/>
  <c r="H107" i="10"/>
  <c r="H106" i="10"/>
  <c r="G105" i="10"/>
  <c r="F105" i="10"/>
  <c r="H104" i="10"/>
  <c r="H103" i="10"/>
  <c r="H102" i="10"/>
  <c r="G101" i="10"/>
  <c r="F101" i="10"/>
  <c r="H100" i="10"/>
  <c r="H99" i="10"/>
  <c r="H98" i="10"/>
  <c r="H97" i="10"/>
  <c r="H96" i="10"/>
  <c r="H95" i="10"/>
  <c r="H94" i="10"/>
  <c r="H93" i="10"/>
  <c r="H92" i="10"/>
  <c r="H90" i="10"/>
  <c r="G89" i="10"/>
  <c r="G88" i="10" s="1"/>
  <c r="F89" i="10"/>
  <c r="F88" i="10" s="1"/>
  <c r="H84" i="10"/>
  <c r="H83" i="10"/>
  <c r="H81" i="10"/>
  <c r="H80" i="10"/>
  <c r="G79" i="10"/>
  <c r="G75" i="10" s="1"/>
  <c r="G74" i="10" s="1"/>
  <c r="F79" i="10"/>
  <c r="F75" i="10" s="1"/>
  <c r="H78" i="10"/>
  <c r="H77" i="10"/>
  <c r="H76" i="10"/>
  <c r="H71" i="10"/>
  <c r="G70" i="10"/>
  <c r="F70" i="10"/>
  <c r="H69" i="10"/>
  <c r="H68" i="10"/>
  <c r="G67" i="10"/>
  <c r="F67" i="10"/>
  <c r="H66" i="10"/>
  <c r="H65" i="10"/>
  <c r="H64" i="10"/>
  <c r="H63" i="10"/>
  <c r="H62" i="10"/>
  <c r="G61" i="10"/>
  <c r="F61" i="10"/>
  <c r="H60" i="10"/>
  <c r="H59" i="10"/>
  <c r="H58" i="10"/>
  <c r="H57" i="10"/>
  <c r="H56" i="10"/>
  <c r="H55" i="10"/>
  <c r="H54" i="10"/>
  <c r="H53" i="10"/>
  <c r="H52" i="10"/>
  <c r="H51" i="10"/>
  <c r="H50" i="10"/>
  <c r="G49" i="10"/>
  <c r="G45" i="10" s="1"/>
  <c r="F49" i="10"/>
  <c r="H48" i="10"/>
  <c r="H47" i="10"/>
  <c r="H46" i="10"/>
  <c r="H44" i="10"/>
  <c r="H43" i="10"/>
  <c r="H42" i="10"/>
  <c r="H41" i="10"/>
  <c r="H40" i="10"/>
  <c r="H39" i="10"/>
  <c r="G38" i="10"/>
  <c r="F38" i="10"/>
  <c r="H37" i="10"/>
  <c r="H36" i="10"/>
  <c r="H35" i="10"/>
  <c r="G34" i="10"/>
  <c r="F34" i="10"/>
  <c r="H33" i="10"/>
  <c r="H32" i="10"/>
  <c r="G31" i="10"/>
  <c r="F31" i="10"/>
  <c r="F30" i="10" s="1"/>
  <c r="G30" i="10"/>
  <c r="H29" i="10"/>
  <c r="H28" i="10"/>
  <c r="H27" i="10"/>
  <c r="G26" i="10"/>
  <c r="F26" i="10"/>
  <c r="H24" i="10"/>
  <c r="H23" i="10"/>
  <c r="G22" i="10"/>
  <c r="F22" i="10"/>
  <c r="H21" i="10"/>
  <c r="H20" i="10"/>
  <c r="H19" i="10"/>
  <c r="H18" i="10"/>
  <c r="H17" i="10"/>
  <c r="H16" i="10"/>
  <c r="H15" i="10"/>
  <c r="H14" i="10"/>
  <c r="H13" i="10"/>
  <c r="H12" i="10"/>
  <c r="H11" i="10"/>
  <c r="G10" i="10"/>
  <c r="G9" i="10" s="1"/>
  <c r="F10" i="10"/>
  <c r="F9" i="10" s="1"/>
  <c r="H150" i="9"/>
  <c r="H149" i="9"/>
  <c r="H148" i="9"/>
  <c r="H147" i="9"/>
  <c r="H145" i="9"/>
  <c r="H144" i="9"/>
  <c r="G143" i="9"/>
  <c r="F143" i="9"/>
  <c r="H141" i="9"/>
  <c r="H140" i="9"/>
  <c r="H139" i="9"/>
  <c r="H138" i="9"/>
  <c r="H137" i="9"/>
  <c r="H136" i="9"/>
  <c r="H135" i="9"/>
  <c r="G134" i="9"/>
  <c r="G128" i="9" s="1"/>
  <c r="F134" i="9"/>
  <c r="H133" i="9"/>
  <c r="H132" i="9"/>
  <c r="H131" i="9"/>
  <c r="H130" i="9"/>
  <c r="H129" i="9"/>
  <c r="F128" i="9"/>
  <c r="H127" i="9"/>
  <c r="H126" i="9"/>
  <c r="H125" i="9"/>
  <c r="H124" i="9"/>
  <c r="G123" i="9"/>
  <c r="F123" i="9"/>
  <c r="H122" i="9"/>
  <c r="H121" i="9"/>
  <c r="H120" i="9"/>
  <c r="H119" i="9"/>
  <c r="H118" i="9"/>
  <c r="H117" i="9"/>
  <c r="H116" i="9"/>
  <c r="H115" i="9"/>
  <c r="G114" i="9"/>
  <c r="F114" i="9"/>
  <c r="F111" i="9" s="1"/>
  <c r="H113" i="9"/>
  <c r="H112" i="9"/>
  <c r="G111" i="9"/>
  <c r="H110" i="9"/>
  <c r="H109" i="9"/>
  <c r="H108" i="9"/>
  <c r="H107" i="9"/>
  <c r="H106" i="9"/>
  <c r="G105" i="9"/>
  <c r="F105" i="9"/>
  <c r="H104" i="9"/>
  <c r="H103" i="9"/>
  <c r="H102" i="9"/>
  <c r="G101" i="9"/>
  <c r="F101" i="9"/>
  <c r="H100" i="9"/>
  <c r="H99" i="9"/>
  <c r="H98" i="9"/>
  <c r="H97" i="9"/>
  <c r="H96" i="9"/>
  <c r="H95" i="9"/>
  <c r="H94" i="9"/>
  <c r="H93" i="9"/>
  <c r="H92" i="9"/>
  <c r="H90" i="9"/>
  <c r="G89" i="9"/>
  <c r="G88" i="9" s="1"/>
  <c r="F89" i="9"/>
  <c r="F88" i="9" s="1"/>
  <c r="H84" i="9"/>
  <c r="H83" i="9"/>
  <c r="H81" i="9"/>
  <c r="H80" i="9"/>
  <c r="G79" i="9"/>
  <c r="G75" i="9" s="1"/>
  <c r="G74" i="9" s="1"/>
  <c r="F79" i="9"/>
  <c r="H78" i="9"/>
  <c r="H77" i="9"/>
  <c r="H76" i="9"/>
  <c r="H71" i="9"/>
  <c r="G70" i="9"/>
  <c r="F70" i="9"/>
  <c r="H69" i="9"/>
  <c r="H68" i="9"/>
  <c r="G67" i="9"/>
  <c r="F67" i="9"/>
  <c r="H66" i="9"/>
  <c r="H65" i="9"/>
  <c r="H64" i="9"/>
  <c r="H63" i="9"/>
  <c r="H62" i="9"/>
  <c r="G61" i="9"/>
  <c r="F61" i="9"/>
  <c r="H60" i="9"/>
  <c r="H59" i="9"/>
  <c r="H58" i="9"/>
  <c r="H57" i="9"/>
  <c r="H56" i="9"/>
  <c r="H55" i="9"/>
  <c r="H54" i="9"/>
  <c r="H53" i="9"/>
  <c r="H52" i="9"/>
  <c r="H51" i="9"/>
  <c r="H50" i="9"/>
  <c r="G49" i="9"/>
  <c r="G45" i="9" s="1"/>
  <c r="F49" i="9"/>
  <c r="H48" i="9"/>
  <c r="H47" i="9"/>
  <c r="H46" i="9"/>
  <c r="F45" i="9"/>
  <c r="H44" i="9"/>
  <c r="H43" i="9"/>
  <c r="H42" i="9"/>
  <c r="H41" i="9"/>
  <c r="H40" i="9"/>
  <c r="H39" i="9"/>
  <c r="G38" i="9"/>
  <c r="F38" i="9"/>
  <c r="H37" i="9"/>
  <c r="H36" i="9"/>
  <c r="H35" i="9"/>
  <c r="G34" i="9"/>
  <c r="F34" i="9"/>
  <c r="H33" i="9"/>
  <c r="H32" i="9"/>
  <c r="G31" i="9"/>
  <c r="F31" i="9"/>
  <c r="F30" i="9" s="1"/>
  <c r="G30" i="9"/>
  <c r="H29" i="9"/>
  <c r="H28" i="9"/>
  <c r="H27" i="9"/>
  <c r="G26" i="9"/>
  <c r="F26" i="9"/>
  <c r="H24" i="9"/>
  <c r="H23" i="9"/>
  <c r="G22" i="9"/>
  <c r="F22" i="9"/>
  <c r="H21" i="9"/>
  <c r="H20" i="9"/>
  <c r="H19" i="9"/>
  <c r="H18" i="9"/>
  <c r="H17" i="9"/>
  <c r="H16" i="9"/>
  <c r="H15" i="9"/>
  <c r="H14" i="9"/>
  <c r="H13" i="9"/>
  <c r="H12" i="9"/>
  <c r="H11" i="9"/>
  <c r="G10" i="9"/>
  <c r="G9" i="9" s="1"/>
  <c r="F10" i="9"/>
  <c r="H150" i="8"/>
  <c r="H149" i="8"/>
  <c r="H148" i="8"/>
  <c r="H147" i="8"/>
  <c r="H145" i="8"/>
  <c r="H144" i="8"/>
  <c r="G143" i="8"/>
  <c r="F143" i="8"/>
  <c r="H141" i="8"/>
  <c r="H140" i="8"/>
  <c r="H139" i="8"/>
  <c r="H136" i="8"/>
  <c r="H135" i="8"/>
  <c r="G134" i="8"/>
  <c r="G128" i="8" s="1"/>
  <c r="F134" i="8"/>
  <c r="F133" i="8"/>
  <c r="H132" i="8"/>
  <c r="H131" i="8"/>
  <c r="H130" i="8"/>
  <c r="H129" i="8"/>
  <c r="H127" i="8"/>
  <c r="F126" i="8"/>
  <c r="H125" i="8"/>
  <c r="F124" i="8"/>
  <c r="H124" i="8" s="1"/>
  <c r="G123" i="8"/>
  <c r="H122" i="8"/>
  <c r="H121" i="8"/>
  <c r="H120" i="8"/>
  <c r="H119" i="8"/>
  <c r="H118" i="8"/>
  <c r="H117" i="8"/>
  <c r="H116" i="8"/>
  <c r="H115" i="8"/>
  <c r="G114" i="8"/>
  <c r="F114" i="8"/>
  <c r="H113" i="8"/>
  <c r="H112" i="8"/>
  <c r="H110" i="8"/>
  <c r="H109" i="8"/>
  <c r="H108" i="8"/>
  <c r="H107" i="8"/>
  <c r="H106" i="8"/>
  <c r="G105" i="8"/>
  <c r="F105" i="8"/>
  <c r="H104" i="8"/>
  <c r="H103" i="8"/>
  <c r="H102" i="8"/>
  <c r="G101" i="8"/>
  <c r="F101" i="8"/>
  <c r="H100" i="8"/>
  <c r="H99" i="8"/>
  <c r="H98" i="8"/>
  <c r="H97" i="8"/>
  <c r="H96" i="8"/>
  <c r="H95" i="8"/>
  <c r="H94" i="8"/>
  <c r="H93" i="8"/>
  <c r="H92" i="8"/>
  <c r="H90" i="8"/>
  <c r="G89" i="8"/>
  <c r="G88" i="8" s="1"/>
  <c r="F89" i="8"/>
  <c r="H84" i="8"/>
  <c r="H83" i="8"/>
  <c r="H81" i="8"/>
  <c r="H80" i="8"/>
  <c r="G79" i="8"/>
  <c r="F79" i="8"/>
  <c r="H78" i="8"/>
  <c r="H77" i="8"/>
  <c r="H76" i="8"/>
  <c r="F75" i="8"/>
  <c r="H71" i="8"/>
  <c r="G70" i="8"/>
  <c r="F70" i="8"/>
  <c r="H69" i="8"/>
  <c r="H68" i="8"/>
  <c r="G67" i="8"/>
  <c r="F67" i="8"/>
  <c r="H66" i="8"/>
  <c r="H65" i="8"/>
  <c r="H64" i="8"/>
  <c r="H63" i="8"/>
  <c r="H62" i="8"/>
  <c r="G61" i="8"/>
  <c r="F61" i="8"/>
  <c r="H60" i="8"/>
  <c r="H59" i="8"/>
  <c r="H58" i="8"/>
  <c r="H57" i="8"/>
  <c r="H56" i="8"/>
  <c r="F55" i="8"/>
  <c r="H54" i="8"/>
  <c r="H53" i="8"/>
  <c r="H52" i="8"/>
  <c r="H51" i="8"/>
  <c r="H50" i="8"/>
  <c r="G49" i="8"/>
  <c r="G45" i="8" s="1"/>
  <c r="F49" i="8"/>
  <c r="F48" i="8"/>
  <c r="F47" i="8"/>
  <c r="H46" i="8"/>
  <c r="H44" i="8"/>
  <c r="H43" i="8"/>
  <c r="H42" i="8"/>
  <c r="H41" i="8"/>
  <c r="H40" i="8"/>
  <c r="H39" i="8"/>
  <c r="G38" i="8"/>
  <c r="F38" i="8"/>
  <c r="H37" i="8"/>
  <c r="H36" i="8"/>
  <c r="H35" i="8"/>
  <c r="G34" i="8"/>
  <c r="F34" i="8"/>
  <c r="H33" i="8"/>
  <c r="H32" i="8"/>
  <c r="G31" i="8"/>
  <c r="F31" i="8"/>
  <c r="G30" i="8"/>
  <c r="H29" i="8"/>
  <c r="H28" i="8"/>
  <c r="H27" i="8"/>
  <c r="G26" i="8"/>
  <c r="F26" i="8"/>
  <c r="H24" i="8"/>
  <c r="H23" i="8"/>
  <c r="G22" i="8"/>
  <c r="F22" i="8"/>
  <c r="H21" i="8"/>
  <c r="H20" i="8"/>
  <c r="H19" i="8"/>
  <c r="H18" i="8"/>
  <c r="H17" i="8"/>
  <c r="H16" i="8"/>
  <c r="H15" i="8"/>
  <c r="H14" i="8"/>
  <c r="H13" i="8"/>
  <c r="H12" i="8"/>
  <c r="H11" i="8"/>
  <c r="G10" i="8"/>
  <c r="F10" i="8"/>
  <c r="F9" i="8" s="1"/>
  <c r="H150" i="58"/>
  <c r="H149" i="58"/>
  <c r="H148" i="58"/>
  <c r="H147" i="58"/>
  <c r="H145" i="58"/>
  <c r="H144" i="58"/>
  <c r="G143" i="58"/>
  <c r="F143" i="58"/>
  <c r="H141" i="58"/>
  <c r="H140" i="58"/>
  <c r="H139" i="58"/>
  <c r="H138" i="58"/>
  <c r="H137" i="58"/>
  <c r="H136" i="58"/>
  <c r="H135" i="58"/>
  <c r="G134" i="58"/>
  <c r="G128" i="58" s="1"/>
  <c r="F134" i="58"/>
  <c r="H133" i="58"/>
  <c r="H132" i="58"/>
  <c r="H131" i="58"/>
  <c r="H130" i="58"/>
  <c r="H129" i="58"/>
  <c r="F128" i="58"/>
  <c r="H127" i="58"/>
  <c r="H126" i="58"/>
  <c r="H125" i="58"/>
  <c r="H124" i="58"/>
  <c r="G123" i="58"/>
  <c r="F123" i="58"/>
  <c r="H122" i="58"/>
  <c r="H121" i="58"/>
  <c r="H120" i="58"/>
  <c r="H119" i="58"/>
  <c r="H118" i="58"/>
  <c r="H117" i="58"/>
  <c r="H116" i="58"/>
  <c r="H115" i="58"/>
  <c r="G114" i="58"/>
  <c r="F114" i="58"/>
  <c r="F111" i="58" s="1"/>
  <c r="H113" i="58"/>
  <c r="H112" i="58"/>
  <c r="G111" i="58"/>
  <c r="H110" i="58"/>
  <c r="H109" i="58"/>
  <c r="H108" i="58"/>
  <c r="H107" i="58"/>
  <c r="H106" i="58"/>
  <c r="G105" i="58"/>
  <c r="F105" i="58"/>
  <c r="H104" i="58"/>
  <c r="H103" i="58"/>
  <c r="H102" i="58"/>
  <c r="G101" i="58"/>
  <c r="F101" i="58"/>
  <c r="H100" i="58"/>
  <c r="H99" i="58"/>
  <c r="H98" i="58"/>
  <c r="H97" i="58"/>
  <c r="H96" i="58"/>
  <c r="H95" i="58"/>
  <c r="H94" i="58"/>
  <c r="H93" i="58"/>
  <c r="H92" i="58"/>
  <c r="H91" i="58"/>
  <c r="H90" i="58"/>
  <c r="G89" i="58"/>
  <c r="F89" i="58"/>
  <c r="H84" i="58"/>
  <c r="H83" i="58"/>
  <c r="H81" i="58"/>
  <c r="H80" i="58"/>
  <c r="G79" i="58"/>
  <c r="G75" i="58" s="1"/>
  <c r="G74" i="58" s="1"/>
  <c r="F79" i="58"/>
  <c r="H78" i="58"/>
  <c r="H77" i="58"/>
  <c r="H76" i="58"/>
  <c r="F75" i="58"/>
  <c r="F74" i="58" s="1"/>
  <c r="H71" i="58"/>
  <c r="G70" i="58"/>
  <c r="F70" i="58"/>
  <c r="H69" i="58"/>
  <c r="H68" i="58"/>
  <c r="G67" i="58"/>
  <c r="F67" i="58"/>
  <c r="H66" i="58"/>
  <c r="H65" i="58"/>
  <c r="H64" i="58"/>
  <c r="H63" i="58"/>
  <c r="H62" i="58"/>
  <c r="G61" i="58"/>
  <c r="F61" i="58"/>
  <c r="H60" i="58"/>
  <c r="H59" i="58"/>
  <c r="H58" i="58"/>
  <c r="H57" i="58"/>
  <c r="H56" i="58"/>
  <c r="H55" i="58"/>
  <c r="H54" i="58"/>
  <c r="H53" i="58"/>
  <c r="H52" i="58"/>
  <c r="H51" i="58"/>
  <c r="H50" i="58"/>
  <c r="G49" i="58"/>
  <c r="G45" i="58" s="1"/>
  <c r="F49" i="58"/>
  <c r="H48" i="58"/>
  <c r="H47" i="58"/>
  <c r="H46" i="58"/>
  <c r="H44" i="58"/>
  <c r="H43" i="58"/>
  <c r="H42" i="58"/>
  <c r="H41" i="58"/>
  <c r="H40" i="58"/>
  <c r="H39" i="58"/>
  <c r="G38" i="58"/>
  <c r="F38" i="58"/>
  <c r="H37" i="58"/>
  <c r="H36" i="58"/>
  <c r="H35" i="58"/>
  <c r="G34" i="58"/>
  <c r="F34" i="58"/>
  <c r="H33" i="58"/>
  <c r="H32" i="58"/>
  <c r="G31" i="58"/>
  <c r="G30" i="58" s="1"/>
  <c r="F31" i="58"/>
  <c r="H29" i="58"/>
  <c r="H28" i="58"/>
  <c r="H27" i="58"/>
  <c r="G26" i="58"/>
  <c r="F26" i="58"/>
  <c r="H24" i="58"/>
  <c r="H23" i="58"/>
  <c r="G22" i="58"/>
  <c r="F22" i="58"/>
  <c r="H21" i="58"/>
  <c r="H20" i="58"/>
  <c r="H19" i="58"/>
  <c r="H18" i="58"/>
  <c r="H17" i="58"/>
  <c r="H16" i="58"/>
  <c r="H15" i="58"/>
  <c r="H14" i="58"/>
  <c r="H13" i="58"/>
  <c r="H12" i="58"/>
  <c r="H11" i="58"/>
  <c r="G10" i="58"/>
  <c r="F10" i="58"/>
  <c r="F9" i="58" s="1"/>
  <c r="G9" i="58"/>
  <c r="H150" i="20"/>
  <c r="H149" i="20"/>
  <c r="H148" i="20"/>
  <c r="H147" i="20"/>
  <c r="H145" i="20"/>
  <c r="H144" i="20"/>
  <c r="G143" i="20"/>
  <c r="F143" i="20"/>
  <c r="H141" i="20"/>
  <c r="H140" i="20"/>
  <c r="H139" i="20"/>
  <c r="H138" i="20"/>
  <c r="H137" i="20"/>
  <c r="H136" i="20"/>
  <c r="H135" i="20"/>
  <c r="G134" i="20"/>
  <c r="G128" i="20" s="1"/>
  <c r="F134" i="20"/>
  <c r="H133" i="20"/>
  <c r="H132" i="20"/>
  <c r="H131" i="20"/>
  <c r="H130" i="20"/>
  <c r="H129" i="20"/>
  <c r="F128" i="20"/>
  <c r="H127" i="20"/>
  <c r="H126" i="20"/>
  <c r="H125" i="20"/>
  <c r="F124" i="20"/>
  <c r="H124" i="20" s="1"/>
  <c r="G123" i="20"/>
  <c r="H122" i="20"/>
  <c r="F121" i="20"/>
  <c r="H121" i="20" s="1"/>
  <c r="H120" i="20"/>
  <c r="H119" i="20"/>
  <c r="F118" i="20"/>
  <c r="H117" i="20"/>
  <c r="H116" i="20"/>
  <c r="H115" i="20"/>
  <c r="G114" i="20"/>
  <c r="F113" i="20"/>
  <c r="H113" i="20" s="1"/>
  <c r="F112" i="20"/>
  <c r="H112" i="20" s="1"/>
  <c r="H110" i="20"/>
  <c r="H109" i="20"/>
  <c r="H108" i="20"/>
  <c r="H107" i="20"/>
  <c r="H106" i="20"/>
  <c r="G105" i="20"/>
  <c r="F105" i="20"/>
  <c r="H104" i="20"/>
  <c r="H103" i="20"/>
  <c r="H102" i="20"/>
  <c r="G101" i="20"/>
  <c r="F101" i="20"/>
  <c r="H100" i="20"/>
  <c r="H99" i="20"/>
  <c r="H98" i="20"/>
  <c r="H97" i="20"/>
  <c r="H96" i="20"/>
  <c r="H95" i="20"/>
  <c r="H94" i="20"/>
  <c r="H93" i="20"/>
  <c r="H92" i="20"/>
  <c r="H91" i="20"/>
  <c r="H90" i="20"/>
  <c r="G89" i="20"/>
  <c r="F89" i="20"/>
  <c r="H84" i="20"/>
  <c r="H83" i="20"/>
  <c r="H81" i="20"/>
  <c r="H80" i="20"/>
  <c r="G79" i="20"/>
  <c r="G75" i="20" s="1"/>
  <c r="G74" i="20" s="1"/>
  <c r="F79" i="20"/>
  <c r="H78" i="20"/>
  <c r="H77" i="20"/>
  <c r="H76" i="20"/>
  <c r="F75" i="20"/>
  <c r="H71" i="20"/>
  <c r="G70" i="20"/>
  <c r="F70" i="20"/>
  <c r="H69" i="20"/>
  <c r="H68" i="20"/>
  <c r="G67" i="20"/>
  <c r="F67" i="20"/>
  <c r="H66" i="20"/>
  <c r="H65" i="20"/>
  <c r="H64" i="20"/>
  <c r="H63" i="20"/>
  <c r="H62" i="20"/>
  <c r="G61" i="20"/>
  <c r="F61" i="20"/>
  <c r="H60" i="20"/>
  <c r="H59" i="20"/>
  <c r="H58" i="20"/>
  <c r="H57" i="20"/>
  <c r="H56" i="20"/>
  <c r="H55" i="20"/>
  <c r="H54" i="20"/>
  <c r="H53" i="20"/>
  <c r="H52" i="20"/>
  <c r="H51" i="20"/>
  <c r="H50" i="20"/>
  <c r="G49" i="20"/>
  <c r="G45" i="20" s="1"/>
  <c r="F49" i="20"/>
  <c r="H48" i="20"/>
  <c r="H47" i="20"/>
  <c r="H46" i="20"/>
  <c r="F45" i="20"/>
  <c r="H44" i="20"/>
  <c r="H43" i="20"/>
  <c r="H42" i="20"/>
  <c r="H41" i="20"/>
  <c r="H40" i="20"/>
  <c r="H39" i="20"/>
  <c r="G38" i="20"/>
  <c r="F38" i="20"/>
  <c r="H37" i="20"/>
  <c r="H36" i="20"/>
  <c r="H35" i="20"/>
  <c r="G34" i="20"/>
  <c r="F34" i="20"/>
  <c r="H33" i="20"/>
  <c r="H32" i="20"/>
  <c r="G31" i="20"/>
  <c r="G30" i="20" s="1"/>
  <c r="F31" i="20"/>
  <c r="F30" i="20" s="1"/>
  <c r="H29" i="20"/>
  <c r="H28" i="20"/>
  <c r="H27" i="20"/>
  <c r="G26" i="20"/>
  <c r="F26" i="20"/>
  <c r="H24" i="20"/>
  <c r="H23" i="20"/>
  <c r="G22" i="20"/>
  <c r="F22" i="20"/>
  <c r="H21" i="20"/>
  <c r="H20" i="20"/>
  <c r="H19" i="20"/>
  <c r="H18" i="20"/>
  <c r="H17" i="20"/>
  <c r="H16" i="20"/>
  <c r="H15" i="20"/>
  <c r="H14" i="20"/>
  <c r="H13" i="20"/>
  <c r="H12" i="20"/>
  <c r="H11" i="20"/>
  <c r="G10" i="20"/>
  <c r="G9" i="20" s="1"/>
  <c r="F10" i="20"/>
  <c r="F9" i="20" s="1"/>
  <c r="H150" i="21"/>
  <c r="H149" i="21"/>
  <c r="H148" i="21"/>
  <c r="H147" i="21"/>
  <c r="H145" i="21"/>
  <c r="H144" i="21"/>
  <c r="G143" i="21"/>
  <c r="F143" i="21"/>
  <c r="H141" i="21"/>
  <c r="H140" i="21"/>
  <c r="H139" i="21"/>
  <c r="H138" i="21"/>
  <c r="H137" i="21"/>
  <c r="H136" i="21"/>
  <c r="H135" i="21"/>
  <c r="G134" i="21"/>
  <c r="F134" i="21"/>
  <c r="H133" i="21"/>
  <c r="H132" i="21"/>
  <c r="H131" i="21"/>
  <c r="H130" i="21"/>
  <c r="H129" i="21"/>
  <c r="F128" i="21"/>
  <c r="H127" i="21"/>
  <c r="H126" i="21"/>
  <c r="H125" i="21"/>
  <c r="H124" i="21"/>
  <c r="G123" i="21"/>
  <c r="F123" i="21"/>
  <c r="H122" i="21"/>
  <c r="H121" i="21"/>
  <c r="H120" i="21"/>
  <c r="H119" i="21"/>
  <c r="H118" i="21"/>
  <c r="H117" i="21"/>
  <c r="H116" i="21"/>
  <c r="H115" i="21"/>
  <c r="G114" i="21"/>
  <c r="F114" i="21"/>
  <c r="F111" i="21" s="1"/>
  <c r="H113" i="21"/>
  <c r="H112" i="21"/>
  <c r="G111" i="21"/>
  <c r="H110" i="21"/>
  <c r="H109" i="21"/>
  <c r="H108" i="21"/>
  <c r="H107" i="21"/>
  <c r="F106" i="21"/>
  <c r="H106" i="21" s="1"/>
  <c r="G105" i="21"/>
  <c r="F105" i="21"/>
  <c r="H104" i="21"/>
  <c r="H103" i="21"/>
  <c r="H102" i="21"/>
  <c r="G101" i="21"/>
  <c r="F101" i="21"/>
  <c r="H100" i="21"/>
  <c r="H99" i="21"/>
  <c r="H98" i="21"/>
  <c r="H97" i="21"/>
  <c r="H96" i="21"/>
  <c r="H95" i="21"/>
  <c r="H94" i="21"/>
  <c r="H93" i="21"/>
  <c r="H92" i="21"/>
  <c r="H90" i="21"/>
  <c r="G89" i="21"/>
  <c r="G88" i="21" s="1"/>
  <c r="F89" i="21"/>
  <c r="H84" i="21"/>
  <c r="H83" i="21"/>
  <c r="H81" i="21"/>
  <c r="H80" i="21"/>
  <c r="G79" i="21"/>
  <c r="G75" i="21" s="1"/>
  <c r="G74" i="21" s="1"/>
  <c r="F79" i="21"/>
  <c r="H78" i="21"/>
  <c r="H77" i="21"/>
  <c r="H76" i="21"/>
  <c r="F75" i="21"/>
  <c r="H71" i="21"/>
  <c r="G70" i="21"/>
  <c r="F70" i="21"/>
  <c r="H69" i="21"/>
  <c r="H68" i="21"/>
  <c r="G67" i="21"/>
  <c r="F67" i="21"/>
  <c r="H66" i="21"/>
  <c r="H65" i="21"/>
  <c r="H64" i="21"/>
  <c r="H63" i="21"/>
  <c r="H62" i="21"/>
  <c r="G61" i="21"/>
  <c r="F61" i="21"/>
  <c r="H60" i="21"/>
  <c r="H59" i="21"/>
  <c r="H58" i="21"/>
  <c r="H57" i="21"/>
  <c r="H56" i="21"/>
  <c r="F55" i="21"/>
  <c r="H55" i="21" s="1"/>
  <c r="H54" i="21"/>
  <c r="H53" i="21"/>
  <c r="H52" i="21"/>
  <c r="H51" i="21"/>
  <c r="H50" i="21"/>
  <c r="G49" i="21"/>
  <c r="G45" i="21" s="1"/>
  <c r="F49" i="21"/>
  <c r="H48" i="21"/>
  <c r="H47" i="21"/>
  <c r="F46" i="21"/>
  <c r="F46" i="6" s="1"/>
  <c r="R46" i="4" s="1"/>
  <c r="H44" i="21"/>
  <c r="H43" i="21"/>
  <c r="H42" i="21"/>
  <c r="H41" i="21"/>
  <c r="H40" i="21"/>
  <c r="H39" i="21"/>
  <c r="G38" i="21"/>
  <c r="F38" i="21"/>
  <c r="H37" i="21"/>
  <c r="H36" i="21"/>
  <c r="H35" i="21"/>
  <c r="G34" i="21"/>
  <c r="F34" i="21"/>
  <c r="H33" i="21"/>
  <c r="H32" i="21"/>
  <c r="G31" i="21"/>
  <c r="F31" i="21"/>
  <c r="F30" i="21" s="1"/>
  <c r="H29" i="21"/>
  <c r="H28" i="21"/>
  <c r="H27" i="21"/>
  <c r="G26" i="21"/>
  <c r="F26" i="21"/>
  <c r="H24" i="21"/>
  <c r="H23" i="21"/>
  <c r="G22" i="21"/>
  <c r="F22" i="21"/>
  <c r="H21" i="21"/>
  <c r="H20" i="21"/>
  <c r="H19" i="21"/>
  <c r="H18" i="21"/>
  <c r="H17" i="21"/>
  <c r="H16" i="21"/>
  <c r="H15" i="21"/>
  <c r="H14" i="21"/>
  <c r="H13" i="21"/>
  <c r="H12" i="21"/>
  <c r="H11" i="21"/>
  <c r="G10" i="21"/>
  <c r="F10" i="21"/>
  <c r="F9" i="21" s="1"/>
  <c r="G9" i="21"/>
  <c r="H150" i="46"/>
  <c r="H149" i="46"/>
  <c r="H148" i="46"/>
  <c r="H147" i="46"/>
  <c r="H145" i="46"/>
  <c r="H144" i="46"/>
  <c r="G143" i="46"/>
  <c r="F143" i="46"/>
  <c r="H141" i="46"/>
  <c r="H140" i="46"/>
  <c r="H139" i="46"/>
  <c r="H138" i="46"/>
  <c r="H137" i="46"/>
  <c r="H136" i="46"/>
  <c r="H135" i="46"/>
  <c r="G134" i="46"/>
  <c r="G128" i="46" s="1"/>
  <c r="F134" i="46"/>
  <c r="H133" i="46"/>
  <c r="H132" i="46"/>
  <c r="H131" i="46"/>
  <c r="H130" i="46"/>
  <c r="H129" i="46"/>
  <c r="H127" i="46"/>
  <c r="H126" i="46"/>
  <c r="H125" i="46"/>
  <c r="F124" i="46"/>
  <c r="F123" i="46" s="1"/>
  <c r="G123" i="46"/>
  <c r="H122" i="46"/>
  <c r="H121" i="46"/>
  <c r="H120" i="46"/>
  <c r="H119" i="46"/>
  <c r="H118" i="46"/>
  <c r="H117" i="46"/>
  <c r="H116" i="46"/>
  <c r="H115" i="46"/>
  <c r="G114" i="46"/>
  <c r="G111" i="46" s="1"/>
  <c r="F114" i="46"/>
  <c r="H113" i="46"/>
  <c r="H112" i="46"/>
  <c r="H110" i="46"/>
  <c r="H109" i="46"/>
  <c r="H108" i="46"/>
  <c r="H107" i="46"/>
  <c r="H106" i="46"/>
  <c r="G105" i="46"/>
  <c r="F105" i="46"/>
  <c r="H104" i="46"/>
  <c r="H103" i="46"/>
  <c r="H102" i="46"/>
  <c r="G101" i="46"/>
  <c r="F101" i="46"/>
  <c r="H100" i="46"/>
  <c r="H99" i="46"/>
  <c r="H98" i="46"/>
  <c r="H97" i="46"/>
  <c r="H96" i="46"/>
  <c r="H95" i="46"/>
  <c r="H94" i="46"/>
  <c r="H93" i="46"/>
  <c r="H92" i="46"/>
  <c r="H91" i="46"/>
  <c r="H90" i="46"/>
  <c r="G89" i="46"/>
  <c r="F89" i="46"/>
  <c r="H84" i="46"/>
  <c r="H83" i="46"/>
  <c r="H81" i="46"/>
  <c r="H80" i="46"/>
  <c r="G79" i="46"/>
  <c r="F79" i="46"/>
  <c r="H78" i="46"/>
  <c r="H77" i="46"/>
  <c r="H76" i="46"/>
  <c r="F75" i="46"/>
  <c r="F74" i="46" s="1"/>
  <c r="H71" i="46"/>
  <c r="G70" i="46"/>
  <c r="F70" i="46"/>
  <c r="H69" i="46"/>
  <c r="H68" i="46"/>
  <c r="G67" i="46"/>
  <c r="F67" i="46"/>
  <c r="H66" i="46"/>
  <c r="H65" i="46"/>
  <c r="H64" i="46"/>
  <c r="H63" i="46"/>
  <c r="H62" i="46"/>
  <c r="G61" i="46"/>
  <c r="F61" i="46"/>
  <c r="H60" i="46"/>
  <c r="H59" i="46"/>
  <c r="H58" i="46"/>
  <c r="H57" i="46"/>
  <c r="H56" i="46"/>
  <c r="H55" i="46"/>
  <c r="H54" i="46"/>
  <c r="H53" i="46"/>
  <c r="H52" i="46"/>
  <c r="H51" i="46"/>
  <c r="H50" i="46"/>
  <c r="G49" i="46"/>
  <c r="G45" i="46" s="1"/>
  <c r="F49" i="46"/>
  <c r="H48" i="46"/>
  <c r="H47" i="46"/>
  <c r="H46" i="46"/>
  <c r="F45" i="46"/>
  <c r="H44" i="46"/>
  <c r="H43" i="46"/>
  <c r="H42" i="46"/>
  <c r="H41" i="46"/>
  <c r="H40" i="46"/>
  <c r="H39" i="46"/>
  <c r="G38" i="46"/>
  <c r="F38" i="46"/>
  <c r="H37" i="46"/>
  <c r="H36" i="46"/>
  <c r="H35" i="46"/>
  <c r="G34" i="46"/>
  <c r="F34" i="46"/>
  <c r="H33" i="46"/>
  <c r="H32" i="46"/>
  <c r="G31" i="46"/>
  <c r="G30" i="46" s="1"/>
  <c r="F31" i="46"/>
  <c r="H29" i="46"/>
  <c r="H28" i="46"/>
  <c r="H27" i="46"/>
  <c r="G26" i="46"/>
  <c r="F26" i="46"/>
  <c r="H24" i="46"/>
  <c r="H23" i="46"/>
  <c r="G22" i="46"/>
  <c r="F22" i="46"/>
  <c r="H21" i="46"/>
  <c r="H20" i="46"/>
  <c r="H19" i="46"/>
  <c r="H18" i="46"/>
  <c r="H17" i="46"/>
  <c r="H16" i="46"/>
  <c r="H15" i="46"/>
  <c r="H14" i="46"/>
  <c r="H13" i="46"/>
  <c r="H12" i="46"/>
  <c r="H11" i="46"/>
  <c r="G10" i="46"/>
  <c r="F10" i="46"/>
  <c r="H150" i="22"/>
  <c r="H149" i="22"/>
  <c r="H148" i="22"/>
  <c r="H147" i="22"/>
  <c r="H145" i="22"/>
  <c r="H144" i="22"/>
  <c r="G143" i="22"/>
  <c r="F143" i="22"/>
  <c r="H141" i="22"/>
  <c r="H140" i="22"/>
  <c r="H139" i="22"/>
  <c r="H138" i="22"/>
  <c r="H137" i="22"/>
  <c r="H136" i="22"/>
  <c r="H135" i="22"/>
  <c r="G134" i="22"/>
  <c r="G128" i="22" s="1"/>
  <c r="F134" i="22"/>
  <c r="H133" i="22"/>
  <c r="H132" i="22"/>
  <c r="H131" i="22"/>
  <c r="H130" i="22"/>
  <c r="H129" i="22"/>
  <c r="H127" i="22"/>
  <c r="H126" i="22"/>
  <c r="H125" i="22"/>
  <c r="H124" i="22"/>
  <c r="G123" i="22"/>
  <c r="H122" i="22"/>
  <c r="H121" i="22"/>
  <c r="H120" i="22"/>
  <c r="H119" i="22"/>
  <c r="F118" i="22"/>
  <c r="H118" i="22" s="1"/>
  <c r="H117" i="22"/>
  <c r="H116" i="22"/>
  <c r="F115" i="22"/>
  <c r="G114" i="22"/>
  <c r="F113" i="22"/>
  <c r="H113" i="22" s="1"/>
  <c r="F112" i="22"/>
  <c r="H112" i="22" s="1"/>
  <c r="H110" i="22"/>
  <c r="H109" i="22"/>
  <c r="F108" i="22"/>
  <c r="H108" i="22" s="1"/>
  <c r="H107" i="22"/>
  <c r="G105" i="22"/>
  <c r="H104" i="22"/>
  <c r="H103" i="22"/>
  <c r="H102" i="22"/>
  <c r="G101" i="22"/>
  <c r="H100" i="22"/>
  <c r="H99" i="22"/>
  <c r="H98" i="22"/>
  <c r="H97" i="22"/>
  <c r="H96" i="22"/>
  <c r="H95" i="22"/>
  <c r="H94" i="22"/>
  <c r="H93" i="22"/>
  <c r="H92" i="22"/>
  <c r="H91" i="22"/>
  <c r="F90" i="22"/>
  <c r="G89" i="22"/>
  <c r="F89" i="22"/>
  <c r="H84" i="22"/>
  <c r="H83" i="22"/>
  <c r="H81" i="22"/>
  <c r="H80" i="22"/>
  <c r="G79" i="22"/>
  <c r="G75" i="22" s="1"/>
  <c r="G74" i="22" s="1"/>
  <c r="F79" i="22"/>
  <c r="H78" i="22"/>
  <c r="H77" i="22"/>
  <c r="H76" i="22"/>
  <c r="F75" i="22"/>
  <c r="H71" i="22"/>
  <c r="G70" i="22"/>
  <c r="F70" i="22"/>
  <c r="H69" i="22"/>
  <c r="H68" i="22"/>
  <c r="G67" i="22"/>
  <c r="F67" i="22"/>
  <c r="H66" i="22"/>
  <c r="H65" i="22"/>
  <c r="H64" i="22"/>
  <c r="H63" i="22"/>
  <c r="H62" i="22"/>
  <c r="G61" i="22"/>
  <c r="F61" i="22"/>
  <c r="H60" i="22"/>
  <c r="H59" i="22"/>
  <c r="H58" i="22"/>
  <c r="H57" i="22"/>
  <c r="H56" i="22"/>
  <c r="H55" i="22"/>
  <c r="H54" i="22"/>
  <c r="H53" i="22"/>
  <c r="H52" i="22"/>
  <c r="H51" i="22"/>
  <c r="H50" i="22"/>
  <c r="G49" i="22"/>
  <c r="G45" i="22" s="1"/>
  <c r="F49" i="22"/>
  <c r="H48" i="22"/>
  <c r="H47" i="22"/>
  <c r="H46" i="22"/>
  <c r="F45" i="22"/>
  <c r="H44" i="22"/>
  <c r="H43" i="22"/>
  <c r="H42" i="22"/>
  <c r="H41" i="22"/>
  <c r="H40" i="22"/>
  <c r="H39" i="22"/>
  <c r="G38" i="22"/>
  <c r="F38" i="22"/>
  <c r="H37" i="22"/>
  <c r="H36" i="22"/>
  <c r="H35" i="22"/>
  <c r="G34" i="22"/>
  <c r="F34" i="22"/>
  <c r="H33" i="22"/>
  <c r="H32" i="22"/>
  <c r="G31" i="22"/>
  <c r="G30" i="22" s="1"/>
  <c r="F31" i="22"/>
  <c r="F30" i="22" s="1"/>
  <c r="H29" i="22"/>
  <c r="H28" i="22"/>
  <c r="H27" i="22"/>
  <c r="G26" i="22"/>
  <c r="F26" i="22"/>
  <c r="H24" i="22"/>
  <c r="H23" i="22"/>
  <c r="G22" i="22"/>
  <c r="F22" i="22"/>
  <c r="H21" i="22"/>
  <c r="H20" i="22"/>
  <c r="H19" i="22"/>
  <c r="H18" i="22"/>
  <c r="H17" i="22"/>
  <c r="H16" i="22"/>
  <c r="H15" i="22"/>
  <c r="H14" i="22"/>
  <c r="H13" i="22"/>
  <c r="H12" i="22"/>
  <c r="H11" i="22"/>
  <c r="G10" i="22"/>
  <c r="F10" i="22"/>
  <c r="G9" i="22"/>
  <c r="G150" i="6"/>
  <c r="S150" i="4" s="1"/>
  <c r="F150" i="6"/>
  <c r="R150" i="4" s="1"/>
  <c r="G149" i="6"/>
  <c r="S149" i="4" s="1"/>
  <c r="F149" i="6"/>
  <c r="R149" i="4" s="1"/>
  <c r="G148" i="6"/>
  <c r="S148" i="4" s="1"/>
  <c r="F148" i="6"/>
  <c r="R148" i="4" s="1"/>
  <c r="G147" i="6"/>
  <c r="S147" i="4" s="1"/>
  <c r="F147" i="6"/>
  <c r="R147" i="4" s="1"/>
  <c r="H146" i="6"/>
  <c r="G146" i="6"/>
  <c r="S146" i="4" s="1"/>
  <c r="F146" i="6"/>
  <c r="R146" i="4" s="1"/>
  <c r="G145" i="6"/>
  <c r="S145" i="4" s="1"/>
  <c r="F145" i="6"/>
  <c r="R145" i="4" s="1"/>
  <c r="G144" i="6"/>
  <c r="S144" i="4" s="1"/>
  <c r="F144" i="6"/>
  <c r="R144" i="4" s="1"/>
  <c r="G141" i="6"/>
  <c r="S141" i="4" s="1"/>
  <c r="F141" i="6"/>
  <c r="R141" i="4" s="1"/>
  <c r="G140" i="6"/>
  <c r="S140" i="4" s="1"/>
  <c r="F140" i="6"/>
  <c r="R140" i="4" s="1"/>
  <c r="G139" i="6"/>
  <c r="S139" i="4" s="1"/>
  <c r="F139" i="6"/>
  <c r="R139" i="4" s="1"/>
  <c r="G138" i="6"/>
  <c r="S138" i="4" s="1"/>
  <c r="F138" i="6"/>
  <c r="R138" i="4" s="1"/>
  <c r="G137" i="6"/>
  <c r="S137" i="4" s="1"/>
  <c r="F137" i="6"/>
  <c r="R137" i="4" s="1"/>
  <c r="G136" i="6"/>
  <c r="S136" i="4" s="1"/>
  <c r="F136" i="6"/>
  <c r="R136" i="4" s="1"/>
  <c r="G135" i="6"/>
  <c r="S135" i="4" s="1"/>
  <c r="F135" i="6"/>
  <c r="R135" i="4" s="1"/>
  <c r="G133" i="6"/>
  <c r="S133" i="4" s="1"/>
  <c r="F133" i="6"/>
  <c r="R133" i="4" s="1"/>
  <c r="G132" i="6"/>
  <c r="S132" i="4" s="1"/>
  <c r="F132" i="6"/>
  <c r="R132" i="4" s="1"/>
  <c r="G131" i="6"/>
  <c r="S131" i="4" s="1"/>
  <c r="F131" i="6"/>
  <c r="R131" i="4" s="1"/>
  <c r="G130" i="6"/>
  <c r="S130" i="4" s="1"/>
  <c r="F130" i="6"/>
  <c r="R130" i="4" s="1"/>
  <c r="G129" i="6"/>
  <c r="S129" i="4" s="1"/>
  <c r="F129" i="6"/>
  <c r="R129" i="4" s="1"/>
  <c r="G127" i="6"/>
  <c r="S127" i="4" s="1"/>
  <c r="F127" i="6"/>
  <c r="R127" i="4" s="1"/>
  <c r="G126" i="6"/>
  <c r="S126" i="4" s="1"/>
  <c r="F126" i="6"/>
  <c r="R126" i="4" s="1"/>
  <c r="G125" i="6"/>
  <c r="S125" i="4" s="1"/>
  <c r="F125" i="6"/>
  <c r="R125" i="4" s="1"/>
  <c r="G124" i="6"/>
  <c r="S124" i="4" s="1"/>
  <c r="G122" i="6"/>
  <c r="S122" i="4" s="1"/>
  <c r="F122" i="6"/>
  <c r="R122" i="4" s="1"/>
  <c r="G121" i="6"/>
  <c r="S121" i="4" s="1"/>
  <c r="G120" i="6"/>
  <c r="S120" i="4" s="1"/>
  <c r="F120" i="6"/>
  <c r="R120" i="4" s="1"/>
  <c r="G119" i="6"/>
  <c r="S119" i="4" s="1"/>
  <c r="F119" i="6"/>
  <c r="R119" i="4" s="1"/>
  <c r="G118" i="6"/>
  <c r="S118" i="4" s="1"/>
  <c r="G117" i="6"/>
  <c r="S117" i="4" s="1"/>
  <c r="F117" i="6"/>
  <c r="R117" i="4" s="1"/>
  <c r="G116" i="6"/>
  <c r="S116" i="4" s="1"/>
  <c r="F116" i="6"/>
  <c r="R116" i="4" s="1"/>
  <c r="G115" i="6"/>
  <c r="S115" i="4" s="1"/>
  <c r="G113" i="6"/>
  <c r="S113" i="4" s="1"/>
  <c r="G112" i="6"/>
  <c r="S112" i="4" s="1"/>
  <c r="G110" i="6"/>
  <c r="S110" i="4" s="1"/>
  <c r="F110" i="6"/>
  <c r="R110" i="4" s="1"/>
  <c r="G109" i="6"/>
  <c r="S109" i="4" s="1"/>
  <c r="F109" i="6"/>
  <c r="R109" i="4" s="1"/>
  <c r="G108" i="6"/>
  <c r="S108" i="4" s="1"/>
  <c r="G107" i="6"/>
  <c r="S107" i="4" s="1"/>
  <c r="F107" i="6"/>
  <c r="R107" i="4" s="1"/>
  <c r="G106" i="6"/>
  <c r="S106" i="4" s="1"/>
  <c r="G104" i="6"/>
  <c r="S104" i="4" s="1"/>
  <c r="F104" i="6"/>
  <c r="R104" i="4" s="1"/>
  <c r="G103" i="6"/>
  <c r="S103" i="4" s="1"/>
  <c r="F103" i="6"/>
  <c r="R103" i="4" s="1"/>
  <c r="G102" i="6"/>
  <c r="S102" i="4" s="1"/>
  <c r="F102" i="6"/>
  <c r="R102" i="4" s="1"/>
  <c r="G100" i="6"/>
  <c r="S100" i="4" s="1"/>
  <c r="F100" i="6"/>
  <c r="R100" i="4" s="1"/>
  <c r="G99" i="6"/>
  <c r="S99" i="4" s="1"/>
  <c r="F99" i="6"/>
  <c r="R99" i="4" s="1"/>
  <c r="G98" i="6"/>
  <c r="S98" i="4" s="1"/>
  <c r="F98" i="6"/>
  <c r="R98" i="4" s="1"/>
  <c r="G97" i="6"/>
  <c r="S97" i="4" s="1"/>
  <c r="F97" i="6"/>
  <c r="R97" i="4" s="1"/>
  <c r="G96" i="6"/>
  <c r="S96" i="4" s="1"/>
  <c r="F96" i="6"/>
  <c r="R96" i="4" s="1"/>
  <c r="G95" i="6"/>
  <c r="S95" i="4" s="1"/>
  <c r="F95" i="6"/>
  <c r="R95" i="4" s="1"/>
  <c r="G94" i="6"/>
  <c r="S94" i="4" s="1"/>
  <c r="F94" i="6"/>
  <c r="R94" i="4" s="1"/>
  <c r="G93" i="6"/>
  <c r="S93" i="4" s="1"/>
  <c r="F93" i="6"/>
  <c r="R93" i="4" s="1"/>
  <c r="G92" i="6"/>
  <c r="S92" i="4" s="1"/>
  <c r="F92" i="6"/>
  <c r="R92" i="4" s="1"/>
  <c r="S91" i="4"/>
  <c r="F91" i="6"/>
  <c r="R91" i="4" s="1"/>
  <c r="G90" i="6"/>
  <c r="S90" i="4" s="1"/>
  <c r="G84" i="6"/>
  <c r="S84" i="4" s="1"/>
  <c r="F84" i="6"/>
  <c r="R84" i="4" s="1"/>
  <c r="G83" i="6"/>
  <c r="S83" i="4" s="1"/>
  <c r="F83" i="6"/>
  <c r="R83" i="4" s="1"/>
  <c r="H82" i="6"/>
  <c r="G82" i="6"/>
  <c r="S82" i="4" s="1"/>
  <c r="F82" i="6"/>
  <c r="R82" i="4" s="1"/>
  <c r="G81" i="6"/>
  <c r="S81" i="4" s="1"/>
  <c r="F81" i="6"/>
  <c r="R81" i="4" s="1"/>
  <c r="G80" i="6"/>
  <c r="S80" i="4" s="1"/>
  <c r="F80" i="6"/>
  <c r="R80" i="4" s="1"/>
  <c r="G78" i="6"/>
  <c r="S78" i="4" s="1"/>
  <c r="F78" i="6"/>
  <c r="R78" i="4" s="1"/>
  <c r="G77" i="6"/>
  <c r="S77" i="4" s="1"/>
  <c r="F77" i="6"/>
  <c r="R77" i="4" s="1"/>
  <c r="G76" i="6"/>
  <c r="S76" i="4" s="1"/>
  <c r="F76" i="6"/>
  <c r="R76" i="4" s="1"/>
  <c r="G71" i="6"/>
  <c r="S71" i="4" s="1"/>
  <c r="F71" i="6"/>
  <c r="R71" i="4" s="1"/>
  <c r="G69" i="6"/>
  <c r="S69" i="4" s="1"/>
  <c r="F69" i="6"/>
  <c r="R69" i="4" s="1"/>
  <c r="G68" i="6"/>
  <c r="S68" i="4" s="1"/>
  <c r="F68" i="6"/>
  <c r="R68" i="4" s="1"/>
  <c r="G66" i="6"/>
  <c r="S66" i="4" s="1"/>
  <c r="F66" i="6"/>
  <c r="R66" i="4" s="1"/>
  <c r="G65" i="6"/>
  <c r="S65" i="4" s="1"/>
  <c r="F65" i="6"/>
  <c r="R65" i="4" s="1"/>
  <c r="G64" i="6"/>
  <c r="S64" i="4" s="1"/>
  <c r="F64" i="6"/>
  <c r="R64" i="4" s="1"/>
  <c r="G63" i="6"/>
  <c r="S63" i="4" s="1"/>
  <c r="F63" i="6"/>
  <c r="R63" i="4" s="1"/>
  <c r="G62" i="6"/>
  <c r="S62" i="4" s="1"/>
  <c r="F62" i="6"/>
  <c r="R62" i="4" s="1"/>
  <c r="G60" i="6"/>
  <c r="S60" i="4" s="1"/>
  <c r="F60" i="6"/>
  <c r="R60" i="4" s="1"/>
  <c r="G59" i="6"/>
  <c r="S59" i="4" s="1"/>
  <c r="F59" i="6"/>
  <c r="R59" i="4" s="1"/>
  <c r="G58" i="6"/>
  <c r="S58" i="4" s="1"/>
  <c r="F58" i="6"/>
  <c r="R58" i="4" s="1"/>
  <c r="G57" i="6"/>
  <c r="S57" i="4" s="1"/>
  <c r="F57" i="6"/>
  <c r="R57" i="4" s="1"/>
  <c r="G56" i="6"/>
  <c r="S56" i="4" s="1"/>
  <c r="F56" i="6"/>
  <c r="R56" i="4" s="1"/>
  <c r="G55" i="6"/>
  <c r="S55" i="4" s="1"/>
  <c r="G54" i="6"/>
  <c r="S54" i="4" s="1"/>
  <c r="F54" i="6"/>
  <c r="R54" i="4" s="1"/>
  <c r="G53" i="6"/>
  <c r="S53" i="4" s="1"/>
  <c r="F53" i="6"/>
  <c r="R53" i="4" s="1"/>
  <c r="G52" i="6"/>
  <c r="S52" i="4" s="1"/>
  <c r="F52" i="6"/>
  <c r="R52" i="4" s="1"/>
  <c r="G51" i="6"/>
  <c r="S51" i="4" s="1"/>
  <c r="F51" i="6"/>
  <c r="R51" i="4" s="1"/>
  <c r="G50" i="6"/>
  <c r="S50" i="4" s="1"/>
  <c r="F50" i="6"/>
  <c r="R50" i="4" s="1"/>
  <c r="G48" i="6"/>
  <c r="S48" i="4" s="1"/>
  <c r="F48" i="6"/>
  <c r="R48" i="4" s="1"/>
  <c r="G47" i="6"/>
  <c r="S47" i="4" s="1"/>
  <c r="F47" i="6"/>
  <c r="R47" i="4" s="1"/>
  <c r="G46" i="6"/>
  <c r="S46" i="4" s="1"/>
  <c r="G44" i="6"/>
  <c r="S44" i="4" s="1"/>
  <c r="F44" i="6"/>
  <c r="R44" i="4" s="1"/>
  <c r="G43" i="6"/>
  <c r="S43" i="4" s="1"/>
  <c r="F43" i="6"/>
  <c r="R43" i="4" s="1"/>
  <c r="G42" i="6"/>
  <c r="S42" i="4" s="1"/>
  <c r="F42" i="6"/>
  <c r="R42" i="4" s="1"/>
  <c r="G41" i="6"/>
  <c r="S41" i="4" s="1"/>
  <c r="F41" i="6"/>
  <c r="R41" i="4" s="1"/>
  <c r="G40" i="6"/>
  <c r="S40" i="4" s="1"/>
  <c r="F40" i="6"/>
  <c r="R40" i="4" s="1"/>
  <c r="G39" i="6"/>
  <c r="S39" i="4" s="1"/>
  <c r="F39" i="6"/>
  <c r="R39" i="4" s="1"/>
  <c r="G37" i="6"/>
  <c r="S37" i="4" s="1"/>
  <c r="F37" i="6"/>
  <c r="R37" i="4" s="1"/>
  <c r="G36" i="6"/>
  <c r="S36" i="4" s="1"/>
  <c r="F36" i="6"/>
  <c r="R36" i="4" s="1"/>
  <c r="G35" i="6"/>
  <c r="S35" i="4" s="1"/>
  <c r="F35" i="6"/>
  <c r="R35" i="4" s="1"/>
  <c r="G33" i="6"/>
  <c r="S33" i="4" s="1"/>
  <c r="F33" i="6"/>
  <c r="R33" i="4" s="1"/>
  <c r="G32" i="6"/>
  <c r="S32" i="4" s="1"/>
  <c r="F32" i="6"/>
  <c r="R32" i="4" s="1"/>
  <c r="G29" i="6"/>
  <c r="S29" i="4" s="1"/>
  <c r="F29" i="6"/>
  <c r="R29" i="4" s="1"/>
  <c r="G28" i="6"/>
  <c r="S28" i="4" s="1"/>
  <c r="F28" i="6"/>
  <c r="R28" i="4" s="1"/>
  <c r="G27" i="6"/>
  <c r="S27" i="4" s="1"/>
  <c r="F27" i="6"/>
  <c r="R27" i="4" s="1"/>
  <c r="G24" i="6"/>
  <c r="S24" i="4" s="1"/>
  <c r="F24" i="6"/>
  <c r="R24" i="4" s="1"/>
  <c r="G23" i="6"/>
  <c r="S23" i="4" s="1"/>
  <c r="F23" i="6"/>
  <c r="R23" i="4" s="1"/>
  <c r="G21" i="6"/>
  <c r="S21" i="4" s="1"/>
  <c r="F21" i="6"/>
  <c r="R21" i="4" s="1"/>
  <c r="G20" i="6"/>
  <c r="S20" i="4" s="1"/>
  <c r="F20" i="6"/>
  <c r="R20" i="4" s="1"/>
  <c r="G19" i="6"/>
  <c r="S19" i="4" s="1"/>
  <c r="F19" i="6"/>
  <c r="R19" i="4" s="1"/>
  <c r="G18" i="6"/>
  <c r="S18" i="4" s="1"/>
  <c r="F18" i="6"/>
  <c r="R18" i="4" s="1"/>
  <c r="G17" i="6"/>
  <c r="S17" i="4" s="1"/>
  <c r="F17" i="6"/>
  <c r="R17" i="4" s="1"/>
  <c r="G16" i="6"/>
  <c r="S16" i="4" s="1"/>
  <c r="F16" i="6"/>
  <c r="R16" i="4" s="1"/>
  <c r="G15" i="6"/>
  <c r="S15" i="4" s="1"/>
  <c r="F15" i="6"/>
  <c r="R15" i="4" s="1"/>
  <c r="G14" i="6"/>
  <c r="S14" i="4" s="1"/>
  <c r="F14" i="6"/>
  <c r="R14" i="4" s="1"/>
  <c r="G13" i="6"/>
  <c r="S13" i="4" s="1"/>
  <c r="F13" i="6"/>
  <c r="R13" i="4" s="1"/>
  <c r="G12" i="6"/>
  <c r="S12" i="4" s="1"/>
  <c r="F12" i="6"/>
  <c r="R12" i="4" s="1"/>
  <c r="G11" i="6"/>
  <c r="S11" i="4" s="1"/>
  <c r="F11" i="6"/>
  <c r="R11" i="4" s="1"/>
  <c r="H150" i="57"/>
  <c r="H149" i="57"/>
  <c r="H148" i="57"/>
  <c r="H147" i="57"/>
  <c r="H145" i="57"/>
  <c r="H144" i="57"/>
  <c r="G143" i="57"/>
  <c r="F143" i="57"/>
  <c r="H141" i="57"/>
  <c r="H140" i="57"/>
  <c r="H139" i="57"/>
  <c r="H138" i="57"/>
  <c r="H137" i="57"/>
  <c r="H136" i="57"/>
  <c r="H135" i="57"/>
  <c r="G134" i="57"/>
  <c r="G128" i="57" s="1"/>
  <c r="F134" i="57"/>
  <c r="H133" i="57"/>
  <c r="H132" i="57"/>
  <c r="H131" i="57"/>
  <c r="H130" i="57"/>
  <c r="H129" i="57"/>
  <c r="F128" i="57"/>
  <c r="H127" i="57"/>
  <c r="H126" i="57"/>
  <c r="H125" i="57"/>
  <c r="H124" i="57"/>
  <c r="G123" i="57"/>
  <c r="F123" i="57"/>
  <c r="H122" i="57"/>
  <c r="H121" i="57"/>
  <c r="H120" i="57"/>
  <c r="H119" i="57"/>
  <c r="H118" i="57"/>
  <c r="H117" i="57"/>
  <c r="H116" i="57"/>
  <c r="H115" i="57"/>
  <c r="G114" i="57"/>
  <c r="F114" i="57"/>
  <c r="F111" i="57" s="1"/>
  <c r="H113" i="57"/>
  <c r="H112" i="57"/>
  <c r="G111" i="57"/>
  <c r="H110" i="57"/>
  <c r="H109" i="57"/>
  <c r="H108" i="57"/>
  <c r="H107" i="57"/>
  <c r="H106" i="57"/>
  <c r="G105" i="57"/>
  <c r="F105" i="57"/>
  <c r="H104" i="57"/>
  <c r="H103" i="57"/>
  <c r="H102" i="57"/>
  <c r="G101" i="57"/>
  <c r="F101" i="57"/>
  <c r="H100" i="57"/>
  <c r="H99" i="57"/>
  <c r="H98" i="57"/>
  <c r="H97" i="57"/>
  <c r="H96" i="57"/>
  <c r="H95" i="57"/>
  <c r="H94" i="57"/>
  <c r="H93" i="57"/>
  <c r="H92" i="57"/>
  <c r="H90" i="57"/>
  <c r="G89" i="57"/>
  <c r="G88" i="57" s="1"/>
  <c r="F89" i="57"/>
  <c r="F88" i="57" s="1"/>
  <c r="H84" i="57"/>
  <c r="H83" i="57"/>
  <c r="H81" i="57"/>
  <c r="H80" i="57"/>
  <c r="G79" i="57"/>
  <c r="G75" i="57" s="1"/>
  <c r="G74" i="57" s="1"/>
  <c r="F79" i="57"/>
  <c r="H78" i="57"/>
  <c r="H77" i="57"/>
  <c r="H76" i="57"/>
  <c r="H71" i="57"/>
  <c r="G70" i="57"/>
  <c r="F70" i="57"/>
  <c r="H69" i="57"/>
  <c r="H68" i="57"/>
  <c r="G67" i="57"/>
  <c r="F67" i="57"/>
  <c r="H66" i="57"/>
  <c r="H65" i="57"/>
  <c r="H64" i="57"/>
  <c r="H63" i="57"/>
  <c r="H62" i="57"/>
  <c r="G61" i="57"/>
  <c r="F61" i="57"/>
  <c r="H60" i="57"/>
  <c r="H59" i="57"/>
  <c r="H58" i="57"/>
  <c r="H57" i="57"/>
  <c r="H56" i="57"/>
  <c r="H55" i="57"/>
  <c r="H54" i="57"/>
  <c r="H53" i="57"/>
  <c r="H52" i="57"/>
  <c r="H51" i="57"/>
  <c r="H50" i="57"/>
  <c r="G49" i="57"/>
  <c r="G45" i="57" s="1"/>
  <c r="F49" i="57"/>
  <c r="H48" i="57"/>
  <c r="H47" i="57"/>
  <c r="H46" i="57"/>
  <c r="F45" i="57"/>
  <c r="H44" i="57"/>
  <c r="H43" i="57"/>
  <c r="H42" i="57"/>
  <c r="H41" i="57"/>
  <c r="H40" i="57"/>
  <c r="H39" i="57"/>
  <c r="G38" i="57"/>
  <c r="F38" i="57"/>
  <c r="H37" i="57"/>
  <c r="H36" i="57"/>
  <c r="H35" i="57"/>
  <c r="G34" i="57"/>
  <c r="F34" i="57"/>
  <c r="H33" i="57"/>
  <c r="H32" i="57"/>
  <c r="G31" i="57"/>
  <c r="F31" i="57"/>
  <c r="F30" i="57" s="1"/>
  <c r="G30" i="57"/>
  <c r="H29" i="57"/>
  <c r="H28" i="57"/>
  <c r="H27" i="57"/>
  <c r="G26" i="57"/>
  <c r="F26" i="57"/>
  <c r="H24" i="57"/>
  <c r="H23" i="57"/>
  <c r="G22" i="57"/>
  <c r="F22" i="57"/>
  <c r="H21" i="57"/>
  <c r="H20" i="57"/>
  <c r="H19" i="57"/>
  <c r="H18" i="57"/>
  <c r="H17" i="57"/>
  <c r="H16" i="57"/>
  <c r="H15" i="57"/>
  <c r="H14" i="57"/>
  <c r="H13" i="57"/>
  <c r="H12" i="57"/>
  <c r="H11" i="57"/>
  <c r="G10" i="57"/>
  <c r="G9" i="57" s="1"/>
  <c r="F10" i="57"/>
  <c r="H150" i="18"/>
  <c r="H149" i="18"/>
  <c r="H148" i="18"/>
  <c r="H147" i="18"/>
  <c r="H145" i="18"/>
  <c r="H144" i="18"/>
  <c r="G143" i="18"/>
  <c r="F143" i="18"/>
  <c r="H141" i="18"/>
  <c r="H140" i="18"/>
  <c r="H139" i="18"/>
  <c r="H138" i="18"/>
  <c r="H137" i="18"/>
  <c r="H136" i="18"/>
  <c r="H135" i="18"/>
  <c r="G134" i="18"/>
  <c r="G128" i="18" s="1"/>
  <c r="F134" i="18"/>
  <c r="H133" i="18"/>
  <c r="H132" i="18"/>
  <c r="H131" i="18"/>
  <c r="H130" i="18"/>
  <c r="H129" i="18"/>
  <c r="H127" i="18"/>
  <c r="H126" i="18"/>
  <c r="H125" i="18"/>
  <c r="F124" i="18"/>
  <c r="H124" i="18" s="1"/>
  <c r="G123" i="18"/>
  <c r="H122" i="18"/>
  <c r="H121" i="18"/>
  <c r="H120" i="18"/>
  <c r="H119" i="18"/>
  <c r="H118" i="18"/>
  <c r="H117" i="18"/>
  <c r="H116" i="18"/>
  <c r="H115" i="18"/>
  <c r="G114" i="18"/>
  <c r="F114" i="18"/>
  <c r="H113" i="18"/>
  <c r="H112" i="18"/>
  <c r="H110" i="18"/>
  <c r="H109" i="18"/>
  <c r="H108" i="18"/>
  <c r="H107" i="18"/>
  <c r="F106" i="18"/>
  <c r="H106" i="18" s="1"/>
  <c r="G105" i="18"/>
  <c r="H104" i="18"/>
  <c r="H103" i="18"/>
  <c r="H102" i="18"/>
  <c r="G101" i="18"/>
  <c r="F101" i="18"/>
  <c r="H100" i="18"/>
  <c r="H99" i="18"/>
  <c r="H98" i="18"/>
  <c r="H97" i="18"/>
  <c r="H96" i="18"/>
  <c r="H95" i="18"/>
  <c r="H94" i="18"/>
  <c r="H93" i="18"/>
  <c r="H92" i="18"/>
  <c r="F91" i="18"/>
  <c r="F89" i="18" s="1"/>
  <c r="F88" i="18" s="1"/>
  <c r="H90" i="18"/>
  <c r="G89" i="18"/>
  <c r="H84" i="18"/>
  <c r="H83" i="18"/>
  <c r="H81" i="18"/>
  <c r="H80" i="18"/>
  <c r="G79" i="18"/>
  <c r="G75" i="18" s="1"/>
  <c r="G74" i="18" s="1"/>
  <c r="F79" i="18"/>
  <c r="H78" i="18"/>
  <c r="H77" i="18"/>
  <c r="H76" i="18"/>
  <c r="H71" i="18"/>
  <c r="G70" i="18"/>
  <c r="F70" i="18"/>
  <c r="H69" i="18"/>
  <c r="H68" i="18"/>
  <c r="G67" i="18"/>
  <c r="F67" i="18"/>
  <c r="H66" i="18"/>
  <c r="H65" i="18"/>
  <c r="H64" i="18"/>
  <c r="H63" i="18"/>
  <c r="H62" i="18"/>
  <c r="G61" i="18"/>
  <c r="F61" i="18"/>
  <c r="H60" i="18"/>
  <c r="H59" i="18"/>
  <c r="H58" i="18"/>
  <c r="H57" i="18"/>
  <c r="H56" i="18"/>
  <c r="H55" i="18"/>
  <c r="H54" i="18"/>
  <c r="H53" i="18"/>
  <c r="H52" i="18"/>
  <c r="H51" i="18"/>
  <c r="H50" i="18"/>
  <c r="G49" i="18"/>
  <c r="G45" i="18" s="1"/>
  <c r="F49" i="18"/>
  <c r="H48" i="18"/>
  <c r="H47" i="18"/>
  <c r="H46" i="18"/>
  <c r="F45" i="18"/>
  <c r="H44" i="18"/>
  <c r="H43" i="18"/>
  <c r="H42" i="18"/>
  <c r="H41" i="18"/>
  <c r="H40" i="18"/>
  <c r="H39" i="18"/>
  <c r="G38" i="18"/>
  <c r="F38" i="18"/>
  <c r="H37" i="18"/>
  <c r="H36" i="18"/>
  <c r="H35" i="18"/>
  <c r="G34" i="18"/>
  <c r="F34" i="18"/>
  <c r="H33" i="18"/>
  <c r="H32" i="18"/>
  <c r="G31" i="18"/>
  <c r="G30" i="18" s="1"/>
  <c r="F31" i="18"/>
  <c r="F30" i="18" s="1"/>
  <c r="H29" i="18"/>
  <c r="H28" i="18"/>
  <c r="H27" i="18"/>
  <c r="G26" i="18"/>
  <c r="F26" i="18"/>
  <c r="H24" i="18"/>
  <c r="H23" i="18"/>
  <c r="G22" i="18"/>
  <c r="F22" i="18"/>
  <c r="H21" i="18"/>
  <c r="H20" i="18"/>
  <c r="H19" i="18"/>
  <c r="H18" i="18"/>
  <c r="H17" i="18"/>
  <c r="H16" i="18"/>
  <c r="H15" i="18"/>
  <c r="H14" i="18"/>
  <c r="H13" i="18"/>
  <c r="H12" i="18"/>
  <c r="H11" i="18"/>
  <c r="G10" i="18"/>
  <c r="F10" i="18"/>
  <c r="G9" i="18"/>
  <c r="H150" i="19"/>
  <c r="H149" i="19"/>
  <c r="H148" i="19"/>
  <c r="H147" i="19"/>
  <c r="H145" i="19"/>
  <c r="H144" i="19"/>
  <c r="G143" i="19"/>
  <c r="F143" i="19"/>
  <c r="H141" i="19"/>
  <c r="H140" i="19"/>
  <c r="H139" i="19"/>
  <c r="H138" i="19"/>
  <c r="H137" i="19"/>
  <c r="H136" i="19"/>
  <c r="H135" i="19"/>
  <c r="G134" i="19"/>
  <c r="F134" i="19"/>
  <c r="H133" i="19"/>
  <c r="H132" i="19"/>
  <c r="H131" i="19"/>
  <c r="H130" i="19"/>
  <c r="H129" i="19"/>
  <c r="F128" i="19"/>
  <c r="H127" i="19"/>
  <c r="H126" i="19"/>
  <c r="H125" i="19"/>
  <c r="F124" i="19"/>
  <c r="H124" i="19" s="1"/>
  <c r="G123" i="19"/>
  <c r="H122" i="19"/>
  <c r="H121" i="19"/>
  <c r="H120" i="19"/>
  <c r="H119" i="19"/>
  <c r="H118" i="19"/>
  <c r="H117" i="19"/>
  <c r="H116" i="19"/>
  <c r="H115" i="19"/>
  <c r="G114" i="19"/>
  <c r="F114" i="19"/>
  <c r="H113" i="19"/>
  <c r="H112" i="19"/>
  <c r="H110" i="19"/>
  <c r="H109" i="19"/>
  <c r="H108" i="19"/>
  <c r="H107" i="19"/>
  <c r="F106" i="19"/>
  <c r="G105" i="19"/>
  <c r="H104" i="19"/>
  <c r="H103" i="19"/>
  <c r="H102" i="19"/>
  <c r="G101" i="19"/>
  <c r="F101" i="19"/>
  <c r="H99" i="19"/>
  <c r="F98" i="19"/>
  <c r="H97" i="19"/>
  <c r="H96" i="19"/>
  <c r="H95" i="19"/>
  <c r="H94" i="19"/>
  <c r="H93" i="19"/>
  <c r="F92" i="19"/>
  <c r="F92" i="5" s="1"/>
  <c r="F92" i="4" s="1"/>
  <c r="F91" i="19"/>
  <c r="F90" i="19"/>
  <c r="F90" i="5" s="1"/>
  <c r="F90" i="4" s="1"/>
  <c r="G89" i="19"/>
  <c r="H84" i="19"/>
  <c r="H83" i="19"/>
  <c r="H81" i="19"/>
  <c r="H80" i="19"/>
  <c r="G79" i="19"/>
  <c r="F79" i="19"/>
  <c r="H78" i="19"/>
  <c r="H77" i="19"/>
  <c r="H76" i="19"/>
  <c r="H71" i="19"/>
  <c r="G70" i="19"/>
  <c r="F70" i="19"/>
  <c r="H69" i="19"/>
  <c r="H68" i="19"/>
  <c r="G67" i="19"/>
  <c r="F67" i="19"/>
  <c r="H66" i="19"/>
  <c r="H65" i="19"/>
  <c r="H64" i="19"/>
  <c r="H63" i="19"/>
  <c r="H62" i="19"/>
  <c r="G61" i="19"/>
  <c r="F61" i="19"/>
  <c r="H60" i="19"/>
  <c r="H59" i="19"/>
  <c r="H58" i="19"/>
  <c r="H57" i="19"/>
  <c r="H56" i="19"/>
  <c r="H55" i="19"/>
  <c r="H54" i="19"/>
  <c r="H53" i="19"/>
  <c r="H52" i="19"/>
  <c r="H51" i="19"/>
  <c r="H50" i="19"/>
  <c r="G49" i="19"/>
  <c r="F49" i="19"/>
  <c r="H48" i="19"/>
  <c r="H47" i="19"/>
  <c r="H46" i="19"/>
  <c r="F45" i="19"/>
  <c r="H44" i="19"/>
  <c r="H43" i="19"/>
  <c r="H42" i="19"/>
  <c r="H41" i="19"/>
  <c r="H40" i="19"/>
  <c r="H39" i="19"/>
  <c r="G38" i="19"/>
  <c r="F38" i="19"/>
  <c r="H37" i="19"/>
  <c r="H36" i="19"/>
  <c r="H35" i="19"/>
  <c r="G34" i="19"/>
  <c r="F34" i="19"/>
  <c r="H33" i="19"/>
  <c r="H32" i="19"/>
  <c r="G31" i="19"/>
  <c r="F31" i="19"/>
  <c r="H29" i="19"/>
  <c r="H28" i="19"/>
  <c r="H27" i="19"/>
  <c r="G26" i="19"/>
  <c r="F26" i="19"/>
  <c r="H24" i="19"/>
  <c r="H23" i="19"/>
  <c r="G22" i="19"/>
  <c r="F22" i="19"/>
  <c r="H21" i="19"/>
  <c r="H20" i="19"/>
  <c r="H19" i="19"/>
  <c r="H18" i="19"/>
  <c r="H17" i="19"/>
  <c r="H16" i="19"/>
  <c r="H15" i="19"/>
  <c r="H14" i="19"/>
  <c r="H13" i="19"/>
  <c r="H12" i="19"/>
  <c r="H11" i="19"/>
  <c r="G10" i="19"/>
  <c r="F10" i="19"/>
  <c r="G9" i="19"/>
  <c r="E69" i="41"/>
  <c r="E61" i="41"/>
  <c r="E25" i="41"/>
  <c r="E17" i="41"/>
  <c r="D17" i="41"/>
  <c r="D25" i="41"/>
  <c r="D30" i="41" s="1"/>
  <c r="D57" i="41" s="1"/>
  <c r="BR133" i="59"/>
  <c r="F133" i="45" s="1"/>
  <c r="H133" i="45" s="1"/>
  <c r="L143" i="59"/>
  <c r="L134" i="59"/>
  <c r="L128" i="59" s="1"/>
  <c r="L123" i="59"/>
  <c r="L114" i="59"/>
  <c r="L105" i="59"/>
  <c r="L101" i="59"/>
  <c r="L89" i="59"/>
  <c r="BB138" i="59"/>
  <c r="BR138" i="59" s="1"/>
  <c r="F138" i="45" s="1"/>
  <c r="H138" i="45" s="1"/>
  <c r="BB137" i="59"/>
  <c r="BR137" i="59" s="1"/>
  <c r="F137" i="45" s="1"/>
  <c r="H137" i="45" s="1"/>
  <c r="BF143" i="59"/>
  <c r="BF134" i="59"/>
  <c r="BF128" i="59" s="1"/>
  <c r="BF124" i="59"/>
  <c r="BF123" i="59" s="1"/>
  <c r="BF114" i="59"/>
  <c r="BF105" i="59"/>
  <c r="BF101" i="59"/>
  <c r="BF89" i="59"/>
  <c r="AB79" i="59"/>
  <c r="AB75" i="59" s="1"/>
  <c r="AB74" i="59" s="1"/>
  <c r="AB70" i="59"/>
  <c r="AB67" i="59"/>
  <c r="AB61" i="59"/>
  <c r="AB49" i="59"/>
  <c r="AB45" i="59" s="1"/>
  <c r="AB38" i="59"/>
  <c r="AB34" i="59"/>
  <c r="AB31" i="59"/>
  <c r="AB26" i="59"/>
  <c r="AB22" i="59"/>
  <c r="AB10" i="59"/>
  <c r="AB9" i="59" s="1"/>
  <c r="BF79" i="59"/>
  <c r="BF75" i="59" s="1"/>
  <c r="BF70" i="59"/>
  <c r="BF67" i="59"/>
  <c r="BF61" i="59"/>
  <c r="BF49" i="59"/>
  <c r="BF45" i="59" s="1"/>
  <c r="BF38" i="59"/>
  <c r="BF34" i="59"/>
  <c r="BF31" i="59"/>
  <c r="BF26" i="59"/>
  <c r="BF22" i="59"/>
  <c r="BF10" i="59"/>
  <c r="BF9" i="59" s="1"/>
  <c r="BB124" i="59"/>
  <c r="BB123" i="59" s="1"/>
  <c r="BB143" i="59"/>
  <c r="BB134" i="59"/>
  <c r="BB128" i="59" s="1"/>
  <c r="BB114" i="59"/>
  <c r="BB105" i="59"/>
  <c r="BB101" i="59"/>
  <c r="BB89" i="59"/>
  <c r="BB79" i="59"/>
  <c r="BB75" i="59" s="1"/>
  <c r="BB74" i="59" s="1"/>
  <c r="BB70" i="59"/>
  <c r="BB67" i="59"/>
  <c r="BB61" i="59"/>
  <c r="BB49" i="59"/>
  <c r="BB45" i="59" s="1"/>
  <c r="BB38" i="59"/>
  <c r="BB34" i="59"/>
  <c r="BB31" i="59"/>
  <c r="BB26" i="59"/>
  <c r="BB23" i="59"/>
  <c r="BR23" i="59" s="1"/>
  <c r="F23" i="45" s="1"/>
  <c r="H23" i="45" s="1"/>
  <c r="BB10" i="59"/>
  <c r="BB9" i="59" s="1"/>
  <c r="AX90" i="59"/>
  <c r="AX89" i="59" s="1"/>
  <c r="AX143" i="59"/>
  <c r="AX134" i="59"/>
  <c r="AX128" i="59" s="1"/>
  <c r="AX123" i="59"/>
  <c r="AX114" i="59"/>
  <c r="AX105" i="59"/>
  <c r="AX101" i="59"/>
  <c r="AX79" i="59"/>
  <c r="AX75" i="59" s="1"/>
  <c r="AX74" i="59" s="1"/>
  <c r="AX70" i="59"/>
  <c r="AX67" i="59"/>
  <c r="AX61" i="59"/>
  <c r="AX49" i="59"/>
  <c r="AX45" i="59" s="1"/>
  <c r="AX38" i="59"/>
  <c r="AX34" i="59"/>
  <c r="AX31" i="59"/>
  <c r="AX26" i="59"/>
  <c r="AX22" i="59"/>
  <c r="AX21" i="59"/>
  <c r="AX10" i="59"/>
  <c r="AT124" i="59"/>
  <c r="AT123" i="59" s="1"/>
  <c r="AT143" i="59"/>
  <c r="AT140" i="59"/>
  <c r="BR140" i="59" s="1"/>
  <c r="F140" i="45" s="1"/>
  <c r="H140" i="45" s="1"/>
  <c r="AT139" i="59"/>
  <c r="BR139" i="59" s="1"/>
  <c r="F139" i="45" s="1"/>
  <c r="H139" i="45" s="1"/>
  <c r="AT134" i="59"/>
  <c r="AT114" i="59"/>
  <c r="AT105" i="59"/>
  <c r="AT101" i="59"/>
  <c r="AT89" i="59"/>
  <c r="AT79" i="59"/>
  <c r="AT75" i="59" s="1"/>
  <c r="AT74" i="59" s="1"/>
  <c r="AT70" i="59"/>
  <c r="AT67" i="59"/>
  <c r="AT61" i="59"/>
  <c r="AT49" i="59"/>
  <c r="AT45" i="59" s="1"/>
  <c r="AT38" i="59"/>
  <c r="AT34" i="59"/>
  <c r="AT31" i="59"/>
  <c r="AT26" i="59"/>
  <c r="AT22" i="59"/>
  <c r="AT21" i="59"/>
  <c r="AT10" i="59"/>
  <c r="AP121" i="59"/>
  <c r="AP114" i="59" s="1"/>
  <c r="AP143" i="59"/>
  <c r="AP134" i="59"/>
  <c r="AP128" i="59" s="1"/>
  <c r="AP123" i="59"/>
  <c r="AP105" i="59"/>
  <c r="AP101" i="59"/>
  <c r="AP89" i="59"/>
  <c r="AP79" i="59"/>
  <c r="AP75" i="59" s="1"/>
  <c r="AP74" i="59" s="1"/>
  <c r="AP70" i="59"/>
  <c r="AP67" i="59"/>
  <c r="AP61" i="59"/>
  <c r="AP49" i="59"/>
  <c r="AP45" i="59" s="1"/>
  <c r="AP38" i="59"/>
  <c r="AP34" i="59"/>
  <c r="AP31" i="59"/>
  <c r="AP26" i="59"/>
  <c r="AP22" i="59"/>
  <c r="AP21" i="59"/>
  <c r="AP10" i="59"/>
  <c r="AL121" i="59"/>
  <c r="AL114" i="59" s="1"/>
  <c r="AL143" i="59"/>
  <c r="AL134" i="59"/>
  <c r="AL128" i="59" s="1"/>
  <c r="AL124" i="59"/>
  <c r="AL123" i="59" s="1"/>
  <c r="AL105" i="59"/>
  <c r="AL101" i="59"/>
  <c r="AL89" i="59"/>
  <c r="AL79" i="59"/>
  <c r="AL75" i="59" s="1"/>
  <c r="AL74" i="59" s="1"/>
  <c r="AL70" i="59"/>
  <c r="AL67" i="59"/>
  <c r="AL61" i="59"/>
  <c r="AL49" i="59"/>
  <c r="AL45" i="59" s="1"/>
  <c r="AL38" i="59"/>
  <c r="AL34" i="59"/>
  <c r="AL31" i="59"/>
  <c r="AL26" i="59"/>
  <c r="AL22" i="59"/>
  <c r="AL21" i="59"/>
  <c r="AL10" i="59"/>
  <c r="AH143" i="59"/>
  <c r="AH134" i="59"/>
  <c r="AH128" i="59" s="1"/>
  <c r="AH123" i="59"/>
  <c r="AH114" i="59"/>
  <c r="AH105" i="59"/>
  <c r="AH101" i="59"/>
  <c r="AH89" i="59"/>
  <c r="AH81" i="59"/>
  <c r="AH80" i="59"/>
  <c r="BR80" i="59" s="1"/>
  <c r="F80" i="45" s="1"/>
  <c r="F80" i="7" s="1"/>
  <c r="AD80" i="4" s="1"/>
  <c r="AH70" i="59"/>
  <c r="AH67" i="59"/>
  <c r="AH61" i="59"/>
  <c r="AH49" i="59"/>
  <c r="AH45" i="59" s="1"/>
  <c r="AH38" i="59"/>
  <c r="AH34" i="59"/>
  <c r="AH31" i="59"/>
  <c r="AH26" i="59"/>
  <c r="AH22" i="59"/>
  <c r="AH10" i="59"/>
  <c r="AH9" i="59" s="1"/>
  <c r="X126" i="59"/>
  <c r="X121" i="59"/>
  <c r="X114" i="59" s="1"/>
  <c r="X143" i="59"/>
  <c r="X134" i="59"/>
  <c r="X128" i="59" s="1"/>
  <c r="X105" i="59"/>
  <c r="X101" i="59"/>
  <c r="X89" i="59"/>
  <c r="X81" i="59"/>
  <c r="X79" i="59" s="1"/>
  <c r="X75" i="59" s="1"/>
  <c r="X74" i="59" s="1"/>
  <c r="X70" i="59"/>
  <c r="X67" i="59"/>
  <c r="X61" i="59"/>
  <c r="X49" i="59"/>
  <c r="X45" i="59" s="1"/>
  <c r="X38" i="59"/>
  <c r="X34" i="59"/>
  <c r="X31" i="59"/>
  <c r="X26" i="59"/>
  <c r="X22" i="59"/>
  <c r="X10" i="59"/>
  <c r="X9" i="59" s="1"/>
  <c r="T143" i="59"/>
  <c r="T134" i="59"/>
  <c r="T128" i="59" s="1"/>
  <c r="T124" i="59"/>
  <c r="T123" i="59" s="1"/>
  <c r="T114" i="59"/>
  <c r="T105" i="59"/>
  <c r="T101" i="59"/>
  <c r="T89" i="59"/>
  <c r="T79" i="59"/>
  <c r="T75" i="59" s="1"/>
  <c r="T74" i="59" s="1"/>
  <c r="T85" i="59" s="1"/>
  <c r="P143" i="59"/>
  <c r="P134" i="59"/>
  <c r="P123" i="59"/>
  <c r="P114" i="59"/>
  <c r="P105" i="59"/>
  <c r="P101" i="59"/>
  <c r="P89" i="59"/>
  <c r="P79" i="59"/>
  <c r="P75" i="59" s="1"/>
  <c r="P74" i="59" s="1"/>
  <c r="P70" i="59"/>
  <c r="P67" i="59"/>
  <c r="P61" i="59"/>
  <c r="P49" i="59"/>
  <c r="P45" i="59" s="1"/>
  <c r="P38" i="59"/>
  <c r="P34" i="59"/>
  <c r="P31" i="59"/>
  <c r="P26" i="59"/>
  <c r="P22" i="59"/>
  <c r="P10" i="59"/>
  <c r="P9" i="59" s="1"/>
  <c r="L81" i="59"/>
  <c r="H121" i="59"/>
  <c r="H114" i="59" s="1"/>
  <c r="H147" i="59"/>
  <c r="H134" i="59"/>
  <c r="H128" i="59" s="1"/>
  <c r="H105" i="59"/>
  <c r="H101" i="59"/>
  <c r="H90" i="59"/>
  <c r="H79" i="59"/>
  <c r="H75" i="59" s="1"/>
  <c r="H74" i="59" s="1"/>
  <c r="H70" i="59"/>
  <c r="H67" i="59"/>
  <c r="H61" i="59"/>
  <c r="H49" i="59"/>
  <c r="H45" i="59" s="1"/>
  <c r="H38" i="59"/>
  <c r="H34" i="59"/>
  <c r="H31" i="59"/>
  <c r="H26" i="59"/>
  <c r="H22" i="59"/>
  <c r="H21" i="59"/>
  <c r="H10" i="59"/>
  <c r="D143" i="59"/>
  <c r="D134" i="59"/>
  <c r="D123" i="59"/>
  <c r="D114" i="59"/>
  <c r="D105" i="59"/>
  <c r="D101" i="59"/>
  <c r="D89" i="59"/>
  <c r="D79" i="59"/>
  <c r="D70" i="59"/>
  <c r="D67" i="59"/>
  <c r="D61" i="59"/>
  <c r="D49" i="59"/>
  <c r="D45" i="59" s="1"/>
  <c r="D38" i="59"/>
  <c r="D34" i="59"/>
  <c r="D31" i="59"/>
  <c r="D26" i="59"/>
  <c r="D22" i="59"/>
  <c r="F123" i="36" l="1"/>
  <c r="G57" i="40"/>
  <c r="G58" i="40" s="1"/>
  <c r="G72" i="40" s="1"/>
  <c r="H53" i="6"/>
  <c r="H113" i="5"/>
  <c r="H116" i="5"/>
  <c r="H118" i="5"/>
  <c r="H120" i="5"/>
  <c r="H122" i="5"/>
  <c r="F123" i="19"/>
  <c r="F111" i="19" s="1"/>
  <c r="F31" i="5"/>
  <c r="F31" i="4" s="1"/>
  <c r="F34" i="5"/>
  <c r="F34" i="4" s="1"/>
  <c r="G38" i="5"/>
  <c r="G38" i="4" s="1"/>
  <c r="H94" i="5"/>
  <c r="H96" i="5"/>
  <c r="G123" i="5"/>
  <c r="G123" i="4" s="1"/>
  <c r="G111" i="18"/>
  <c r="F108" i="6"/>
  <c r="R108" i="4" s="1"/>
  <c r="AP108" i="4" s="1"/>
  <c r="H10" i="22"/>
  <c r="H28" i="6"/>
  <c r="H30" i="22"/>
  <c r="H80" i="6"/>
  <c r="F89" i="6"/>
  <c r="R89" i="4" s="1"/>
  <c r="H96" i="6"/>
  <c r="H109" i="6"/>
  <c r="G114" i="6"/>
  <c r="S114" i="4" s="1"/>
  <c r="H116" i="6"/>
  <c r="H133" i="6"/>
  <c r="G111" i="15"/>
  <c r="G142" i="15" s="1"/>
  <c r="G151" i="15" s="1"/>
  <c r="G111" i="32"/>
  <c r="F123" i="28"/>
  <c r="H123" i="28" s="1"/>
  <c r="F45" i="15"/>
  <c r="H45" i="15" s="1"/>
  <c r="F123" i="15"/>
  <c r="H123" i="15" s="1"/>
  <c r="F123" i="32"/>
  <c r="F111" i="32" s="1"/>
  <c r="H111" i="32" s="1"/>
  <c r="F91" i="5"/>
  <c r="F91" i="4" s="1"/>
  <c r="AP91" i="4" s="1"/>
  <c r="H126" i="5"/>
  <c r="F55" i="6"/>
  <c r="R55" i="4" s="1"/>
  <c r="T55" i="4" s="1"/>
  <c r="H70" i="21"/>
  <c r="G111" i="20"/>
  <c r="H67" i="10"/>
  <c r="H70" i="10"/>
  <c r="H88" i="10"/>
  <c r="H30" i="11"/>
  <c r="H61" i="11"/>
  <c r="H30" i="26"/>
  <c r="H49" i="21"/>
  <c r="H88" i="34"/>
  <c r="G88" i="20"/>
  <c r="F123" i="18"/>
  <c r="H123" i="18" s="1"/>
  <c r="BB22" i="59"/>
  <c r="H11" i="5"/>
  <c r="H13" i="5"/>
  <c r="H15" i="5"/>
  <c r="H17" i="5"/>
  <c r="H19" i="5"/>
  <c r="H21" i="5"/>
  <c r="G22" i="5"/>
  <c r="G22" i="4" s="1"/>
  <c r="H24" i="5"/>
  <c r="F30" i="19"/>
  <c r="F30" i="5" s="1"/>
  <c r="F30" i="4" s="1"/>
  <c r="H47" i="5"/>
  <c r="F49" i="5"/>
  <c r="F49" i="4" s="1"/>
  <c r="H50" i="5"/>
  <c r="H52" i="5"/>
  <c r="H54" i="5"/>
  <c r="H56" i="5"/>
  <c r="H58" i="5"/>
  <c r="H60" i="5"/>
  <c r="G61" i="5"/>
  <c r="G61" i="4" s="1"/>
  <c r="H63" i="5"/>
  <c r="H65" i="5"/>
  <c r="F67" i="5"/>
  <c r="F67" i="4" s="1"/>
  <c r="H68" i="5"/>
  <c r="F70" i="5"/>
  <c r="F70" i="4" s="1"/>
  <c r="H71" i="5"/>
  <c r="H77" i="5"/>
  <c r="H80" i="5"/>
  <c r="H83" i="5"/>
  <c r="G105" i="5"/>
  <c r="G105" i="4" s="1"/>
  <c r="H107" i="5"/>
  <c r="H109" i="5"/>
  <c r="H129" i="5"/>
  <c r="H131" i="5"/>
  <c r="H133" i="5"/>
  <c r="H136" i="5"/>
  <c r="H138" i="5"/>
  <c r="H140" i="5"/>
  <c r="H144" i="5"/>
  <c r="H147" i="5"/>
  <c r="H149" i="5"/>
  <c r="F10" i="6"/>
  <c r="R10" i="4" s="1"/>
  <c r="H91" i="6"/>
  <c r="H135" i="6"/>
  <c r="H137" i="6"/>
  <c r="H139" i="6"/>
  <c r="H141" i="6"/>
  <c r="H145" i="6"/>
  <c r="H148" i="6"/>
  <c r="H150" i="6"/>
  <c r="H30" i="20"/>
  <c r="H143" i="20"/>
  <c r="H101" i="8"/>
  <c r="H9" i="13"/>
  <c r="H67" i="13"/>
  <c r="H10" i="34"/>
  <c r="H30" i="34"/>
  <c r="H30" i="48"/>
  <c r="BR90" i="59"/>
  <c r="F90" i="45" s="1"/>
  <c r="F90" i="7" s="1"/>
  <c r="H90" i="7" s="1"/>
  <c r="D30" i="59"/>
  <c r="D25" i="59" s="1"/>
  <c r="D73" i="59" s="1"/>
  <c r="G105" i="7"/>
  <c r="AE105" i="4" s="1"/>
  <c r="G143" i="7"/>
  <c r="AE143" i="4" s="1"/>
  <c r="H105" i="47"/>
  <c r="H38" i="22"/>
  <c r="F105" i="22"/>
  <c r="F105" i="6" s="1"/>
  <c r="R105" i="4" s="1"/>
  <c r="H61" i="46"/>
  <c r="F88" i="46"/>
  <c r="G123" i="6"/>
  <c r="S123" i="4" s="1"/>
  <c r="H127" i="6"/>
  <c r="H70" i="13"/>
  <c r="G111" i="13"/>
  <c r="G142" i="13" s="1"/>
  <c r="G151" i="13" s="1"/>
  <c r="G25" i="14"/>
  <c r="G73" i="14" s="1"/>
  <c r="G85" i="14" s="1"/>
  <c r="H61" i="29"/>
  <c r="H105" i="34"/>
  <c r="H143" i="34"/>
  <c r="H67" i="53"/>
  <c r="G105" i="6"/>
  <c r="S105" i="4" s="1"/>
  <c r="BR22" i="59"/>
  <c r="F22" i="45" s="1"/>
  <c r="H22" i="45" s="1"/>
  <c r="BR34" i="59"/>
  <c r="F34" i="45" s="1"/>
  <c r="H34" i="45" s="1"/>
  <c r="BR61" i="59"/>
  <c r="F61" i="45" s="1"/>
  <c r="H61" i="45" s="1"/>
  <c r="BR70" i="59"/>
  <c r="F70" i="45" s="1"/>
  <c r="H70" i="45" s="1"/>
  <c r="D88" i="59"/>
  <c r="BR105" i="59"/>
  <c r="F105" i="45" s="1"/>
  <c r="H105" i="45" s="1"/>
  <c r="BR21" i="59"/>
  <c r="F21" i="45" s="1"/>
  <c r="F21" i="7" s="1"/>
  <c r="H21" i="7" s="1"/>
  <c r="AT128" i="59"/>
  <c r="H76" i="5"/>
  <c r="H78" i="5"/>
  <c r="G79" i="5"/>
  <c r="G79" i="4" s="1"/>
  <c r="H81" i="5"/>
  <c r="H84" i="5"/>
  <c r="H102" i="5"/>
  <c r="H104" i="5"/>
  <c r="F106" i="5"/>
  <c r="F106" i="4" s="1"/>
  <c r="H106" i="4" s="1"/>
  <c r="H108" i="5"/>
  <c r="H110" i="5"/>
  <c r="H105" i="57"/>
  <c r="F61" i="6"/>
  <c r="R61" i="4" s="1"/>
  <c r="F112" i="6"/>
  <c r="R112" i="4" s="1"/>
  <c r="T112" i="4" s="1"/>
  <c r="F113" i="6"/>
  <c r="R113" i="4" s="1"/>
  <c r="T113" i="4" s="1"/>
  <c r="F118" i="6"/>
  <c r="R118" i="4" s="1"/>
  <c r="F121" i="6"/>
  <c r="R121" i="4" s="1"/>
  <c r="T121" i="4" s="1"/>
  <c r="G70" i="6"/>
  <c r="S70" i="4" s="1"/>
  <c r="H125" i="6"/>
  <c r="G25" i="46"/>
  <c r="H123" i="46"/>
  <c r="H38" i="20"/>
  <c r="H45" i="20"/>
  <c r="G38" i="7"/>
  <c r="AE38" i="4" s="1"/>
  <c r="H61" i="63"/>
  <c r="H67" i="28"/>
  <c r="H70" i="28"/>
  <c r="H88" i="27"/>
  <c r="H45" i="26"/>
  <c r="H143" i="26"/>
  <c r="H22" i="37"/>
  <c r="H67" i="52"/>
  <c r="H70" i="52"/>
  <c r="H30" i="47"/>
  <c r="H61" i="47"/>
  <c r="H88" i="47"/>
  <c r="H109" i="4"/>
  <c r="H110" i="4"/>
  <c r="H113" i="4"/>
  <c r="H117" i="4"/>
  <c r="H118" i="4"/>
  <c r="H120" i="4"/>
  <c r="H121" i="4"/>
  <c r="H122" i="4"/>
  <c r="H70" i="53"/>
  <c r="H101" i="10"/>
  <c r="H38" i="26"/>
  <c r="G25" i="18"/>
  <c r="G73" i="18" s="1"/>
  <c r="G85" i="18" s="1"/>
  <c r="G111" i="36"/>
  <c r="G142" i="36" s="1"/>
  <c r="G151" i="36" s="1"/>
  <c r="H88" i="53"/>
  <c r="H26" i="37"/>
  <c r="H88" i="35"/>
  <c r="H30" i="18"/>
  <c r="G88" i="18"/>
  <c r="H88" i="18" s="1"/>
  <c r="H101" i="18"/>
  <c r="G25" i="57"/>
  <c r="G73" i="57" s="1"/>
  <c r="G85" i="57" s="1"/>
  <c r="H143" i="57"/>
  <c r="H89" i="13"/>
  <c r="H101" i="13"/>
  <c r="H114" i="14"/>
  <c r="H143" i="49"/>
  <c r="H22" i="15"/>
  <c r="H26" i="15"/>
  <c r="H88" i="15"/>
  <c r="H61" i="16"/>
  <c r="H105" i="16"/>
  <c r="H111" i="16"/>
  <c r="H123" i="16"/>
  <c r="H74" i="32"/>
  <c r="H101" i="32"/>
  <c r="H143" i="31"/>
  <c r="H22" i="30"/>
  <c r="H30" i="27"/>
  <c r="H61" i="27"/>
  <c r="H143" i="37"/>
  <c r="H22" i="36"/>
  <c r="H67" i="36"/>
  <c r="H70" i="36"/>
  <c r="H101" i="36"/>
  <c r="H123" i="36"/>
  <c r="H10" i="35"/>
  <c r="H30" i="35"/>
  <c r="H105" i="35"/>
  <c r="H143" i="35"/>
  <c r="H22" i="50"/>
  <c r="H61" i="54"/>
  <c r="H105" i="54"/>
  <c r="H88" i="55"/>
  <c r="H89" i="55"/>
  <c r="H101" i="55"/>
  <c r="H111" i="55"/>
  <c r="G25" i="51"/>
  <c r="H61" i="20"/>
  <c r="H75" i="20"/>
  <c r="H61" i="9"/>
  <c r="H105" i="9"/>
  <c r="H105" i="63"/>
  <c r="H38" i="57"/>
  <c r="G25" i="9"/>
  <c r="G73" i="9" s="1"/>
  <c r="G85" i="9" s="1"/>
  <c r="H38" i="9"/>
  <c r="H45" i="9"/>
  <c r="H143" i="9"/>
  <c r="H38" i="14"/>
  <c r="H45" i="14"/>
  <c r="G25" i="49"/>
  <c r="G73" i="49" s="1"/>
  <c r="G85" i="49" s="1"/>
  <c r="H114" i="55"/>
  <c r="H22" i="18"/>
  <c r="H111" i="57"/>
  <c r="G75" i="19"/>
  <c r="G75" i="5" s="1"/>
  <c r="G75" i="4" s="1"/>
  <c r="H92" i="19"/>
  <c r="H92" i="5" s="1"/>
  <c r="H67" i="58"/>
  <c r="H143" i="58"/>
  <c r="H22" i="10"/>
  <c r="H88" i="11"/>
  <c r="H123" i="11"/>
  <c r="H111" i="63"/>
  <c r="H123" i="63"/>
  <c r="H38" i="49"/>
  <c r="H34" i="32"/>
  <c r="H26" i="30"/>
  <c r="H34" i="30"/>
  <c r="H34" i="37"/>
  <c r="H26" i="50"/>
  <c r="H34" i="50"/>
  <c r="H22" i="33"/>
  <c r="H26" i="33"/>
  <c r="H34" i="33"/>
  <c r="H101" i="53"/>
  <c r="H123" i="55"/>
  <c r="G142" i="52"/>
  <c r="H38" i="51"/>
  <c r="P30" i="59"/>
  <c r="P25" i="59" s="1"/>
  <c r="P73" i="59" s="1"/>
  <c r="P85" i="59" s="1"/>
  <c r="H61" i="22"/>
  <c r="H101" i="21"/>
  <c r="H143" i="21"/>
  <c r="H111" i="9"/>
  <c r="H123" i="9"/>
  <c r="G111" i="14"/>
  <c r="H34" i="15"/>
  <c r="H61" i="15"/>
  <c r="H34" i="31"/>
  <c r="H105" i="29"/>
  <c r="H34" i="28"/>
  <c r="F45" i="28"/>
  <c r="H45" i="28" s="1"/>
  <c r="H38" i="35"/>
  <c r="H38" i="34"/>
  <c r="H111" i="54"/>
  <c r="H123" i="54"/>
  <c r="H67" i="55"/>
  <c r="H70" i="55"/>
  <c r="H88" i="52"/>
  <c r="H101" i="52"/>
  <c r="E30" i="41"/>
  <c r="E57" i="41" s="1"/>
  <c r="P88" i="59"/>
  <c r="T88" i="59"/>
  <c r="AH79" i="59"/>
  <c r="AH75" i="59" s="1"/>
  <c r="AH74" i="59" s="1"/>
  <c r="AL9" i="59"/>
  <c r="AL30" i="59"/>
  <c r="AL25" i="59" s="1"/>
  <c r="H123" i="57"/>
  <c r="H75" i="22"/>
  <c r="H89" i="22"/>
  <c r="G111" i="22"/>
  <c r="H92" i="6"/>
  <c r="H100" i="6"/>
  <c r="G88" i="46"/>
  <c r="H105" i="46"/>
  <c r="H111" i="21"/>
  <c r="H123" i="21"/>
  <c r="H102" i="6"/>
  <c r="F22" i="6"/>
  <c r="R22" i="4" s="1"/>
  <c r="F26" i="6"/>
  <c r="R26" i="4" s="1"/>
  <c r="G128" i="7"/>
  <c r="AE128" i="4" s="1"/>
  <c r="G142" i="49"/>
  <c r="G151" i="49" s="1"/>
  <c r="G111" i="29"/>
  <c r="H111" i="29" s="1"/>
  <c r="G142" i="33"/>
  <c r="G151" i="33" s="1"/>
  <c r="G142" i="53"/>
  <c r="G151" i="53" s="1"/>
  <c r="BR45" i="59"/>
  <c r="F45" i="45" s="1"/>
  <c r="G142" i="57"/>
  <c r="G151" i="57" s="1"/>
  <c r="G88" i="22"/>
  <c r="H76" i="6"/>
  <c r="H78" i="6"/>
  <c r="G79" i="6"/>
  <c r="S79" i="4" s="1"/>
  <c r="H117" i="6"/>
  <c r="H119" i="6"/>
  <c r="G34" i="6"/>
  <c r="S34" i="4" s="1"/>
  <c r="H129" i="6"/>
  <c r="H131" i="6"/>
  <c r="F34" i="6"/>
  <c r="R34" i="4" s="1"/>
  <c r="H105" i="58"/>
  <c r="H111" i="58"/>
  <c r="H123" i="58"/>
  <c r="H70" i="8"/>
  <c r="G111" i="8"/>
  <c r="G142" i="8" s="1"/>
  <c r="G151" i="8" s="1"/>
  <c r="H26" i="10"/>
  <c r="H34" i="10"/>
  <c r="H10" i="11"/>
  <c r="H38" i="11"/>
  <c r="H105" i="11"/>
  <c r="H143" i="11"/>
  <c r="H22" i="12"/>
  <c r="H26" i="12"/>
  <c r="H34" i="12"/>
  <c r="H105" i="12"/>
  <c r="H111" i="12"/>
  <c r="H123" i="12"/>
  <c r="G25" i="63"/>
  <c r="G73" i="63" s="1"/>
  <c r="G85" i="63" s="1"/>
  <c r="H38" i="63"/>
  <c r="H45" i="63"/>
  <c r="H143" i="63"/>
  <c r="H22" i="13"/>
  <c r="H26" i="13"/>
  <c r="H31" i="13"/>
  <c r="H34" i="13"/>
  <c r="F23" i="7"/>
  <c r="H23" i="7" s="1"/>
  <c r="H61" i="14"/>
  <c r="H105" i="14"/>
  <c r="H61" i="49"/>
  <c r="H105" i="49"/>
  <c r="H111" i="49"/>
  <c r="H123" i="49"/>
  <c r="H105" i="15"/>
  <c r="G25" i="16"/>
  <c r="G73" i="16" s="1"/>
  <c r="G85" i="16" s="1"/>
  <c r="H38" i="16"/>
  <c r="G142" i="16"/>
  <c r="G151" i="16" s="1"/>
  <c r="H143" i="16"/>
  <c r="H128" i="17"/>
  <c r="H134" i="17"/>
  <c r="H143" i="17"/>
  <c r="H22" i="32"/>
  <c r="H67" i="32"/>
  <c r="H70" i="32"/>
  <c r="H143" i="32"/>
  <c r="H22" i="31"/>
  <c r="H61" i="31"/>
  <c r="H105" i="31"/>
  <c r="H111" i="31"/>
  <c r="H123" i="31"/>
  <c r="H67" i="30"/>
  <c r="H70" i="30"/>
  <c r="H88" i="30"/>
  <c r="H101" i="30"/>
  <c r="G25" i="29"/>
  <c r="G73" i="29" s="1"/>
  <c r="G85" i="29" s="1"/>
  <c r="H38" i="29"/>
  <c r="H45" i="29"/>
  <c r="H143" i="29"/>
  <c r="H22" i="28"/>
  <c r="H101" i="28"/>
  <c r="G111" i="28"/>
  <c r="G142" i="28" s="1"/>
  <c r="G151" i="28" s="1"/>
  <c r="H10" i="27"/>
  <c r="H38" i="27"/>
  <c r="H105" i="27"/>
  <c r="H61" i="26"/>
  <c r="H89" i="26"/>
  <c r="H101" i="26"/>
  <c r="H67" i="37"/>
  <c r="H70" i="37"/>
  <c r="H88" i="37"/>
  <c r="H101" i="37"/>
  <c r="H123" i="37"/>
  <c r="H34" i="36"/>
  <c r="H74" i="36"/>
  <c r="H61" i="35"/>
  <c r="H123" i="35"/>
  <c r="H67" i="50"/>
  <c r="H70" i="50"/>
  <c r="H88" i="50"/>
  <c r="H101" i="50"/>
  <c r="H61" i="34"/>
  <c r="H123" i="34"/>
  <c r="H67" i="33"/>
  <c r="H70" i="33"/>
  <c r="H88" i="33"/>
  <c r="H101" i="33"/>
  <c r="G25" i="54"/>
  <c r="G73" i="54" s="1"/>
  <c r="G85" i="54" s="1"/>
  <c r="H38" i="54"/>
  <c r="G142" i="54"/>
  <c r="G151" i="54" s="1"/>
  <c r="H143" i="54"/>
  <c r="H22" i="53"/>
  <c r="H26" i="53"/>
  <c r="H34" i="53"/>
  <c r="H22" i="55"/>
  <c r="H26" i="55"/>
  <c r="H34" i="55"/>
  <c r="G142" i="55"/>
  <c r="G151" i="55" s="1"/>
  <c r="H143" i="55"/>
  <c r="H22" i="52"/>
  <c r="H26" i="52"/>
  <c r="H34" i="52"/>
  <c r="H61" i="51"/>
  <c r="H10" i="47"/>
  <c r="H38" i="47"/>
  <c r="H45" i="47"/>
  <c r="H114" i="47"/>
  <c r="G111" i="47"/>
  <c r="G142" i="47" s="1"/>
  <c r="G151" i="47" s="1"/>
  <c r="H67" i="48"/>
  <c r="H70" i="48"/>
  <c r="H88" i="48"/>
  <c r="H101" i="48"/>
  <c r="H45" i="39"/>
  <c r="H51" i="39" s="1"/>
  <c r="H10" i="20"/>
  <c r="H143" i="59"/>
  <c r="BR143" i="59" s="1"/>
  <c r="F143" i="45" s="1"/>
  <c r="BR147" i="59"/>
  <c r="F147" i="45" s="1"/>
  <c r="H147" i="45" s="1"/>
  <c r="BR26" i="59"/>
  <c r="F26" i="45" s="1"/>
  <c r="F26" i="7" s="1"/>
  <c r="BR31" i="59"/>
  <c r="F31" i="45" s="1"/>
  <c r="F31" i="7" s="1"/>
  <c r="BR38" i="59"/>
  <c r="F38" i="45" s="1"/>
  <c r="H38" i="45" s="1"/>
  <c r="BR49" i="59"/>
  <c r="F49" i="45" s="1"/>
  <c r="F49" i="7" s="1"/>
  <c r="BR67" i="59"/>
  <c r="F67" i="45" s="1"/>
  <c r="H67" i="45" s="1"/>
  <c r="D75" i="59"/>
  <c r="H89" i="59"/>
  <c r="H88" i="59" s="1"/>
  <c r="BR121" i="59"/>
  <c r="F121" i="45" s="1"/>
  <c r="H121" i="45" s="1"/>
  <c r="L79" i="59"/>
  <c r="L75" i="59" s="1"/>
  <c r="L74" i="59" s="1"/>
  <c r="L85" i="59" s="1"/>
  <c r="BR81" i="59"/>
  <c r="F81" i="45" s="1"/>
  <c r="BR124" i="59"/>
  <c r="F124" i="45" s="1"/>
  <c r="H124" i="45" s="1"/>
  <c r="X30" i="59"/>
  <c r="X25" i="59" s="1"/>
  <c r="X88" i="59"/>
  <c r="X123" i="59"/>
  <c r="X111" i="59" s="1"/>
  <c r="BR126" i="59"/>
  <c r="F126" i="45" s="1"/>
  <c r="H126" i="45" s="1"/>
  <c r="AH30" i="59"/>
  <c r="AH25" i="59" s="1"/>
  <c r="AH73" i="59" s="1"/>
  <c r="AP9" i="59"/>
  <c r="BR101" i="59"/>
  <c r="F101" i="45" s="1"/>
  <c r="H101" i="45" s="1"/>
  <c r="BR114" i="59"/>
  <c r="F114" i="45" s="1"/>
  <c r="H114" i="45" s="1"/>
  <c r="BB30" i="59"/>
  <c r="BB25" i="59" s="1"/>
  <c r="BB73" i="59" s="1"/>
  <c r="BB85" i="59" s="1"/>
  <c r="BB88" i="59"/>
  <c r="H80" i="45"/>
  <c r="D128" i="59"/>
  <c r="BR134" i="59"/>
  <c r="F134" i="45" s="1"/>
  <c r="H134" i="45" s="1"/>
  <c r="H30" i="59"/>
  <c r="H25" i="59" s="1"/>
  <c r="H9" i="59"/>
  <c r="BR10" i="59"/>
  <c r="F10" i="45" s="1"/>
  <c r="H10" i="45" s="1"/>
  <c r="H27" i="5"/>
  <c r="H29" i="5"/>
  <c r="H32" i="5"/>
  <c r="H35" i="5"/>
  <c r="H37" i="5"/>
  <c r="H40" i="5"/>
  <c r="H42" i="5"/>
  <c r="H44" i="5"/>
  <c r="H90" i="4"/>
  <c r="H93" i="4"/>
  <c r="H94" i="4"/>
  <c r="H95" i="4"/>
  <c r="H97" i="4"/>
  <c r="H102" i="4"/>
  <c r="H125" i="4"/>
  <c r="H126" i="4"/>
  <c r="H127" i="4"/>
  <c r="H129" i="4"/>
  <c r="H130" i="4"/>
  <c r="H51" i="6"/>
  <c r="H55" i="6"/>
  <c r="H57" i="6"/>
  <c r="H59" i="6"/>
  <c r="H62" i="6"/>
  <c r="H69" i="6"/>
  <c r="H41" i="6"/>
  <c r="H32" i="6"/>
  <c r="H11" i="7"/>
  <c r="H12" i="7"/>
  <c r="H13" i="7"/>
  <c r="H14" i="7"/>
  <c r="H15" i="7"/>
  <c r="H16" i="7"/>
  <c r="H17" i="7"/>
  <c r="H18" i="7"/>
  <c r="H19" i="7"/>
  <c r="H20" i="7"/>
  <c r="H35" i="7"/>
  <c r="H36" i="7"/>
  <c r="H37" i="7"/>
  <c r="H46" i="7"/>
  <c r="H127" i="7"/>
  <c r="H129" i="7"/>
  <c r="H130" i="7"/>
  <c r="H144" i="7"/>
  <c r="H145" i="7"/>
  <c r="AD11" i="4"/>
  <c r="AP11" i="4" s="1"/>
  <c r="AD12" i="4"/>
  <c r="AP12" i="4" s="1"/>
  <c r="AD13" i="4"/>
  <c r="AF13" i="4" s="1"/>
  <c r="AD14" i="4"/>
  <c r="AF14" i="4" s="1"/>
  <c r="AD15" i="4"/>
  <c r="AP15" i="4" s="1"/>
  <c r="AD16" i="4"/>
  <c r="AP16" i="4" s="1"/>
  <c r="AD17" i="4"/>
  <c r="AF17" i="4" s="1"/>
  <c r="AD18" i="4"/>
  <c r="AP18" i="4" s="1"/>
  <c r="AD19" i="4"/>
  <c r="AP19" i="4" s="1"/>
  <c r="H17" i="60" s="1"/>
  <c r="AD20" i="4"/>
  <c r="AP20" i="4" s="1"/>
  <c r="AD35" i="4"/>
  <c r="AP35" i="4" s="1"/>
  <c r="AD36" i="4"/>
  <c r="AP36" i="4" s="1"/>
  <c r="AD37" i="4"/>
  <c r="AP37" i="4" s="1"/>
  <c r="AD46" i="4"/>
  <c r="AP46" i="4" s="1"/>
  <c r="AD127" i="4"/>
  <c r="AP127" i="4" s="1"/>
  <c r="AD129" i="4"/>
  <c r="AF129" i="4" s="1"/>
  <c r="AD130" i="4"/>
  <c r="AF130" i="4" s="1"/>
  <c r="H62" i="7"/>
  <c r="H63" i="7"/>
  <c r="H64" i="7"/>
  <c r="H65" i="7"/>
  <c r="H66" i="7"/>
  <c r="H71" i="7"/>
  <c r="H125" i="7"/>
  <c r="H132" i="7"/>
  <c r="H148" i="7"/>
  <c r="H149" i="7"/>
  <c r="H150" i="7"/>
  <c r="AL88" i="59"/>
  <c r="AP30" i="59"/>
  <c r="AP25" i="59" s="1"/>
  <c r="AP111" i="59"/>
  <c r="AX111" i="59"/>
  <c r="L88" i="59"/>
  <c r="H14" i="6"/>
  <c r="H18" i="6"/>
  <c r="L111" i="59"/>
  <c r="G9" i="5"/>
  <c r="G9" i="4" s="1"/>
  <c r="G10" i="5"/>
  <c r="G10" i="4" s="1"/>
  <c r="H12" i="5"/>
  <c r="H14" i="5"/>
  <c r="H16" i="5"/>
  <c r="H18" i="5"/>
  <c r="H20" i="5"/>
  <c r="F22" i="5"/>
  <c r="F22" i="4" s="1"/>
  <c r="H23" i="5"/>
  <c r="G26" i="5"/>
  <c r="G26" i="4" s="1"/>
  <c r="H28" i="5"/>
  <c r="H46" i="5"/>
  <c r="H48" i="5"/>
  <c r="G45" i="19"/>
  <c r="G45" i="5" s="1"/>
  <c r="G45" i="4" s="1"/>
  <c r="G49" i="5"/>
  <c r="G49" i="4" s="1"/>
  <c r="H51" i="5"/>
  <c r="H53" i="5"/>
  <c r="H55" i="5"/>
  <c r="H57" i="5"/>
  <c r="H59" i="5"/>
  <c r="H61" i="19"/>
  <c r="F61" i="5"/>
  <c r="F61" i="4" s="1"/>
  <c r="H62" i="5"/>
  <c r="H64" i="5"/>
  <c r="H66" i="5"/>
  <c r="G67" i="5"/>
  <c r="G67" i="4" s="1"/>
  <c r="H69" i="5"/>
  <c r="G70" i="5"/>
  <c r="G70" i="4" s="1"/>
  <c r="H101" i="19"/>
  <c r="F101" i="5"/>
  <c r="F101" i="4" s="1"/>
  <c r="G111" i="19"/>
  <c r="G114" i="5"/>
  <c r="G114" i="4" s="1"/>
  <c r="H124" i="5"/>
  <c r="H89" i="18"/>
  <c r="H10" i="57"/>
  <c r="F9" i="57"/>
  <c r="H9" i="57" s="1"/>
  <c r="H45" i="57"/>
  <c r="H79" i="57"/>
  <c r="F75" i="57"/>
  <c r="G49" i="6"/>
  <c r="S49" i="4" s="1"/>
  <c r="F143" i="6"/>
  <c r="R143" i="4" s="1"/>
  <c r="G26" i="6"/>
  <c r="S26" i="4" s="1"/>
  <c r="H33" i="6"/>
  <c r="H39" i="6"/>
  <c r="H43" i="6"/>
  <c r="H45" i="22"/>
  <c r="H106" i="22"/>
  <c r="H106" i="6" s="1"/>
  <c r="F106" i="6"/>
  <c r="R106" i="4" s="1"/>
  <c r="T106" i="4" s="1"/>
  <c r="F114" i="22"/>
  <c r="H114" i="22" s="1"/>
  <c r="H115" i="22"/>
  <c r="H115" i="6" s="1"/>
  <c r="F115" i="6"/>
  <c r="R115" i="4" s="1"/>
  <c r="T115" i="4" s="1"/>
  <c r="H10" i="46"/>
  <c r="F9" i="46"/>
  <c r="H11" i="6"/>
  <c r="H13" i="6"/>
  <c r="H15" i="6"/>
  <c r="H17" i="6"/>
  <c r="H19" i="6"/>
  <c r="H21" i="6"/>
  <c r="G22" i="6"/>
  <c r="S22" i="4" s="1"/>
  <c r="H45" i="46"/>
  <c r="H103" i="6"/>
  <c r="H89" i="21"/>
  <c r="F88" i="21"/>
  <c r="H88" i="21" s="1"/>
  <c r="F74" i="20"/>
  <c r="H74" i="20" s="1"/>
  <c r="H118" i="20"/>
  <c r="H118" i="6" s="1"/>
  <c r="F114" i="20"/>
  <c r="H114" i="20" s="1"/>
  <c r="H31" i="58"/>
  <c r="F30" i="58"/>
  <c r="H30" i="58" s="1"/>
  <c r="H74" i="58"/>
  <c r="H89" i="58"/>
  <c r="F88" i="58"/>
  <c r="F142" i="58" s="1"/>
  <c r="H94" i="6"/>
  <c r="H98" i="6"/>
  <c r="G101" i="6"/>
  <c r="S101" i="4" s="1"/>
  <c r="H110" i="6"/>
  <c r="H47" i="8"/>
  <c r="F47" i="7"/>
  <c r="F45" i="8"/>
  <c r="H49" i="8"/>
  <c r="G61" i="7"/>
  <c r="AE61" i="4" s="1"/>
  <c r="H67" i="8"/>
  <c r="G79" i="7"/>
  <c r="AE79" i="4" s="1"/>
  <c r="G75" i="8"/>
  <c r="H75" i="8" s="1"/>
  <c r="H126" i="8"/>
  <c r="F123" i="8"/>
  <c r="H134" i="8"/>
  <c r="F137" i="7"/>
  <c r="H137" i="8"/>
  <c r="G142" i="9"/>
  <c r="G151" i="9" s="1"/>
  <c r="H75" i="10"/>
  <c r="F74" i="10"/>
  <c r="H74" i="10" s="1"/>
  <c r="G142" i="10"/>
  <c r="G151" i="10" s="1"/>
  <c r="H134" i="10"/>
  <c r="F128" i="10"/>
  <c r="F142" i="10" s="1"/>
  <c r="F139" i="7"/>
  <c r="H139" i="10"/>
  <c r="G25" i="11"/>
  <c r="G73" i="11" s="1"/>
  <c r="G85" i="11" s="1"/>
  <c r="H45" i="11"/>
  <c r="H79" i="11"/>
  <c r="F75" i="11"/>
  <c r="H75" i="11" s="1"/>
  <c r="H79" i="12"/>
  <c r="F75" i="12"/>
  <c r="G142" i="12"/>
  <c r="G151" i="12" s="1"/>
  <c r="F147" i="7"/>
  <c r="H147" i="12"/>
  <c r="H10" i="63"/>
  <c r="F9" i="63"/>
  <c r="H9" i="63" s="1"/>
  <c r="H79" i="14"/>
  <c r="F75" i="14"/>
  <c r="G142" i="14"/>
  <c r="G151" i="14" s="1"/>
  <c r="H134" i="14"/>
  <c r="F128" i="14"/>
  <c r="H128" i="14" s="1"/>
  <c r="H114" i="15"/>
  <c r="H134" i="15"/>
  <c r="F128" i="15"/>
  <c r="H31" i="32"/>
  <c r="F30" i="32"/>
  <c r="H30" i="32" s="1"/>
  <c r="H89" i="32"/>
  <c r="F88" i="32"/>
  <c r="H88" i="32" s="1"/>
  <c r="H31" i="31"/>
  <c r="F30" i="31"/>
  <c r="H30" i="31" s="1"/>
  <c r="H79" i="29"/>
  <c r="F75" i="29"/>
  <c r="H31" i="28"/>
  <c r="F30" i="28"/>
  <c r="H30" i="28" s="1"/>
  <c r="H134" i="27"/>
  <c r="F128" i="27"/>
  <c r="H128" i="27" s="1"/>
  <c r="G25" i="26"/>
  <c r="G73" i="26" s="1"/>
  <c r="G85" i="26" s="1"/>
  <c r="H39" i="7"/>
  <c r="AD39" i="4"/>
  <c r="AP39" i="4" s="1"/>
  <c r="H40" i="7"/>
  <c r="AD40" i="4"/>
  <c r="AF40" i="4" s="1"/>
  <c r="H41" i="7"/>
  <c r="AD41" i="4"/>
  <c r="AP41" i="4" s="1"/>
  <c r="H42" i="7"/>
  <c r="AD42" i="4"/>
  <c r="AP42" i="4" s="1"/>
  <c r="H43" i="7"/>
  <c r="AD43" i="4"/>
  <c r="AF43" i="4" s="1"/>
  <c r="H44" i="7"/>
  <c r="AD44" i="4"/>
  <c r="AF44" i="4" s="1"/>
  <c r="H68" i="7"/>
  <c r="AD68" i="4"/>
  <c r="AF68" i="4" s="1"/>
  <c r="H69" i="7"/>
  <c r="AD69" i="4"/>
  <c r="AF69" i="4" s="1"/>
  <c r="D111" i="59"/>
  <c r="T111" i="59"/>
  <c r="AH88" i="59"/>
  <c r="AL111" i="59"/>
  <c r="AT9" i="59"/>
  <c r="AT30" i="59"/>
  <c r="AT25" i="59" s="1"/>
  <c r="AX9" i="59"/>
  <c r="AX30" i="59"/>
  <c r="AX25" i="59" s="1"/>
  <c r="BF30" i="59"/>
  <c r="BF25" i="59" s="1"/>
  <c r="BF73" i="59" s="1"/>
  <c r="AB30" i="59"/>
  <c r="AB25" i="59" s="1"/>
  <c r="AB73" i="59" s="1"/>
  <c r="AB85" i="59" s="1"/>
  <c r="AB152" i="59" s="1"/>
  <c r="BF88" i="59"/>
  <c r="F9" i="19"/>
  <c r="F10" i="5"/>
  <c r="F10" i="4" s="1"/>
  <c r="F26" i="5"/>
  <c r="F26" i="4" s="1"/>
  <c r="G30" i="19"/>
  <c r="G31" i="5"/>
  <c r="G31" i="4" s="1"/>
  <c r="H31" i="4" s="1"/>
  <c r="F79" i="5"/>
  <c r="F79" i="4" s="1"/>
  <c r="F75" i="19"/>
  <c r="G88" i="19"/>
  <c r="G89" i="5"/>
  <c r="G89" i="4" s="1"/>
  <c r="H98" i="19"/>
  <c r="H98" i="5" s="1"/>
  <c r="F98" i="5"/>
  <c r="F98" i="4" s="1"/>
  <c r="H98" i="4" s="1"/>
  <c r="F100" i="5"/>
  <c r="F100" i="4" s="1"/>
  <c r="AP100" i="4" s="1"/>
  <c r="H100" i="19"/>
  <c r="H100" i="5" s="1"/>
  <c r="G134" i="5"/>
  <c r="G134" i="4" s="1"/>
  <c r="G128" i="19"/>
  <c r="G128" i="5" s="1"/>
  <c r="G128" i="4" s="1"/>
  <c r="H143" i="19"/>
  <c r="F143" i="5"/>
  <c r="F143" i="4" s="1"/>
  <c r="H79" i="18"/>
  <c r="F75" i="18"/>
  <c r="F74" i="18" s="1"/>
  <c r="H74" i="18" s="1"/>
  <c r="H114" i="18"/>
  <c r="F111" i="18"/>
  <c r="H111" i="18" s="1"/>
  <c r="H134" i="18"/>
  <c r="F128" i="18"/>
  <c r="F128" i="5" s="1"/>
  <c r="F128" i="4" s="1"/>
  <c r="H128" i="4" s="1"/>
  <c r="H90" i="22"/>
  <c r="H90" i="6" s="1"/>
  <c r="F90" i="6"/>
  <c r="R90" i="4" s="1"/>
  <c r="T90" i="4" s="1"/>
  <c r="H134" i="22"/>
  <c r="F128" i="22"/>
  <c r="H128" i="22" s="1"/>
  <c r="H114" i="46"/>
  <c r="F111" i="46"/>
  <c r="H111" i="46" s="1"/>
  <c r="H124" i="46"/>
  <c r="H124" i="6" s="1"/>
  <c r="F124" i="6"/>
  <c r="R124" i="4" s="1"/>
  <c r="T124" i="4" s="1"/>
  <c r="H134" i="46"/>
  <c r="F128" i="46"/>
  <c r="G128" i="21"/>
  <c r="G128" i="6" s="1"/>
  <c r="S128" i="4" s="1"/>
  <c r="G134" i="6"/>
  <c r="S134" i="4" s="1"/>
  <c r="G25" i="20"/>
  <c r="G73" i="20" s="1"/>
  <c r="G85" i="20" s="1"/>
  <c r="H101" i="20"/>
  <c r="F88" i="20"/>
  <c r="G142" i="20"/>
  <c r="G151" i="20" s="1"/>
  <c r="H49" i="58"/>
  <c r="F45" i="58"/>
  <c r="H45" i="58" s="1"/>
  <c r="H50" i="6"/>
  <c r="H52" i="6"/>
  <c r="H54" i="6"/>
  <c r="H68" i="6"/>
  <c r="F70" i="6"/>
  <c r="R70" i="4" s="1"/>
  <c r="G9" i="8"/>
  <c r="G9" i="7" s="1"/>
  <c r="AE9" i="4" s="1"/>
  <c r="G10" i="7"/>
  <c r="AE10" i="4" s="1"/>
  <c r="H22" i="8"/>
  <c r="H26" i="8"/>
  <c r="F30" i="8"/>
  <c r="H30" i="8" s="1"/>
  <c r="H34" i="8"/>
  <c r="F74" i="8"/>
  <c r="H89" i="8"/>
  <c r="F88" i="8"/>
  <c r="H88" i="8" s="1"/>
  <c r="F138" i="7"/>
  <c r="H138" i="8"/>
  <c r="H10" i="9"/>
  <c r="F9" i="9"/>
  <c r="H79" i="9"/>
  <c r="F75" i="9"/>
  <c r="H49" i="10"/>
  <c r="F45" i="10"/>
  <c r="H45" i="10" s="1"/>
  <c r="F140" i="7"/>
  <c r="H140" i="10"/>
  <c r="H114" i="11"/>
  <c r="F111" i="11"/>
  <c r="H111" i="11" s="1"/>
  <c r="H49" i="12"/>
  <c r="F45" i="12"/>
  <c r="H45" i="12" s="1"/>
  <c r="H79" i="63"/>
  <c r="F75" i="63"/>
  <c r="H49" i="13"/>
  <c r="F45" i="13"/>
  <c r="H45" i="13" s="1"/>
  <c r="H10" i="14"/>
  <c r="F9" i="14"/>
  <c r="H9" i="14" s="1"/>
  <c r="H79" i="31"/>
  <c r="F75" i="31"/>
  <c r="H49" i="30"/>
  <c r="F45" i="30"/>
  <c r="H45" i="30" s="1"/>
  <c r="H10" i="29"/>
  <c r="F9" i="29"/>
  <c r="H9" i="29" s="1"/>
  <c r="H79" i="26"/>
  <c r="F75" i="26"/>
  <c r="F74" i="26" s="1"/>
  <c r="H74" i="26" s="1"/>
  <c r="H120" i="26"/>
  <c r="F120" i="7"/>
  <c r="AD120" i="4" s="1"/>
  <c r="AP120" i="4" s="1"/>
  <c r="H49" i="37"/>
  <c r="F45" i="37"/>
  <c r="H45" i="37" s="1"/>
  <c r="H31" i="36"/>
  <c r="F30" i="36"/>
  <c r="H30" i="36" s="1"/>
  <c r="H114" i="35"/>
  <c r="F111" i="35"/>
  <c r="H111" i="35" s="1"/>
  <c r="H49" i="50"/>
  <c r="F45" i="50"/>
  <c r="H45" i="50" s="1"/>
  <c r="H114" i="34"/>
  <c r="F111" i="34"/>
  <c r="H111" i="34" s="1"/>
  <c r="H33" i="5"/>
  <c r="G34" i="5"/>
  <c r="G34" i="4" s="1"/>
  <c r="H34" i="4" s="1"/>
  <c r="H36" i="5"/>
  <c r="H38" i="19"/>
  <c r="F38" i="5"/>
  <c r="F38" i="4" s="1"/>
  <c r="H39" i="5"/>
  <c r="H41" i="5"/>
  <c r="H43" i="5"/>
  <c r="F45" i="5"/>
  <c r="F45" i="4" s="1"/>
  <c r="H93" i="5"/>
  <c r="H95" i="5"/>
  <c r="H97" i="5"/>
  <c r="H99" i="5"/>
  <c r="G101" i="5"/>
  <c r="G101" i="4" s="1"/>
  <c r="H103" i="5"/>
  <c r="H112" i="5"/>
  <c r="F114" i="5"/>
  <c r="F114" i="4" s="1"/>
  <c r="H115" i="5"/>
  <c r="H117" i="5"/>
  <c r="H119" i="5"/>
  <c r="H121" i="5"/>
  <c r="F124" i="5"/>
  <c r="F124" i="4" s="1"/>
  <c r="H124" i="4" s="1"/>
  <c r="H125" i="5"/>
  <c r="H127" i="5"/>
  <c r="H130" i="5"/>
  <c r="H132" i="5"/>
  <c r="H134" i="19"/>
  <c r="F134" i="5"/>
  <c r="F134" i="4" s="1"/>
  <c r="H135" i="5"/>
  <c r="H137" i="5"/>
  <c r="H139" i="5"/>
  <c r="H141" i="5"/>
  <c r="G143" i="5"/>
  <c r="G143" i="4" s="1"/>
  <c r="H145" i="5"/>
  <c r="H148" i="5"/>
  <c r="H150" i="5"/>
  <c r="F25" i="18"/>
  <c r="H31" i="18"/>
  <c r="H34" i="18"/>
  <c r="H49" i="18"/>
  <c r="H67" i="18"/>
  <c r="H70" i="18"/>
  <c r="H143" i="18"/>
  <c r="H22" i="57"/>
  <c r="H26" i="57"/>
  <c r="H34" i="57"/>
  <c r="H67" i="57"/>
  <c r="H70" i="57"/>
  <c r="H88" i="57"/>
  <c r="H101" i="57"/>
  <c r="H134" i="57"/>
  <c r="T91" i="4"/>
  <c r="H22" i="22"/>
  <c r="H26" i="22"/>
  <c r="H31" i="22"/>
  <c r="H34" i="22"/>
  <c r="H49" i="22"/>
  <c r="H67" i="22"/>
  <c r="H70" i="22"/>
  <c r="H79" i="22"/>
  <c r="H104" i="6"/>
  <c r="H143" i="22"/>
  <c r="H23" i="6"/>
  <c r="H27" i="6"/>
  <c r="H29" i="6"/>
  <c r="H34" i="46"/>
  <c r="H35" i="6"/>
  <c r="H37" i="6"/>
  <c r="G38" i="6"/>
  <c r="S38" i="4" s="1"/>
  <c r="H63" i="6"/>
  <c r="H65" i="6"/>
  <c r="F67" i="6"/>
  <c r="R67" i="4" s="1"/>
  <c r="H70" i="46"/>
  <c r="H71" i="6"/>
  <c r="H101" i="46"/>
  <c r="H107" i="6"/>
  <c r="H143" i="46"/>
  <c r="H12" i="6"/>
  <c r="H16" i="6"/>
  <c r="H20" i="6"/>
  <c r="F25" i="21"/>
  <c r="H34" i="21"/>
  <c r="H40" i="6"/>
  <c r="H42" i="6"/>
  <c r="H44" i="6"/>
  <c r="H61" i="21"/>
  <c r="H64" i="6"/>
  <c r="H66" i="6"/>
  <c r="G67" i="6"/>
  <c r="S67" i="4" s="1"/>
  <c r="H105" i="21"/>
  <c r="H130" i="6"/>
  <c r="H132" i="6"/>
  <c r="F134" i="6"/>
  <c r="R134" i="4" s="1"/>
  <c r="H22" i="20"/>
  <c r="H26" i="20"/>
  <c r="H31" i="20"/>
  <c r="H34" i="20"/>
  <c r="H49" i="20"/>
  <c r="H67" i="20"/>
  <c r="H70" i="20"/>
  <c r="H79" i="20"/>
  <c r="H89" i="20"/>
  <c r="H105" i="20"/>
  <c r="H134" i="20"/>
  <c r="G25" i="58"/>
  <c r="G73" i="58" s="1"/>
  <c r="G85" i="58" s="1"/>
  <c r="H36" i="6"/>
  <c r="H38" i="58"/>
  <c r="H48" i="6"/>
  <c r="H61" i="58"/>
  <c r="H77" i="6"/>
  <c r="H79" i="58"/>
  <c r="G88" i="58"/>
  <c r="G142" i="58" s="1"/>
  <c r="G151" i="58" s="1"/>
  <c r="H101" i="58"/>
  <c r="H120" i="6"/>
  <c r="H134" i="58"/>
  <c r="H10" i="8"/>
  <c r="G22" i="7"/>
  <c r="AE22" i="4" s="1"/>
  <c r="G25" i="8"/>
  <c r="G26" i="7"/>
  <c r="AE26" i="4" s="1"/>
  <c r="G31" i="7"/>
  <c r="AE31" i="4" s="1"/>
  <c r="G34" i="7"/>
  <c r="AE34" i="4" s="1"/>
  <c r="H38" i="8"/>
  <c r="H48" i="8"/>
  <c r="F48" i="7"/>
  <c r="G49" i="7"/>
  <c r="AE49" i="4" s="1"/>
  <c r="H55" i="8"/>
  <c r="F55" i="7"/>
  <c r="H61" i="8"/>
  <c r="G67" i="7"/>
  <c r="AE67" i="4" s="1"/>
  <c r="G70" i="7"/>
  <c r="AE70" i="4" s="1"/>
  <c r="H79" i="8"/>
  <c r="G101" i="7"/>
  <c r="AE101" i="4" s="1"/>
  <c r="H105" i="8"/>
  <c r="H114" i="8"/>
  <c r="H133" i="8"/>
  <c r="F133" i="7"/>
  <c r="G134" i="7"/>
  <c r="AE134" i="4" s="1"/>
  <c r="H143" i="8"/>
  <c r="H22" i="9"/>
  <c r="H26" i="9"/>
  <c r="H34" i="9"/>
  <c r="H49" i="9"/>
  <c r="H67" i="9"/>
  <c r="H70" i="9"/>
  <c r="H88" i="9"/>
  <c r="H101" i="9"/>
  <c r="H134" i="9"/>
  <c r="H10" i="10"/>
  <c r="G25" i="10"/>
  <c r="G73" i="10" s="1"/>
  <c r="G85" i="10" s="1"/>
  <c r="H38" i="10"/>
  <c r="H61" i="10"/>
  <c r="H79" i="10"/>
  <c r="H105" i="10"/>
  <c r="H111" i="10"/>
  <c r="H123" i="10"/>
  <c r="H143" i="10"/>
  <c r="H22" i="11"/>
  <c r="H26" i="11"/>
  <c r="H31" i="11"/>
  <c r="H34" i="11"/>
  <c r="H49" i="11"/>
  <c r="H67" i="11"/>
  <c r="H70" i="11"/>
  <c r="H89" i="11"/>
  <c r="H101" i="11"/>
  <c r="H134" i="11"/>
  <c r="H10" i="12"/>
  <c r="G25" i="12"/>
  <c r="G73" i="12" s="1"/>
  <c r="G85" i="12" s="1"/>
  <c r="H38" i="12"/>
  <c r="H61" i="12"/>
  <c r="G142" i="63"/>
  <c r="G151" i="63" s="1"/>
  <c r="H75" i="13"/>
  <c r="F74" i="13"/>
  <c r="H74" i="13" s="1"/>
  <c r="F118" i="7"/>
  <c r="AD118" i="4" s="1"/>
  <c r="H118" i="13"/>
  <c r="F114" i="13"/>
  <c r="H114" i="13" s="1"/>
  <c r="H134" i="13"/>
  <c r="F128" i="13"/>
  <c r="H128" i="13" s="1"/>
  <c r="H10" i="49"/>
  <c r="F9" i="49"/>
  <c r="H9" i="49" s="1"/>
  <c r="H45" i="49"/>
  <c r="H79" i="49"/>
  <c r="F75" i="49"/>
  <c r="H79" i="15"/>
  <c r="F75" i="15"/>
  <c r="F74" i="15" s="1"/>
  <c r="H74" i="15" s="1"/>
  <c r="H10" i="16"/>
  <c r="F9" i="16"/>
  <c r="H9" i="16" s="1"/>
  <c r="H45" i="16"/>
  <c r="H79" i="16"/>
  <c r="F75" i="16"/>
  <c r="F30" i="17"/>
  <c r="F45" i="17"/>
  <c r="G88" i="7"/>
  <c r="AE88" i="4" s="1"/>
  <c r="G123" i="7"/>
  <c r="AE123" i="4" s="1"/>
  <c r="H49" i="32"/>
  <c r="F45" i="32"/>
  <c r="H45" i="32" s="1"/>
  <c r="H49" i="31"/>
  <c r="F45" i="31"/>
  <c r="H45" i="31" s="1"/>
  <c r="G142" i="31"/>
  <c r="G151" i="31" s="1"/>
  <c r="H75" i="30"/>
  <c r="F74" i="30"/>
  <c r="H74" i="30" s="1"/>
  <c r="G142" i="30"/>
  <c r="G151" i="30" s="1"/>
  <c r="H134" i="30"/>
  <c r="F128" i="30"/>
  <c r="H128" i="30" s="1"/>
  <c r="H121" i="29"/>
  <c r="H74" i="28"/>
  <c r="H89" i="28"/>
  <c r="F88" i="28"/>
  <c r="H88" i="28" s="1"/>
  <c r="H134" i="28"/>
  <c r="F128" i="28"/>
  <c r="H128" i="28" s="1"/>
  <c r="G25" i="27"/>
  <c r="G73" i="27" s="1"/>
  <c r="G85" i="27" s="1"/>
  <c r="H45" i="27"/>
  <c r="H79" i="27"/>
  <c r="F75" i="27"/>
  <c r="H75" i="27" s="1"/>
  <c r="H75" i="37"/>
  <c r="F74" i="37"/>
  <c r="H74" i="37" s="1"/>
  <c r="H114" i="37"/>
  <c r="G111" i="37"/>
  <c r="H111" i="37" s="1"/>
  <c r="H49" i="36"/>
  <c r="F45" i="36"/>
  <c r="H45" i="36" s="1"/>
  <c r="H134" i="36"/>
  <c r="F128" i="36"/>
  <c r="H128" i="36" s="1"/>
  <c r="G25" i="35"/>
  <c r="G73" i="35" s="1"/>
  <c r="G85" i="35" s="1"/>
  <c r="H45" i="35"/>
  <c r="H79" i="35"/>
  <c r="F75" i="35"/>
  <c r="H75" i="35" s="1"/>
  <c r="H75" i="50"/>
  <c r="F74" i="50"/>
  <c r="H74" i="50" s="1"/>
  <c r="G142" i="50"/>
  <c r="G151" i="50" s="1"/>
  <c r="H134" i="50"/>
  <c r="F128" i="50"/>
  <c r="F142" i="50" s="1"/>
  <c r="G25" i="34"/>
  <c r="G73" i="34" s="1"/>
  <c r="G85" i="34" s="1"/>
  <c r="H45" i="34"/>
  <c r="H79" i="34"/>
  <c r="F75" i="34"/>
  <c r="H75" i="34" s="1"/>
  <c r="H75" i="33"/>
  <c r="F74" i="33"/>
  <c r="H74" i="33" s="1"/>
  <c r="H134" i="33"/>
  <c r="F128" i="33"/>
  <c r="F142" i="33" s="1"/>
  <c r="H75" i="53"/>
  <c r="F74" i="53"/>
  <c r="H74" i="53" s="1"/>
  <c r="H134" i="53"/>
  <c r="F128" i="53"/>
  <c r="H128" i="53" s="1"/>
  <c r="H75" i="52"/>
  <c r="F74" i="52"/>
  <c r="H74" i="52" s="1"/>
  <c r="H134" i="52"/>
  <c r="F128" i="52"/>
  <c r="H128" i="52" s="1"/>
  <c r="H79" i="47"/>
  <c r="F75" i="47"/>
  <c r="H75" i="47" s="1"/>
  <c r="H49" i="48"/>
  <c r="F45" i="48"/>
  <c r="H27" i="7"/>
  <c r="AD27" i="4"/>
  <c r="AP27" i="4" s="1"/>
  <c r="H28" i="7"/>
  <c r="AD28" i="4"/>
  <c r="AP28" i="4" s="1"/>
  <c r="H29" i="7"/>
  <c r="AD29" i="4"/>
  <c r="AF29" i="4" s="1"/>
  <c r="H135" i="7"/>
  <c r="AD135" i="4"/>
  <c r="AP135" i="4" s="1"/>
  <c r="H136" i="7"/>
  <c r="AD136" i="4"/>
  <c r="AP136" i="4" s="1"/>
  <c r="H141" i="7"/>
  <c r="AD141" i="4"/>
  <c r="AP141" i="4" s="1"/>
  <c r="S26" i="76" s="1"/>
  <c r="H67" i="12"/>
  <c r="H70" i="12"/>
  <c r="H88" i="12"/>
  <c r="H101" i="12"/>
  <c r="H131" i="7"/>
  <c r="AD131" i="4"/>
  <c r="H134" i="12"/>
  <c r="H22" i="63"/>
  <c r="H26" i="63"/>
  <c r="H34" i="63"/>
  <c r="H49" i="63"/>
  <c r="H67" i="63"/>
  <c r="H70" i="63"/>
  <c r="H88" i="63"/>
  <c r="H101" i="63"/>
  <c r="H134" i="63"/>
  <c r="H10" i="13"/>
  <c r="G25" i="13"/>
  <c r="G73" i="13" s="1"/>
  <c r="G85" i="13" s="1"/>
  <c r="H38" i="13"/>
  <c r="H61" i="13"/>
  <c r="H79" i="13"/>
  <c r="H105" i="13"/>
  <c r="H143" i="13"/>
  <c r="H22" i="14"/>
  <c r="H26" i="14"/>
  <c r="H31" i="14"/>
  <c r="H34" i="14"/>
  <c r="H49" i="14"/>
  <c r="H67" i="14"/>
  <c r="H70" i="14"/>
  <c r="H89" i="14"/>
  <c r="H101" i="14"/>
  <c r="H143" i="14"/>
  <c r="H22" i="49"/>
  <c r="H26" i="49"/>
  <c r="H34" i="49"/>
  <c r="H49" i="49"/>
  <c r="H67" i="49"/>
  <c r="H70" i="49"/>
  <c r="H88" i="49"/>
  <c r="H101" i="49"/>
  <c r="H134" i="49"/>
  <c r="H10" i="15"/>
  <c r="G25" i="15"/>
  <c r="G73" i="15" s="1"/>
  <c r="G85" i="15" s="1"/>
  <c r="H38" i="15"/>
  <c r="H49" i="15"/>
  <c r="H67" i="15"/>
  <c r="H70" i="15"/>
  <c r="H89" i="15"/>
  <c r="H101" i="15"/>
  <c r="H143" i="15"/>
  <c r="H22" i="16"/>
  <c r="H26" i="16"/>
  <c r="H34" i="16"/>
  <c r="H49" i="16"/>
  <c r="H67" i="16"/>
  <c r="H70" i="16"/>
  <c r="H88" i="16"/>
  <c r="H101" i="16"/>
  <c r="H134" i="16"/>
  <c r="G25" i="17"/>
  <c r="G73" i="17" s="1"/>
  <c r="G85" i="17" s="1"/>
  <c r="H89" i="17"/>
  <c r="H101" i="17"/>
  <c r="H105" i="17"/>
  <c r="H123" i="17"/>
  <c r="G25" i="32"/>
  <c r="G73" i="32" s="1"/>
  <c r="G85" i="32" s="1"/>
  <c r="H38" i="32"/>
  <c r="H61" i="32"/>
  <c r="H79" i="32"/>
  <c r="H105" i="32"/>
  <c r="H114" i="32"/>
  <c r="H123" i="32"/>
  <c r="H134" i="32"/>
  <c r="G25" i="31"/>
  <c r="G73" i="31" s="1"/>
  <c r="G85" i="31" s="1"/>
  <c r="H38" i="31"/>
  <c r="H67" i="31"/>
  <c r="H70" i="31"/>
  <c r="H88" i="31"/>
  <c r="H101" i="31"/>
  <c r="H134" i="31"/>
  <c r="H10" i="30"/>
  <c r="G25" i="30"/>
  <c r="G73" i="30" s="1"/>
  <c r="G85" i="30" s="1"/>
  <c r="H38" i="30"/>
  <c r="H61" i="30"/>
  <c r="H79" i="30"/>
  <c r="H105" i="30"/>
  <c r="H111" i="30"/>
  <c r="H123" i="30"/>
  <c r="H143" i="30"/>
  <c r="H22" i="29"/>
  <c r="H26" i="29"/>
  <c r="H34" i="29"/>
  <c r="H49" i="29"/>
  <c r="H67" i="29"/>
  <c r="H70" i="29"/>
  <c r="H88" i="29"/>
  <c r="H101" i="29"/>
  <c r="H123" i="29"/>
  <c r="H134" i="29"/>
  <c r="G25" i="28"/>
  <c r="G73" i="28" s="1"/>
  <c r="G85" i="28" s="1"/>
  <c r="H38" i="28"/>
  <c r="H61" i="28"/>
  <c r="H79" i="28"/>
  <c r="H105" i="28"/>
  <c r="H143" i="28"/>
  <c r="H22" i="27"/>
  <c r="H26" i="27"/>
  <c r="H31" i="27"/>
  <c r="H34" i="27"/>
  <c r="H49" i="27"/>
  <c r="H67" i="27"/>
  <c r="H70" i="27"/>
  <c r="H89" i="27"/>
  <c r="H101" i="27"/>
  <c r="G111" i="27"/>
  <c r="G142" i="27" s="1"/>
  <c r="G151" i="27" s="1"/>
  <c r="H143" i="27"/>
  <c r="H22" i="26"/>
  <c r="F25" i="26"/>
  <c r="F73" i="26" s="1"/>
  <c r="H31" i="26"/>
  <c r="H34" i="26"/>
  <c r="H49" i="26"/>
  <c r="H67" i="26"/>
  <c r="H70" i="26"/>
  <c r="H105" i="26"/>
  <c r="H123" i="26"/>
  <c r="H134" i="26"/>
  <c r="H10" i="37"/>
  <c r="G25" i="37"/>
  <c r="G73" i="37" s="1"/>
  <c r="G85" i="37" s="1"/>
  <c r="H38" i="37"/>
  <c r="H61" i="37"/>
  <c r="H79" i="37"/>
  <c r="H105" i="37"/>
  <c r="H134" i="37"/>
  <c r="G25" i="36"/>
  <c r="G73" i="36" s="1"/>
  <c r="G85" i="36" s="1"/>
  <c r="H38" i="36"/>
  <c r="H61" i="36"/>
  <c r="H79" i="36"/>
  <c r="H105" i="36"/>
  <c r="F111" i="36"/>
  <c r="H143" i="36"/>
  <c r="H22" i="35"/>
  <c r="H26" i="35"/>
  <c r="H31" i="35"/>
  <c r="H34" i="35"/>
  <c r="H49" i="35"/>
  <c r="H67" i="35"/>
  <c r="H70" i="35"/>
  <c r="H89" i="35"/>
  <c r="H101" i="35"/>
  <c r="H134" i="35"/>
  <c r="H10" i="50"/>
  <c r="G25" i="50"/>
  <c r="G73" i="50" s="1"/>
  <c r="G85" i="50" s="1"/>
  <c r="H38" i="50"/>
  <c r="H61" i="50"/>
  <c r="H79" i="50"/>
  <c r="H105" i="50"/>
  <c r="H111" i="50"/>
  <c r="H123" i="50"/>
  <c r="H143" i="50"/>
  <c r="H22" i="34"/>
  <c r="H26" i="34"/>
  <c r="H31" i="34"/>
  <c r="H34" i="34"/>
  <c r="H49" i="34"/>
  <c r="H67" i="34"/>
  <c r="H70" i="34"/>
  <c r="H89" i="34"/>
  <c r="H101" i="34"/>
  <c r="H49" i="33"/>
  <c r="F45" i="33"/>
  <c r="H45" i="33" s="1"/>
  <c r="H10" i="54"/>
  <c r="F9" i="54"/>
  <c r="H9" i="54" s="1"/>
  <c r="H45" i="54"/>
  <c r="H79" i="54"/>
  <c r="F75" i="54"/>
  <c r="H49" i="53"/>
  <c r="F45" i="53"/>
  <c r="H45" i="53" s="1"/>
  <c r="H49" i="55"/>
  <c r="F45" i="55"/>
  <c r="H45" i="55" s="1"/>
  <c r="H79" i="55"/>
  <c r="F75" i="55"/>
  <c r="F142" i="55"/>
  <c r="F151" i="55" s="1"/>
  <c r="H49" i="52"/>
  <c r="F45" i="52"/>
  <c r="H45" i="52" s="1"/>
  <c r="H10" i="51"/>
  <c r="F9" i="51"/>
  <c r="H9" i="51" s="1"/>
  <c r="H45" i="51"/>
  <c r="H79" i="51"/>
  <c r="F75" i="51"/>
  <c r="G142" i="51"/>
  <c r="G151" i="51" s="1"/>
  <c r="H134" i="51"/>
  <c r="F128" i="51"/>
  <c r="G25" i="47"/>
  <c r="G73" i="47" s="1"/>
  <c r="G85" i="47" s="1"/>
  <c r="H24" i="7"/>
  <c r="AD24" i="4"/>
  <c r="AF24" i="4" s="1"/>
  <c r="H32" i="7"/>
  <c r="AD32" i="4"/>
  <c r="AF32" i="4" s="1"/>
  <c r="H33" i="7"/>
  <c r="AD33" i="4"/>
  <c r="AP33" i="4" s="1"/>
  <c r="H50" i="7"/>
  <c r="AD50" i="4"/>
  <c r="AP50" i="4" s="1"/>
  <c r="H51" i="7"/>
  <c r="AD51" i="4"/>
  <c r="AP51" i="4" s="1"/>
  <c r="H52" i="7"/>
  <c r="AD52" i="4"/>
  <c r="AF52" i="4" s="1"/>
  <c r="H53" i="7"/>
  <c r="AD53" i="4"/>
  <c r="AF53" i="4" s="1"/>
  <c r="H54" i="7"/>
  <c r="AD54" i="4"/>
  <c r="AF54" i="4" s="1"/>
  <c r="H56" i="7"/>
  <c r="AD56" i="4"/>
  <c r="AP56" i="4" s="1"/>
  <c r="H57" i="7"/>
  <c r="AD57" i="4"/>
  <c r="AF57" i="4" s="1"/>
  <c r="H58" i="7"/>
  <c r="AD58" i="4"/>
  <c r="AP58" i="4" s="1"/>
  <c r="H59" i="7"/>
  <c r="AD59" i="4"/>
  <c r="AF59" i="4" s="1"/>
  <c r="H60" i="7"/>
  <c r="AD60" i="4"/>
  <c r="AF60" i="4" s="1"/>
  <c r="F112" i="7"/>
  <c r="AD112" i="4" s="1"/>
  <c r="AF112" i="4" s="1"/>
  <c r="F115" i="7"/>
  <c r="AD115" i="4" s="1"/>
  <c r="H134" i="34"/>
  <c r="H10" i="33"/>
  <c r="G25" i="33"/>
  <c r="G73" i="33" s="1"/>
  <c r="G85" i="33" s="1"/>
  <c r="H38" i="33"/>
  <c r="H61" i="33"/>
  <c r="H79" i="33"/>
  <c r="H105" i="33"/>
  <c r="H111" i="33"/>
  <c r="H123" i="33"/>
  <c r="H143" i="33"/>
  <c r="H22" i="54"/>
  <c r="H26" i="54"/>
  <c r="H34" i="54"/>
  <c r="H49" i="54"/>
  <c r="H67" i="54"/>
  <c r="H70" i="54"/>
  <c r="H88" i="54"/>
  <c r="H101" i="54"/>
  <c r="H134" i="54"/>
  <c r="H10" i="53"/>
  <c r="G25" i="53"/>
  <c r="G73" i="53" s="1"/>
  <c r="G85" i="53" s="1"/>
  <c r="H38" i="53"/>
  <c r="H61" i="53"/>
  <c r="H79" i="53"/>
  <c r="H105" i="53"/>
  <c r="H111" i="53"/>
  <c r="H123" i="53"/>
  <c r="H143" i="53"/>
  <c r="H10" i="55"/>
  <c r="G25" i="55"/>
  <c r="G73" i="55" s="1"/>
  <c r="G85" i="55" s="1"/>
  <c r="H38" i="55"/>
  <c r="H61" i="55"/>
  <c r="H105" i="55"/>
  <c r="H134" i="55"/>
  <c r="H10" i="52"/>
  <c r="G25" i="52"/>
  <c r="G73" i="52" s="1"/>
  <c r="G85" i="52" s="1"/>
  <c r="H38" i="52"/>
  <c r="H61" i="52"/>
  <c r="H79" i="52"/>
  <c r="H105" i="52"/>
  <c r="H111" i="52"/>
  <c r="H123" i="52"/>
  <c r="H143" i="52"/>
  <c r="H22" i="51"/>
  <c r="H26" i="51"/>
  <c r="H34" i="51"/>
  <c r="H49" i="51"/>
  <c r="H67" i="51"/>
  <c r="H70" i="51"/>
  <c r="H88" i="51"/>
  <c r="H101" i="51"/>
  <c r="H134" i="47"/>
  <c r="F128" i="47"/>
  <c r="H128" i="47" s="1"/>
  <c r="G25" i="48"/>
  <c r="G73" i="48" s="1"/>
  <c r="G85" i="48" s="1"/>
  <c r="H75" i="48"/>
  <c r="F74" i="48"/>
  <c r="H74" i="48" s="1"/>
  <c r="G142" i="48"/>
  <c r="G151" i="48" s="1"/>
  <c r="H134" i="48"/>
  <c r="F128" i="48"/>
  <c r="F142" i="48" s="1"/>
  <c r="G30" i="45"/>
  <c r="G25" i="45" s="1"/>
  <c r="AF91" i="4"/>
  <c r="H105" i="51"/>
  <c r="H111" i="51"/>
  <c r="H123" i="51"/>
  <c r="H143" i="51"/>
  <c r="H22" i="47"/>
  <c r="H26" i="47"/>
  <c r="H31" i="47"/>
  <c r="H34" i="47"/>
  <c r="H49" i="47"/>
  <c r="H67" i="47"/>
  <c r="H70" i="47"/>
  <c r="H89" i="47"/>
  <c r="H101" i="47"/>
  <c r="H143" i="47"/>
  <c r="H22" i="48"/>
  <c r="F25" i="48"/>
  <c r="H31" i="48"/>
  <c r="H34" i="48"/>
  <c r="H61" i="48"/>
  <c r="H79" i="48"/>
  <c r="H105" i="48"/>
  <c r="H111" i="48"/>
  <c r="H123" i="48"/>
  <c r="H143" i="48"/>
  <c r="H76" i="7"/>
  <c r="H77" i="7"/>
  <c r="H78" i="7"/>
  <c r="H80" i="7"/>
  <c r="H83" i="7"/>
  <c r="H84" i="7"/>
  <c r="AF92" i="4"/>
  <c r="G89" i="7"/>
  <c r="AE89" i="4" s="1"/>
  <c r="F88" i="26"/>
  <c r="H88" i="26" s="1"/>
  <c r="H114" i="17"/>
  <c r="F111" i="17"/>
  <c r="G114" i="7"/>
  <c r="AE114" i="4" s="1"/>
  <c r="F88" i="17"/>
  <c r="H88" i="17" s="1"/>
  <c r="H92" i="7"/>
  <c r="H93" i="7"/>
  <c r="H94" i="7"/>
  <c r="H95" i="7"/>
  <c r="H96" i="7"/>
  <c r="H97" i="7"/>
  <c r="H98" i="7"/>
  <c r="H99" i="7"/>
  <c r="H100" i="7"/>
  <c r="H102" i="7"/>
  <c r="H103" i="7"/>
  <c r="H104" i="7"/>
  <c r="H106" i="7"/>
  <c r="H107" i="7"/>
  <c r="H108" i="7"/>
  <c r="H109" i="7"/>
  <c r="H110" i="7"/>
  <c r="H113" i="7"/>
  <c r="H116" i="7"/>
  <c r="H117" i="7"/>
  <c r="H119" i="7"/>
  <c r="H122" i="7"/>
  <c r="P128" i="59"/>
  <c r="P111" i="59"/>
  <c r="AH111" i="59"/>
  <c r="AP88" i="59"/>
  <c r="AT88" i="59"/>
  <c r="AX88" i="59"/>
  <c r="H83" i="6"/>
  <c r="H122" i="6"/>
  <c r="H22" i="21"/>
  <c r="F74" i="22"/>
  <c r="H74" i="22" s="1"/>
  <c r="F79" i="6"/>
  <c r="R79" i="4" s="1"/>
  <c r="H13" i="4"/>
  <c r="H14" i="4"/>
  <c r="H17" i="4"/>
  <c r="H21" i="4"/>
  <c r="H24" i="4"/>
  <c r="H28" i="4"/>
  <c r="H29" i="4"/>
  <c r="H32" i="4"/>
  <c r="H33" i="4"/>
  <c r="H36" i="4"/>
  <c r="H37" i="4"/>
  <c r="H40" i="4"/>
  <c r="H41" i="4"/>
  <c r="H44" i="4"/>
  <c r="H48" i="4"/>
  <c r="H52" i="4"/>
  <c r="H53" i="4"/>
  <c r="H54" i="4"/>
  <c r="H56" i="4"/>
  <c r="H57" i="4"/>
  <c r="H60" i="4"/>
  <c r="H64" i="4"/>
  <c r="H65" i="4"/>
  <c r="H68" i="4"/>
  <c r="H69" i="4"/>
  <c r="H77" i="4"/>
  <c r="H78" i="4"/>
  <c r="H81" i="4"/>
  <c r="H83" i="4"/>
  <c r="H84" i="4"/>
  <c r="AQ11" i="4"/>
  <c r="AQ12" i="4"/>
  <c r="AQ13" i="4"/>
  <c r="AQ14" i="4"/>
  <c r="AQ15" i="4"/>
  <c r="AQ16" i="4"/>
  <c r="AQ17" i="4"/>
  <c r="AQ18" i="4"/>
  <c r="AQ19" i="4"/>
  <c r="I17" i="60" s="1"/>
  <c r="H12" i="4"/>
  <c r="H16" i="4"/>
  <c r="H18" i="4"/>
  <c r="H20" i="4"/>
  <c r="H42" i="4"/>
  <c r="H46" i="4"/>
  <c r="H50" i="4"/>
  <c r="H58" i="4"/>
  <c r="H62" i="4"/>
  <c r="AP62" i="4"/>
  <c r="H66" i="4"/>
  <c r="AP66" i="4"/>
  <c r="H91" i="4"/>
  <c r="H99" i="4"/>
  <c r="AP99" i="4"/>
  <c r="H103" i="4"/>
  <c r="AP103" i="4"/>
  <c r="H107" i="4"/>
  <c r="AP107" i="4"/>
  <c r="H115" i="4"/>
  <c r="H119" i="4"/>
  <c r="AP119" i="4"/>
  <c r="AP95" i="4"/>
  <c r="AP63" i="4"/>
  <c r="AQ20" i="4"/>
  <c r="AQ21" i="4"/>
  <c r="AQ23" i="4"/>
  <c r="AQ24" i="4"/>
  <c r="AQ27" i="4"/>
  <c r="AQ28" i="4"/>
  <c r="AQ29" i="4"/>
  <c r="AQ32" i="4"/>
  <c r="AQ33" i="4"/>
  <c r="AQ35" i="4"/>
  <c r="AQ36" i="4"/>
  <c r="AQ37" i="4"/>
  <c r="AQ39" i="4"/>
  <c r="AQ40" i="4"/>
  <c r="AQ41" i="4"/>
  <c r="AQ42" i="4"/>
  <c r="AQ43" i="4"/>
  <c r="AQ44" i="4"/>
  <c r="AQ46" i="4"/>
  <c r="AQ47" i="4"/>
  <c r="AQ48" i="4"/>
  <c r="AQ50" i="4"/>
  <c r="AQ51" i="4"/>
  <c r="AQ52" i="4"/>
  <c r="AQ53" i="4"/>
  <c r="AQ54" i="4"/>
  <c r="AQ55" i="4"/>
  <c r="AQ56" i="4"/>
  <c r="AQ57" i="4"/>
  <c r="AQ58" i="4"/>
  <c r="AQ59" i="4"/>
  <c r="AQ60" i="4"/>
  <c r="AQ62" i="4"/>
  <c r="AQ63" i="4"/>
  <c r="AQ64" i="4"/>
  <c r="I30" i="60" s="1"/>
  <c r="I37" i="60" s="1"/>
  <c r="AQ65" i="4"/>
  <c r="AQ66" i="4"/>
  <c r="AQ68" i="4"/>
  <c r="AQ69" i="4"/>
  <c r="AQ71" i="4"/>
  <c r="AP76" i="4"/>
  <c r="AP80" i="4"/>
  <c r="AP82" i="4"/>
  <c r="H53" i="60" s="1"/>
  <c r="AP92" i="4"/>
  <c r="AP96" i="4"/>
  <c r="AP104" i="4"/>
  <c r="AP116" i="4"/>
  <c r="AQ144" i="4"/>
  <c r="AQ145" i="4"/>
  <c r="AQ146" i="4"/>
  <c r="AQ147" i="4"/>
  <c r="AQ148" i="4"/>
  <c r="AQ149" i="4"/>
  <c r="AQ150" i="4"/>
  <c r="AP71" i="4"/>
  <c r="AQ76" i="4"/>
  <c r="AQ77" i="4"/>
  <c r="AQ78" i="4"/>
  <c r="AQ80" i="4"/>
  <c r="AQ81" i="4"/>
  <c r="AQ82" i="4"/>
  <c r="AQ83" i="4"/>
  <c r="AQ84" i="4"/>
  <c r="AQ90" i="4"/>
  <c r="AQ91" i="4"/>
  <c r="AQ92" i="4"/>
  <c r="AQ93" i="4"/>
  <c r="AQ94" i="4"/>
  <c r="AQ95" i="4"/>
  <c r="AQ96" i="4"/>
  <c r="AQ97" i="4"/>
  <c r="AQ98" i="4"/>
  <c r="AQ99" i="4"/>
  <c r="AQ100" i="4"/>
  <c r="AQ102" i="4"/>
  <c r="AQ103" i="4"/>
  <c r="AQ104" i="4"/>
  <c r="AQ106" i="4"/>
  <c r="AQ107" i="4"/>
  <c r="AQ108" i="4"/>
  <c r="AQ109" i="4"/>
  <c r="AQ110" i="4"/>
  <c r="AQ112" i="4"/>
  <c r="AQ113" i="4"/>
  <c r="AQ115" i="4"/>
  <c r="AQ116" i="4"/>
  <c r="AQ117" i="4"/>
  <c r="AQ118" i="4"/>
  <c r="AQ119" i="4"/>
  <c r="AQ120" i="4"/>
  <c r="AQ121" i="4"/>
  <c r="AQ122" i="4"/>
  <c r="AQ124" i="4"/>
  <c r="AQ125" i="4"/>
  <c r="AQ126" i="4"/>
  <c r="AQ127" i="4"/>
  <c r="AQ129" i="4"/>
  <c r="AQ130" i="4"/>
  <c r="AQ131" i="4"/>
  <c r="AQ132" i="4"/>
  <c r="AQ133" i="4"/>
  <c r="T21" i="76" s="1"/>
  <c r="AQ135" i="4"/>
  <c r="AQ136" i="4"/>
  <c r="AQ137" i="4"/>
  <c r="AQ138" i="4"/>
  <c r="AQ139" i="4"/>
  <c r="AQ140" i="4"/>
  <c r="AQ141" i="4"/>
  <c r="T26" i="76" s="1"/>
  <c r="T27" i="76" s="1"/>
  <c r="AD106" i="4"/>
  <c r="AF62" i="4"/>
  <c r="AF64" i="4"/>
  <c r="AF65" i="4"/>
  <c r="AP65" i="4"/>
  <c r="AF66" i="4"/>
  <c r="AF77" i="4"/>
  <c r="AF78" i="4"/>
  <c r="AP78" i="4"/>
  <c r="AF83" i="4"/>
  <c r="AF84" i="4"/>
  <c r="AF93" i="4"/>
  <c r="AF94" i="4"/>
  <c r="AP94" i="4"/>
  <c r="AF95" i="4"/>
  <c r="AF97" i="4"/>
  <c r="AF98" i="4"/>
  <c r="AF99" i="4"/>
  <c r="AF102" i="4"/>
  <c r="AP102" i="4"/>
  <c r="AF103" i="4"/>
  <c r="AF107" i="4"/>
  <c r="AF109" i="4"/>
  <c r="AF110" i="4"/>
  <c r="AP110" i="4"/>
  <c r="AF113" i="4"/>
  <c r="AF117" i="4"/>
  <c r="AF119" i="4"/>
  <c r="AF122" i="4"/>
  <c r="AP122" i="4"/>
  <c r="AF125" i="4"/>
  <c r="AF132" i="4"/>
  <c r="AP132" i="4"/>
  <c r="AF144" i="4"/>
  <c r="AP144" i="4"/>
  <c r="AF145" i="4"/>
  <c r="AP145" i="4"/>
  <c r="AF146" i="4"/>
  <c r="AR146" i="4" s="1"/>
  <c r="AP146" i="4"/>
  <c r="AF148" i="4"/>
  <c r="AP148" i="4"/>
  <c r="AF149" i="4"/>
  <c r="AP149" i="4"/>
  <c r="AF150" i="4"/>
  <c r="AP64" i="4"/>
  <c r="H32" i="60" s="1"/>
  <c r="AP77" i="4"/>
  <c r="AP83" i="4"/>
  <c r="AP84" i="4" s="1"/>
  <c r="AP93" i="4"/>
  <c r="AP97" i="4"/>
  <c r="AP109" i="4"/>
  <c r="AP117" i="4"/>
  <c r="AP125" i="4"/>
  <c r="AF63" i="4"/>
  <c r="AF71" i="4"/>
  <c r="AF76" i="4"/>
  <c r="AF80" i="4"/>
  <c r="AF96" i="4"/>
  <c r="AF100" i="4"/>
  <c r="AF104" i="4"/>
  <c r="AF108" i="4"/>
  <c r="AF116" i="4"/>
  <c r="H131" i="4"/>
  <c r="H132" i="4"/>
  <c r="H133" i="4"/>
  <c r="T12" i="4"/>
  <c r="T13" i="4"/>
  <c r="T14" i="4"/>
  <c r="T16" i="4"/>
  <c r="T17" i="4"/>
  <c r="T18" i="4"/>
  <c r="T20" i="4"/>
  <c r="T21" i="4"/>
  <c r="T24" i="4"/>
  <c r="T28" i="4"/>
  <c r="T29" i="4"/>
  <c r="T32" i="4"/>
  <c r="T33" i="4"/>
  <c r="T36" i="4"/>
  <c r="T37" i="4"/>
  <c r="T40" i="4"/>
  <c r="T41" i="4"/>
  <c r="T42" i="4"/>
  <c r="T44" i="4"/>
  <c r="T46" i="4"/>
  <c r="T48" i="4"/>
  <c r="T50" i="4"/>
  <c r="T52" i="4"/>
  <c r="T53" i="4"/>
  <c r="T54" i="4"/>
  <c r="T56" i="4"/>
  <c r="T57" i="4"/>
  <c r="T58" i="4"/>
  <c r="T60" i="4"/>
  <c r="T62" i="4"/>
  <c r="T64" i="4"/>
  <c r="T65" i="4"/>
  <c r="T66" i="4"/>
  <c r="T68" i="4"/>
  <c r="T69" i="4"/>
  <c r="T77" i="4"/>
  <c r="T78" i="4"/>
  <c r="T81" i="4"/>
  <c r="T83" i="4"/>
  <c r="T84" i="4"/>
  <c r="T93" i="4"/>
  <c r="T94" i="4"/>
  <c r="T95" i="4"/>
  <c r="T97" i="4"/>
  <c r="T98" i="4"/>
  <c r="T99" i="4"/>
  <c r="T102" i="4"/>
  <c r="T103" i="4"/>
  <c r="T107" i="4"/>
  <c r="T109" i="4"/>
  <c r="T110" i="4"/>
  <c r="T117" i="4"/>
  <c r="T118" i="4"/>
  <c r="T119" i="4"/>
  <c r="T120" i="4"/>
  <c r="T122" i="4"/>
  <c r="T125" i="4"/>
  <c r="T126" i="4"/>
  <c r="T127" i="4"/>
  <c r="T129" i="4"/>
  <c r="T130" i="4"/>
  <c r="T131" i="4"/>
  <c r="T132" i="4"/>
  <c r="T133" i="4"/>
  <c r="T135" i="4"/>
  <c r="T136" i="4"/>
  <c r="T137" i="4"/>
  <c r="T138" i="4"/>
  <c r="T139" i="4"/>
  <c r="T140" i="4"/>
  <c r="T141" i="4"/>
  <c r="T144" i="4"/>
  <c r="T145" i="4"/>
  <c r="T147" i="4"/>
  <c r="T148" i="4"/>
  <c r="T149" i="4"/>
  <c r="T150" i="4"/>
  <c r="T11" i="4"/>
  <c r="T15" i="4"/>
  <c r="T19" i="4"/>
  <c r="T23" i="4"/>
  <c r="T27" i="4"/>
  <c r="T35" i="4"/>
  <c r="T39" i="4"/>
  <c r="T43" i="4"/>
  <c r="T47" i="4"/>
  <c r="T51" i="4"/>
  <c r="T59" i="4"/>
  <c r="T63" i="4"/>
  <c r="T71" i="4"/>
  <c r="T76" i="4"/>
  <c r="T80" i="4"/>
  <c r="T92" i="4"/>
  <c r="T96" i="4"/>
  <c r="T100" i="4"/>
  <c r="T104" i="4"/>
  <c r="T116" i="4"/>
  <c r="H135" i="4"/>
  <c r="H136" i="4"/>
  <c r="H137" i="4"/>
  <c r="H138" i="4"/>
  <c r="H139" i="4"/>
  <c r="H140" i="4"/>
  <c r="H141" i="4"/>
  <c r="H144" i="4"/>
  <c r="H145" i="4"/>
  <c r="H147" i="4"/>
  <c r="H148" i="4"/>
  <c r="H149" i="4"/>
  <c r="H150" i="4"/>
  <c r="H11" i="4"/>
  <c r="H15" i="4"/>
  <c r="H19" i="4"/>
  <c r="H23" i="4"/>
  <c r="H27" i="4"/>
  <c r="H35" i="4"/>
  <c r="H39" i="4"/>
  <c r="H43" i="4"/>
  <c r="H47" i="4"/>
  <c r="H51" i="4"/>
  <c r="H55" i="4"/>
  <c r="H59" i="4"/>
  <c r="H63" i="4"/>
  <c r="H71" i="4"/>
  <c r="H76" i="4"/>
  <c r="H80" i="4"/>
  <c r="H92" i="4"/>
  <c r="H96" i="4"/>
  <c r="H104" i="4"/>
  <c r="H108" i="4"/>
  <c r="H112" i="4"/>
  <c r="H116" i="4"/>
  <c r="G142" i="45"/>
  <c r="G45" i="45"/>
  <c r="H9" i="48"/>
  <c r="H10" i="48"/>
  <c r="H26" i="48"/>
  <c r="H89" i="48"/>
  <c r="H114" i="48"/>
  <c r="F9" i="47"/>
  <c r="F25" i="47"/>
  <c r="F123" i="47"/>
  <c r="G73" i="51"/>
  <c r="G85" i="51" s="1"/>
  <c r="H30" i="51"/>
  <c r="F25" i="51"/>
  <c r="H25" i="51" s="1"/>
  <c r="H31" i="51"/>
  <c r="H89" i="51"/>
  <c r="H114" i="51"/>
  <c r="H30" i="52"/>
  <c r="F25" i="52"/>
  <c r="G151" i="52"/>
  <c r="H9" i="52"/>
  <c r="H31" i="52"/>
  <c r="H89" i="52"/>
  <c r="H114" i="52"/>
  <c r="H30" i="55"/>
  <c r="F25" i="55"/>
  <c r="H9" i="55"/>
  <c r="H31" i="55"/>
  <c r="H128" i="55"/>
  <c r="H30" i="53"/>
  <c r="F25" i="53"/>
  <c r="H9" i="53"/>
  <c r="H31" i="53"/>
  <c r="H89" i="53"/>
  <c r="H114" i="53"/>
  <c r="F142" i="54"/>
  <c r="H30" i="54"/>
  <c r="F25" i="54"/>
  <c r="H31" i="54"/>
  <c r="H89" i="54"/>
  <c r="H114" i="54"/>
  <c r="H128" i="54"/>
  <c r="H30" i="33"/>
  <c r="F25" i="33"/>
  <c r="H9" i="33"/>
  <c r="H31" i="33"/>
  <c r="H89" i="33"/>
  <c r="H114" i="33"/>
  <c r="G142" i="34"/>
  <c r="G151" i="34" s="1"/>
  <c r="F9" i="34"/>
  <c r="F25" i="34"/>
  <c r="H128" i="34"/>
  <c r="H30" i="50"/>
  <c r="F25" i="50"/>
  <c r="H9" i="50"/>
  <c r="H31" i="50"/>
  <c r="H89" i="50"/>
  <c r="H114" i="50"/>
  <c r="G142" i="35"/>
  <c r="G151" i="35" s="1"/>
  <c r="F9" i="35"/>
  <c r="F25" i="35"/>
  <c r="H128" i="35"/>
  <c r="H9" i="36"/>
  <c r="H10" i="36"/>
  <c r="H26" i="36"/>
  <c r="H75" i="36"/>
  <c r="H114" i="36"/>
  <c r="F89" i="36"/>
  <c r="H30" i="37"/>
  <c r="F25" i="37"/>
  <c r="F142" i="37"/>
  <c r="H9" i="37"/>
  <c r="H31" i="37"/>
  <c r="H89" i="37"/>
  <c r="H128" i="37"/>
  <c r="H9" i="26"/>
  <c r="G142" i="26"/>
  <c r="G151" i="26" s="1"/>
  <c r="H10" i="26"/>
  <c r="H26" i="26"/>
  <c r="H128" i="26"/>
  <c r="F114" i="26"/>
  <c r="F9" i="27"/>
  <c r="F25" i="27"/>
  <c r="F114" i="27"/>
  <c r="F123" i="27"/>
  <c r="H123" i="27" s="1"/>
  <c r="H9" i="28"/>
  <c r="H10" i="28"/>
  <c r="H26" i="28"/>
  <c r="H49" i="28"/>
  <c r="H75" i="28"/>
  <c r="F114" i="28"/>
  <c r="F142" i="29"/>
  <c r="H30" i="29"/>
  <c r="F25" i="29"/>
  <c r="H31" i="29"/>
  <c r="H89" i="29"/>
  <c r="H114" i="29"/>
  <c r="H128" i="29"/>
  <c r="H30" i="30"/>
  <c r="F25" i="30"/>
  <c r="H9" i="30"/>
  <c r="H31" i="30"/>
  <c r="H89" i="30"/>
  <c r="H114" i="30"/>
  <c r="F142" i="31"/>
  <c r="H9" i="31"/>
  <c r="H10" i="31"/>
  <c r="H26" i="31"/>
  <c r="H89" i="31"/>
  <c r="H114" i="31"/>
  <c r="H128" i="31"/>
  <c r="H9" i="32"/>
  <c r="G142" i="32"/>
  <c r="G151" i="32" s="1"/>
  <c r="H10" i="32"/>
  <c r="H26" i="32"/>
  <c r="H75" i="32"/>
  <c r="H128" i="32"/>
  <c r="G142" i="17"/>
  <c r="F142" i="16"/>
  <c r="H30" i="16"/>
  <c r="F25" i="16"/>
  <c r="H31" i="16"/>
  <c r="H89" i="16"/>
  <c r="H114" i="16"/>
  <c r="H128" i="16"/>
  <c r="H30" i="15"/>
  <c r="F25" i="15"/>
  <c r="H9" i="15"/>
  <c r="H31" i="15"/>
  <c r="F142" i="49"/>
  <c r="H30" i="49"/>
  <c r="F25" i="49"/>
  <c r="H31" i="49"/>
  <c r="H89" i="49"/>
  <c r="H114" i="49"/>
  <c r="H128" i="49"/>
  <c r="F30" i="14"/>
  <c r="F88" i="14"/>
  <c r="H88" i="14" s="1"/>
  <c r="F123" i="14"/>
  <c r="H123" i="14" s="1"/>
  <c r="F30" i="13"/>
  <c r="F88" i="13"/>
  <c r="H88" i="13" s="1"/>
  <c r="F123" i="13"/>
  <c r="H123" i="13" s="1"/>
  <c r="F142" i="63"/>
  <c r="H30" i="63"/>
  <c r="F25" i="63"/>
  <c r="H31" i="63"/>
  <c r="H89" i="63"/>
  <c r="H114" i="63"/>
  <c r="H128" i="63"/>
  <c r="H30" i="12"/>
  <c r="F25" i="12"/>
  <c r="F142" i="12"/>
  <c r="H9" i="12"/>
  <c r="H31" i="12"/>
  <c r="H89" i="12"/>
  <c r="H114" i="12"/>
  <c r="H128" i="12"/>
  <c r="H143" i="12"/>
  <c r="G142" i="11"/>
  <c r="G151" i="11" s="1"/>
  <c r="F9" i="11"/>
  <c r="F25" i="11"/>
  <c r="H128" i="11"/>
  <c r="H30" i="10"/>
  <c r="F25" i="10"/>
  <c r="H9" i="10"/>
  <c r="H31" i="10"/>
  <c r="H89" i="10"/>
  <c r="H114" i="10"/>
  <c r="F142" i="9"/>
  <c r="H30" i="9"/>
  <c r="F25" i="9"/>
  <c r="H9" i="9"/>
  <c r="H31" i="9"/>
  <c r="H89" i="9"/>
  <c r="H114" i="9"/>
  <c r="H128" i="9"/>
  <c r="H31" i="8"/>
  <c r="F128" i="8"/>
  <c r="H9" i="58"/>
  <c r="H10" i="58"/>
  <c r="H22" i="58"/>
  <c r="H26" i="58"/>
  <c r="H34" i="58"/>
  <c r="H70" i="58"/>
  <c r="H75" i="58"/>
  <c r="H114" i="58"/>
  <c r="H128" i="58"/>
  <c r="G143" i="6"/>
  <c r="S143" i="4" s="1"/>
  <c r="H24" i="6"/>
  <c r="F38" i="6"/>
  <c r="R38" i="4" s="1"/>
  <c r="G45" i="6"/>
  <c r="S45" i="4" s="1"/>
  <c r="H56" i="6"/>
  <c r="H58" i="6"/>
  <c r="H60" i="6"/>
  <c r="G61" i="6"/>
  <c r="S61" i="4" s="1"/>
  <c r="H81" i="6"/>
  <c r="H84" i="6"/>
  <c r="H147" i="6"/>
  <c r="H149" i="6"/>
  <c r="H112" i="6"/>
  <c r="H121" i="6"/>
  <c r="H9" i="20"/>
  <c r="F25" i="20"/>
  <c r="F123" i="20"/>
  <c r="H128" i="20"/>
  <c r="H113" i="6"/>
  <c r="G30" i="21"/>
  <c r="G30" i="6" s="1"/>
  <c r="S30" i="4" s="1"/>
  <c r="G31" i="6"/>
  <c r="S31" i="4" s="1"/>
  <c r="F74" i="21"/>
  <c r="F75" i="6"/>
  <c r="R75" i="4" s="1"/>
  <c r="H75" i="21"/>
  <c r="H9" i="21"/>
  <c r="H10" i="21"/>
  <c r="H26" i="21"/>
  <c r="H31" i="21"/>
  <c r="H38" i="21"/>
  <c r="H46" i="21"/>
  <c r="H46" i="6" s="1"/>
  <c r="F45" i="21"/>
  <c r="H67" i="21"/>
  <c r="H79" i="21"/>
  <c r="H114" i="21"/>
  <c r="H134" i="21"/>
  <c r="G89" i="6"/>
  <c r="S89" i="4" s="1"/>
  <c r="H108" i="6"/>
  <c r="H47" i="6"/>
  <c r="F49" i="6"/>
  <c r="R49" i="4" s="1"/>
  <c r="H93" i="6"/>
  <c r="H95" i="6"/>
  <c r="H97" i="6"/>
  <c r="H99" i="6"/>
  <c r="H126" i="6"/>
  <c r="H136" i="6"/>
  <c r="H138" i="6"/>
  <c r="H140" i="6"/>
  <c r="H144" i="6"/>
  <c r="G9" i="46"/>
  <c r="G10" i="6"/>
  <c r="S10" i="4" s="1"/>
  <c r="H22" i="46"/>
  <c r="H26" i="46"/>
  <c r="F30" i="46"/>
  <c r="F31" i="6"/>
  <c r="R31" i="4" s="1"/>
  <c r="H31" i="46"/>
  <c r="H38" i="46"/>
  <c r="H49" i="46"/>
  <c r="H67" i="46"/>
  <c r="G75" i="46"/>
  <c r="H79" i="46"/>
  <c r="H89" i="46"/>
  <c r="G25" i="22"/>
  <c r="F9" i="22"/>
  <c r="F25" i="22"/>
  <c r="F101" i="22"/>
  <c r="F88" i="22" s="1"/>
  <c r="F123" i="22"/>
  <c r="F142" i="57"/>
  <c r="H30" i="57"/>
  <c r="F25" i="57"/>
  <c r="H31" i="57"/>
  <c r="H49" i="57"/>
  <c r="H61" i="57"/>
  <c r="H89" i="57"/>
  <c r="H114" i="57"/>
  <c r="H128" i="57"/>
  <c r="F9" i="18"/>
  <c r="H10" i="18"/>
  <c r="H26" i="18"/>
  <c r="H38" i="18"/>
  <c r="H45" i="18"/>
  <c r="H61" i="18"/>
  <c r="F105" i="18"/>
  <c r="H105" i="18" s="1"/>
  <c r="H79" i="19"/>
  <c r="H106" i="19"/>
  <c r="H106" i="5" s="1"/>
  <c r="F105" i="19"/>
  <c r="H10" i="19"/>
  <c r="H22" i="19"/>
  <c r="H26" i="19"/>
  <c r="H31" i="19"/>
  <c r="H34" i="19"/>
  <c r="H49" i="19"/>
  <c r="H67" i="19"/>
  <c r="H70" i="19"/>
  <c r="H90" i="19"/>
  <c r="H90" i="5" s="1"/>
  <c r="F89" i="19"/>
  <c r="F89" i="5" s="1"/>
  <c r="F89" i="4" s="1"/>
  <c r="H114" i="19"/>
  <c r="H123" i="19"/>
  <c r="BF111" i="59"/>
  <c r="BF74" i="59"/>
  <c r="BB111" i="59"/>
  <c r="AT111" i="59"/>
  <c r="H123" i="59"/>
  <c r="H88" i="20" l="1"/>
  <c r="G111" i="6"/>
  <c r="S111" i="4" s="1"/>
  <c r="F142" i="46"/>
  <c r="F151" i="46" s="1"/>
  <c r="H75" i="19"/>
  <c r="I53" i="60"/>
  <c r="I55" i="60" s="1"/>
  <c r="H38" i="4"/>
  <c r="H70" i="4"/>
  <c r="H67" i="4"/>
  <c r="G71" i="40"/>
  <c r="H25" i="57"/>
  <c r="BR123" i="59"/>
  <c r="F123" i="45" s="1"/>
  <c r="H123" i="45" s="1"/>
  <c r="F61" i="7"/>
  <c r="H61" i="7" s="1"/>
  <c r="T108" i="4"/>
  <c r="AR108" i="4" s="1"/>
  <c r="AP118" i="4"/>
  <c r="H61" i="4"/>
  <c r="T34" i="4"/>
  <c r="F22" i="7"/>
  <c r="H22" i="7" s="1"/>
  <c r="G142" i="18"/>
  <c r="G151" i="18" s="1"/>
  <c r="H25" i="9"/>
  <c r="AP113" i="4"/>
  <c r="F111" i="15"/>
  <c r="H111" i="15" s="1"/>
  <c r="H89" i="4"/>
  <c r="H25" i="63"/>
  <c r="H25" i="49"/>
  <c r="T79" i="4"/>
  <c r="H25" i="54"/>
  <c r="H111" i="36"/>
  <c r="G142" i="29"/>
  <c r="G151" i="29" s="1"/>
  <c r="F123" i="5"/>
  <c r="F123" i="4" s="1"/>
  <c r="H123" i="4" s="1"/>
  <c r="F25" i="19"/>
  <c r="H105" i="22"/>
  <c r="G142" i="19"/>
  <c r="G142" i="5" s="1"/>
  <c r="G142" i="4" s="1"/>
  <c r="H128" i="21"/>
  <c r="D142" i="59"/>
  <c r="D151" i="59" s="1"/>
  <c r="H79" i="4"/>
  <c r="H67" i="5"/>
  <c r="F142" i="21"/>
  <c r="H25" i="20"/>
  <c r="F25" i="8"/>
  <c r="H25" i="8" s="1"/>
  <c r="H25" i="11"/>
  <c r="H142" i="12"/>
  <c r="AP106" i="4"/>
  <c r="H143" i="6"/>
  <c r="H79" i="5"/>
  <c r="H128" i="46"/>
  <c r="H128" i="6" s="1"/>
  <c r="F128" i="6"/>
  <c r="R128" i="4" s="1"/>
  <c r="T128" i="4" s="1"/>
  <c r="H128" i="10"/>
  <c r="T22" i="4"/>
  <c r="AH85" i="59"/>
  <c r="H70" i="5"/>
  <c r="H22" i="5"/>
  <c r="H50" i="39"/>
  <c r="H88" i="46"/>
  <c r="H31" i="5"/>
  <c r="H105" i="6"/>
  <c r="T105" i="4"/>
  <c r="F73" i="8"/>
  <c r="H128" i="15"/>
  <c r="H25" i="18"/>
  <c r="T70" i="4"/>
  <c r="G88" i="5"/>
  <c r="G88" i="4" s="1"/>
  <c r="T142" i="59"/>
  <c r="T151" i="59" s="1"/>
  <c r="T152" i="59" s="1"/>
  <c r="G74" i="19"/>
  <c r="G74" i="5" s="1"/>
  <c r="G74" i="4" s="1"/>
  <c r="H49" i="4"/>
  <c r="H22" i="4"/>
  <c r="AL73" i="59"/>
  <c r="AL85" i="59" s="1"/>
  <c r="H90" i="45"/>
  <c r="H89" i="6"/>
  <c r="H25" i="10"/>
  <c r="F74" i="11"/>
  <c r="H74" i="11" s="1"/>
  <c r="F142" i="30"/>
  <c r="F151" i="30" s="1"/>
  <c r="H151" i="30" s="1"/>
  <c r="F25" i="58"/>
  <c r="G142" i="22"/>
  <c r="G151" i="22" s="1"/>
  <c r="F142" i="11"/>
  <c r="F151" i="11" s="1"/>
  <c r="H151" i="11" s="1"/>
  <c r="AC153" i="59"/>
  <c r="H61" i="6"/>
  <c r="AQ105" i="4"/>
  <c r="AD90" i="4"/>
  <c r="AF90" i="4" s="1"/>
  <c r="AR90" i="4" s="1"/>
  <c r="H123" i="5"/>
  <c r="F111" i="5"/>
  <c r="F111" i="4" s="1"/>
  <c r="BB142" i="59"/>
  <c r="BB151" i="59" s="1"/>
  <c r="BB152" i="59" s="1"/>
  <c r="F67" i="7"/>
  <c r="AD67" i="4" s="1"/>
  <c r="BF142" i="59"/>
  <c r="BF151" i="59" s="1"/>
  <c r="AP142" i="59"/>
  <c r="AP151" i="59" s="1"/>
  <c r="AP73" i="59"/>
  <c r="AP85" i="59" s="1"/>
  <c r="H26" i="45"/>
  <c r="X142" i="59"/>
  <c r="X151" i="59" s="1"/>
  <c r="H49" i="45"/>
  <c r="BR79" i="59"/>
  <c r="F79" i="45" s="1"/>
  <c r="F79" i="7" s="1"/>
  <c r="H79" i="7" s="1"/>
  <c r="H31" i="45"/>
  <c r="AD23" i="4"/>
  <c r="AF23" i="4" s="1"/>
  <c r="AR23" i="4" s="1"/>
  <c r="AQ38" i="4"/>
  <c r="AD21" i="4"/>
  <c r="AF21" i="4" s="1"/>
  <c r="AR21" i="4" s="1"/>
  <c r="H21" i="45"/>
  <c r="AF127" i="4"/>
  <c r="AR127" i="4" s="1"/>
  <c r="F105" i="7"/>
  <c r="H105" i="7" s="1"/>
  <c r="F124" i="7"/>
  <c r="AD124" i="4" s="1"/>
  <c r="AF124" i="4" s="1"/>
  <c r="AR124" i="4" s="1"/>
  <c r="F34" i="7"/>
  <c r="H34" i="7" s="1"/>
  <c r="F70" i="7"/>
  <c r="AD70" i="4" s="1"/>
  <c r="F126" i="7"/>
  <c r="H126" i="7" s="1"/>
  <c r="I28" i="60"/>
  <c r="I48" i="60" s="1"/>
  <c r="I63" i="60" s="1"/>
  <c r="AQ123" i="4"/>
  <c r="AQ79" i="4"/>
  <c r="H25" i="12"/>
  <c r="H25" i="27"/>
  <c r="H25" i="50"/>
  <c r="H128" i="33"/>
  <c r="H151" i="55"/>
  <c r="H142" i="55"/>
  <c r="F142" i="52"/>
  <c r="H142" i="52" s="1"/>
  <c r="F142" i="53"/>
  <c r="H142" i="53" s="1"/>
  <c r="H128" i="48"/>
  <c r="H75" i="26"/>
  <c r="H128" i="50"/>
  <c r="H25" i="53"/>
  <c r="H100" i="4"/>
  <c r="AR100" i="4" s="1"/>
  <c r="AQ114" i="4"/>
  <c r="H67" i="6"/>
  <c r="H34" i="6"/>
  <c r="F73" i="58"/>
  <c r="F85" i="58" s="1"/>
  <c r="H85" i="58" s="1"/>
  <c r="H134" i="6"/>
  <c r="H49" i="5"/>
  <c r="H38" i="6"/>
  <c r="H26" i="6"/>
  <c r="F74" i="27"/>
  <c r="H74" i="27" s="1"/>
  <c r="H25" i="35"/>
  <c r="F74" i="34"/>
  <c r="H74" i="34" s="1"/>
  <c r="H25" i="55"/>
  <c r="H25" i="47"/>
  <c r="H25" i="48"/>
  <c r="F25" i="36"/>
  <c r="F25" i="28"/>
  <c r="AQ26" i="4"/>
  <c r="AQ22" i="4"/>
  <c r="H10" i="4"/>
  <c r="T26" i="4"/>
  <c r="F73" i="55"/>
  <c r="H73" i="55" s="1"/>
  <c r="H128" i="19"/>
  <c r="H34" i="5"/>
  <c r="H10" i="5"/>
  <c r="H45" i="19"/>
  <c r="H45" i="5" s="1"/>
  <c r="H128" i="18"/>
  <c r="H75" i="18"/>
  <c r="F73" i="57"/>
  <c r="H73" i="57" s="1"/>
  <c r="G142" i="46"/>
  <c r="G151" i="46" s="1"/>
  <c r="H49" i="6"/>
  <c r="H22" i="6"/>
  <c r="H9" i="46"/>
  <c r="G88" i="6"/>
  <c r="S88" i="4" s="1"/>
  <c r="G142" i="21"/>
  <c r="G151" i="21" s="1"/>
  <c r="F73" i="21"/>
  <c r="F85" i="21" s="1"/>
  <c r="H9" i="8"/>
  <c r="G73" i="8"/>
  <c r="F73" i="63"/>
  <c r="H73" i="63" s="1"/>
  <c r="F111" i="13"/>
  <c r="H111" i="13" s="1"/>
  <c r="H75" i="15"/>
  <c r="H25" i="15"/>
  <c r="H25" i="16"/>
  <c r="H25" i="30"/>
  <c r="H25" i="29"/>
  <c r="H25" i="37"/>
  <c r="F74" i="35"/>
  <c r="H74" i="35" s="1"/>
  <c r="H25" i="34"/>
  <c r="F73" i="54"/>
  <c r="H73" i="54" s="1"/>
  <c r="H25" i="52"/>
  <c r="F74" i="47"/>
  <c r="H74" i="47" s="1"/>
  <c r="F73" i="47"/>
  <c r="H73" i="47" s="1"/>
  <c r="AP98" i="4"/>
  <c r="F114" i="6"/>
  <c r="R114" i="4" s="1"/>
  <c r="T114" i="4" s="1"/>
  <c r="AH142" i="59"/>
  <c r="AH151" i="59" s="1"/>
  <c r="H120" i="7"/>
  <c r="H118" i="7"/>
  <c r="G111" i="7"/>
  <c r="AE111" i="4" s="1"/>
  <c r="AX73" i="59"/>
  <c r="AX85" i="59" s="1"/>
  <c r="AL142" i="59"/>
  <c r="AL151" i="59" s="1"/>
  <c r="AL152" i="59" s="1"/>
  <c r="H45" i="45"/>
  <c r="F38" i="7"/>
  <c r="AD38" i="4" s="1"/>
  <c r="AF38" i="4" s="1"/>
  <c r="U26" i="76"/>
  <c r="F142" i="18"/>
  <c r="F151" i="18" s="1"/>
  <c r="H151" i="18" s="1"/>
  <c r="H25" i="33"/>
  <c r="F73" i="33"/>
  <c r="H73" i="33" s="1"/>
  <c r="F142" i="51"/>
  <c r="H142" i="51" s="1"/>
  <c r="H128" i="51"/>
  <c r="H59" i="60"/>
  <c r="S29" i="76"/>
  <c r="H114" i="5"/>
  <c r="H10" i="6"/>
  <c r="F73" i="9"/>
  <c r="H73" i="9" s="1"/>
  <c r="F73" i="11"/>
  <c r="H73" i="11" s="1"/>
  <c r="F73" i="16"/>
  <c r="H73" i="16" s="1"/>
  <c r="F73" i="30"/>
  <c r="H73" i="30" s="1"/>
  <c r="F73" i="51"/>
  <c r="H73" i="51" s="1"/>
  <c r="AF131" i="4"/>
  <c r="AR131" i="4" s="1"/>
  <c r="AP131" i="4"/>
  <c r="H45" i="48"/>
  <c r="F73" i="48"/>
  <c r="F85" i="48" s="1"/>
  <c r="H85" i="48" s="1"/>
  <c r="H25" i="58"/>
  <c r="H143" i="5"/>
  <c r="F73" i="19"/>
  <c r="H25" i="26"/>
  <c r="F25" i="32"/>
  <c r="F73" i="32" s="1"/>
  <c r="F85" i="32" s="1"/>
  <c r="H85" i="32" s="1"/>
  <c r="F73" i="49"/>
  <c r="H73" i="49" s="1"/>
  <c r="AQ70" i="4"/>
  <c r="F142" i="35"/>
  <c r="F151" i="35" s="1"/>
  <c r="H151" i="35" s="1"/>
  <c r="F142" i="32"/>
  <c r="L142" i="59"/>
  <c r="L151" i="59" s="1"/>
  <c r="L152" i="59" s="1"/>
  <c r="AX142" i="59"/>
  <c r="AX151" i="59" s="1"/>
  <c r="BR89" i="59"/>
  <c r="F89" i="45" s="1"/>
  <c r="H89" i="45" s="1"/>
  <c r="F111" i="22"/>
  <c r="H111" i="22" s="1"/>
  <c r="H114" i="6"/>
  <c r="F143" i="7"/>
  <c r="H143" i="7" s="1"/>
  <c r="H143" i="45"/>
  <c r="F81" i="7"/>
  <c r="H81" i="45"/>
  <c r="AF41" i="4"/>
  <c r="AR41" i="4" s="1"/>
  <c r="BR88" i="59"/>
  <c r="F88" i="45" s="1"/>
  <c r="H88" i="45" s="1"/>
  <c r="P142" i="59"/>
  <c r="P151" i="59" s="1"/>
  <c r="P152" i="59" s="1"/>
  <c r="F101" i="7"/>
  <c r="AD101" i="4" s="1"/>
  <c r="AF101" i="4" s="1"/>
  <c r="F121" i="7"/>
  <c r="AD121" i="4" s="1"/>
  <c r="AF121" i="4" s="1"/>
  <c r="AR121" i="4" s="1"/>
  <c r="F10" i="7"/>
  <c r="H10" i="7" s="1"/>
  <c r="F134" i="7"/>
  <c r="AD134" i="4" s="1"/>
  <c r="H73" i="59"/>
  <c r="D74" i="59"/>
  <c r="BR74" i="59" s="1"/>
  <c r="F74" i="45" s="1"/>
  <c r="H74" i="45" s="1"/>
  <c r="BR75" i="59"/>
  <c r="F75" i="45" s="1"/>
  <c r="H75" i="45" s="1"/>
  <c r="BR128" i="59"/>
  <c r="F128" i="45" s="1"/>
  <c r="H128" i="45" s="1"/>
  <c r="BR30" i="59"/>
  <c r="F30" i="45" s="1"/>
  <c r="H30" i="45" s="1"/>
  <c r="BR25" i="59"/>
  <c r="F25" i="45" s="1"/>
  <c r="H25" i="45" s="1"/>
  <c r="H85" i="59"/>
  <c r="BR9" i="59"/>
  <c r="F9" i="45" s="1"/>
  <c r="H9" i="45" s="1"/>
  <c r="AQ128" i="4"/>
  <c r="AQ101" i="4"/>
  <c r="AQ34" i="4"/>
  <c r="H143" i="4"/>
  <c r="H45" i="4"/>
  <c r="H134" i="4"/>
  <c r="H26" i="4"/>
  <c r="AQ143" i="4"/>
  <c r="AQ49" i="4"/>
  <c r="H114" i="4"/>
  <c r="T134" i="4"/>
  <c r="T67" i="4"/>
  <c r="H70" i="6"/>
  <c r="AP115" i="4"/>
  <c r="AQ134" i="4"/>
  <c r="AQ67" i="4"/>
  <c r="I18" i="60" s="1"/>
  <c r="I46" i="60" s="1"/>
  <c r="AR98" i="4"/>
  <c r="AR95" i="4"/>
  <c r="AR44" i="4"/>
  <c r="AP14" i="4"/>
  <c r="AP40" i="4"/>
  <c r="AD105" i="4"/>
  <c r="AF105" i="4" s="1"/>
  <c r="AF19" i="4"/>
  <c r="AR19" i="4" s="1"/>
  <c r="J17" i="60" s="1"/>
  <c r="J18" i="60" s="1"/>
  <c r="J46" i="60" s="1"/>
  <c r="J62" i="60" s="1"/>
  <c r="AP17" i="4"/>
  <c r="AF136" i="4"/>
  <c r="AR136" i="4" s="1"/>
  <c r="AP53" i="4"/>
  <c r="AF28" i="4"/>
  <c r="AR28" i="4" s="1"/>
  <c r="AF39" i="4"/>
  <c r="AR39" i="4" s="1"/>
  <c r="AF11" i="4"/>
  <c r="AR11" i="4" s="1"/>
  <c r="AP68" i="4"/>
  <c r="AP60" i="4"/>
  <c r="AP24" i="4"/>
  <c r="AP69" i="4"/>
  <c r="AP57" i="4"/>
  <c r="AF46" i="4"/>
  <c r="AR46" i="4" s="1"/>
  <c r="AF33" i="4"/>
  <c r="AR33" i="4" s="1"/>
  <c r="AP43" i="4"/>
  <c r="AQ89" i="4"/>
  <c r="AF51" i="4"/>
  <c r="AR51" i="4" s="1"/>
  <c r="AF27" i="4"/>
  <c r="AR27" i="4" s="1"/>
  <c r="AF15" i="4"/>
  <c r="AR15" i="4" s="1"/>
  <c r="AP52" i="4"/>
  <c r="AP32" i="4"/>
  <c r="AP13" i="4"/>
  <c r="AF141" i="4"/>
  <c r="AR141" i="4" s="1"/>
  <c r="AF115" i="4"/>
  <c r="AR115" i="4" s="1"/>
  <c r="AF56" i="4"/>
  <c r="AR56" i="4" s="1"/>
  <c r="AF42" i="4"/>
  <c r="AR42" i="4" s="1"/>
  <c r="AF36" i="4"/>
  <c r="AR36" i="4" s="1"/>
  <c r="AP29" i="4"/>
  <c r="AP54" i="4"/>
  <c r="AP59" i="4"/>
  <c r="AF118" i="4"/>
  <c r="AR118" i="4" s="1"/>
  <c r="AF106" i="4"/>
  <c r="AR106" i="4" s="1"/>
  <c r="AQ10" i="4"/>
  <c r="AP130" i="4"/>
  <c r="H25" i="60" s="1"/>
  <c r="AF37" i="4"/>
  <c r="AR37" i="4" s="1"/>
  <c r="AF20" i="4"/>
  <c r="AR20" i="4" s="1"/>
  <c r="AF12" i="4"/>
  <c r="AR12" i="4" s="1"/>
  <c r="AQ31" i="4"/>
  <c r="AR92" i="4"/>
  <c r="AF120" i="4"/>
  <c r="AR120" i="4" s="1"/>
  <c r="AF35" i="4"/>
  <c r="AR35" i="4" s="1"/>
  <c r="AF18" i="4"/>
  <c r="AR18" i="4" s="1"/>
  <c r="AF16" i="4"/>
  <c r="AR16" i="4" s="1"/>
  <c r="AP112" i="4"/>
  <c r="AQ61" i="4"/>
  <c r="AP129" i="4"/>
  <c r="AP44" i="4"/>
  <c r="AF135" i="4"/>
  <c r="AR135" i="4" s="1"/>
  <c r="AF58" i="4"/>
  <c r="AR58" i="4" s="1"/>
  <c r="AF50" i="4"/>
  <c r="AR50" i="4" s="1"/>
  <c r="AR91" i="4"/>
  <c r="H115" i="7"/>
  <c r="AT142" i="59"/>
  <c r="AT151" i="59" s="1"/>
  <c r="H9" i="19"/>
  <c r="AT73" i="59"/>
  <c r="AT85" i="59" s="1"/>
  <c r="H31" i="6"/>
  <c r="AR129" i="4"/>
  <c r="AR109" i="4"/>
  <c r="F25" i="17"/>
  <c r="H75" i="49"/>
  <c r="F74" i="49"/>
  <c r="H74" i="49" s="1"/>
  <c r="H48" i="7"/>
  <c r="AD48" i="4"/>
  <c r="G30" i="7"/>
  <c r="AE30" i="4" s="1"/>
  <c r="G25" i="7"/>
  <c r="AE25" i="4" s="1"/>
  <c r="H38" i="5"/>
  <c r="H75" i="31"/>
  <c r="F74" i="31"/>
  <c r="H74" i="31" s="1"/>
  <c r="H75" i="63"/>
  <c r="F74" i="63"/>
  <c r="H74" i="63" s="1"/>
  <c r="H140" i="7"/>
  <c r="AD140" i="4"/>
  <c r="H138" i="7"/>
  <c r="AD138" i="4"/>
  <c r="G30" i="5"/>
  <c r="G30" i="4" s="1"/>
  <c r="H30" i="19"/>
  <c r="H30" i="5" s="1"/>
  <c r="G25" i="19"/>
  <c r="F25" i="5"/>
  <c r="F25" i="4" s="1"/>
  <c r="F9" i="5"/>
  <c r="F9" i="4" s="1"/>
  <c r="H9" i="4" s="1"/>
  <c r="H75" i="29"/>
  <c r="F74" i="29"/>
  <c r="H74" i="29" s="1"/>
  <c r="H147" i="7"/>
  <c r="AD147" i="4"/>
  <c r="H75" i="12"/>
  <c r="F74" i="12"/>
  <c r="H74" i="12" s="1"/>
  <c r="H139" i="7"/>
  <c r="AD139" i="4"/>
  <c r="H137" i="7"/>
  <c r="AD137" i="4"/>
  <c r="G75" i="7"/>
  <c r="AE75" i="4" s="1"/>
  <c r="G74" i="8"/>
  <c r="G74" i="7" s="1"/>
  <c r="AE74" i="4" s="1"/>
  <c r="H47" i="7"/>
  <c r="AD47" i="4"/>
  <c r="G45" i="7"/>
  <c r="AE45" i="4" s="1"/>
  <c r="AQ45" i="4" s="1"/>
  <c r="G111" i="5"/>
  <c r="G111" i="4" s="1"/>
  <c r="H111" i="19"/>
  <c r="H111" i="5" s="1"/>
  <c r="H101" i="5"/>
  <c r="G151" i="19"/>
  <c r="G151" i="5" s="1"/>
  <c r="G151" i="4" s="1"/>
  <c r="H26" i="5"/>
  <c r="H105" i="19"/>
  <c r="H105" i="5" s="1"/>
  <c r="F105" i="5"/>
  <c r="F105" i="4" s="1"/>
  <c r="H105" i="4" s="1"/>
  <c r="F73" i="10"/>
  <c r="H73" i="10" s="1"/>
  <c r="F111" i="14"/>
  <c r="H111" i="14" s="1"/>
  <c r="F73" i="29"/>
  <c r="H73" i="29" s="1"/>
  <c r="F114" i="7"/>
  <c r="AD114" i="4" s="1"/>
  <c r="AF114" i="4" s="1"/>
  <c r="F73" i="50"/>
  <c r="F85" i="50" s="1"/>
  <c r="H85" i="50" s="1"/>
  <c r="F73" i="53"/>
  <c r="F85" i="53" s="1"/>
  <c r="H85" i="53" s="1"/>
  <c r="F73" i="52"/>
  <c r="F85" i="52" s="1"/>
  <c r="H85" i="52" s="1"/>
  <c r="AR125" i="4"/>
  <c r="AR113" i="4"/>
  <c r="AR103" i="4"/>
  <c r="AR69" i="4"/>
  <c r="AR66" i="4"/>
  <c r="AR53" i="4"/>
  <c r="H112" i="7"/>
  <c r="H75" i="51"/>
  <c r="F74" i="51"/>
  <c r="H74" i="51" s="1"/>
  <c r="H75" i="55"/>
  <c r="F74" i="55"/>
  <c r="H74" i="55" s="1"/>
  <c r="H75" i="54"/>
  <c r="F74" i="54"/>
  <c r="H74" i="54" s="1"/>
  <c r="G142" i="37"/>
  <c r="G151" i="37" s="1"/>
  <c r="F25" i="31"/>
  <c r="H75" i="16"/>
  <c r="F74" i="16"/>
  <c r="H74" i="16" s="1"/>
  <c r="H133" i="7"/>
  <c r="AD133" i="4"/>
  <c r="H55" i="7"/>
  <c r="AD55" i="4"/>
  <c r="H134" i="5"/>
  <c r="F142" i="34"/>
  <c r="F151" i="34" s="1"/>
  <c r="H151" i="34" s="1"/>
  <c r="H75" i="9"/>
  <c r="F74" i="9"/>
  <c r="H74" i="9" s="1"/>
  <c r="H31" i="7"/>
  <c r="AD31" i="4"/>
  <c r="AF31" i="4" s="1"/>
  <c r="H26" i="7"/>
  <c r="AD26" i="4"/>
  <c r="F74" i="19"/>
  <c r="F75" i="5"/>
  <c r="F75" i="4" s="1"/>
  <c r="H75" i="4" s="1"/>
  <c r="H75" i="14"/>
  <c r="F74" i="14"/>
  <c r="H74" i="14" s="1"/>
  <c r="H123" i="8"/>
  <c r="F111" i="8"/>
  <c r="H111" i="8" s="1"/>
  <c r="H49" i="7"/>
  <c r="AD49" i="4"/>
  <c r="AF49" i="4" s="1"/>
  <c r="H45" i="8"/>
  <c r="F45" i="7"/>
  <c r="H88" i="58"/>
  <c r="H75" i="57"/>
  <c r="F74" i="57"/>
  <c r="H74" i="57" s="1"/>
  <c r="H101" i="4"/>
  <c r="H61" i="5"/>
  <c r="H111" i="17"/>
  <c r="F142" i="17"/>
  <c r="X73" i="59"/>
  <c r="X85" i="59" s="1"/>
  <c r="T31" i="4"/>
  <c r="T143" i="4"/>
  <c r="T49" i="4"/>
  <c r="AR102" i="4"/>
  <c r="AR99" i="4"/>
  <c r="AR94" i="4"/>
  <c r="AR62" i="4"/>
  <c r="AR57" i="4"/>
  <c r="AR54" i="4"/>
  <c r="AR40" i="4"/>
  <c r="T89" i="4"/>
  <c r="T61" i="4"/>
  <c r="T38" i="4"/>
  <c r="AR130" i="4"/>
  <c r="AR119" i="4"/>
  <c r="AR110" i="4"/>
  <c r="AR107" i="4"/>
  <c r="AR93" i="4"/>
  <c r="AR52" i="4"/>
  <c r="AR122" i="4"/>
  <c r="AR117" i="4"/>
  <c r="AR97" i="4"/>
  <c r="AR13" i="4"/>
  <c r="T10" i="4"/>
  <c r="AR14" i="4"/>
  <c r="AR77" i="4"/>
  <c r="AR65" i="4"/>
  <c r="AR29" i="4"/>
  <c r="AR17" i="4"/>
  <c r="AR83" i="4"/>
  <c r="AR84" i="4" s="1"/>
  <c r="AR78" i="4"/>
  <c r="AR68" i="4"/>
  <c r="AR64" i="4"/>
  <c r="AR60" i="4"/>
  <c r="AR32" i="4"/>
  <c r="AR24" i="4"/>
  <c r="AR116" i="4"/>
  <c r="AR76" i="4"/>
  <c r="AR59" i="4"/>
  <c r="AR43" i="4"/>
  <c r="AR149" i="4"/>
  <c r="AR148" i="4"/>
  <c r="AR145" i="4"/>
  <c r="AR144" i="4"/>
  <c r="AR132" i="4"/>
  <c r="AR112" i="4"/>
  <c r="AR104" i="4"/>
  <c r="AR96" i="4"/>
  <c r="AR80" i="4"/>
  <c r="E24" i="76" s="1"/>
  <c r="AR71" i="4"/>
  <c r="AR63" i="4"/>
  <c r="H31" i="60" s="1"/>
  <c r="H30" i="60" s="1"/>
  <c r="G151" i="45"/>
  <c r="G73" i="45"/>
  <c r="F151" i="48"/>
  <c r="H151" i="48" s="1"/>
  <c r="H142" i="48"/>
  <c r="F111" i="47"/>
  <c r="H123" i="47"/>
  <c r="H9" i="47"/>
  <c r="F151" i="54"/>
  <c r="H151" i="54" s="1"/>
  <c r="H142" i="54"/>
  <c r="F151" i="33"/>
  <c r="H151" i="33" s="1"/>
  <c r="H142" i="33"/>
  <c r="F73" i="34"/>
  <c r="H9" i="34"/>
  <c r="F151" i="50"/>
  <c r="H151" i="50" s="1"/>
  <c r="H142" i="50"/>
  <c r="F73" i="35"/>
  <c r="H9" i="35"/>
  <c r="H89" i="36"/>
  <c r="F88" i="36"/>
  <c r="F151" i="37"/>
  <c r="F73" i="37"/>
  <c r="H114" i="26"/>
  <c r="F111" i="26"/>
  <c r="F85" i="26"/>
  <c r="H85" i="26" s="1"/>
  <c r="H73" i="26"/>
  <c r="F73" i="27"/>
  <c r="H9" i="27"/>
  <c r="F111" i="27"/>
  <c r="H114" i="27"/>
  <c r="H114" i="28"/>
  <c r="F111" i="28"/>
  <c r="F151" i="29"/>
  <c r="F151" i="31"/>
  <c r="H151" i="31" s="1"/>
  <c r="H142" i="31"/>
  <c r="G151" i="17"/>
  <c r="F151" i="16"/>
  <c r="H151" i="16" s="1"/>
  <c r="H142" i="16"/>
  <c r="F73" i="15"/>
  <c r="F151" i="49"/>
  <c r="H151" i="49" s="1"/>
  <c r="H142" i="49"/>
  <c r="F25" i="14"/>
  <c r="H30" i="14"/>
  <c r="F25" i="13"/>
  <c r="H30" i="13"/>
  <c r="F151" i="63"/>
  <c r="H151" i="63" s="1"/>
  <c r="H142" i="63"/>
  <c r="F151" i="12"/>
  <c r="H151" i="12" s="1"/>
  <c r="F73" i="12"/>
  <c r="H9" i="11"/>
  <c r="F151" i="10"/>
  <c r="H151" i="10" s="1"/>
  <c r="H142" i="10"/>
  <c r="F151" i="9"/>
  <c r="H151" i="9" s="1"/>
  <c r="H142" i="9"/>
  <c r="H128" i="8"/>
  <c r="F151" i="58"/>
  <c r="H151" i="58" s="1"/>
  <c r="H142" i="58"/>
  <c r="H123" i="20"/>
  <c r="F111" i="20"/>
  <c r="F73" i="20"/>
  <c r="H74" i="21"/>
  <c r="F74" i="6"/>
  <c r="R74" i="4" s="1"/>
  <c r="H30" i="21"/>
  <c r="G25" i="21"/>
  <c r="G25" i="6" s="1"/>
  <c r="S25" i="4" s="1"/>
  <c r="H79" i="6"/>
  <c r="H45" i="21"/>
  <c r="H45" i="6" s="1"/>
  <c r="F45" i="6"/>
  <c r="R45" i="4" s="1"/>
  <c r="F151" i="21"/>
  <c r="G74" i="46"/>
  <c r="G75" i="6"/>
  <c r="S75" i="4" s="1"/>
  <c r="H30" i="46"/>
  <c r="F25" i="46"/>
  <c r="F30" i="6"/>
  <c r="R30" i="4" s="1"/>
  <c r="G9" i="6"/>
  <c r="S9" i="4" s="1"/>
  <c r="AQ9" i="4" s="1"/>
  <c r="G73" i="46"/>
  <c r="G85" i="46" s="1"/>
  <c r="H75" i="46"/>
  <c r="H75" i="6" s="1"/>
  <c r="H88" i="22"/>
  <c r="F88" i="6"/>
  <c r="R88" i="4" s="1"/>
  <c r="F73" i="22"/>
  <c r="H9" i="22"/>
  <c r="F9" i="6"/>
  <c r="R9" i="4" s="1"/>
  <c r="F123" i="6"/>
  <c r="R123" i="4" s="1"/>
  <c r="H123" i="22"/>
  <c r="F101" i="6"/>
  <c r="R101" i="4" s="1"/>
  <c r="H101" i="22"/>
  <c r="H101" i="6" s="1"/>
  <c r="H25" i="22"/>
  <c r="G73" i="22"/>
  <c r="F151" i="57"/>
  <c r="H151" i="57" s="1"/>
  <c r="H142" i="57"/>
  <c r="H9" i="18"/>
  <c r="F73" i="18"/>
  <c r="H89" i="19"/>
  <c r="H89" i="5" s="1"/>
  <c r="F88" i="19"/>
  <c r="F88" i="5" s="1"/>
  <c r="F88" i="4" s="1"/>
  <c r="BF85" i="59"/>
  <c r="H111" i="59"/>
  <c r="H142" i="59" s="1"/>
  <c r="H151" i="59" s="1"/>
  <c r="AW21" i="59"/>
  <c r="H79" i="45" l="1"/>
  <c r="H142" i="29"/>
  <c r="F151" i="52"/>
  <c r="H151" i="52" s="1"/>
  <c r="H153" i="52" s="1"/>
  <c r="I62" i="60"/>
  <c r="AD22" i="4"/>
  <c r="AF22" i="4" s="1"/>
  <c r="AR22" i="4" s="1"/>
  <c r="F123" i="7"/>
  <c r="H123" i="7" s="1"/>
  <c r="AD61" i="4"/>
  <c r="AF61" i="4" s="1"/>
  <c r="AR61" i="4" s="1"/>
  <c r="E20" i="76" s="1"/>
  <c r="G20" i="76" s="1"/>
  <c r="H67" i="7"/>
  <c r="H121" i="7"/>
  <c r="AQ88" i="4"/>
  <c r="H151" i="29"/>
  <c r="H142" i="11"/>
  <c r="H124" i="7"/>
  <c r="H30" i="6"/>
  <c r="AP124" i="4"/>
  <c r="F142" i="15"/>
  <c r="H88" i="4"/>
  <c r="H60" i="60"/>
  <c r="H142" i="30"/>
  <c r="H70" i="7"/>
  <c r="AX152" i="59"/>
  <c r="AH152" i="59"/>
  <c r="BT152" i="59" s="1"/>
  <c r="H151" i="46"/>
  <c r="F142" i="13"/>
  <c r="F151" i="13" s="1"/>
  <c r="H151" i="13" s="1"/>
  <c r="F151" i="53"/>
  <c r="H151" i="53" s="1"/>
  <c r="F151" i="51"/>
  <c r="H151" i="51" s="1"/>
  <c r="H73" i="48"/>
  <c r="H75" i="5"/>
  <c r="AD79" i="4"/>
  <c r="AF79" i="4" s="1"/>
  <c r="AR79" i="4" s="1"/>
  <c r="H52" i="60" s="1"/>
  <c r="H55" i="60" s="1"/>
  <c r="H9" i="5"/>
  <c r="T88" i="4"/>
  <c r="H142" i="46"/>
  <c r="F85" i="49"/>
  <c r="H85" i="49" s="1"/>
  <c r="H153" i="49" s="1"/>
  <c r="G73" i="7"/>
  <c r="AE73" i="4" s="1"/>
  <c r="X152" i="59"/>
  <c r="H142" i="35"/>
  <c r="AP23" i="4"/>
  <c r="AP21" i="4"/>
  <c r="F85" i="10"/>
  <c r="H85" i="10" s="1"/>
  <c r="F85" i="9"/>
  <c r="H85" i="9" s="1"/>
  <c r="H153" i="9" s="1"/>
  <c r="F85" i="63"/>
  <c r="H85" i="63" s="1"/>
  <c r="H153" i="63" s="1"/>
  <c r="H123" i="6"/>
  <c r="G151" i="6"/>
  <c r="S151" i="4" s="1"/>
  <c r="F73" i="5"/>
  <c r="F73" i="4" s="1"/>
  <c r="H142" i="18"/>
  <c r="H9" i="6"/>
  <c r="F111" i="6"/>
  <c r="R111" i="4" s="1"/>
  <c r="T111" i="4" s="1"/>
  <c r="H142" i="21"/>
  <c r="G142" i="6"/>
  <c r="S142" i="4" s="1"/>
  <c r="H73" i="58"/>
  <c r="F85" i="30"/>
  <c r="H85" i="30" s="1"/>
  <c r="H153" i="30" s="1"/>
  <c r="H151" i="37"/>
  <c r="AP90" i="4"/>
  <c r="F25" i="6"/>
  <c r="R25" i="4" s="1"/>
  <c r="T25" i="4" s="1"/>
  <c r="F85" i="57"/>
  <c r="H85" i="57" s="1"/>
  <c r="H153" i="57" s="1"/>
  <c r="H73" i="32"/>
  <c r="F85" i="54"/>
  <c r="H85" i="54" s="1"/>
  <c r="H153" i="54" s="1"/>
  <c r="H73" i="53"/>
  <c r="F85" i="51"/>
  <c r="H85" i="51" s="1"/>
  <c r="F142" i="8"/>
  <c r="H142" i="8" s="1"/>
  <c r="F85" i="16"/>
  <c r="H85" i="16" s="1"/>
  <c r="H153" i="16" s="1"/>
  <c r="F85" i="29"/>
  <c r="H85" i="29" s="1"/>
  <c r="AP152" i="59"/>
  <c r="H142" i="34"/>
  <c r="H73" i="52"/>
  <c r="H101" i="7"/>
  <c r="AD34" i="4"/>
  <c r="AF34" i="4" s="1"/>
  <c r="AR34" i="4" s="1"/>
  <c r="AD126" i="4"/>
  <c r="AF126" i="4" s="1"/>
  <c r="AR126" i="4" s="1"/>
  <c r="F75" i="7"/>
  <c r="AD75" i="4" s="1"/>
  <c r="AD10" i="4"/>
  <c r="AP10" i="4" s="1"/>
  <c r="H134" i="7"/>
  <c r="H38" i="7"/>
  <c r="H25" i="28"/>
  <c r="F73" i="28"/>
  <c r="H142" i="37"/>
  <c r="F85" i="55"/>
  <c r="H85" i="55" s="1"/>
  <c r="H153" i="55" s="1"/>
  <c r="F89" i="7"/>
  <c r="AD89" i="4" s="1"/>
  <c r="AP89" i="4" s="1"/>
  <c r="H25" i="36"/>
  <c r="F73" i="36"/>
  <c r="H153" i="50"/>
  <c r="H128" i="5"/>
  <c r="H88" i="6"/>
  <c r="H151" i="21"/>
  <c r="F142" i="14"/>
  <c r="H142" i="14" s="1"/>
  <c r="H73" i="50"/>
  <c r="F85" i="33"/>
  <c r="H85" i="33" s="1"/>
  <c r="H153" i="33" s="1"/>
  <c r="F85" i="19"/>
  <c r="H25" i="32"/>
  <c r="AQ111" i="4"/>
  <c r="T15" i="76" s="1"/>
  <c r="T23" i="76" s="1"/>
  <c r="T28" i="76" s="1"/>
  <c r="T31" i="76" s="1"/>
  <c r="AD143" i="4"/>
  <c r="AP143" i="4" s="1"/>
  <c r="F88" i="7"/>
  <c r="AD88" i="4" s="1"/>
  <c r="H43" i="60"/>
  <c r="H26" i="60"/>
  <c r="S16" i="76"/>
  <c r="U16" i="76" s="1"/>
  <c r="F151" i="32"/>
  <c r="H151" i="32" s="1"/>
  <c r="H153" i="32" s="1"/>
  <c r="H142" i="32"/>
  <c r="F25" i="7"/>
  <c r="H25" i="7" s="1"/>
  <c r="H22" i="60"/>
  <c r="S20" i="76"/>
  <c r="E25" i="76"/>
  <c r="G25" i="76" s="1"/>
  <c r="G24" i="76"/>
  <c r="F9" i="7"/>
  <c r="S30" i="76"/>
  <c r="U29" i="76"/>
  <c r="F142" i="22"/>
  <c r="F151" i="22" s="1"/>
  <c r="BR111" i="59"/>
  <c r="F111" i="45" s="1"/>
  <c r="H111" i="45" s="1"/>
  <c r="F30" i="7"/>
  <c r="AD30" i="4" s="1"/>
  <c r="AF30" i="4" s="1"/>
  <c r="AP121" i="4"/>
  <c r="F128" i="7"/>
  <c r="AD81" i="4"/>
  <c r="H81" i="7"/>
  <c r="D85" i="59"/>
  <c r="D152" i="59" s="1"/>
  <c r="H153" i="10"/>
  <c r="BR151" i="59"/>
  <c r="BR142" i="59"/>
  <c r="F142" i="45" s="1"/>
  <c r="H142" i="45" s="1"/>
  <c r="BR85" i="59"/>
  <c r="F85" i="45" s="1"/>
  <c r="BR73" i="59"/>
  <c r="F73" i="45" s="1"/>
  <c r="H73" i="45" s="1"/>
  <c r="AR114" i="4"/>
  <c r="AR105" i="4"/>
  <c r="AR49" i="4"/>
  <c r="AR31" i="4"/>
  <c r="AP105" i="4"/>
  <c r="AQ75" i="4"/>
  <c r="AR38" i="4"/>
  <c r="H114" i="7"/>
  <c r="AP114" i="4"/>
  <c r="AT152" i="59"/>
  <c r="G151" i="7"/>
  <c r="AE151" i="4" s="1"/>
  <c r="H153" i="53"/>
  <c r="H153" i="48"/>
  <c r="H45" i="7"/>
  <c r="AD45" i="4"/>
  <c r="AF45" i="4" s="1"/>
  <c r="AF134" i="4"/>
  <c r="AR134" i="4" s="1"/>
  <c r="AP134" i="4"/>
  <c r="AF26" i="4"/>
  <c r="AR26" i="4" s="1"/>
  <c r="AP26" i="4"/>
  <c r="H25" i="31"/>
  <c r="F73" i="31"/>
  <c r="G142" i="7"/>
  <c r="AE142" i="4" s="1"/>
  <c r="AP38" i="4"/>
  <c r="AP49" i="4"/>
  <c r="AP31" i="4"/>
  <c r="H74" i="8"/>
  <c r="H111" i="4"/>
  <c r="H74" i="19"/>
  <c r="H74" i="5" s="1"/>
  <c r="F74" i="5"/>
  <c r="F74" i="4" s="1"/>
  <c r="H74" i="4" s="1"/>
  <c r="AP55" i="4"/>
  <c r="AF55" i="4"/>
  <c r="AR55" i="4" s="1"/>
  <c r="AP133" i="4"/>
  <c r="S21" i="76" s="1"/>
  <c r="U21" i="76" s="1"/>
  <c r="AF133" i="4"/>
  <c r="AR133" i="4" s="1"/>
  <c r="H24" i="60" s="1"/>
  <c r="AP47" i="4"/>
  <c r="AF47" i="4"/>
  <c r="AR47" i="4" s="1"/>
  <c r="AF67" i="4"/>
  <c r="AR67" i="4" s="1"/>
  <c r="AP67" i="4"/>
  <c r="H16" i="60" s="1"/>
  <c r="AF137" i="4"/>
  <c r="AR137" i="4" s="1"/>
  <c r="AP137" i="4"/>
  <c r="AP139" i="4"/>
  <c r="AF139" i="4"/>
  <c r="AR139" i="4" s="1"/>
  <c r="AP147" i="4"/>
  <c r="AP150" i="4" s="1"/>
  <c r="AR150" i="4" s="1"/>
  <c r="AF147" i="4"/>
  <c r="AR147" i="4" s="1"/>
  <c r="AP70" i="4"/>
  <c r="AF70" i="4"/>
  <c r="AR70" i="4" s="1"/>
  <c r="G25" i="5"/>
  <c r="G25" i="4" s="1"/>
  <c r="H25" i="4" s="1"/>
  <c r="G73" i="19"/>
  <c r="H25" i="19"/>
  <c r="H25" i="5" s="1"/>
  <c r="H30" i="4"/>
  <c r="AQ30" i="4"/>
  <c r="F74" i="7"/>
  <c r="AF138" i="4"/>
  <c r="AR138" i="4" s="1"/>
  <c r="AP138" i="4"/>
  <c r="AP140" i="4"/>
  <c r="AF140" i="4"/>
  <c r="AR140" i="4" s="1"/>
  <c r="AF48" i="4"/>
  <c r="AR48" i="4" s="1"/>
  <c r="AP48" i="4"/>
  <c r="F73" i="17"/>
  <c r="F85" i="17" s="1"/>
  <c r="G85" i="8"/>
  <c r="F151" i="17"/>
  <c r="H151" i="17" s="1"/>
  <c r="H142" i="17"/>
  <c r="H152" i="59"/>
  <c r="BF152" i="59"/>
  <c r="AP101" i="4"/>
  <c r="T101" i="4"/>
  <c r="AR101" i="4" s="1"/>
  <c r="T30" i="4"/>
  <c r="T75" i="4"/>
  <c r="T45" i="4"/>
  <c r="T123" i="4"/>
  <c r="T9" i="4"/>
  <c r="H14" i="60"/>
  <c r="G85" i="45"/>
  <c r="F85" i="47"/>
  <c r="H85" i="47" s="1"/>
  <c r="H111" i="47"/>
  <c r="F142" i="47"/>
  <c r="H73" i="34"/>
  <c r="F85" i="34"/>
  <c r="H85" i="34" s="1"/>
  <c r="H153" i="34" s="1"/>
  <c r="H73" i="35"/>
  <c r="F85" i="35"/>
  <c r="H85" i="35" s="1"/>
  <c r="H153" i="35" s="1"/>
  <c r="H88" i="36"/>
  <c r="F142" i="36"/>
  <c r="H73" i="37"/>
  <c r="F85" i="37"/>
  <c r="H85" i="37" s="1"/>
  <c r="H153" i="37" s="1"/>
  <c r="H111" i="26"/>
  <c r="F142" i="26"/>
  <c r="H111" i="27"/>
  <c r="F142" i="27"/>
  <c r="H73" i="27"/>
  <c r="F85" i="27"/>
  <c r="H85" i="27" s="1"/>
  <c r="H111" i="28"/>
  <c r="F142" i="28"/>
  <c r="F85" i="15"/>
  <c r="H85" i="15" s="1"/>
  <c r="H73" i="15"/>
  <c r="H25" i="14"/>
  <c r="F73" i="14"/>
  <c r="H25" i="13"/>
  <c r="F73" i="13"/>
  <c r="H73" i="12"/>
  <c r="F85" i="12"/>
  <c r="H85" i="12" s="1"/>
  <c r="H153" i="12" s="1"/>
  <c r="F85" i="11"/>
  <c r="H85" i="11" s="1"/>
  <c r="H153" i="11" s="1"/>
  <c r="F85" i="8"/>
  <c r="H73" i="8"/>
  <c r="H153" i="58"/>
  <c r="H111" i="20"/>
  <c r="F142" i="20"/>
  <c r="H111" i="6"/>
  <c r="H73" i="20"/>
  <c r="F85" i="20"/>
  <c r="H85" i="20" s="1"/>
  <c r="G73" i="21"/>
  <c r="G73" i="6" s="1"/>
  <c r="S73" i="4" s="1"/>
  <c r="H25" i="21"/>
  <c r="H74" i="46"/>
  <c r="H74" i="6" s="1"/>
  <c r="G74" i="6"/>
  <c r="S74" i="4" s="1"/>
  <c r="AQ74" i="4" s="1"/>
  <c r="H25" i="46"/>
  <c r="F73" i="46"/>
  <c r="F73" i="6" s="1"/>
  <c r="R73" i="4" s="1"/>
  <c r="G85" i="22"/>
  <c r="F85" i="22"/>
  <c r="H73" i="22"/>
  <c r="F85" i="18"/>
  <c r="H85" i="18" s="1"/>
  <c r="H153" i="18" s="1"/>
  <c r="H73" i="18"/>
  <c r="H88" i="19"/>
  <c r="H88" i="5" s="1"/>
  <c r="F142" i="19"/>
  <c r="F142" i="5" s="1"/>
  <c r="F142" i="4" s="1"/>
  <c r="H142" i="4" s="1"/>
  <c r="AG80" i="59"/>
  <c r="AG81" i="59"/>
  <c r="G11" i="42"/>
  <c r="Q11" i="42" s="1"/>
  <c r="G259" i="43"/>
  <c r="G161" i="43"/>
  <c r="G166" i="43" s="1"/>
  <c r="D166" i="43"/>
  <c r="E166" i="43"/>
  <c r="AP22" i="4" l="1"/>
  <c r="H153" i="29"/>
  <c r="F166" i="43"/>
  <c r="AD123" i="4"/>
  <c r="AF123" i="4" s="1"/>
  <c r="AR123" i="4" s="1"/>
  <c r="AP61" i="4"/>
  <c r="H89" i="7"/>
  <c r="AP79" i="4"/>
  <c r="AQ151" i="4"/>
  <c r="AF89" i="4"/>
  <c r="AR89" i="4" s="1"/>
  <c r="F151" i="15"/>
  <c r="H151" i="15" s="1"/>
  <c r="H153" i="15" s="1"/>
  <c r="H142" i="15"/>
  <c r="H142" i="13"/>
  <c r="F151" i="8"/>
  <c r="H151" i="8" s="1"/>
  <c r="F151" i="14"/>
  <c r="H151" i="14" s="1"/>
  <c r="H153" i="51"/>
  <c r="AP34" i="4"/>
  <c r="H30" i="7"/>
  <c r="AQ142" i="4"/>
  <c r="AP126" i="4"/>
  <c r="H75" i="7"/>
  <c r="AF10" i="4"/>
  <c r="AR10" i="4" s="1"/>
  <c r="H13" i="60" s="1"/>
  <c r="H88" i="7"/>
  <c r="AD25" i="4"/>
  <c r="AF25" i="4" s="1"/>
  <c r="AR25" i="4" s="1"/>
  <c r="H73" i="36"/>
  <c r="F85" i="36"/>
  <c r="H85" i="36" s="1"/>
  <c r="H73" i="28"/>
  <c r="F85" i="28"/>
  <c r="H85" i="28" s="1"/>
  <c r="H85" i="8"/>
  <c r="AF143" i="4"/>
  <c r="AR143" i="4" s="1"/>
  <c r="H85" i="45"/>
  <c r="T73" i="4"/>
  <c r="H142" i="22"/>
  <c r="F142" i="6"/>
  <c r="R142" i="4" s="1"/>
  <c r="T142" i="4" s="1"/>
  <c r="S24" i="76"/>
  <c r="H34" i="60"/>
  <c r="E18" i="76"/>
  <c r="AD9" i="4"/>
  <c r="H9" i="7"/>
  <c r="F73" i="7"/>
  <c r="AD73" i="4" s="1"/>
  <c r="AP73" i="4" s="1"/>
  <c r="H35" i="60"/>
  <c r="E19" i="76"/>
  <c r="G19" i="76" s="1"/>
  <c r="S25" i="76"/>
  <c r="U25" i="76" s="1"/>
  <c r="H27" i="60"/>
  <c r="S22" i="76"/>
  <c r="U22" i="76" s="1"/>
  <c r="H20" i="60"/>
  <c r="S14" i="76"/>
  <c r="U14" i="76" s="1"/>
  <c r="U30" i="76"/>
  <c r="U20" i="76"/>
  <c r="F111" i="7"/>
  <c r="H111" i="7" s="1"/>
  <c r="AD128" i="4"/>
  <c r="H128" i="7"/>
  <c r="F151" i="45"/>
  <c r="H151" i="45" s="1"/>
  <c r="AF81" i="4"/>
  <c r="AR81" i="4" s="1"/>
  <c r="E26" i="76" s="1"/>
  <c r="AP81" i="4"/>
  <c r="AQ25" i="4"/>
  <c r="H25" i="6"/>
  <c r="H38" i="60"/>
  <c r="AP123" i="4"/>
  <c r="AP30" i="4"/>
  <c r="H39" i="60"/>
  <c r="AR45" i="4"/>
  <c r="AR30" i="4"/>
  <c r="AP45" i="4"/>
  <c r="G85" i="7"/>
  <c r="AE85" i="4" s="1"/>
  <c r="H74" i="7"/>
  <c r="AD74" i="4"/>
  <c r="AF74" i="4" s="1"/>
  <c r="G85" i="19"/>
  <c r="G73" i="5"/>
  <c r="G73" i="4" s="1"/>
  <c r="H73" i="4" s="1"/>
  <c r="H73" i="19"/>
  <c r="H73" i="5" s="1"/>
  <c r="F85" i="5"/>
  <c r="F85" i="4" s="1"/>
  <c r="H73" i="31"/>
  <c r="F85" i="31"/>
  <c r="H85" i="31" s="1"/>
  <c r="H153" i="31" s="1"/>
  <c r="AF75" i="4"/>
  <c r="AR75" i="4" s="1"/>
  <c r="AP75" i="4"/>
  <c r="F142" i="7"/>
  <c r="AD142" i="4" s="1"/>
  <c r="T74" i="4"/>
  <c r="AR74" i="4" s="1"/>
  <c r="AF88" i="4"/>
  <c r="AR88" i="4" s="1"/>
  <c r="AP88" i="4"/>
  <c r="H142" i="47"/>
  <c r="F151" i="47"/>
  <c r="H151" i="47" s="1"/>
  <c r="H153" i="47" s="1"/>
  <c r="F151" i="36"/>
  <c r="H142" i="36"/>
  <c r="F151" i="26"/>
  <c r="H151" i="26" s="1"/>
  <c r="H153" i="26" s="1"/>
  <c r="H142" i="26"/>
  <c r="H142" i="27"/>
  <c r="F151" i="27"/>
  <c r="H151" i="27" s="1"/>
  <c r="H153" i="27" s="1"/>
  <c r="F151" i="28"/>
  <c r="H151" i="28" s="1"/>
  <c r="H142" i="28"/>
  <c r="F85" i="14"/>
  <c r="H85" i="14" s="1"/>
  <c r="H73" i="14"/>
  <c r="F85" i="13"/>
  <c r="H85" i="13" s="1"/>
  <c r="H153" i="13" s="1"/>
  <c r="H73" i="13"/>
  <c r="H142" i="20"/>
  <c r="F151" i="20"/>
  <c r="H151" i="20" s="1"/>
  <c r="H153" i="20" s="1"/>
  <c r="G85" i="21"/>
  <c r="H85" i="21" s="1"/>
  <c r="H153" i="21" s="1"/>
  <c r="H73" i="21"/>
  <c r="H73" i="46"/>
  <c r="F85" i="46"/>
  <c r="H85" i="46" s="1"/>
  <c r="H153" i="46" s="1"/>
  <c r="H85" i="22"/>
  <c r="H151" i="22"/>
  <c r="F151" i="19"/>
  <c r="H142" i="19"/>
  <c r="H142" i="5" s="1"/>
  <c r="AS21" i="59"/>
  <c r="D103" i="43"/>
  <c r="D78" i="43"/>
  <c r="F85" i="6" l="1"/>
  <c r="R85" i="4" s="1"/>
  <c r="H153" i="14"/>
  <c r="AP25" i="4"/>
  <c r="H153" i="8"/>
  <c r="K86" i="8"/>
  <c r="H37" i="60"/>
  <c r="H151" i="6"/>
  <c r="F151" i="6"/>
  <c r="R151" i="4" s="1"/>
  <c r="T151" i="4" s="1"/>
  <c r="H73" i="6"/>
  <c r="H142" i="6"/>
  <c r="H153" i="45"/>
  <c r="S17" i="76"/>
  <c r="U17" i="76" s="1"/>
  <c r="AD111" i="4"/>
  <c r="AF73" i="4"/>
  <c r="H73" i="7"/>
  <c r="H153" i="22"/>
  <c r="H12" i="60"/>
  <c r="E14" i="76"/>
  <c r="G14" i="76" s="1"/>
  <c r="H11" i="60"/>
  <c r="E15" i="76"/>
  <c r="G15" i="76" s="1"/>
  <c r="G26" i="76"/>
  <c r="E27" i="76"/>
  <c r="AQ73" i="4"/>
  <c r="AF9" i="4"/>
  <c r="AR9" i="4" s="1"/>
  <c r="E13" i="76" s="1"/>
  <c r="AP9" i="4"/>
  <c r="G18" i="76"/>
  <c r="E21" i="76"/>
  <c r="U24" i="76"/>
  <c r="S27" i="76"/>
  <c r="H19" i="60"/>
  <c r="S13" i="76"/>
  <c r="AR73" i="4"/>
  <c r="AF128" i="4"/>
  <c r="AR128" i="4" s="1"/>
  <c r="AP128" i="4"/>
  <c r="H153" i="28"/>
  <c r="H44" i="60"/>
  <c r="H142" i="7"/>
  <c r="G85" i="5"/>
  <c r="H85" i="19"/>
  <c r="AP74" i="4"/>
  <c r="F85" i="7"/>
  <c r="H151" i="19"/>
  <c r="F151" i="5"/>
  <c r="F151" i="4" s="1"/>
  <c r="H151" i="4" s="1"/>
  <c r="H151" i="36"/>
  <c r="F151" i="7"/>
  <c r="AP142" i="4"/>
  <c r="AF142" i="4"/>
  <c r="AR142" i="4" s="1"/>
  <c r="G85" i="6"/>
  <c r="S85" i="4" s="1"/>
  <c r="H85" i="6"/>
  <c r="H153" i="6" l="1"/>
  <c r="AF111" i="4"/>
  <c r="AR111" i="4" s="1"/>
  <c r="H21" i="60" s="1"/>
  <c r="AP111" i="4"/>
  <c r="S15" i="76" s="1"/>
  <c r="U15" i="76" s="1"/>
  <c r="H18" i="60"/>
  <c r="H46" i="60" s="1"/>
  <c r="H62" i="60" s="1"/>
  <c r="U13" i="76"/>
  <c r="E17" i="76"/>
  <c r="E22" i="76" s="1"/>
  <c r="G22" i="76" s="1"/>
  <c r="G13" i="76"/>
  <c r="G27" i="76"/>
  <c r="E28" i="76"/>
  <c r="G28" i="76" s="1"/>
  <c r="H153" i="36"/>
  <c r="U27" i="76"/>
  <c r="G21" i="76"/>
  <c r="E30" i="76"/>
  <c r="H85" i="5"/>
  <c r="H153" i="19"/>
  <c r="AD85" i="4"/>
  <c r="H85" i="7"/>
  <c r="K86" i="7" s="1"/>
  <c r="F153" i="5"/>
  <c r="H151" i="5"/>
  <c r="G85" i="4"/>
  <c r="H85" i="4" s="1"/>
  <c r="G153" i="5"/>
  <c r="T85" i="4"/>
  <c r="T152" i="4" s="1"/>
  <c r="H151" i="7"/>
  <c r="H153" i="7" s="1"/>
  <c r="AD151" i="4"/>
  <c r="S23" i="76" l="1"/>
  <c r="U23" i="76" s="1"/>
  <c r="H28" i="60"/>
  <c r="H48" i="60" s="1"/>
  <c r="H63" i="60" s="1"/>
  <c r="E29" i="76"/>
  <c r="G29" i="76" s="1"/>
  <c r="G17" i="76"/>
  <c r="H152" i="4"/>
  <c r="G30" i="76"/>
  <c r="H153" i="5"/>
  <c r="AP85" i="4"/>
  <c r="AF85" i="4"/>
  <c r="AQ85" i="4"/>
  <c r="AQ152" i="4" s="1"/>
  <c r="AF151" i="4"/>
  <c r="AP151" i="4"/>
  <c r="S28" i="76" l="1"/>
  <c r="AF152" i="4"/>
  <c r="E31" i="76"/>
  <c r="G31" i="76" s="1"/>
  <c r="AR85" i="4"/>
  <c r="AP152" i="4"/>
  <c r="AR151" i="4"/>
  <c r="S31" i="76" l="1"/>
  <c r="U31" i="76" s="1"/>
  <c r="U28" i="76"/>
  <c r="AR152" i="4"/>
  <c r="P30" i="76" l="1"/>
  <c r="R30" i="76" s="1"/>
  <c r="P27" i="76"/>
  <c r="Q23" i="76"/>
  <c r="Q28" i="76" s="1"/>
  <c r="Q31" i="76" s="1"/>
  <c r="P17" i="76"/>
  <c r="P23" i="76" s="1"/>
  <c r="B27" i="76"/>
  <c r="D27" i="76" s="1"/>
  <c r="B21" i="76"/>
  <c r="D21" i="76" s="1"/>
  <c r="D19" i="76"/>
  <c r="B25" i="76"/>
  <c r="D25" i="76" s="1"/>
  <c r="B17" i="76"/>
  <c r="D17" i="76" s="1"/>
  <c r="R29" i="76"/>
  <c r="R26" i="76"/>
  <c r="D26" i="76"/>
  <c r="R25" i="76"/>
  <c r="R24" i="76"/>
  <c r="D24" i="76"/>
  <c r="D23" i="76"/>
  <c r="R22" i="76"/>
  <c r="R21" i="76"/>
  <c r="R20" i="76"/>
  <c r="D20" i="76"/>
  <c r="R18" i="76"/>
  <c r="D18" i="76"/>
  <c r="R16" i="76"/>
  <c r="D16" i="76"/>
  <c r="R15" i="76"/>
  <c r="D15" i="76"/>
  <c r="R14" i="76"/>
  <c r="D14" i="76"/>
  <c r="R13" i="76"/>
  <c r="D13" i="76"/>
  <c r="R17" i="76" l="1"/>
  <c r="R23" i="76"/>
  <c r="B30" i="76"/>
  <c r="D30" i="76" s="1"/>
  <c r="P28" i="76"/>
  <c r="R28" i="76" s="1"/>
  <c r="R27" i="76"/>
  <c r="B22" i="76"/>
  <c r="D22" i="76" s="1"/>
  <c r="B29" i="76"/>
  <c r="D29" i="76" s="1"/>
  <c r="B28" i="76"/>
  <c r="D28" i="76" s="1"/>
  <c r="D10" i="2"/>
  <c r="B31" i="76" l="1"/>
  <c r="D31" i="76" s="1"/>
  <c r="P31" i="76"/>
  <c r="R31" i="76" s="1"/>
  <c r="D28" i="38" l="1"/>
  <c r="C28" i="38"/>
  <c r="F26" i="69" l="1"/>
  <c r="E26" i="69"/>
  <c r="F18" i="69"/>
  <c r="E18" i="69"/>
  <c r="F16" i="69"/>
  <c r="F17" i="69" s="1"/>
  <c r="E16" i="69"/>
  <c r="E17" i="69" s="1"/>
  <c r="F274" i="43"/>
  <c r="E274" i="43"/>
  <c r="D274" i="43"/>
  <c r="C274" i="43"/>
  <c r="B274" i="43"/>
  <c r="F264" i="43"/>
  <c r="E264" i="43"/>
  <c r="C264" i="43"/>
  <c r="B264" i="43"/>
  <c r="G263" i="43"/>
  <c r="G262" i="43"/>
  <c r="G261" i="43"/>
  <c r="G260" i="43"/>
  <c r="D264" i="43"/>
  <c r="G258" i="43"/>
  <c r="G257" i="43"/>
  <c r="F250" i="43"/>
  <c r="E250" i="43"/>
  <c r="D250" i="43"/>
  <c r="C250" i="43"/>
  <c r="B250" i="43"/>
  <c r="G243" i="43"/>
  <c r="F240" i="43"/>
  <c r="E240" i="43"/>
  <c r="D240" i="43"/>
  <c r="C240" i="43"/>
  <c r="B240" i="43"/>
  <c r="G238" i="43"/>
  <c r="G237" i="43"/>
  <c r="G236" i="43"/>
  <c r="G234" i="43"/>
  <c r="G233" i="43"/>
  <c r="F226" i="43"/>
  <c r="D226" i="43"/>
  <c r="C226" i="43"/>
  <c r="B226" i="43"/>
  <c r="G219" i="43"/>
  <c r="F216" i="43"/>
  <c r="E216" i="43"/>
  <c r="D216" i="43"/>
  <c r="C216" i="43"/>
  <c r="B216" i="43"/>
  <c r="G214" i="43"/>
  <c r="G213" i="43"/>
  <c r="G212" i="43"/>
  <c r="G211" i="43"/>
  <c r="G210" i="43"/>
  <c r="F202" i="43"/>
  <c r="E202" i="43"/>
  <c r="D202" i="43"/>
  <c r="C202" i="43"/>
  <c r="B202" i="43"/>
  <c r="F192" i="43"/>
  <c r="E192" i="43"/>
  <c r="D192" i="43"/>
  <c r="C192" i="43"/>
  <c r="B192" i="43"/>
  <c r="G186" i="43"/>
  <c r="G185" i="43"/>
  <c r="F176" i="43"/>
  <c r="E176" i="43"/>
  <c r="D176" i="43"/>
  <c r="C176" i="43"/>
  <c r="B176" i="43"/>
  <c r="G175" i="43"/>
  <c r="G174" i="43"/>
  <c r="G173" i="43"/>
  <c r="G172" i="43"/>
  <c r="G171" i="43"/>
  <c r="G170" i="43"/>
  <c r="G169" i="43"/>
  <c r="C166" i="43"/>
  <c r="F152" i="43"/>
  <c r="E152" i="43"/>
  <c r="D152" i="43"/>
  <c r="C152" i="43"/>
  <c r="B152" i="43"/>
  <c r="G147" i="43"/>
  <c r="G145" i="43"/>
  <c r="F142" i="43"/>
  <c r="E142" i="43"/>
  <c r="D142" i="43"/>
  <c r="C142" i="43"/>
  <c r="F127" i="43"/>
  <c r="E127" i="43"/>
  <c r="D127" i="43"/>
  <c r="C127" i="43"/>
  <c r="B127" i="43"/>
  <c r="G122" i="43"/>
  <c r="G121" i="43"/>
  <c r="G120" i="43"/>
  <c r="F117" i="43"/>
  <c r="E117" i="43"/>
  <c r="D117" i="43"/>
  <c r="C117" i="43"/>
  <c r="G116" i="43"/>
  <c r="G115" i="43"/>
  <c r="G114" i="43"/>
  <c r="G113" i="43"/>
  <c r="G112" i="43"/>
  <c r="G111" i="43"/>
  <c r="G110" i="43"/>
  <c r="C103" i="43"/>
  <c r="B103" i="43"/>
  <c r="G102" i="43"/>
  <c r="G101" i="43"/>
  <c r="G100" i="43"/>
  <c r="G99" i="43"/>
  <c r="G98" i="43"/>
  <c r="F93" i="43"/>
  <c r="E93" i="43"/>
  <c r="D93" i="43"/>
  <c r="C93" i="43"/>
  <c r="C78" i="43"/>
  <c r="B78" i="43"/>
  <c r="C68" i="43"/>
  <c r="G67" i="43"/>
  <c r="G66" i="43"/>
  <c r="G65" i="43"/>
  <c r="G64" i="43"/>
  <c r="F54" i="43"/>
  <c r="E54" i="43"/>
  <c r="D54" i="43"/>
  <c r="C54" i="43"/>
  <c r="B54" i="43"/>
  <c r="G53" i="43"/>
  <c r="G52" i="43"/>
  <c r="G51" i="43"/>
  <c r="G50" i="43"/>
  <c r="G49" i="43"/>
  <c r="G48" i="43"/>
  <c r="G47" i="43"/>
  <c r="F44" i="43"/>
  <c r="E44" i="43"/>
  <c r="D44" i="43"/>
  <c r="C44" i="43"/>
  <c r="B44" i="43"/>
  <c r="G43" i="43"/>
  <c r="G42" i="43"/>
  <c r="G41" i="43"/>
  <c r="G40" i="43"/>
  <c r="G39" i="43"/>
  <c r="G38" i="43"/>
  <c r="G37" i="43"/>
  <c r="F30" i="43"/>
  <c r="E30" i="43"/>
  <c r="B30" i="43"/>
  <c r="G29" i="43"/>
  <c r="G28" i="43"/>
  <c r="G27" i="43"/>
  <c r="G26" i="43"/>
  <c r="G25" i="43"/>
  <c r="C24" i="43"/>
  <c r="C30" i="43" s="1"/>
  <c r="G23" i="43"/>
  <c r="F20" i="43"/>
  <c r="E20" i="43"/>
  <c r="D20" i="43"/>
  <c r="C20" i="43"/>
  <c r="B20" i="43"/>
  <c r="G19" i="43"/>
  <c r="G18" i="43"/>
  <c r="G17" i="43"/>
  <c r="G16" i="43"/>
  <c r="G15" i="43"/>
  <c r="G14" i="43"/>
  <c r="G13" i="43"/>
  <c r="G142" i="43" l="1"/>
  <c r="G103" i="43"/>
  <c r="G93" i="43"/>
  <c r="E34" i="69"/>
  <c r="E35" i="69" s="1"/>
  <c r="F34" i="69"/>
  <c r="F35" i="69" s="1"/>
  <c r="G78" i="43"/>
  <c r="G127" i="43"/>
  <c r="G176" i="43"/>
  <c r="G202" i="43"/>
  <c r="G226" i="43"/>
  <c r="G250" i="43"/>
  <c r="G20" i="43"/>
  <c r="G44" i="43"/>
  <c r="G54" i="43"/>
  <c r="G68" i="43"/>
  <c r="G117" i="43"/>
  <c r="G152" i="43"/>
  <c r="G192" i="43"/>
  <c r="G216" i="43"/>
  <c r="G240" i="43"/>
  <c r="G274" i="43"/>
  <c r="D30" i="43"/>
  <c r="G24" i="43"/>
  <c r="G30" i="43" s="1"/>
  <c r="G264" i="43"/>
  <c r="E70" i="40" l="1"/>
  <c r="B70" i="40"/>
  <c r="E64" i="40"/>
  <c r="B64" i="40"/>
  <c r="B41" i="40"/>
  <c r="E40" i="40"/>
  <c r="E36" i="40"/>
  <c r="B33" i="40"/>
  <c r="E27" i="40"/>
  <c r="D32" i="40"/>
  <c r="D57" i="40" s="1"/>
  <c r="G49" i="39"/>
  <c r="B47" i="39"/>
  <c r="B46" i="39"/>
  <c r="G36" i="39"/>
  <c r="B36" i="39" s="1"/>
  <c r="B35" i="39"/>
  <c r="B34" i="39"/>
  <c r="B33" i="39"/>
  <c r="B32" i="39"/>
  <c r="B31" i="39"/>
  <c r="B30" i="39"/>
  <c r="B29" i="39"/>
  <c r="G28" i="39"/>
  <c r="B28" i="39" s="1"/>
  <c r="B27" i="39"/>
  <c r="B26" i="39"/>
  <c r="G25" i="39"/>
  <c r="B24" i="39"/>
  <c r="B23" i="39"/>
  <c r="B22" i="39"/>
  <c r="B21" i="39"/>
  <c r="B20" i="39"/>
  <c r="B19" i="39"/>
  <c r="B18" i="39"/>
  <c r="G11" i="39"/>
  <c r="B10" i="39"/>
  <c r="B15" i="39" s="1"/>
  <c r="G45" i="39" l="1"/>
  <c r="B25" i="39"/>
  <c r="E32" i="40"/>
  <c r="E57" i="40" s="1"/>
  <c r="E71" i="40" s="1"/>
  <c r="B32" i="40"/>
  <c r="D58" i="40"/>
  <c r="D72" i="40" s="1"/>
  <c r="G15" i="39"/>
  <c r="B57" i="40" l="1"/>
  <c r="B58" i="40" s="1"/>
  <c r="B72" i="40" s="1"/>
  <c r="G50" i="39"/>
  <c r="G51" i="39"/>
  <c r="B45" i="39"/>
  <c r="B49" i="39" s="1"/>
  <c r="B50" i="39" s="1"/>
  <c r="E58" i="40"/>
  <c r="E72" i="40" s="1"/>
  <c r="C147" i="12"/>
  <c r="C124" i="8"/>
  <c r="C138" i="8"/>
  <c r="C137" i="8"/>
  <c r="B51" i="39" l="1"/>
  <c r="C126" i="8"/>
  <c r="BA23" i="59" l="1"/>
  <c r="BA121" i="59"/>
  <c r="C143" i="45" l="1"/>
  <c r="C128" i="45"/>
  <c r="C114" i="45"/>
  <c r="C123" i="45"/>
  <c r="C105" i="45"/>
  <c r="C101" i="45"/>
  <c r="C89" i="45"/>
  <c r="C79" i="45"/>
  <c r="C75" i="45" s="1"/>
  <c r="C74" i="45" s="1"/>
  <c r="C9" i="45"/>
  <c r="C70" i="45"/>
  <c r="C22" i="45"/>
  <c r="C88" i="45" l="1"/>
  <c r="C73" i="45"/>
  <c r="C85" i="45" s="1"/>
  <c r="C111" i="45"/>
  <c r="C142" i="45" l="1"/>
  <c r="C151" i="45" s="1"/>
  <c r="C47" i="15"/>
  <c r="C140" i="10"/>
  <c r="C139" i="10"/>
  <c r="C120" i="26" l="1"/>
  <c r="C140" i="28" l="1"/>
  <c r="C139" i="28"/>
  <c r="C106" i="19"/>
  <c r="C100" i="19"/>
  <c r="C92" i="19"/>
  <c r="C91" i="19"/>
  <c r="C106" i="18"/>
  <c r="C91" i="18"/>
  <c r="C89" i="18" s="1"/>
  <c r="BA138" i="59" l="1"/>
  <c r="BQ138" i="59" s="1"/>
  <c r="BA137" i="59"/>
  <c r="BE124" i="59" l="1"/>
  <c r="BE123" i="59" s="1"/>
  <c r="BE143" i="59"/>
  <c r="BE134" i="59"/>
  <c r="BE128" i="59" s="1"/>
  <c r="BE114" i="59"/>
  <c r="BE105" i="59"/>
  <c r="BE101" i="59"/>
  <c r="BE89" i="59"/>
  <c r="BE79" i="59"/>
  <c r="BE75" i="59" s="1"/>
  <c r="BE74" i="59" s="1"/>
  <c r="BE70" i="59"/>
  <c r="BE67" i="59"/>
  <c r="BE61" i="59"/>
  <c r="BE49" i="59"/>
  <c r="BE45" i="59" s="1"/>
  <c r="BE38" i="59"/>
  <c r="BE34" i="59"/>
  <c r="BE31" i="59"/>
  <c r="BE26" i="59"/>
  <c r="BE22" i="59"/>
  <c r="BE10" i="59"/>
  <c r="BE9" i="59" s="1"/>
  <c r="C21" i="7"/>
  <c r="BE30" i="59" l="1"/>
  <c r="BE88" i="59"/>
  <c r="BE25" i="59"/>
  <c r="BE73" i="59" s="1"/>
  <c r="BE85" i="59" s="1"/>
  <c r="BE111" i="59"/>
  <c r="BE142" i="59" s="1"/>
  <c r="BE151" i="59" s="1"/>
  <c r="C131" i="12"/>
  <c r="BE152" i="59" l="1"/>
  <c r="C106" i="22"/>
  <c r="C108" i="22"/>
  <c r="C104" i="22"/>
  <c r="C90" i="22"/>
  <c r="C106" i="21"/>
  <c r="C110" i="22"/>
  <c r="C90" i="19"/>
  <c r="C134" i="53"/>
  <c r="C90" i="36"/>
  <c r="C90" i="7" s="1"/>
  <c r="C124" i="14"/>
  <c r="C124" i="13"/>
  <c r="C118" i="13"/>
  <c r="C118" i="7" s="1"/>
  <c r="C11" i="7"/>
  <c r="D11" i="7"/>
  <c r="C12" i="7"/>
  <c r="D12" i="7"/>
  <c r="C13" i="7"/>
  <c r="D13" i="7"/>
  <c r="C14" i="7"/>
  <c r="D14" i="7"/>
  <c r="C15" i="7"/>
  <c r="D15" i="7"/>
  <c r="C16" i="7"/>
  <c r="D16" i="7"/>
  <c r="C17" i="7"/>
  <c r="D17" i="7"/>
  <c r="C18" i="7"/>
  <c r="D18" i="7"/>
  <c r="C19" i="7"/>
  <c r="D19" i="7"/>
  <c r="C20" i="7"/>
  <c r="D20" i="7"/>
  <c r="D21" i="7"/>
  <c r="C23" i="7"/>
  <c r="D23" i="7"/>
  <c r="C24" i="7"/>
  <c r="D24" i="7"/>
  <c r="C27" i="7"/>
  <c r="D27" i="7"/>
  <c r="C28" i="7"/>
  <c r="D28" i="7"/>
  <c r="C29" i="7"/>
  <c r="D29" i="7"/>
  <c r="C32" i="7"/>
  <c r="D32" i="7"/>
  <c r="C33" i="7"/>
  <c r="D33" i="7"/>
  <c r="C35" i="7"/>
  <c r="D35" i="7"/>
  <c r="C36" i="7"/>
  <c r="D36" i="7"/>
  <c r="C37" i="7"/>
  <c r="D37" i="7"/>
  <c r="C39" i="7"/>
  <c r="D39" i="7"/>
  <c r="C40" i="7"/>
  <c r="D40" i="7"/>
  <c r="C41" i="7"/>
  <c r="D41" i="7"/>
  <c r="C42" i="7"/>
  <c r="D42" i="7"/>
  <c r="C43" i="7"/>
  <c r="D43" i="7"/>
  <c r="C44" i="7"/>
  <c r="D44" i="7"/>
  <c r="C46" i="7"/>
  <c r="D46" i="7"/>
  <c r="D47" i="7"/>
  <c r="D48" i="7"/>
  <c r="C50" i="7"/>
  <c r="D50" i="7"/>
  <c r="C51" i="7"/>
  <c r="D51" i="7"/>
  <c r="C52" i="7"/>
  <c r="D52" i="7"/>
  <c r="C53" i="7"/>
  <c r="D53" i="7"/>
  <c r="C54" i="7"/>
  <c r="D54" i="7"/>
  <c r="D55" i="7"/>
  <c r="C56" i="7"/>
  <c r="D56" i="7"/>
  <c r="C57" i="7"/>
  <c r="D57" i="7"/>
  <c r="C58" i="7"/>
  <c r="D58" i="7"/>
  <c r="C59" i="7"/>
  <c r="D59" i="7"/>
  <c r="C60" i="7"/>
  <c r="D60" i="7"/>
  <c r="C62" i="7"/>
  <c r="D62" i="7"/>
  <c r="C63" i="7"/>
  <c r="D63" i="7"/>
  <c r="C64" i="7"/>
  <c r="D64" i="7"/>
  <c r="C65" i="7"/>
  <c r="D65" i="7"/>
  <c r="C66" i="7"/>
  <c r="D66" i="7"/>
  <c r="C68" i="7"/>
  <c r="D68" i="7"/>
  <c r="C69" i="7"/>
  <c r="D69" i="7"/>
  <c r="C71" i="7"/>
  <c r="D71" i="7"/>
  <c r="C76" i="7"/>
  <c r="D76" i="7"/>
  <c r="C77" i="7"/>
  <c r="D77" i="7"/>
  <c r="C78" i="7"/>
  <c r="D78" i="7"/>
  <c r="C80" i="7"/>
  <c r="D80" i="7"/>
  <c r="C81" i="7"/>
  <c r="D81" i="7"/>
  <c r="C82" i="7"/>
  <c r="D82" i="7"/>
  <c r="C83" i="7"/>
  <c r="D83" i="7"/>
  <c r="C84" i="7"/>
  <c r="D84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2" i="7"/>
  <c r="D102" i="7"/>
  <c r="C103" i="7"/>
  <c r="D103" i="7"/>
  <c r="C104" i="7"/>
  <c r="D104" i="7"/>
  <c r="C106" i="7"/>
  <c r="D106" i="7"/>
  <c r="C107" i="7"/>
  <c r="D107" i="7"/>
  <c r="C108" i="7"/>
  <c r="D108" i="7"/>
  <c r="C109" i="7"/>
  <c r="D109" i="7"/>
  <c r="C110" i="7"/>
  <c r="D110" i="7"/>
  <c r="D112" i="7"/>
  <c r="C113" i="7"/>
  <c r="D113" i="7"/>
  <c r="D115" i="7"/>
  <c r="C116" i="7"/>
  <c r="D116" i="7"/>
  <c r="C117" i="7"/>
  <c r="D117" i="7"/>
  <c r="D118" i="7"/>
  <c r="C119" i="7"/>
  <c r="D119" i="7"/>
  <c r="D120" i="7"/>
  <c r="D121" i="7"/>
  <c r="C122" i="7"/>
  <c r="D122" i="7"/>
  <c r="D124" i="7"/>
  <c r="C125" i="7"/>
  <c r="D125" i="7"/>
  <c r="C126" i="7"/>
  <c r="D126" i="7"/>
  <c r="C127" i="7"/>
  <c r="D127" i="7"/>
  <c r="C129" i="7"/>
  <c r="D129" i="7"/>
  <c r="C130" i="7"/>
  <c r="D130" i="7"/>
  <c r="C131" i="7"/>
  <c r="D131" i="7"/>
  <c r="C132" i="7"/>
  <c r="D132" i="7"/>
  <c r="D133" i="7"/>
  <c r="C135" i="7"/>
  <c r="D135" i="7"/>
  <c r="C136" i="7"/>
  <c r="D136" i="7"/>
  <c r="C137" i="7"/>
  <c r="D137" i="7"/>
  <c r="C138" i="7"/>
  <c r="D138" i="7"/>
  <c r="C139" i="7"/>
  <c r="D139" i="7"/>
  <c r="C140" i="7"/>
  <c r="D140" i="7"/>
  <c r="C141" i="7"/>
  <c r="D141" i="7"/>
  <c r="C144" i="7"/>
  <c r="D144" i="7"/>
  <c r="C145" i="7"/>
  <c r="D145" i="7"/>
  <c r="C146" i="7"/>
  <c r="D146" i="7"/>
  <c r="C147" i="7"/>
  <c r="D147" i="7"/>
  <c r="C148" i="7"/>
  <c r="D148" i="7"/>
  <c r="C149" i="7"/>
  <c r="D149" i="7"/>
  <c r="C150" i="7"/>
  <c r="D150" i="7"/>
  <c r="E150" i="63"/>
  <c r="E149" i="63"/>
  <c r="E148" i="63"/>
  <c r="E147" i="63"/>
  <c r="E145" i="63"/>
  <c r="E144" i="63"/>
  <c r="D143" i="63"/>
  <c r="C143" i="63"/>
  <c r="E141" i="63"/>
  <c r="E140" i="63"/>
  <c r="E139" i="63"/>
  <c r="E138" i="63"/>
  <c r="E137" i="63"/>
  <c r="E136" i="63"/>
  <c r="E135" i="63"/>
  <c r="D134" i="63"/>
  <c r="D128" i="63" s="1"/>
  <c r="C134" i="63"/>
  <c r="C128" i="63" s="1"/>
  <c r="E133" i="63"/>
  <c r="E132" i="63"/>
  <c r="E131" i="63"/>
  <c r="E130" i="63"/>
  <c r="E129" i="63"/>
  <c r="E127" i="63"/>
  <c r="E126" i="63"/>
  <c r="E125" i="63"/>
  <c r="E124" i="63"/>
  <c r="D123" i="63"/>
  <c r="C123" i="63"/>
  <c r="E122" i="63"/>
  <c r="E121" i="63"/>
  <c r="E120" i="63"/>
  <c r="E119" i="63"/>
  <c r="E118" i="63"/>
  <c r="E117" i="63"/>
  <c r="E116" i="63"/>
  <c r="E115" i="63"/>
  <c r="D114" i="63"/>
  <c r="C114" i="63"/>
  <c r="E113" i="63"/>
  <c r="E112" i="63"/>
  <c r="E110" i="63"/>
  <c r="E109" i="63"/>
  <c r="E108" i="63"/>
  <c r="E107" i="63"/>
  <c r="E106" i="63"/>
  <c r="D105" i="63"/>
  <c r="C105" i="63"/>
  <c r="E104" i="63"/>
  <c r="E103" i="63"/>
  <c r="E102" i="63"/>
  <c r="D101" i="63"/>
  <c r="C101" i="63"/>
  <c r="E100" i="63"/>
  <c r="E99" i="63"/>
  <c r="E98" i="63"/>
  <c r="E97" i="63"/>
  <c r="E96" i="63"/>
  <c r="E95" i="63"/>
  <c r="E94" i="63"/>
  <c r="E93" i="63"/>
  <c r="E92" i="63"/>
  <c r="E90" i="63"/>
  <c r="D89" i="63"/>
  <c r="C89" i="63"/>
  <c r="E84" i="63"/>
  <c r="E83" i="63"/>
  <c r="E81" i="63"/>
  <c r="E80" i="63"/>
  <c r="D79" i="63"/>
  <c r="D75" i="63" s="1"/>
  <c r="D74" i="63" s="1"/>
  <c r="C79" i="63"/>
  <c r="C75" i="63" s="1"/>
  <c r="E78" i="63"/>
  <c r="E77" i="63"/>
  <c r="E76" i="63"/>
  <c r="E71" i="63"/>
  <c r="D70" i="63"/>
  <c r="C70" i="63"/>
  <c r="E69" i="63"/>
  <c r="E68" i="63"/>
  <c r="D67" i="63"/>
  <c r="C67" i="63"/>
  <c r="E66" i="63"/>
  <c r="E65" i="63"/>
  <c r="E64" i="63"/>
  <c r="E63" i="63"/>
  <c r="E62" i="63"/>
  <c r="D61" i="63"/>
  <c r="C61" i="63"/>
  <c r="E60" i="63"/>
  <c r="E59" i="63"/>
  <c r="E58" i="63"/>
  <c r="E57" i="63"/>
  <c r="E56" i="63"/>
  <c r="E55" i="63"/>
  <c r="E54" i="63"/>
  <c r="E53" i="63"/>
  <c r="E52" i="63"/>
  <c r="E51" i="63"/>
  <c r="E50" i="63"/>
  <c r="D49" i="63"/>
  <c r="D45" i="63" s="1"/>
  <c r="C49" i="63"/>
  <c r="C45" i="63" s="1"/>
  <c r="E48" i="63"/>
  <c r="E47" i="63"/>
  <c r="E46" i="63"/>
  <c r="E44" i="63"/>
  <c r="E43" i="63"/>
  <c r="E42" i="63"/>
  <c r="E41" i="63"/>
  <c r="E40" i="63"/>
  <c r="E39" i="63"/>
  <c r="D38" i="63"/>
  <c r="C38" i="63"/>
  <c r="E37" i="63"/>
  <c r="E36" i="63"/>
  <c r="E35" i="63"/>
  <c r="D34" i="63"/>
  <c r="C34" i="63"/>
  <c r="E33" i="63"/>
  <c r="E32" i="63"/>
  <c r="D31" i="63"/>
  <c r="C31" i="63"/>
  <c r="E29" i="63"/>
  <c r="E28" i="63"/>
  <c r="E27" i="63"/>
  <c r="D26" i="63"/>
  <c r="C26" i="63"/>
  <c r="E24" i="63"/>
  <c r="E23" i="63"/>
  <c r="D22" i="63"/>
  <c r="C22" i="63"/>
  <c r="E21" i="63"/>
  <c r="E20" i="63"/>
  <c r="E19" i="63"/>
  <c r="E18" i="63"/>
  <c r="E17" i="63"/>
  <c r="E16" i="63"/>
  <c r="E15" i="63"/>
  <c r="E14" i="63"/>
  <c r="E13" i="63"/>
  <c r="E12" i="63"/>
  <c r="E11" i="63"/>
  <c r="D10" i="63"/>
  <c r="D9" i="63" s="1"/>
  <c r="C10" i="63"/>
  <c r="C9" i="63" s="1"/>
  <c r="C124" i="22"/>
  <c r="C118" i="22"/>
  <c r="C112" i="22"/>
  <c r="D88" i="63" l="1"/>
  <c r="D30" i="63"/>
  <c r="D25" i="63" s="1"/>
  <c r="D73" i="63" s="1"/>
  <c r="D85" i="63" s="1"/>
  <c r="E34" i="63"/>
  <c r="E38" i="63"/>
  <c r="D111" i="63"/>
  <c r="E123" i="63"/>
  <c r="E26" i="63"/>
  <c r="E45" i="63"/>
  <c r="E61" i="63"/>
  <c r="E67" i="63"/>
  <c r="C30" i="63"/>
  <c r="C25" i="63" s="1"/>
  <c r="E89" i="63"/>
  <c r="C88" i="63"/>
  <c r="E10" i="63"/>
  <c r="E22" i="63"/>
  <c r="E31" i="63"/>
  <c r="E70" i="63"/>
  <c r="E101" i="63"/>
  <c r="E105" i="63"/>
  <c r="E114" i="63"/>
  <c r="E134" i="63"/>
  <c r="C111" i="63"/>
  <c r="E75" i="63"/>
  <c r="C74" i="63"/>
  <c r="E74" i="63" s="1"/>
  <c r="E9" i="63"/>
  <c r="E49" i="63"/>
  <c r="E79" i="63"/>
  <c r="E128" i="63"/>
  <c r="E143" i="63"/>
  <c r="C124" i="47"/>
  <c r="C112" i="47"/>
  <c r="C98" i="19"/>
  <c r="AS124" i="59"/>
  <c r="AS120" i="59"/>
  <c r="E88" i="63" l="1"/>
  <c r="D142" i="63"/>
  <c r="D151" i="63" s="1"/>
  <c r="E30" i="63"/>
  <c r="E111" i="63"/>
  <c r="C142" i="63"/>
  <c r="C151" i="63" s="1"/>
  <c r="E25" i="63"/>
  <c r="C73" i="63"/>
  <c r="E73" i="63" s="1"/>
  <c r="G21" i="59"/>
  <c r="E150" i="57"/>
  <c r="E149" i="57"/>
  <c r="E148" i="57"/>
  <c r="E147" i="57"/>
  <c r="E145" i="57"/>
  <c r="E144" i="57"/>
  <c r="E141" i="57"/>
  <c r="E140" i="57"/>
  <c r="E139" i="57"/>
  <c r="E138" i="57"/>
  <c r="E137" i="57"/>
  <c r="E136" i="57"/>
  <c r="E135" i="57"/>
  <c r="E133" i="57"/>
  <c r="E132" i="57"/>
  <c r="E131" i="57"/>
  <c r="E130" i="57"/>
  <c r="E129" i="57"/>
  <c r="E127" i="57"/>
  <c r="E126" i="57"/>
  <c r="E125" i="57"/>
  <c r="E124" i="57"/>
  <c r="E122" i="57"/>
  <c r="E121" i="57"/>
  <c r="E120" i="57"/>
  <c r="E119" i="57"/>
  <c r="E118" i="57"/>
  <c r="E117" i="57"/>
  <c r="E116" i="57"/>
  <c r="E115" i="57"/>
  <c r="E113" i="57"/>
  <c r="E112" i="57"/>
  <c r="E110" i="57"/>
  <c r="E109" i="57"/>
  <c r="E108" i="57"/>
  <c r="E107" i="57"/>
  <c r="E106" i="57"/>
  <c r="E104" i="57"/>
  <c r="E103" i="57"/>
  <c r="E102" i="57"/>
  <c r="E100" i="57"/>
  <c r="E99" i="57"/>
  <c r="E98" i="57"/>
  <c r="E97" i="57"/>
  <c r="E96" i="57"/>
  <c r="E95" i="57"/>
  <c r="E94" i="57"/>
  <c r="E93" i="57"/>
  <c r="E92" i="57"/>
  <c r="E90" i="57"/>
  <c r="E84" i="57"/>
  <c r="E83" i="57"/>
  <c r="E81" i="57"/>
  <c r="E80" i="57"/>
  <c r="E78" i="57"/>
  <c r="E77" i="57"/>
  <c r="E76" i="57"/>
  <c r="E71" i="57"/>
  <c r="E69" i="57"/>
  <c r="E68" i="57"/>
  <c r="E66" i="57"/>
  <c r="E65" i="57"/>
  <c r="E64" i="57"/>
  <c r="E63" i="57"/>
  <c r="E62" i="57"/>
  <c r="E60" i="57"/>
  <c r="E59" i="57"/>
  <c r="E58" i="57"/>
  <c r="E57" i="57"/>
  <c r="E56" i="57"/>
  <c r="E55" i="57"/>
  <c r="E54" i="57"/>
  <c r="E53" i="57"/>
  <c r="E52" i="57"/>
  <c r="E51" i="57"/>
  <c r="E50" i="57"/>
  <c r="E48" i="57"/>
  <c r="E47" i="57"/>
  <c r="E46" i="57"/>
  <c r="E44" i="57"/>
  <c r="E43" i="57"/>
  <c r="E42" i="57"/>
  <c r="E41" i="57"/>
  <c r="E40" i="57"/>
  <c r="E39" i="57"/>
  <c r="E37" i="57"/>
  <c r="E36" i="57"/>
  <c r="E35" i="57"/>
  <c r="E33" i="57"/>
  <c r="E32" i="57"/>
  <c r="E29" i="57"/>
  <c r="E28" i="57"/>
  <c r="E27" i="57"/>
  <c r="E24" i="57"/>
  <c r="E23" i="57"/>
  <c r="E21" i="57"/>
  <c r="E20" i="57"/>
  <c r="E19" i="57"/>
  <c r="E18" i="57"/>
  <c r="E17" i="57"/>
  <c r="E16" i="57"/>
  <c r="E15" i="57"/>
  <c r="E14" i="57"/>
  <c r="E13" i="57"/>
  <c r="E12" i="57"/>
  <c r="E11" i="57"/>
  <c r="G147" i="59"/>
  <c r="E151" i="63" l="1"/>
  <c r="E142" i="63"/>
  <c r="C85" i="63"/>
  <c r="E85" i="63" s="1"/>
  <c r="E153" i="63" s="1"/>
  <c r="C55" i="21"/>
  <c r="C46" i="21"/>
  <c r="C55" i="28"/>
  <c r="C55" i="31"/>
  <c r="C47" i="28"/>
  <c r="C48" i="8"/>
  <c r="C48" i="7" s="1"/>
  <c r="C47" i="8"/>
  <c r="C47" i="7" s="1"/>
  <c r="C55" i="8"/>
  <c r="C55" i="7" l="1"/>
  <c r="C124" i="28"/>
  <c r="C121" i="28"/>
  <c r="C124" i="29"/>
  <c r="C121" i="29"/>
  <c r="C121" i="7" s="1"/>
  <c r="C112" i="13" l="1"/>
  <c r="C112" i="7" s="1"/>
  <c r="W81" i="59"/>
  <c r="AO21" i="59"/>
  <c r="AK21" i="59"/>
  <c r="K81" i="59" l="1"/>
  <c r="AS140" i="59" l="1"/>
  <c r="AS139" i="59"/>
  <c r="BQ139" i="59" s="1"/>
  <c r="AA124" i="59"/>
  <c r="AA137" i="59"/>
  <c r="BQ137" i="59" s="1"/>
  <c r="AK124" i="59"/>
  <c r="AK121" i="59"/>
  <c r="G90" i="59"/>
  <c r="G121" i="59"/>
  <c r="G124" i="59" s="1"/>
  <c r="C133" i="8" l="1"/>
  <c r="C133" i="7" s="1"/>
  <c r="C124" i="19" l="1"/>
  <c r="C113" i="20"/>
  <c r="C112" i="20"/>
  <c r="C118" i="20"/>
  <c r="C124" i="20"/>
  <c r="C89" i="29" l="1"/>
  <c r="S124" i="59" l="1"/>
  <c r="G114" i="59" l="1"/>
  <c r="D61" i="41"/>
  <c r="C120" i="37" l="1"/>
  <c r="C120" i="7" s="1"/>
  <c r="BQ150" i="59" l="1"/>
  <c r="BQ149" i="59"/>
  <c r="BQ148" i="59"/>
  <c r="BQ147" i="59"/>
  <c r="BQ146" i="59"/>
  <c r="BQ145" i="59"/>
  <c r="BQ144" i="59"/>
  <c r="BQ141" i="59"/>
  <c r="BQ140" i="59"/>
  <c r="AA139" i="4"/>
  <c r="AA138" i="4"/>
  <c r="AA137" i="4"/>
  <c r="BQ136" i="59"/>
  <c r="BQ135" i="59"/>
  <c r="BQ133" i="59"/>
  <c r="BQ132" i="59"/>
  <c r="BQ131" i="59"/>
  <c r="BQ130" i="59"/>
  <c r="BQ129" i="59"/>
  <c r="BQ127" i="59"/>
  <c r="BQ126" i="59"/>
  <c r="BQ125" i="59"/>
  <c r="BQ124" i="59"/>
  <c r="BQ122" i="59"/>
  <c r="BQ121" i="59"/>
  <c r="BQ120" i="59"/>
  <c r="BQ119" i="59"/>
  <c r="BQ118" i="59"/>
  <c r="BQ117" i="59"/>
  <c r="BQ116" i="59"/>
  <c r="BQ115" i="59"/>
  <c r="BQ113" i="59"/>
  <c r="BQ112" i="59"/>
  <c r="BQ110" i="59"/>
  <c r="BQ109" i="59"/>
  <c r="BQ108" i="59"/>
  <c r="BQ107" i="59"/>
  <c r="BQ106" i="59"/>
  <c r="BQ104" i="59"/>
  <c r="BQ103" i="59"/>
  <c r="BQ102" i="59"/>
  <c r="BQ100" i="59"/>
  <c r="BQ99" i="59"/>
  <c r="BQ98" i="59"/>
  <c r="BQ97" i="59"/>
  <c r="BQ96" i="59"/>
  <c r="BQ95" i="59"/>
  <c r="BQ94" i="59"/>
  <c r="BQ93" i="59"/>
  <c r="BQ92" i="59"/>
  <c r="BQ91" i="59"/>
  <c r="BQ90" i="59"/>
  <c r="BQ11" i="59"/>
  <c r="BQ12" i="59"/>
  <c r="BQ13" i="59"/>
  <c r="BQ14" i="59"/>
  <c r="BQ15" i="59"/>
  <c r="BQ16" i="59"/>
  <c r="BQ17" i="59"/>
  <c r="BQ18" i="59"/>
  <c r="BQ19" i="59"/>
  <c r="BQ20" i="59"/>
  <c r="BQ21" i="59"/>
  <c r="BQ23" i="59"/>
  <c r="BQ24" i="59"/>
  <c r="BQ27" i="59"/>
  <c r="BQ28" i="59"/>
  <c r="BQ29" i="59"/>
  <c r="BQ32" i="59"/>
  <c r="BQ33" i="59"/>
  <c r="BQ35" i="59"/>
  <c r="BQ36" i="59"/>
  <c r="BQ37" i="59"/>
  <c r="BQ39" i="59"/>
  <c r="BQ40" i="59"/>
  <c r="BQ41" i="59"/>
  <c r="BQ42" i="59"/>
  <c r="BQ43" i="59"/>
  <c r="BQ44" i="59"/>
  <c r="BQ46" i="59"/>
  <c r="BQ47" i="59"/>
  <c r="BQ48" i="59"/>
  <c r="BQ50" i="59"/>
  <c r="BQ51" i="59"/>
  <c r="BQ52" i="59"/>
  <c r="BQ53" i="59"/>
  <c r="BQ54" i="59"/>
  <c r="BQ55" i="59"/>
  <c r="BQ56" i="59"/>
  <c r="BQ57" i="59"/>
  <c r="BQ58" i="59"/>
  <c r="BQ59" i="59"/>
  <c r="BQ60" i="59"/>
  <c r="BQ62" i="59"/>
  <c r="BQ63" i="59"/>
  <c r="BQ64" i="59"/>
  <c r="BQ65" i="59"/>
  <c r="BQ66" i="59"/>
  <c r="BQ68" i="59"/>
  <c r="BQ69" i="59"/>
  <c r="BQ71" i="59"/>
  <c r="BQ76" i="59"/>
  <c r="BQ77" i="59"/>
  <c r="BQ78" i="59"/>
  <c r="BQ80" i="59"/>
  <c r="BQ81" i="59"/>
  <c r="BQ82" i="59"/>
  <c r="BQ83" i="59"/>
  <c r="BQ84" i="59"/>
  <c r="K143" i="59"/>
  <c r="O143" i="59"/>
  <c r="S143" i="59"/>
  <c r="W143" i="59"/>
  <c r="AA143" i="59"/>
  <c r="AE143" i="59"/>
  <c r="AF143" i="59"/>
  <c r="AG143" i="59"/>
  <c r="AK143" i="59"/>
  <c r="AO143" i="59"/>
  <c r="AS143" i="59"/>
  <c r="AW143" i="59"/>
  <c r="BA143" i="59"/>
  <c r="K134" i="59"/>
  <c r="K128" i="59" s="1"/>
  <c r="O134" i="59"/>
  <c r="O128" i="59" s="1"/>
  <c r="S134" i="59"/>
  <c r="S128" i="59" s="1"/>
  <c r="W134" i="59"/>
  <c r="W128" i="59" s="1"/>
  <c r="AA134" i="59"/>
  <c r="AA128" i="59" s="1"/>
  <c r="AE134" i="59"/>
  <c r="AE128" i="59" s="1"/>
  <c r="AF134" i="59"/>
  <c r="AF128" i="59" s="1"/>
  <c r="AG134" i="59"/>
  <c r="AG128" i="59" s="1"/>
  <c r="AK134" i="59"/>
  <c r="AK128" i="59" s="1"/>
  <c r="AO134" i="59"/>
  <c r="AO128" i="59" s="1"/>
  <c r="AS134" i="59"/>
  <c r="AS128" i="59" s="1"/>
  <c r="AW134" i="59"/>
  <c r="AW128" i="59" s="1"/>
  <c r="BA134" i="59"/>
  <c r="BA128" i="59" s="1"/>
  <c r="K123" i="59"/>
  <c r="O123" i="59"/>
  <c r="S123" i="59"/>
  <c r="W123" i="59"/>
  <c r="AA123" i="59"/>
  <c r="AE123" i="59"/>
  <c r="AF123" i="59"/>
  <c r="AG123" i="59"/>
  <c r="AK123" i="59"/>
  <c r="AO123" i="59"/>
  <c r="AS123" i="59"/>
  <c r="AW123" i="59"/>
  <c r="BA123" i="59"/>
  <c r="K114" i="59"/>
  <c r="O114" i="59"/>
  <c r="S114" i="59"/>
  <c r="W114" i="59"/>
  <c r="AA114" i="59"/>
  <c r="AE114" i="59"/>
  <c r="AF114" i="59"/>
  <c r="AG114" i="59"/>
  <c r="AK114" i="59"/>
  <c r="AO114" i="59"/>
  <c r="AS114" i="59"/>
  <c r="AW114" i="59"/>
  <c r="BA114" i="59"/>
  <c r="G105" i="59"/>
  <c r="K105" i="59"/>
  <c r="O105" i="59"/>
  <c r="S105" i="59"/>
  <c r="W105" i="59"/>
  <c r="AA105" i="59"/>
  <c r="AE105" i="59"/>
  <c r="AF105" i="59"/>
  <c r="AG105" i="59"/>
  <c r="AK105" i="59"/>
  <c r="AO105" i="59"/>
  <c r="AS105" i="59"/>
  <c r="AW105" i="59"/>
  <c r="BA105" i="59"/>
  <c r="K101" i="59"/>
  <c r="O101" i="59"/>
  <c r="S101" i="59"/>
  <c r="W101" i="59"/>
  <c r="AA101" i="59"/>
  <c r="AE101" i="59"/>
  <c r="AF101" i="59"/>
  <c r="AG101" i="59"/>
  <c r="AK101" i="59"/>
  <c r="AO101" i="59"/>
  <c r="AS101" i="59"/>
  <c r="AW101" i="59"/>
  <c r="BA101" i="59"/>
  <c r="K89" i="59"/>
  <c r="O89" i="59"/>
  <c r="S89" i="59"/>
  <c r="W89" i="59"/>
  <c r="AA89" i="59"/>
  <c r="AE89" i="59"/>
  <c r="AF89" i="59"/>
  <c r="AG89" i="59"/>
  <c r="AK89" i="59"/>
  <c r="AO89" i="59"/>
  <c r="AS89" i="59"/>
  <c r="AW89" i="59"/>
  <c r="BA89" i="59"/>
  <c r="K79" i="59"/>
  <c r="K75" i="59" s="1"/>
  <c r="K74" i="59" s="1"/>
  <c r="O79" i="59"/>
  <c r="O75" i="59" s="1"/>
  <c r="O74" i="59" s="1"/>
  <c r="S79" i="59"/>
  <c r="S75" i="59" s="1"/>
  <c r="S74" i="59" s="1"/>
  <c r="W79" i="59"/>
  <c r="W75" i="59" s="1"/>
  <c r="W74" i="59" s="1"/>
  <c r="AA79" i="59"/>
  <c r="AA75" i="59" s="1"/>
  <c r="AA74" i="59" s="1"/>
  <c r="AE79" i="59"/>
  <c r="AE75" i="59" s="1"/>
  <c r="AE74" i="59" s="1"/>
  <c r="AF79" i="59"/>
  <c r="AF75" i="59" s="1"/>
  <c r="AF74" i="59" s="1"/>
  <c r="AG79" i="59"/>
  <c r="AG75" i="59" s="1"/>
  <c r="AG74" i="59" s="1"/>
  <c r="AK79" i="59"/>
  <c r="AK75" i="59" s="1"/>
  <c r="AK74" i="59" s="1"/>
  <c r="AO79" i="59"/>
  <c r="AO75" i="59" s="1"/>
  <c r="AO74" i="59" s="1"/>
  <c r="AS79" i="59"/>
  <c r="AS75" i="59" s="1"/>
  <c r="AS74" i="59" s="1"/>
  <c r="AW79" i="59"/>
  <c r="AW75" i="59" s="1"/>
  <c r="AW74" i="59" s="1"/>
  <c r="BA79" i="59"/>
  <c r="BA75" i="59" s="1"/>
  <c r="BA74" i="59" s="1"/>
  <c r="K70" i="59"/>
  <c r="O70" i="59"/>
  <c r="S70" i="59"/>
  <c r="W70" i="59"/>
  <c r="AA70" i="59"/>
  <c r="AE70" i="59"/>
  <c r="AF70" i="59"/>
  <c r="AG70" i="59"/>
  <c r="AK70" i="59"/>
  <c r="AO70" i="59"/>
  <c r="AS70" i="59"/>
  <c r="AW70" i="59"/>
  <c r="BA70" i="59"/>
  <c r="K67" i="59"/>
  <c r="O67" i="59"/>
  <c r="S67" i="59"/>
  <c r="W67" i="59"/>
  <c r="AA67" i="59"/>
  <c r="AE67" i="59"/>
  <c r="AF67" i="59"/>
  <c r="AG67" i="59"/>
  <c r="AK67" i="59"/>
  <c r="AO67" i="59"/>
  <c r="AS67" i="59"/>
  <c r="AW67" i="59"/>
  <c r="BA67" i="59"/>
  <c r="K61" i="59"/>
  <c r="O61" i="59"/>
  <c r="S61" i="59"/>
  <c r="W61" i="59"/>
  <c r="AA61" i="59"/>
  <c r="AE61" i="59"/>
  <c r="AF61" i="59"/>
  <c r="AG61" i="59"/>
  <c r="AK61" i="59"/>
  <c r="AO61" i="59"/>
  <c r="AS61" i="59"/>
  <c r="AW61" i="59"/>
  <c r="BA61" i="59"/>
  <c r="K49" i="59"/>
  <c r="K45" i="59" s="1"/>
  <c r="O49" i="59"/>
  <c r="O45" i="59" s="1"/>
  <c r="S49" i="59"/>
  <c r="S45" i="59" s="1"/>
  <c r="W49" i="59"/>
  <c r="W45" i="59" s="1"/>
  <c r="AA49" i="59"/>
  <c r="AA45" i="59" s="1"/>
  <c r="AE49" i="59"/>
  <c r="AE45" i="59" s="1"/>
  <c r="AF49" i="59"/>
  <c r="AF45" i="59" s="1"/>
  <c r="AG49" i="59"/>
  <c r="AG45" i="59" s="1"/>
  <c r="AK49" i="59"/>
  <c r="AK45" i="59" s="1"/>
  <c r="AO49" i="59"/>
  <c r="AO45" i="59" s="1"/>
  <c r="AS49" i="59"/>
  <c r="AS45" i="59" s="1"/>
  <c r="AW49" i="59"/>
  <c r="AW45" i="59" s="1"/>
  <c r="BA49" i="59"/>
  <c r="BA45" i="59" s="1"/>
  <c r="K38" i="59"/>
  <c r="O38" i="59"/>
  <c r="S38" i="59"/>
  <c r="W38" i="59"/>
  <c r="AA38" i="59"/>
  <c r="AE38" i="59"/>
  <c r="AF38" i="59"/>
  <c r="AG38" i="59"/>
  <c r="AK38" i="59"/>
  <c r="AO38" i="59"/>
  <c r="AS38" i="59"/>
  <c r="AW38" i="59"/>
  <c r="BA38" i="59"/>
  <c r="K34" i="59"/>
  <c r="O34" i="59"/>
  <c r="S34" i="59"/>
  <c r="W34" i="59"/>
  <c r="AA34" i="59"/>
  <c r="AE34" i="59"/>
  <c r="AF34" i="59"/>
  <c r="AG34" i="59"/>
  <c r="AK34" i="59"/>
  <c r="AO34" i="59"/>
  <c r="AS34" i="59"/>
  <c r="AW34" i="59"/>
  <c r="BA34" i="59"/>
  <c r="K31" i="59"/>
  <c r="O31" i="59"/>
  <c r="S31" i="59"/>
  <c r="W31" i="59"/>
  <c r="AA31" i="59"/>
  <c r="AE31" i="59"/>
  <c r="AF31" i="59"/>
  <c r="AG31" i="59"/>
  <c r="AK31" i="59"/>
  <c r="AO31" i="59"/>
  <c r="AS31" i="59"/>
  <c r="AW31" i="59"/>
  <c r="BA31" i="59"/>
  <c r="K26" i="59"/>
  <c r="O26" i="59"/>
  <c r="S26" i="59"/>
  <c r="W26" i="59"/>
  <c r="AA26" i="59"/>
  <c r="AE26" i="59"/>
  <c r="AF26" i="59"/>
  <c r="AG26" i="59"/>
  <c r="AK26" i="59"/>
  <c r="AO26" i="59"/>
  <c r="AS26" i="59"/>
  <c r="AW26" i="59"/>
  <c r="BA26" i="59"/>
  <c r="K22" i="59"/>
  <c r="O22" i="59"/>
  <c r="S22" i="59"/>
  <c r="W22" i="59"/>
  <c r="AA22" i="59"/>
  <c r="AE22" i="59"/>
  <c r="AF22" i="59"/>
  <c r="AG22" i="59"/>
  <c r="AK22" i="59"/>
  <c r="AO22" i="59"/>
  <c r="AS22" i="59"/>
  <c r="AW22" i="59"/>
  <c r="BA22" i="59"/>
  <c r="K10" i="59"/>
  <c r="K9" i="59" s="1"/>
  <c r="O10" i="59"/>
  <c r="O9" i="59" s="1"/>
  <c r="S10" i="59"/>
  <c r="S9" i="59" s="1"/>
  <c r="W10" i="59"/>
  <c r="W9" i="59" s="1"/>
  <c r="AA10" i="59"/>
  <c r="AA9" i="59" s="1"/>
  <c r="AE10" i="59"/>
  <c r="AE9" i="59" s="1"/>
  <c r="AF10" i="59"/>
  <c r="AF9" i="59" s="1"/>
  <c r="AG10" i="59"/>
  <c r="AG9" i="59" s="1"/>
  <c r="AK10" i="59"/>
  <c r="AK9" i="59" s="1"/>
  <c r="AO10" i="59"/>
  <c r="AO9" i="59" s="1"/>
  <c r="AS10" i="59"/>
  <c r="AS9" i="59" s="1"/>
  <c r="AW10" i="59"/>
  <c r="AW9" i="59" s="1"/>
  <c r="BA10" i="59"/>
  <c r="BA9" i="59" s="1"/>
  <c r="C10" i="59"/>
  <c r="C9" i="59" s="1"/>
  <c r="G10" i="59"/>
  <c r="G9" i="59" s="1"/>
  <c r="C22" i="59"/>
  <c r="G22" i="59"/>
  <c r="C26" i="59"/>
  <c r="G26" i="59"/>
  <c r="C31" i="59"/>
  <c r="G31" i="59"/>
  <c r="C34" i="59"/>
  <c r="G34" i="59"/>
  <c r="C38" i="59"/>
  <c r="G38" i="59"/>
  <c r="C49" i="59"/>
  <c r="C45" i="59" s="1"/>
  <c r="G49" i="59"/>
  <c r="G45" i="59" s="1"/>
  <c r="C61" i="59"/>
  <c r="G61" i="59"/>
  <c r="C67" i="59"/>
  <c r="G67" i="59"/>
  <c r="C70" i="59"/>
  <c r="G70" i="59"/>
  <c r="C79" i="59"/>
  <c r="C75" i="59" s="1"/>
  <c r="C74" i="59" s="1"/>
  <c r="G79" i="59"/>
  <c r="G75" i="59" s="1"/>
  <c r="G74" i="59" s="1"/>
  <c r="C89" i="59"/>
  <c r="G89" i="59"/>
  <c r="C101" i="59"/>
  <c r="G101" i="59"/>
  <c r="C105" i="59"/>
  <c r="C114" i="59"/>
  <c r="C123" i="59"/>
  <c r="G123" i="59"/>
  <c r="C134" i="59"/>
  <c r="C128" i="59" s="1"/>
  <c r="G134" i="59"/>
  <c r="G128" i="59" s="1"/>
  <c r="C143" i="59"/>
  <c r="G143" i="59"/>
  <c r="AO82" i="4"/>
  <c r="G53" i="60" s="1"/>
  <c r="AA90" i="4"/>
  <c r="AB90" i="4"/>
  <c r="AA91" i="4"/>
  <c r="AB91" i="4"/>
  <c r="AA92" i="4"/>
  <c r="AB92" i="4"/>
  <c r="AA93" i="4"/>
  <c r="AB93" i="4"/>
  <c r="AA94" i="4"/>
  <c r="AB94" i="4"/>
  <c r="AA95" i="4"/>
  <c r="AB95" i="4"/>
  <c r="AA96" i="4"/>
  <c r="AB96" i="4"/>
  <c r="AA97" i="4"/>
  <c r="AB97" i="4"/>
  <c r="AA98" i="4"/>
  <c r="AB98" i="4"/>
  <c r="AA99" i="4"/>
  <c r="AB99" i="4"/>
  <c r="AA100" i="4"/>
  <c r="AB100" i="4"/>
  <c r="AA102" i="4"/>
  <c r="AB102" i="4"/>
  <c r="AA103" i="4"/>
  <c r="AB103" i="4"/>
  <c r="AA104" i="4"/>
  <c r="AB104" i="4"/>
  <c r="AA106" i="4"/>
  <c r="AB106" i="4"/>
  <c r="AA107" i="4"/>
  <c r="AB107" i="4"/>
  <c r="AA108" i="4"/>
  <c r="AB108" i="4"/>
  <c r="AA109" i="4"/>
  <c r="AB109" i="4"/>
  <c r="AA110" i="4"/>
  <c r="AB110" i="4"/>
  <c r="AB112" i="4"/>
  <c r="AB113" i="4"/>
  <c r="AB115" i="4"/>
  <c r="AB116" i="4"/>
  <c r="AB117" i="4"/>
  <c r="AB118" i="4"/>
  <c r="AB119" i="4"/>
  <c r="AB120" i="4"/>
  <c r="AB121" i="4"/>
  <c r="AB122" i="4"/>
  <c r="AB124" i="4"/>
  <c r="AB125" i="4"/>
  <c r="AB126" i="4"/>
  <c r="AB127" i="4"/>
  <c r="AB129" i="4"/>
  <c r="AB130" i="4"/>
  <c r="AB131" i="4"/>
  <c r="AB132" i="4"/>
  <c r="AB133" i="4"/>
  <c r="AB135" i="4"/>
  <c r="AB136" i="4"/>
  <c r="AB137" i="4"/>
  <c r="AB138" i="4"/>
  <c r="AB139" i="4"/>
  <c r="AB140" i="4"/>
  <c r="AB141" i="4"/>
  <c r="AB144" i="4"/>
  <c r="AB145" i="4"/>
  <c r="AB146" i="4"/>
  <c r="AB147" i="4"/>
  <c r="AB148" i="4"/>
  <c r="AB149" i="4"/>
  <c r="AB150" i="4"/>
  <c r="C124" i="18"/>
  <c r="C121" i="20"/>
  <c r="C121" i="6" s="1"/>
  <c r="O121" i="4" s="1"/>
  <c r="C118" i="6"/>
  <c r="O118" i="4" s="1"/>
  <c r="C55" i="22"/>
  <c r="C55" i="6" s="1"/>
  <c r="O55" i="4" s="1"/>
  <c r="C113" i="22"/>
  <c r="C113" i="6" s="1"/>
  <c r="O113" i="4" s="1"/>
  <c r="C90" i="6"/>
  <c r="O90" i="4" s="1"/>
  <c r="D90" i="6"/>
  <c r="P90" i="4" s="1"/>
  <c r="C91" i="6"/>
  <c r="O91" i="4" s="1"/>
  <c r="D91" i="6"/>
  <c r="P91" i="4" s="1"/>
  <c r="C92" i="6"/>
  <c r="O92" i="4" s="1"/>
  <c r="D92" i="6"/>
  <c r="P92" i="4" s="1"/>
  <c r="C93" i="6"/>
  <c r="O93" i="4" s="1"/>
  <c r="D93" i="6"/>
  <c r="P93" i="4" s="1"/>
  <c r="C94" i="6"/>
  <c r="O94" i="4" s="1"/>
  <c r="D94" i="6"/>
  <c r="P94" i="4" s="1"/>
  <c r="C95" i="6"/>
  <c r="O95" i="4" s="1"/>
  <c r="D95" i="6"/>
  <c r="P95" i="4" s="1"/>
  <c r="C96" i="6"/>
  <c r="O96" i="4" s="1"/>
  <c r="D96" i="6"/>
  <c r="P96" i="4" s="1"/>
  <c r="C97" i="6"/>
  <c r="O97" i="4" s="1"/>
  <c r="D97" i="6"/>
  <c r="P97" i="4" s="1"/>
  <c r="C98" i="6"/>
  <c r="O98" i="4" s="1"/>
  <c r="D98" i="6"/>
  <c r="P98" i="4" s="1"/>
  <c r="C99" i="6"/>
  <c r="O99" i="4" s="1"/>
  <c r="D99" i="6"/>
  <c r="P99" i="4" s="1"/>
  <c r="C100" i="6"/>
  <c r="O100" i="4" s="1"/>
  <c r="D100" i="6"/>
  <c r="P100" i="4" s="1"/>
  <c r="C102" i="6"/>
  <c r="O102" i="4" s="1"/>
  <c r="D102" i="6"/>
  <c r="P102" i="4" s="1"/>
  <c r="C103" i="6"/>
  <c r="O103" i="4" s="1"/>
  <c r="D103" i="6"/>
  <c r="P103" i="4" s="1"/>
  <c r="C104" i="6"/>
  <c r="O104" i="4" s="1"/>
  <c r="D104" i="6"/>
  <c r="P104" i="4" s="1"/>
  <c r="C106" i="6"/>
  <c r="O106" i="4" s="1"/>
  <c r="D106" i="6"/>
  <c r="P106" i="4" s="1"/>
  <c r="C107" i="6"/>
  <c r="O107" i="4" s="1"/>
  <c r="D107" i="6"/>
  <c r="P107" i="4" s="1"/>
  <c r="C108" i="6"/>
  <c r="O108" i="4" s="1"/>
  <c r="D108" i="6"/>
  <c r="P108" i="4" s="1"/>
  <c r="C109" i="6"/>
  <c r="O109" i="4" s="1"/>
  <c r="D109" i="6"/>
  <c r="P109" i="4" s="1"/>
  <c r="C110" i="6"/>
  <c r="O110" i="4" s="1"/>
  <c r="D110" i="6"/>
  <c r="P110" i="4" s="1"/>
  <c r="C112" i="6"/>
  <c r="O112" i="4" s="1"/>
  <c r="D112" i="6"/>
  <c r="P112" i="4" s="1"/>
  <c r="D113" i="6"/>
  <c r="P113" i="4" s="1"/>
  <c r="D115" i="6"/>
  <c r="P115" i="4" s="1"/>
  <c r="C116" i="6"/>
  <c r="O116" i="4" s="1"/>
  <c r="D116" i="6"/>
  <c r="P116" i="4" s="1"/>
  <c r="C117" i="6"/>
  <c r="O117" i="4" s="1"/>
  <c r="D117" i="6"/>
  <c r="P117" i="4" s="1"/>
  <c r="D118" i="6"/>
  <c r="P118" i="4" s="1"/>
  <c r="C119" i="6"/>
  <c r="O119" i="4" s="1"/>
  <c r="D119" i="6"/>
  <c r="P119" i="4" s="1"/>
  <c r="C120" i="6"/>
  <c r="O120" i="4" s="1"/>
  <c r="D120" i="6"/>
  <c r="P120" i="4" s="1"/>
  <c r="D121" i="6"/>
  <c r="P121" i="4" s="1"/>
  <c r="C122" i="6"/>
  <c r="O122" i="4" s="1"/>
  <c r="D122" i="6"/>
  <c r="P122" i="4" s="1"/>
  <c r="D124" i="6"/>
  <c r="P124" i="4" s="1"/>
  <c r="C125" i="6"/>
  <c r="O125" i="4" s="1"/>
  <c r="D125" i="6"/>
  <c r="P125" i="4" s="1"/>
  <c r="C126" i="6"/>
  <c r="O126" i="4" s="1"/>
  <c r="D126" i="6"/>
  <c r="P126" i="4" s="1"/>
  <c r="C127" i="6"/>
  <c r="O127" i="4" s="1"/>
  <c r="D127" i="6"/>
  <c r="P127" i="4" s="1"/>
  <c r="C129" i="6"/>
  <c r="O129" i="4" s="1"/>
  <c r="D129" i="6"/>
  <c r="P129" i="4" s="1"/>
  <c r="C130" i="6"/>
  <c r="O130" i="4" s="1"/>
  <c r="D130" i="6"/>
  <c r="P130" i="4" s="1"/>
  <c r="C131" i="6"/>
  <c r="O131" i="4" s="1"/>
  <c r="D131" i="6"/>
  <c r="P131" i="4" s="1"/>
  <c r="C132" i="6"/>
  <c r="O132" i="4" s="1"/>
  <c r="D132" i="6"/>
  <c r="P132" i="4" s="1"/>
  <c r="C133" i="6"/>
  <c r="O133" i="4" s="1"/>
  <c r="D133" i="6"/>
  <c r="P133" i="4" s="1"/>
  <c r="C135" i="6"/>
  <c r="O135" i="4" s="1"/>
  <c r="D135" i="6"/>
  <c r="P135" i="4" s="1"/>
  <c r="C136" i="6"/>
  <c r="O136" i="4" s="1"/>
  <c r="D136" i="6"/>
  <c r="P136" i="4" s="1"/>
  <c r="C137" i="6"/>
  <c r="O137" i="4" s="1"/>
  <c r="D137" i="6"/>
  <c r="P137" i="4" s="1"/>
  <c r="C138" i="6"/>
  <c r="O138" i="4" s="1"/>
  <c r="D138" i="6"/>
  <c r="P138" i="4" s="1"/>
  <c r="C139" i="6"/>
  <c r="O139" i="4" s="1"/>
  <c r="D139" i="6"/>
  <c r="P139" i="4" s="1"/>
  <c r="C140" i="6"/>
  <c r="O140" i="4" s="1"/>
  <c r="D140" i="6"/>
  <c r="P140" i="4" s="1"/>
  <c r="C141" i="6"/>
  <c r="O141" i="4" s="1"/>
  <c r="D141" i="6"/>
  <c r="P141" i="4" s="1"/>
  <c r="C144" i="6"/>
  <c r="O144" i="4" s="1"/>
  <c r="D144" i="6"/>
  <c r="P144" i="4" s="1"/>
  <c r="C145" i="6"/>
  <c r="O145" i="4" s="1"/>
  <c r="D145" i="6"/>
  <c r="P145" i="4" s="1"/>
  <c r="C146" i="6"/>
  <c r="O146" i="4" s="1"/>
  <c r="D146" i="6"/>
  <c r="P146" i="4" s="1"/>
  <c r="E146" i="6"/>
  <c r="C147" i="6"/>
  <c r="O147" i="4" s="1"/>
  <c r="D147" i="6"/>
  <c r="P147" i="4" s="1"/>
  <c r="C148" i="6"/>
  <c r="O148" i="4" s="1"/>
  <c r="D148" i="6"/>
  <c r="P148" i="4" s="1"/>
  <c r="C149" i="6"/>
  <c r="O149" i="4" s="1"/>
  <c r="D149" i="6"/>
  <c r="P149" i="4" s="1"/>
  <c r="C150" i="6"/>
  <c r="O150" i="4" s="1"/>
  <c r="D150" i="6"/>
  <c r="P150" i="4" s="1"/>
  <c r="C11" i="6"/>
  <c r="O11" i="4" s="1"/>
  <c r="D11" i="6"/>
  <c r="P11" i="4" s="1"/>
  <c r="C12" i="6"/>
  <c r="O12" i="4" s="1"/>
  <c r="D12" i="6"/>
  <c r="P12" i="4" s="1"/>
  <c r="C13" i="6"/>
  <c r="O13" i="4" s="1"/>
  <c r="D13" i="6"/>
  <c r="P13" i="4" s="1"/>
  <c r="C14" i="6"/>
  <c r="O14" i="4" s="1"/>
  <c r="D14" i="6"/>
  <c r="P14" i="4" s="1"/>
  <c r="C15" i="6"/>
  <c r="O15" i="4" s="1"/>
  <c r="D15" i="6"/>
  <c r="P15" i="4" s="1"/>
  <c r="C16" i="6"/>
  <c r="O16" i="4" s="1"/>
  <c r="D16" i="6"/>
  <c r="P16" i="4" s="1"/>
  <c r="C17" i="6"/>
  <c r="O17" i="4" s="1"/>
  <c r="D17" i="6"/>
  <c r="P17" i="4" s="1"/>
  <c r="C18" i="6"/>
  <c r="O18" i="4" s="1"/>
  <c r="D18" i="6"/>
  <c r="P18" i="4" s="1"/>
  <c r="C19" i="6"/>
  <c r="O19" i="4" s="1"/>
  <c r="D19" i="6"/>
  <c r="P19" i="4" s="1"/>
  <c r="C20" i="6"/>
  <c r="O20" i="4" s="1"/>
  <c r="D20" i="6"/>
  <c r="P20" i="4" s="1"/>
  <c r="C21" i="6"/>
  <c r="O21" i="4" s="1"/>
  <c r="D21" i="6"/>
  <c r="P21" i="4" s="1"/>
  <c r="C23" i="6"/>
  <c r="O23" i="4" s="1"/>
  <c r="D23" i="6"/>
  <c r="P23" i="4" s="1"/>
  <c r="C24" i="6"/>
  <c r="O24" i="4" s="1"/>
  <c r="D24" i="6"/>
  <c r="P24" i="4" s="1"/>
  <c r="C27" i="6"/>
  <c r="O27" i="4" s="1"/>
  <c r="D27" i="6"/>
  <c r="P27" i="4" s="1"/>
  <c r="C28" i="6"/>
  <c r="O28" i="4" s="1"/>
  <c r="D28" i="6"/>
  <c r="P28" i="4" s="1"/>
  <c r="C29" i="6"/>
  <c r="O29" i="4" s="1"/>
  <c r="D29" i="6"/>
  <c r="P29" i="4" s="1"/>
  <c r="C32" i="6"/>
  <c r="O32" i="4" s="1"/>
  <c r="D32" i="6"/>
  <c r="P32" i="4" s="1"/>
  <c r="C33" i="6"/>
  <c r="O33" i="4" s="1"/>
  <c r="D33" i="6"/>
  <c r="P33" i="4" s="1"/>
  <c r="C35" i="6"/>
  <c r="O35" i="4" s="1"/>
  <c r="D35" i="6"/>
  <c r="P35" i="4" s="1"/>
  <c r="C36" i="6"/>
  <c r="O36" i="4" s="1"/>
  <c r="D36" i="6"/>
  <c r="P36" i="4" s="1"/>
  <c r="C37" i="6"/>
  <c r="O37" i="4" s="1"/>
  <c r="D37" i="6"/>
  <c r="P37" i="4" s="1"/>
  <c r="C39" i="6"/>
  <c r="O39" i="4" s="1"/>
  <c r="D39" i="6"/>
  <c r="P39" i="4" s="1"/>
  <c r="C40" i="6"/>
  <c r="O40" i="4" s="1"/>
  <c r="D40" i="6"/>
  <c r="P40" i="4" s="1"/>
  <c r="C41" i="6"/>
  <c r="O41" i="4" s="1"/>
  <c r="D41" i="6"/>
  <c r="P41" i="4" s="1"/>
  <c r="C42" i="6"/>
  <c r="O42" i="4" s="1"/>
  <c r="D42" i="6"/>
  <c r="P42" i="4" s="1"/>
  <c r="C43" i="6"/>
  <c r="O43" i="4" s="1"/>
  <c r="D43" i="6"/>
  <c r="P43" i="4" s="1"/>
  <c r="C44" i="6"/>
  <c r="O44" i="4" s="1"/>
  <c r="D44" i="6"/>
  <c r="P44" i="4" s="1"/>
  <c r="C46" i="6"/>
  <c r="O46" i="4" s="1"/>
  <c r="D46" i="6"/>
  <c r="P46" i="4" s="1"/>
  <c r="C47" i="6"/>
  <c r="O47" i="4" s="1"/>
  <c r="D47" i="6"/>
  <c r="P47" i="4" s="1"/>
  <c r="C48" i="6"/>
  <c r="O48" i="4" s="1"/>
  <c r="D48" i="6"/>
  <c r="P48" i="4" s="1"/>
  <c r="C50" i="6"/>
  <c r="O50" i="4" s="1"/>
  <c r="D50" i="6"/>
  <c r="P50" i="4" s="1"/>
  <c r="C51" i="6"/>
  <c r="O51" i="4" s="1"/>
  <c r="D51" i="6"/>
  <c r="P51" i="4" s="1"/>
  <c r="C52" i="6"/>
  <c r="O52" i="4" s="1"/>
  <c r="D52" i="6"/>
  <c r="P52" i="4" s="1"/>
  <c r="C53" i="6"/>
  <c r="O53" i="4" s="1"/>
  <c r="D53" i="6"/>
  <c r="P53" i="4" s="1"/>
  <c r="C54" i="6"/>
  <c r="O54" i="4" s="1"/>
  <c r="D54" i="6"/>
  <c r="P54" i="4" s="1"/>
  <c r="D55" i="6"/>
  <c r="P55" i="4" s="1"/>
  <c r="C56" i="6"/>
  <c r="O56" i="4" s="1"/>
  <c r="D56" i="6"/>
  <c r="P56" i="4" s="1"/>
  <c r="C57" i="6"/>
  <c r="O57" i="4" s="1"/>
  <c r="D57" i="6"/>
  <c r="P57" i="4" s="1"/>
  <c r="C58" i="6"/>
  <c r="O58" i="4" s="1"/>
  <c r="D58" i="6"/>
  <c r="P58" i="4" s="1"/>
  <c r="C59" i="6"/>
  <c r="O59" i="4" s="1"/>
  <c r="D59" i="6"/>
  <c r="P59" i="4" s="1"/>
  <c r="C60" i="6"/>
  <c r="O60" i="4" s="1"/>
  <c r="D60" i="6"/>
  <c r="P60" i="4" s="1"/>
  <c r="C62" i="6"/>
  <c r="O62" i="4" s="1"/>
  <c r="D62" i="6"/>
  <c r="P62" i="4" s="1"/>
  <c r="C63" i="6"/>
  <c r="O63" i="4" s="1"/>
  <c r="D63" i="6"/>
  <c r="P63" i="4" s="1"/>
  <c r="C64" i="6"/>
  <c r="O64" i="4" s="1"/>
  <c r="D64" i="6"/>
  <c r="P64" i="4" s="1"/>
  <c r="C65" i="6"/>
  <c r="O65" i="4" s="1"/>
  <c r="D65" i="6"/>
  <c r="P65" i="4" s="1"/>
  <c r="C66" i="6"/>
  <c r="O66" i="4" s="1"/>
  <c r="D66" i="6"/>
  <c r="P66" i="4" s="1"/>
  <c r="C68" i="6"/>
  <c r="O68" i="4" s="1"/>
  <c r="D68" i="6"/>
  <c r="P68" i="4" s="1"/>
  <c r="C69" i="6"/>
  <c r="O69" i="4" s="1"/>
  <c r="D69" i="6"/>
  <c r="P69" i="4" s="1"/>
  <c r="C71" i="6"/>
  <c r="O71" i="4" s="1"/>
  <c r="D71" i="6"/>
  <c r="P71" i="4" s="1"/>
  <c r="C76" i="6"/>
  <c r="O76" i="4" s="1"/>
  <c r="D76" i="6"/>
  <c r="P76" i="4" s="1"/>
  <c r="C77" i="6"/>
  <c r="O77" i="4" s="1"/>
  <c r="D77" i="6"/>
  <c r="P77" i="4" s="1"/>
  <c r="C78" i="6"/>
  <c r="O78" i="4" s="1"/>
  <c r="D78" i="6"/>
  <c r="P78" i="4" s="1"/>
  <c r="C80" i="6"/>
  <c r="O80" i="4" s="1"/>
  <c r="D80" i="6"/>
  <c r="P80" i="4" s="1"/>
  <c r="C81" i="6"/>
  <c r="O81" i="4" s="1"/>
  <c r="D81" i="6"/>
  <c r="P81" i="4" s="1"/>
  <c r="C82" i="6"/>
  <c r="O82" i="4" s="1"/>
  <c r="D82" i="6"/>
  <c r="P82" i="4" s="1"/>
  <c r="E82" i="6"/>
  <c r="C83" i="6"/>
  <c r="O83" i="4" s="1"/>
  <c r="D83" i="6"/>
  <c r="P83" i="4" s="1"/>
  <c r="C84" i="6"/>
  <c r="O84" i="4" s="1"/>
  <c r="D84" i="6"/>
  <c r="P84" i="4" s="1"/>
  <c r="BA30" i="59" l="1"/>
  <c r="BA25" i="59" s="1"/>
  <c r="BA73" i="59" s="1"/>
  <c r="BA85" i="59" s="1"/>
  <c r="AF30" i="59"/>
  <c r="AF25" i="59" s="1"/>
  <c r="AF73" i="59" s="1"/>
  <c r="AF85" i="59" s="1"/>
  <c r="S30" i="59"/>
  <c r="S25" i="59" s="1"/>
  <c r="S73" i="59" s="1"/>
  <c r="S85" i="59" s="1"/>
  <c r="AE30" i="59"/>
  <c r="AE25" i="59" s="1"/>
  <c r="AE73" i="59" s="1"/>
  <c r="AE85" i="59" s="1"/>
  <c r="K30" i="59"/>
  <c r="K25" i="59" s="1"/>
  <c r="K73" i="59" s="1"/>
  <c r="K85" i="59" s="1"/>
  <c r="AW30" i="59"/>
  <c r="AW25" i="59" s="1"/>
  <c r="AW73" i="59" s="1"/>
  <c r="AW85" i="59" s="1"/>
  <c r="AS30" i="59"/>
  <c r="AO30" i="59"/>
  <c r="AO25" i="59" s="1"/>
  <c r="AO73" i="59" s="1"/>
  <c r="AO85" i="59" s="1"/>
  <c r="AK30" i="59"/>
  <c r="AK25" i="59" s="1"/>
  <c r="AK73" i="59" s="1"/>
  <c r="AK85" i="59" s="1"/>
  <c r="AG30" i="59"/>
  <c r="AG25" i="59" s="1"/>
  <c r="AG73" i="59" s="1"/>
  <c r="AG85" i="59" s="1"/>
  <c r="AA30" i="59"/>
  <c r="AA25" i="59" s="1"/>
  <c r="AA73" i="59" s="1"/>
  <c r="AA85" i="59" s="1"/>
  <c r="W30" i="59"/>
  <c r="W25" i="59" s="1"/>
  <c r="W73" i="59" s="1"/>
  <c r="W85" i="59" s="1"/>
  <c r="O30" i="59"/>
  <c r="AA125" i="4"/>
  <c r="AA127" i="4"/>
  <c r="AA130" i="4"/>
  <c r="AA132" i="4"/>
  <c r="AA135" i="4"/>
  <c r="AA141" i="4"/>
  <c r="AA145" i="4"/>
  <c r="AA147" i="4"/>
  <c r="AA149" i="4"/>
  <c r="AA129" i="4"/>
  <c r="AA131" i="4"/>
  <c r="AA133" i="4"/>
  <c r="AA136" i="4"/>
  <c r="AA140" i="4"/>
  <c r="AA144" i="4"/>
  <c r="AA146" i="4"/>
  <c r="AA148" i="4"/>
  <c r="AA150" i="4"/>
  <c r="BQ22" i="59"/>
  <c r="AC146" i="4"/>
  <c r="AO146" i="4" s="1"/>
  <c r="BQ128" i="59"/>
  <c r="BQ101" i="59"/>
  <c r="BQ74" i="59"/>
  <c r="BQ67" i="59"/>
  <c r="BQ45" i="59"/>
  <c r="BQ34" i="59"/>
  <c r="BQ26" i="59"/>
  <c r="BQ9" i="59"/>
  <c r="BQ143" i="59"/>
  <c r="BQ123" i="59"/>
  <c r="BQ114" i="59"/>
  <c r="BQ105" i="59"/>
  <c r="BQ89" i="59"/>
  <c r="BQ70" i="59"/>
  <c r="BQ61" i="59"/>
  <c r="BQ38" i="59"/>
  <c r="BQ31" i="59"/>
  <c r="BQ49" i="59"/>
  <c r="BQ134" i="59"/>
  <c r="BQ79" i="59"/>
  <c r="BQ75" i="59"/>
  <c r="BQ10" i="59"/>
  <c r="S111" i="59"/>
  <c r="AK88" i="59"/>
  <c r="AG88" i="59"/>
  <c r="AF88" i="59"/>
  <c r="AA88" i="59"/>
  <c r="W88" i="59"/>
  <c r="S88" i="59"/>
  <c r="O88" i="59"/>
  <c r="K88" i="59"/>
  <c r="BA88" i="59"/>
  <c r="AW88" i="59"/>
  <c r="AS88" i="59"/>
  <c r="AO88" i="59"/>
  <c r="AE88" i="59"/>
  <c r="BA111" i="59"/>
  <c r="AW111" i="59"/>
  <c r="AS111" i="59"/>
  <c r="AO111" i="59"/>
  <c r="AE111" i="59"/>
  <c r="AK111" i="59"/>
  <c r="AG111" i="59"/>
  <c r="AF111" i="59"/>
  <c r="AA111" i="59"/>
  <c r="O111" i="59"/>
  <c r="K111" i="59"/>
  <c r="W111" i="59"/>
  <c r="AS25" i="59"/>
  <c r="AS73" i="59" s="1"/>
  <c r="AS85" i="59" s="1"/>
  <c r="O25" i="59"/>
  <c r="O73" i="59" s="1"/>
  <c r="O85" i="59" s="1"/>
  <c r="G88" i="59"/>
  <c r="C88" i="59"/>
  <c r="G30" i="59"/>
  <c r="G25" i="59" s="1"/>
  <c r="G73" i="59" s="1"/>
  <c r="G85" i="59" s="1"/>
  <c r="C30" i="59"/>
  <c r="G111" i="59"/>
  <c r="C111" i="59"/>
  <c r="G59" i="60" l="1"/>
  <c r="AO142" i="59"/>
  <c r="AO151" i="59" s="1"/>
  <c r="AO152" i="59" s="1"/>
  <c r="BQ111" i="59"/>
  <c r="BQ88" i="59"/>
  <c r="C25" i="59"/>
  <c r="BQ25" i="59" s="1"/>
  <c r="BQ30" i="59"/>
  <c r="AE142" i="59"/>
  <c r="AE151" i="59" s="1"/>
  <c r="BA142" i="59"/>
  <c r="BA151" i="59" s="1"/>
  <c r="G142" i="59"/>
  <c r="G151" i="59" s="1"/>
  <c r="G152" i="59" s="1"/>
  <c r="W142" i="59"/>
  <c r="W151" i="59" s="1"/>
  <c r="W152" i="59" s="1"/>
  <c r="AF142" i="59"/>
  <c r="AF151" i="59" s="1"/>
  <c r="AF152" i="59" s="1"/>
  <c r="AK142" i="59"/>
  <c r="AK151" i="59" s="1"/>
  <c r="AK152" i="59" s="1"/>
  <c r="AS142" i="59"/>
  <c r="AS151" i="59" s="1"/>
  <c r="AS152" i="59" s="1"/>
  <c r="S142" i="59"/>
  <c r="S151" i="59" s="1"/>
  <c r="S152" i="59" s="1"/>
  <c r="AA142" i="59"/>
  <c r="AA151" i="59" s="1"/>
  <c r="AA152" i="59" s="1"/>
  <c r="AB153" i="59" s="1"/>
  <c r="AG142" i="59"/>
  <c r="AG151" i="59" s="1"/>
  <c r="AG152" i="59" s="1"/>
  <c r="AW142" i="59"/>
  <c r="AW151" i="59" s="1"/>
  <c r="AW152" i="59" s="1"/>
  <c r="C142" i="59"/>
  <c r="K142" i="59"/>
  <c r="O142" i="59"/>
  <c r="O151" i="59" s="1"/>
  <c r="O152" i="59" s="1"/>
  <c r="BS152" i="59" l="1"/>
  <c r="BR152" i="59"/>
  <c r="G60" i="60"/>
  <c r="BA152" i="59"/>
  <c r="BQ142" i="59"/>
  <c r="C73" i="59"/>
  <c r="BQ73" i="59" s="1"/>
  <c r="K151" i="59"/>
  <c r="K152" i="59" s="1"/>
  <c r="C151" i="59"/>
  <c r="C115" i="22"/>
  <c r="C115" i="6" s="1"/>
  <c r="O115" i="4" s="1"/>
  <c r="E150" i="58"/>
  <c r="E149" i="58"/>
  <c r="E148" i="58"/>
  <c r="E147" i="58"/>
  <c r="E145" i="58"/>
  <c r="E144" i="58"/>
  <c r="D143" i="58"/>
  <c r="C143" i="58"/>
  <c r="E141" i="58"/>
  <c r="E140" i="58"/>
  <c r="E139" i="58"/>
  <c r="E138" i="58"/>
  <c r="E137" i="58"/>
  <c r="E136" i="58"/>
  <c r="E135" i="58"/>
  <c r="D134" i="58"/>
  <c r="D128" i="58" s="1"/>
  <c r="C134" i="58"/>
  <c r="E133" i="58"/>
  <c r="E132" i="58"/>
  <c r="E131" i="58"/>
  <c r="E130" i="58"/>
  <c r="E129" i="58"/>
  <c r="C128" i="58"/>
  <c r="E127" i="58"/>
  <c r="E126" i="58"/>
  <c r="E125" i="58"/>
  <c r="E124" i="58"/>
  <c r="D123" i="58"/>
  <c r="E122" i="58"/>
  <c r="E121" i="58"/>
  <c r="E120" i="58"/>
  <c r="E119" i="58"/>
  <c r="E118" i="58"/>
  <c r="E117" i="58"/>
  <c r="E116" i="58"/>
  <c r="E115" i="58"/>
  <c r="D114" i="58"/>
  <c r="C114" i="58"/>
  <c r="E113" i="58"/>
  <c r="E112" i="58"/>
  <c r="E110" i="58"/>
  <c r="E109" i="58"/>
  <c r="E108" i="58"/>
  <c r="E107" i="58"/>
  <c r="E106" i="58"/>
  <c r="D105" i="58"/>
  <c r="C105" i="58"/>
  <c r="E104" i="58"/>
  <c r="E103" i="58"/>
  <c r="E102" i="58"/>
  <c r="D101" i="58"/>
  <c r="C101" i="58"/>
  <c r="E100" i="58"/>
  <c r="E99" i="58"/>
  <c r="E98" i="58"/>
  <c r="E97" i="58"/>
  <c r="E96" i="58"/>
  <c r="E95" i="58"/>
  <c r="E94" i="58"/>
  <c r="E93" i="58"/>
  <c r="E92" i="58"/>
  <c r="E91" i="58"/>
  <c r="E90" i="58"/>
  <c r="D89" i="58"/>
  <c r="C89" i="58"/>
  <c r="E84" i="58"/>
  <c r="E83" i="58"/>
  <c r="E81" i="58"/>
  <c r="E80" i="58"/>
  <c r="D79" i="58"/>
  <c r="D75" i="58" s="1"/>
  <c r="D74" i="58" s="1"/>
  <c r="C79" i="58"/>
  <c r="E78" i="58"/>
  <c r="E77" i="58"/>
  <c r="E76" i="58"/>
  <c r="E71" i="58"/>
  <c r="D70" i="58"/>
  <c r="C70" i="58"/>
  <c r="E69" i="58"/>
  <c r="E68" i="58"/>
  <c r="D67" i="58"/>
  <c r="C67" i="58"/>
  <c r="E66" i="58"/>
  <c r="E65" i="58"/>
  <c r="E64" i="58"/>
  <c r="E63" i="58"/>
  <c r="E62" i="58"/>
  <c r="D61" i="58"/>
  <c r="C61" i="58"/>
  <c r="E60" i="58"/>
  <c r="E59" i="58"/>
  <c r="E58" i="58"/>
  <c r="E57" i="58"/>
  <c r="E56" i="58"/>
  <c r="E55" i="58"/>
  <c r="E54" i="58"/>
  <c r="E53" i="58"/>
  <c r="E52" i="58"/>
  <c r="E51" i="58"/>
  <c r="E50" i="58"/>
  <c r="D49" i="58"/>
  <c r="D45" i="58" s="1"/>
  <c r="C49" i="58"/>
  <c r="E48" i="58"/>
  <c r="E47" i="58"/>
  <c r="E46" i="58"/>
  <c r="C45" i="58"/>
  <c r="E44" i="58"/>
  <c r="E43" i="58"/>
  <c r="E42" i="58"/>
  <c r="E41" i="58"/>
  <c r="E40" i="58"/>
  <c r="E39" i="58"/>
  <c r="D38" i="58"/>
  <c r="C38" i="58"/>
  <c r="E37" i="58"/>
  <c r="E36" i="58"/>
  <c r="E35" i="58"/>
  <c r="D34" i="58"/>
  <c r="C34" i="58"/>
  <c r="E33" i="58"/>
  <c r="E32" i="58"/>
  <c r="D31" i="58"/>
  <c r="C31" i="58"/>
  <c r="C30" i="58" s="1"/>
  <c r="E29" i="58"/>
  <c r="E28" i="58"/>
  <c r="E27" i="58"/>
  <c r="D26" i="58"/>
  <c r="C26" i="58"/>
  <c r="E24" i="58"/>
  <c r="E23" i="58"/>
  <c r="D22" i="58"/>
  <c r="C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C10" i="58"/>
  <c r="C9" i="58" s="1"/>
  <c r="D9" i="58"/>
  <c r="C90" i="5"/>
  <c r="C90" i="4" s="1"/>
  <c r="AM90" i="4" s="1"/>
  <c r="D90" i="5"/>
  <c r="D90" i="4" s="1"/>
  <c r="AN90" i="4" s="1"/>
  <c r="C91" i="5"/>
  <c r="C91" i="4" s="1"/>
  <c r="AM91" i="4" s="1"/>
  <c r="D91" i="5"/>
  <c r="D91" i="4" s="1"/>
  <c r="AN91" i="4" s="1"/>
  <c r="E91" i="5"/>
  <c r="C92" i="5"/>
  <c r="C92" i="4" s="1"/>
  <c r="AM92" i="4" s="1"/>
  <c r="D92" i="5"/>
  <c r="D92" i="4" s="1"/>
  <c r="AN92" i="4" s="1"/>
  <c r="C93" i="5"/>
  <c r="C93" i="4" s="1"/>
  <c r="AM93" i="4" s="1"/>
  <c r="D93" i="5"/>
  <c r="D93" i="4" s="1"/>
  <c r="AN93" i="4" s="1"/>
  <c r="C94" i="5"/>
  <c r="C94" i="4" s="1"/>
  <c r="AM94" i="4" s="1"/>
  <c r="D94" i="5"/>
  <c r="D94" i="4" s="1"/>
  <c r="AN94" i="4" s="1"/>
  <c r="C95" i="5"/>
  <c r="C95" i="4" s="1"/>
  <c r="AM95" i="4" s="1"/>
  <c r="D95" i="5"/>
  <c r="D95" i="4" s="1"/>
  <c r="AN95" i="4" s="1"/>
  <c r="C96" i="5"/>
  <c r="C96" i="4" s="1"/>
  <c r="AM96" i="4" s="1"/>
  <c r="D96" i="5"/>
  <c r="D96" i="4" s="1"/>
  <c r="AN96" i="4" s="1"/>
  <c r="C97" i="5"/>
  <c r="C97" i="4" s="1"/>
  <c r="AM97" i="4" s="1"/>
  <c r="D97" i="5"/>
  <c r="D97" i="4" s="1"/>
  <c r="AN97" i="4" s="1"/>
  <c r="C98" i="5"/>
  <c r="C98" i="4" s="1"/>
  <c r="AM98" i="4" s="1"/>
  <c r="D98" i="5"/>
  <c r="D98" i="4" s="1"/>
  <c r="AN98" i="4" s="1"/>
  <c r="C99" i="5"/>
  <c r="C99" i="4" s="1"/>
  <c r="AM99" i="4" s="1"/>
  <c r="D99" i="5"/>
  <c r="D99" i="4" s="1"/>
  <c r="AN99" i="4" s="1"/>
  <c r="C100" i="5"/>
  <c r="C100" i="4" s="1"/>
  <c r="AM100" i="4" s="1"/>
  <c r="D100" i="5"/>
  <c r="D100" i="4" s="1"/>
  <c r="AN100" i="4" s="1"/>
  <c r="C102" i="5"/>
  <c r="C102" i="4" s="1"/>
  <c r="AM102" i="4" s="1"/>
  <c r="D102" i="5"/>
  <c r="D102" i="4" s="1"/>
  <c r="AN102" i="4" s="1"/>
  <c r="C103" i="5"/>
  <c r="C103" i="4" s="1"/>
  <c r="AM103" i="4" s="1"/>
  <c r="D103" i="5"/>
  <c r="D103" i="4" s="1"/>
  <c r="AN103" i="4" s="1"/>
  <c r="C104" i="5"/>
  <c r="C104" i="4" s="1"/>
  <c r="AM104" i="4" s="1"/>
  <c r="D104" i="5"/>
  <c r="D104" i="4" s="1"/>
  <c r="AN104" i="4" s="1"/>
  <c r="C106" i="5"/>
  <c r="C106" i="4" s="1"/>
  <c r="AM106" i="4" s="1"/>
  <c r="D106" i="5"/>
  <c r="D106" i="4" s="1"/>
  <c r="AN106" i="4" s="1"/>
  <c r="C107" i="5"/>
  <c r="C107" i="4" s="1"/>
  <c r="AM107" i="4" s="1"/>
  <c r="D107" i="5"/>
  <c r="D107" i="4" s="1"/>
  <c r="AN107" i="4" s="1"/>
  <c r="C108" i="5"/>
  <c r="C108" i="4" s="1"/>
  <c r="AM108" i="4" s="1"/>
  <c r="D108" i="5"/>
  <c r="D108" i="4" s="1"/>
  <c r="AN108" i="4" s="1"/>
  <c r="C109" i="5"/>
  <c r="C109" i="4" s="1"/>
  <c r="AM109" i="4" s="1"/>
  <c r="D109" i="5"/>
  <c r="D109" i="4" s="1"/>
  <c r="AN109" i="4" s="1"/>
  <c r="C110" i="5"/>
  <c r="C110" i="4" s="1"/>
  <c r="AM110" i="4" s="1"/>
  <c r="D110" i="5"/>
  <c r="D110" i="4" s="1"/>
  <c r="AN110" i="4" s="1"/>
  <c r="C112" i="5"/>
  <c r="C112" i="4" s="1"/>
  <c r="D112" i="5"/>
  <c r="D112" i="4" s="1"/>
  <c r="AN112" i="4" s="1"/>
  <c r="C113" i="5"/>
  <c r="C113" i="4" s="1"/>
  <c r="D113" i="5"/>
  <c r="D113" i="4" s="1"/>
  <c r="AN113" i="4" s="1"/>
  <c r="C115" i="5"/>
  <c r="C115" i="4" s="1"/>
  <c r="D115" i="5"/>
  <c r="D115" i="4" s="1"/>
  <c r="AN115" i="4" s="1"/>
  <c r="C116" i="5"/>
  <c r="C116" i="4" s="1"/>
  <c r="D116" i="5"/>
  <c r="D116" i="4" s="1"/>
  <c r="AN116" i="4" s="1"/>
  <c r="C117" i="5"/>
  <c r="C117" i="4" s="1"/>
  <c r="D117" i="5"/>
  <c r="D117" i="4" s="1"/>
  <c r="AN117" i="4" s="1"/>
  <c r="C118" i="5"/>
  <c r="C118" i="4" s="1"/>
  <c r="D118" i="5"/>
  <c r="D118" i="4" s="1"/>
  <c r="AN118" i="4" s="1"/>
  <c r="C119" i="5"/>
  <c r="C119" i="4" s="1"/>
  <c r="D119" i="5"/>
  <c r="D119" i="4" s="1"/>
  <c r="AN119" i="4" s="1"/>
  <c r="C120" i="5"/>
  <c r="C120" i="4" s="1"/>
  <c r="D120" i="5"/>
  <c r="D120" i="4" s="1"/>
  <c r="AN120" i="4" s="1"/>
  <c r="C121" i="5"/>
  <c r="C121" i="4" s="1"/>
  <c r="D121" i="5"/>
  <c r="D121" i="4" s="1"/>
  <c r="AN121" i="4" s="1"/>
  <c r="C122" i="5"/>
  <c r="C122" i="4" s="1"/>
  <c r="D122" i="5"/>
  <c r="D122" i="4" s="1"/>
  <c r="AN122" i="4" s="1"/>
  <c r="C124" i="5"/>
  <c r="C124" i="4" s="1"/>
  <c r="D124" i="5"/>
  <c r="D124" i="4" s="1"/>
  <c r="AN124" i="4" s="1"/>
  <c r="C125" i="5"/>
  <c r="C125" i="4" s="1"/>
  <c r="AM125" i="4" s="1"/>
  <c r="D125" i="5"/>
  <c r="D125" i="4" s="1"/>
  <c r="AN125" i="4" s="1"/>
  <c r="C126" i="5"/>
  <c r="C126" i="4" s="1"/>
  <c r="D126" i="5"/>
  <c r="D126" i="4" s="1"/>
  <c r="AN126" i="4" s="1"/>
  <c r="C127" i="5"/>
  <c r="C127" i="4" s="1"/>
  <c r="AM127" i="4" s="1"/>
  <c r="D127" i="5"/>
  <c r="D127" i="4" s="1"/>
  <c r="AN127" i="4" s="1"/>
  <c r="C129" i="5"/>
  <c r="C129" i="4" s="1"/>
  <c r="AM129" i="4" s="1"/>
  <c r="D129" i="5"/>
  <c r="D129" i="4" s="1"/>
  <c r="AN129" i="4" s="1"/>
  <c r="C130" i="5"/>
  <c r="C130" i="4" s="1"/>
  <c r="AM130" i="4" s="1"/>
  <c r="D130" i="5"/>
  <c r="D130" i="4" s="1"/>
  <c r="AN130" i="4" s="1"/>
  <c r="C131" i="5"/>
  <c r="C131" i="4" s="1"/>
  <c r="AM131" i="4" s="1"/>
  <c r="D131" i="5"/>
  <c r="D131" i="4" s="1"/>
  <c r="AN131" i="4" s="1"/>
  <c r="C132" i="5"/>
  <c r="C132" i="4" s="1"/>
  <c r="AM132" i="4" s="1"/>
  <c r="D132" i="5"/>
  <c r="D132" i="4" s="1"/>
  <c r="AN132" i="4" s="1"/>
  <c r="C133" i="5"/>
  <c r="C133" i="4" s="1"/>
  <c r="AM133" i="4" s="1"/>
  <c r="D133" i="5"/>
  <c r="D133" i="4" s="1"/>
  <c r="AN133" i="4" s="1"/>
  <c r="C135" i="5"/>
  <c r="C135" i="4" s="1"/>
  <c r="AM135" i="4" s="1"/>
  <c r="D135" i="5"/>
  <c r="D135" i="4" s="1"/>
  <c r="AN135" i="4" s="1"/>
  <c r="C136" i="5"/>
  <c r="C136" i="4" s="1"/>
  <c r="AM136" i="4" s="1"/>
  <c r="D136" i="5"/>
  <c r="D136" i="4" s="1"/>
  <c r="AN136" i="4" s="1"/>
  <c r="C137" i="5"/>
  <c r="C137" i="4" s="1"/>
  <c r="AM137" i="4" s="1"/>
  <c r="D137" i="5"/>
  <c r="D137" i="4" s="1"/>
  <c r="AN137" i="4" s="1"/>
  <c r="C138" i="5"/>
  <c r="C138" i="4" s="1"/>
  <c r="AM138" i="4" s="1"/>
  <c r="D138" i="5"/>
  <c r="D138" i="4" s="1"/>
  <c r="AN138" i="4" s="1"/>
  <c r="C139" i="5"/>
  <c r="C139" i="4" s="1"/>
  <c r="AM139" i="4" s="1"/>
  <c r="D139" i="5"/>
  <c r="D139" i="4" s="1"/>
  <c r="AN139" i="4" s="1"/>
  <c r="C140" i="5"/>
  <c r="C140" i="4" s="1"/>
  <c r="AM140" i="4" s="1"/>
  <c r="D140" i="5"/>
  <c r="D140" i="4" s="1"/>
  <c r="AN140" i="4" s="1"/>
  <c r="C141" i="5"/>
  <c r="C141" i="4" s="1"/>
  <c r="AM141" i="4" s="1"/>
  <c r="D141" i="5"/>
  <c r="D141" i="4" s="1"/>
  <c r="AN141" i="4" s="1"/>
  <c r="C144" i="5"/>
  <c r="C144" i="4" s="1"/>
  <c r="AM144" i="4" s="1"/>
  <c r="D144" i="5"/>
  <c r="D144" i="4" s="1"/>
  <c r="AN144" i="4" s="1"/>
  <c r="C145" i="5"/>
  <c r="C145" i="4" s="1"/>
  <c r="AM145" i="4" s="1"/>
  <c r="D145" i="5"/>
  <c r="D145" i="4" s="1"/>
  <c r="AN145" i="4" s="1"/>
  <c r="C146" i="5"/>
  <c r="C146" i="4" s="1"/>
  <c r="AM146" i="4" s="1"/>
  <c r="D146" i="5"/>
  <c r="D146" i="4" s="1"/>
  <c r="AN146" i="4" s="1"/>
  <c r="E146" i="5"/>
  <c r="C147" i="5"/>
  <c r="C147" i="4" s="1"/>
  <c r="AM147" i="4" s="1"/>
  <c r="AM150" i="4" s="1"/>
  <c r="D147" i="5"/>
  <c r="D147" i="4" s="1"/>
  <c r="AN147" i="4" s="1"/>
  <c r="C148" i="5"/>
  <c r="C148" i="4" s="1"/>
  <c r="AM148" i="4" s="1"/>
  <c r="D148" i="5"/>
  <c r="D148" i="4" s="1"/>
  <c r="AN148" i="4" s="1"/>
  <c r="C149" i="5"/>
  <c r="C149" i="4" s="1"/>
  <c r="AM149" i="4" s="1"/>
  <c r="D149" i="5"/>
  <c r="D149" i="4" s="1"/>
  <c r="AN149" i="4" s="1"/>
  <c r="C150" i="5"/>
  <c r="C150" i="4" s="1"/>
  <c r="D150" i="5"/>
  <c r="D150" i="4" s="1"/>
  <c r="AN150" i="4" s="1"/>
  <c r="C11" i="5"/>
  <c r="C11" i="4" s="1"/>
  <c r="D11" i="5"/>
  <c r="D11" i="4" s="1"/>
  <c r="C12" i="5"/>
  <c r="C12" i="4" s="1"/>
  <c r="D12" i="5"/>
  <c r="D12" i="4" s="1"/>
  <c r="C13" i="5"/>
  <c r="C13" i="4" s="1"/>
  <c r="D13" i="5"/>
  <c r="D13" i="4" s="1"/>
  <c r="C14" i="5"/>
  <c r="C14" i="4" s="1"/>
  <c r="D14" i="5"/>
  <c r="D14" i="4" s="1"/>
  <c r="C15" i="5"/>
  <c r="C15" i="4" s="1"/>
  <c r="D15" i="5"/>
  <c r="D15" i="4" s="1"/>
  <c r="C16" i="5"/>
  <c r="C16" i="4" s="1"/>
  <c r="D16" i="5"/>
  <c r="D16" i="4" s="1"/>
  <c r="C17" i="5"/>
  <c r="C17" i="4" s="1"/>
  <c r="D17" i="5"/>
  <c r="D17" i="4" s="1"/>
  <c r="C18" i="5"/>
  <c r="C18" i="4" s="1"/>
  <c r="D18" i="5"/>
  <c r="D18" i="4" s="1"/>
  <c r="C19" i="5"/>
  <c r="C19" i="4" s="1"/>
  <c r="D19" i="5"/>
  <c r="D19" i="4" s="1"/>
  <c r="C20" i="5"/>
  <c r="C20" i="4" s="1"/>
  <c r="D20" i="5"/>
  <c r="D20" i="4" s="1"/>
  <c r="C21" i="5"/>
  <c r="C21" i="4" s="1"/>
  <c r="D21" i="5"/>
  <c r="D21" i="4" s="1"/>
  <c r="C23" i="5"/>
  <c r="C23" i="4" s="1"/>
  <c r="D23" i="5"/>
  <c r="D23" i="4" s="1"/>
  <c r="C24" i="5"/>
  <c r="C24" i="4" s="1"/>
  <c r="D24" i="5"/>
  <c r="D24" i="4" s="1"/>
  <c r="C27" i="5"/>
  <c r="C27" i="4" s="1"/>
  <c r="D27" i="5"/>
  <c r="D27" i="4" s="1"/>
  <c r="C28" i="5"/>
  <c r="C28" i="4" s="1"/>
  <c r="D28" i="5"/>
  <c r="D28" i="4" s="1"/>
  <c r="C29" i="5"/>
  <c r="C29" i="4" s="1"/>
  <c r="D29" i="5"/>
  <c r="D29" i="4" s="1"/>
  <c r="C32" i="5"/>
  <c r="C32" i="4" s="1"/>
  <c r="D32" i="5"/>
  <c r="D32" i="4" s="1"/>
  <c r="C33" i="5"/>
  <c r="C33" i="4" s="1"/>
  <c r="D33" i="5"/>
  <c r="D33" i="4" s="1"/>
  <c r="C35" i="5"/>
  <c r="C35" i="4" s="1"/>
  <c r="D35" i="5"/>
  <c r="D35" i="4" s="1"/>
  <c r="C36" i="5"/>
  <c r="C36" i="4" s="1"/>
  <c r="D36" i="5"/>
  <c r="D36" i="4" s="1"/>
  <c r="C37" i="5"/>
  <c r="C37" i="4" s="1"/>
  <c r="D37" i="5"/>
  <c r="D37" i="4" s="1"/>
  <c r="C39" i="5"/>
  <c r="C39" i="4" s="1"/>
  <c r="D39" i="5"/>
  <c r="D39" i="4" s="1"/>
  <c r="C40" i="5"/>
  <c r="C40" i="4" s="1"/>
  <c r="D40" i="5"/>
  <c r="D40" i="4" s="1"/>
  <c r="C41" i="5"/>
  <c r="C41" i="4" s="1"/>
  <c r="D41" i="5"/>
  <c r="D41" i="4" s="1"/>
  <c r="C42" i="5"/>
  <c r="C42" i="4" s="1"/>
  <c r="D42" i="5"/>
  <c r="D42" i="4" s="1"/>
  <c r="C43" i="5"/>
  <c r="C43" i="4" s="1"/>
  <c r="D43" i="5"/>
  <c r="D43" i="4" s="1"/>
  <c r="C44" i="5"/>
  <c r="C44" i="4" s="1"/>
  <c r="D44" i="5"/>
  <c r="D44" i="4" s="1"/>
  <c r="C46" i="5"/>
  <c r="C46" i="4" s="1"/>
  <c r="D46" i="5"/>
  <c r="D46" i="4" s="1"/>
  <c r="C47" i="5"/>
  <c r="C47" i="4" s="1"/>
  <c r="D47" i="5"/>
  <c r="D47" i="4" s="1"/>
  <c r="C48" i="5"/>
  <c r="C48" i="4" s="1"/>
  <c r="D48" i="5"/>
  <c r="D48" i="4" s="1"/>
  <c r="C50" i="5"/>
  <c r="C50" i="4" s="1"/>
  <c r="D50" i="5"/>
  <c r="D50" i="4" s="1"/>
  <c r="C51" i="5"/>
  <c r="C51" i="4" s="1"/>
  <c r="D51" i="5"/>
  <c r="D51" i="4" s="1"/>
  <c r="C52" i="5"/>
  <c r="C52" i="4" s="1"/>
  <c r="D52" i="5"/>
  <c r="D52" i="4" s="1"/>
  <c r="C53" i="5"/>
  <c r="C53" i="4" s="1"/>
  <c r="D53" i="5"/>
  <c r="D53" i="4" s="1"/>
  <c r="C54" i="5"/>
  <c r="C54" i="4" s="1"/>
  <c r="D54" i="5"/>
  <c r="D54" i="4" s="1"/>
  <c r="C55" i="5"/>
  <c r="C55" i="4" s="1"/>
  <c r="D55" i="5"/>
  <c r="D55" i="4" s="1"/>
  <c r="C56" i="5"/>
  <c r="C56" i="4" s="1"/>
  <c r="D56" i="5"/>
  <c r="D56" i="4" s="1"/>
  <c r="C57" i="5"/>
  <c r="C57" i="4" s="1"/>
  <c r="D57" i="5"/>
  <c r="D57" i="4" s="1"/>
  <c r="C58" i="5"/>
  <c r="C58" i="4" s="1"/>
  <c r="D58" i="5"/>
  <c r="D58" i="4" s="1"/>
  <c r="C59" i="5"/>
  <c r="C59" i="4" s="1"/>
  <c r="D59" i="5"/>
  <c r="D59" i="4" s="1"/>
  <c r="C60" i="5"/>
  <c r="C60" i="4" s="1"/>
  <c r="D60" i="5"/>
  <c r="D60" i="4" s="1"/>
  <c r="C62" i="5"/>
  <c r="C62" i="4" s="1"/>
  <c r="D62" i="5"/>
  <c r="D62" i="4" s="1"/>
  <c r="C63" i="5"/>
  <c r="C63" i="4" s="1"/>
  <c r="D63" i="5"/>
  <c r="D63" i="4" s="1"/>
  <c r="C64" i="5"/>
  <c r="C64" i="4" s="1"/>
  <c r="D64" i="5"/>
  <c r="D64" i="4" s="1"/>
  <c r="C65" i="5"/>
  <c r="C65" i="4" s="1"/>
  <c r="D65" i="5"/>
  <c r="D65" i="4" s="1"/>
  <c r="C66" i="5"/>
  <c r="C66" i="4" s="1"/>
  <c r="D66" i="5"/>
  <c r="D66" i="4" s="1"/>
  <c r="C68" i="5"/>
  <c r="C68" i="4" s="1"/>
  <c r="D68" i="5"/>
  <c r="D68" i="4" s="1"/>
  <c r="C69" i="5"/>
  <c r="C69" i="4" s="1"/>
  <c r="D69" i="5"/>
  <c r="D69" i="4" s="1"/>
  <c r="C71" i="5"/>
  <c r="C71" i="4" s="1"/>
  <c r="D71" i="5"/>
  <c r="D71" i="4" s="1"/>
  <c r="C76" i="5"/>
  <c r="C76" i="4" s="1"/>
  <c r="D76" i="5"/>
  <c r="D76" i="4" s="1"/>
  <c r="C77" i="5"/>
  <c r="C77" i="4" s="1"/>
  <c r="D77" i="5"/>
  <c r="D77" i="4" s="1"/>
  <c r="C78" i="5"/>
  <c r="C78" i="4" s="1"/>
  <c r="D78" i="5"/>
  <c r="D78" i="4" s="1"/>
  <c r="C80" i="5"/>
  <c r="C80" i="4" s="1"/>
  <c r="D80" i="5"/>
  <c r="D80" i="4" s="1"/>
  <c r="C81" i="5"/>
  <c r="C81" i="4" s="1"/>
  <c r="D81" i="5"/>
  <c r="D81" i="4" s="1"/>
  <c r="C82" i="5"/>
  <c r="C82" i="4" s="1"/>
  <c r="D82" i="5"/>
  <c r="D82" i="4" s="1"/>
  <c r="E82" i="5"/>
  <c r="C83" i="5"/>
  <c r="C83" i="4" s="1"/>
  <c r="D83" i="5"/>
  <c r="D83" i="4" s="1"/>
  <c r="C84" i="5"/>
  <c r="C84" i="4" s="1"/>
  <c r="D84" i="5"/>
  <c r="D84" i="4" s="1"/>
  <c r="C89" i="57"/>
  <c r="D89" i="57"/>
  <c r="C101" i="57"/>
  <c r="D101" i="57"/>
  <c r="C105" i="57"/>
  <c r="D105" i="57"/>
  <c r="C114" i="57"/>
  <c r="D114" i="57"/>
  <c r="C123" i="57"/>
  <c r="D123" i="57"/>
  <c r="C134" i="57"/>
  <c r="D134" i="57"/>
  <c r="D128" i="57" s="1"/>
  <c r="C143" i="57"/>
  <c r="D143" i="57"/>
  <c r="C10" i="57"/>
  <c r="D10" i="57"/>
  <c r="D9" i="57" s="1"/>
  <c r="C22" i="57"/>
  <c r="D22" i="57"/>
  <c r="C26" i="57"/>
  <c r="D26" i="57"/>
  <c r="C31" i="57"/>
  <c r="D31" i="57"/>
  <c r="C34" i="57"/>
  <c r="D34" i="57"/>
  <c r="C38" i="57"/>
  <c r="D38" i="57"/>
  <c r="C49" i="57"/>
  <c r="D49" i="57"/>
  <c r="D45" i="57" s="1"/>
  <c r="C61" i="57"/>
  <c r="D61" i="57"/>
  <c r="C67" i="57"/>
  <c r="D67" i="57"/>
  <c r="C70" i="57"/>
  <c r="D70" i="57"/>
  <c r="C79" i="57"/>
  <c r="D79" i="57"/>
  <c r="D75" i="57" s="1"/>
  <c r="D74" i="57" s="1"/>
  <c r="C124" i="15"/>
  <c r="D30" i="58" l="1"/>
  <c r="D25" i="58" s="1"/>
  <c r="D73" i="58" s="1"/>
  <c r="D85" i="58" s="1"/>
  <c r="AO150" i="4"/>
  <c r="BQ151" i="59"/>
  <c r="E38" i="57"/>
  <c r="E143" i="57"/>
  <c r="E123" i="57"/>
  <c r="E114" i="57"/>
  <c r="E105" i="57"/>
  <c r="E101" i="57"/>
  <c r="E89" i="57"/>
  <c r="C75" i="57"/>
  <c r="C74" i="57" s="1"/>
  <c r="E74" i="57" s="1"/>
  <c r="E79" i="57"/>
  <c r="E70" i="57"/>
  <c r="E67" i="57"/>
  <c r="E61" i="57"/>
  <c r="C45" i="57"/>
  <c r="E45" i="57" s="1"/>
  <c r="E49" i="57"/>
  <c r="E34" i="57"/>
  <c r="E31" i="57"/>
  <c r="E26" i="57"/>
  <c r="E22" i="57"/>
  <c r="C9" i="57"/>
  <c r="E9" i="57" s="1"/>
  <c r="E10" i="57"/>
  <c r="C128" i="57"/>
  <c r="E128" i="57" s="1"/>
  <c r="E134" i="57"/>
  <c r="C85" i="59"/>
  <c r="BQ85" i="59" s="1"/>
  <c r="E30" i="58"/>
  <c r="E61" i="58"/>
  <c r="D111" i="58"/>
  <c r="C88" i="57"/>
  <c r="C88" i="58"/>
  <c r="C30" i="57"/>
  <c r="D30" i="57"/>
  <c r="D25" i="57" s="1"/>
  <c r="D73" i="57" s="1"/>
  <c r="D85" i="57" s="1"/>
  <c r="D111" i="57"/>
  <c r="C111" i="57"/>
  <c r="E38" i="58"/>
  <c r="E79" i="58"/>
  <c r="D88" i="58"/>
  <c r="E101" i="58"/>
  <c r="E45" i="58"/>
  <c r="E22" i="58"/>
  <c r="C25" i="58"/>
  <c r="E31" i="58"/>
  <c r="E34" i="58"/>
  <c r="E49" i="58"/>
  <c r="E67" i="58"/>
  <c r="E70" i="58"/>
  <c r="C75" i="58"/>
  <c r="C74" i="58" s="1"/>
  <c r="E74" i="58" s="1"/>
  <c r="E89" i="58"/>
  <c r="E105" i="58"/>
  <c r="E134" i="58"/>
  <c r="E9" i="58"/>
  <c r="E143" i="58"/>
  <c r="E10" i="58"/>
  <c r="E26" i="58"/>
  <c r="E114" i="58"/>
  <c r="C123" i="58"/>
  <c r="E123" i="58" s="1"/>
  <c r="E128" i="58"/>
  <c r="D88" i="57"/>
  <c r="E75" i="57" l="1"/>
  <c r="E111" i="57"/>
  <c r="C25" i="57"/>
  <c r="E30" i="57"/>
  <c r="E88" i="57"/>
  <c r="E25" i="58"/>
  <c r="C152" i="59"/>
  <c r="BQ152" i="59" s="1"/>
  <c r="C73" i="58"/>
  <c r="E73" i="58" s="1"/>
  <c r="D142" i="57"/>
  <c r="D151" i="57" s="1"/>
  <c r="D142" i="58"/>
  <c r="D151" i="58" s="1"/>
  <c r="E88" i="58"/>
  <c r="C142" i="57"/>
  <c r="E75" i="58"/>
  <c r="C111" i="58"/>
  <c r="C115" i="28"/>
  <c r="E92" i="30"/>
  <c r="E93" i="30"/>
  <c r="C124" i="36"/>
  <c r="C115" i="36"/>
  <c r="C124" i="27"/>
  <c r="C115" i="27"/>
  <c r="C124" i="26"/>
  <c r="C115" i="26"/>
  <c r="C115" i="7" l="1"/>
  <c r="AA115" i="4" s="1"/>
  <c r="AM115" i="4" s="1"/>
  <c r="C85" i="58"/>
  <c r="E85" i="58" s="1"/>
  <c r="C151" i="57"/>
  <c r="E151" i="57" s="1"/>
  <c r="E142" i="57"/>
  <c r="C73" i="57"/>
  <c r="E25" i="57"/>
  <c r="E111" i="58"/>
  <c r="C142" i="58"/>
  <c r="C124" i="32"/>
  <c r="C124" i="17"/>
  <c r="C124" i="7" l="1"/>
  <c r="E124" i="7" s="1"/>
  <c r="C85" i="57"/>
  <c r="E73" i="57"/>
  <c r="E142" i="58"/>
  <c r="C151" i="58"/>
  <c r="C124" i="46"/>
  <c r="C124" i="6" s="1"/>
  <c r="O124" i="4" s="1"/>
  <c r="E85" i="57" l="1"/>
  <c r="E153" i="57" s="1"/>
  <c r="E151" i="58"/>
  <c r="E153" i="58" s="1"/>
  <c r="AA126" i="4"/>
  <c r="AM126" i="4" s="1"/>
  <c r="AA124" i="4"/>
  <c r="AM124" i="4" s="1"/>
  <c r="AA121" i="4"/>
  <c r="AM121" i="4" s="1"/>
  <c r="AA120" i="4"/>
  <c r="AM120" i="4" s="1"/>
  <c r="AA119" i="4"/>
  <c r="AM119" i="4" s="1"/>
  <c r="AA118" i="4"/>
  <c r="AM118" i="4" s="1"/>
  <c r="AA117" i="4"/>
  <c r="AM117" i="4" s="1"/>
  <c r="AA116" i="4"/>
  <c r="AM116" i="4" s="1"/>
  <c r="AA112" i="4"/>
  <c r="AM112" i="4" s="1"/>
  <c r="AA11" i="4"/>
  <c r="AM11" i="4" s="1"/>
  <c r="AB11" i="4"/>
  <c r="AN11" i="4" s="1"/>
  <c r="AA12" i="4"/>
  <c r="AM12" i="4" s="1"/>
  <c r="AB12" i="4"/>
  <c r="AN12" i="4" s="1"/>
  <c r="AA13" i="4"/>
  <c r="AM13" i="4" s="1"/>
  <c r="AB13" i="4"/>
  <c r="AN13" i="4" s="1"/>
  <c r="AA14" i="4"/>
  <c r="AM14" i="4" s="1"/>
  <c r="AB14" i="4"/>
  <c r="AN14" i="4" s="1"/>
  <c r="AA15" i="4"/>
  <c r="AM15" i="4" s="1"/>
  <c r="AB15" i="4"/>
  <c r="AN15" i="4" s="1"/>
  <c r="AA16" i="4"/>
  <c r="AM16" i="4" s="1"/>
  <c r="AB16" i="4"/>
  <c r="AN16" i="4" s="1"/>
  <c r="AA17" i="4"/>
  <c r="AM17" i="4" s="1"/>
  <c r="AB17" i="4"/>
  <c r="AN17" i="4" s="1"/>
  <c r="AA18" i="4"/>
  <c r="AM18" i="4" s="1"/>
  <c r="AB18" i="4"/>
  <c r="AN18" i="4" s="1"/>
  <c r="AA19" i="4"/>
  <c r="AM19" i="4" s="1"/>
  <c r="AB19" i="4"/>
  <c r="AN19" i="4" s="1"/>
  <c r="AA20" i="4"/>
  <c r="AM20" i="4" s="1"/>
  <c r="AB20" i="4"/>
  <c r="AN20" i="4" s="1"/>
  <c r="AA21" i="4"/>
  <c r="AM21" i="4" s="1"/>
  <c r="AB21" i="4"/>
  <c r="AN21" i="4" s="1"/>
  <c r="AA23" i="4"/>
  <c r="AM23" i="4" s="1"/>
  <c r="AB23" i="4"/>
  <c r="AN23" i="4" s="1"/>
  <c r="AA24" i="4"/>
  <c r="AM24" i="4" s="1"/>
  <c r="AB24" i="4"/>
  <c r="AN24" i="4" s="1"/>
  <c r="AA27" i="4"/>
  <c r="AM27" i="4" s="1"/>
  <c r="AB27" i="4"/>
  <c r="AN27" i="4" s="1"/>
  <c r="AA28" i="4"/>
  <c r="AM28" i="4" s="1"/>
  <c r="AB28" i="4"/>
  <c r="AN28" i="4" s="1"/>
  <c r="AA29" i="4"/>
  <c r="AM29" i="4" s="1"/>
  <c r="AB29" i="4"/>
  <c r="AN29" i="4" s="1"/>
  <c r="AA32" i="4"/>
  <c r="AM32" i="4" s="1"/>
  <c r="AB32" i="4"/>
  <c r="AN32" i="4" s="1"/>
  <c r="AA33" i="4"/>
  <c r="AM33" i="4" s="1"/>
  <c r="AB33" i="4"/>
  <c r="AN33" i="4" s="1"/>
  <c r="AA35" i="4"/>
  <c r="AM35" i="4" s="1"/>
  <c r="AB35" i="4"/>
  <c r="AN35" i="4" s="1"/>
  <c r="AA36" i="4"/>
  <c r="AM36" i="4" s="1"/>
  <c r="AB36" i="4"/>
  <c r="AN36" i="4" s="1"/>
  <c r="AA37" i="4"/>
  <c r="AM37" i="4" s="1"/>
  <c r="AB37" i="4"/>
  <c r="AN37" i="4" s="1"/>
  <c r="AA39" i="4"/>
  <c r="AM39" i="4" s="1"/>
  <c r="AB39" i="4"/>
  <c r="AN39" i="4" s="1"/>
  <c r="AA40" i="4"/>
  <c r="AM40" i="4" s="1"/>
  <c r="AB40" i="4"/>
  <c r="AN40" i="4" s="1"/>
  <c r="AA41" i="4"/>
  <c r="AM41" i="4" s="1"/>
  <c r="AB41" i="4"/>
  <c r="AN41" i="4" s="1"/>
  <c r="AA42" i="4"/>
  <c r="AM42" i="4" s="1"/>
  <c r="AB42" i="4"/>
  <c r="AN42" i="4" s="1"/>
  <c r="AA43" i="4"/>
  <c r="AM43" i="4" s="1"/>
  <c r="AB43" i="4"/>
  <c r="AN43" i="4" s="1"/>
  <c r="AA44" i="4"/>
  <c r="AM44" i="4" s="1"/>
  <c r="AB44" i="4"/>
  <c r="AN44" i="4" s="1"/>
  <c r="AA46" i="4"/>
  <c r="AM46" i="4" s="1"/>
  <c r="AB46" i="4"/>
  <c r="AN46" i="4" s="1"/>
  <c r="AA47" i="4"/>
  <c r="AM47" i="4" s="1"/>
  <c r="AB47" i="4"/>
  <c r="AN47" i="4" s="1"/>
  <c r="AA48" i="4"/>
  <c r="AM48" i="4" s="1"/>
  <c r="AB48" i="4"/>
  <c r="AN48" i="4" s="1"/>
  <c r="AA50" i="4"/>
  <c r="AM50" i="4" s="1"/>
  <c r="AB50" i="4"/>
  <c r="AN50" i="4" s="1"/>
  <c r="AA51" i="4"/>
  <c r="AM51" i="4" s="1"/>
  <c r="AB51" i="4"/>
  <c r="AN51" i="4" s="1"/>
  <c r="AA52" i="4"/>
  <c r="AM52" i="4" s="1"/>
  <c r="AB52" i="4"/>
  <c r="AN52" i="4" s="1"/>
  <c r="AA53" i="4"/>
  <c r="AM53" i="4" s="1"/>
  <c r="AB53" i="4"/>
  <c r="AN53" i="4" s="1"/>
  <c r="AA54" i="4"/>
  <c r="AM54" i="4" s="1"/>
  <c r="AB54" i="4"/>
  <c r="AN54" i="4" s="1"/>
  <c r="AA55" i="4"/>
  <c r="AM55" i="4" s="1"/>
  <c r="AB55" i="4"/>
  <c r="AN55" i="4" s="1"/>
  <c r="AA56" i="4"/>
  <c r="AM56" i="4" s="1"/>
  <c r="AB56" i="4"/>
  <c r="AN56" i="4" s="1"/>
  <c r="AA57" i="4"/>
  <c r="AM57" i="4" s="1"/>
  <c r="AB57" i="4"/>
  <c r="AN57" i="4" s="1"/>
  <c r="AA58" i="4"/>
  <c r="AM58" i="4" s="1"/>
  <c r="AB58" i="4"/>
  <c r="AN58" i="4" s="1"/>
  <c r="AA59" i="4"/>
  <c r="AM59" i="4" s="1"/>
  <c r="AB59" i="4"/>
  <c r="AN59" i="4" s="1"/>
  <c r="AA60" i="4"/>
  <c r="AM60" i="4" s="1"/>
  <c r="AB60" i="4"/>
  <c r="AN60" i="4" s="1"/>
  <c r="AA62" i="4"/>
  <c r="AM62" i="4" s="1"/>
  <c r="AB62" i="4"/>
  <c r="AN62" i="4" s="1"/>
  <c r="AA63" i="4"/>
  <c r="AM63" i="4" s="1"/>
  <c r="AB63" i="4"/>
  <c r="AN63" i="4" s="1"/>
  <c r="AA64" i="4"/>
  <c r="AM64" i="4" s="1"/>
  <c r="AB64" i="4"/>
  <c r="AN64" i="4" s="1"/>
  <c r="AA65" i="4"/>
  <c r="AM65" i="4" s="1"/>
  <c r="AB65" i="4"/>
  <c r="AN65" i="4" s="1"/>
  <c r="AA66" i="4"/>
  <c r="AM66" i="4" s="1"/>
  <c r="AB66" i="4"/>
  <c r="AN66" i="4" s="1"/>
  <c r="AA68" i="4"/>
  <c r="AM68" i="4" s="1"/>
  <c r="AB68" i="4"/>
  <c r="AN68" i="4" s="1"/>
  <c r="AA69" i="4"/>
  <c r="AM69" i="4" s="1"/>
  <c r="AB69" i="4"/>
  <c r="AN69" i="4" s="1"/>
  <c r="AA71" i="4"/>
  <c r="AM71" i="4" s="1"/>
  <c r="AB71" i="4"/>
  <c r="AN71" i="4" s="1"/>
  <c r="AA76" i="4"/>
  <c r="AM76" i="4" s="1"/>
  <c r="AB76" i="4"/>
  <c r="AN76" i="4" s="1"/>
  <c r="AA77" i="4"/>
  <c r="AM77" i="4" s="1"/>
  <c r="AB77" i="4"/>
  <c r="AN77" i="4" s="1"/>
  <c r="AA78" i="4"/>
  <c r="AM78" i="4" s="1"/>
  <c r="AB78" i="4"/>
  <c r="AN78" i="4" s="1"/>
  <c r="AA80" i="4"/>
  <c r="AM80" i="4" s="1"/>
  <c r="AB80" i="4"/>
  <c r="AN80" i="4" s="1"/>
  <c r="AA81" i="4"/>
  <c r="AM81" i="4" s="1"/>
  <c r="AB81" i="4"/>
  <c r="AN81" i="4" s="1"/>
  <c r="AA82" i="4"/>
  <c r="AM82" i="4" s="1"/>
  <c r="AB82" i="4"/>
  <c r="AN82" i="4" s="1"/>
  <c r="AA83" i="4"/>
  <c r="AM83" i="4" s="1"/>
  <c r="AM84" i="4" s="1"/>
  <c r="AB83" i="4"/>
  <c r="AN83" i="4" s="1"/>
  <c r="AA84" i="4"/>
  <c r="AB84" i="4"/>
  <c r="AN84" i="4" s="1"/>
  <c r="E150" i="55"/>
  <c r="E149" i="55"/>
  <c r="E148" i="55"/>
  <c r="E147" i="55"/>
  <c r="E145" i="55"/>
  <c r="E144" i="55"/>
  <c r="D143" i="55"/>
  <c r="C143" i="55"/>
  <c r="E141" i="55"/>
  <c r="E140" i="55"/>
  <c r="E139" i="55"/>
  <c r="E138" i="55"/>
  <c r="E137" i="55"/>
  <c r="E136" i="55"/>
  <c r="E135" i="55"/>
  <c r="D134" i="55"/>
  <c r="D128" i="55" s="1"/>
  <c r="C134" i="55"/>
  <c r="C128" i="55" s="1"/>
  <c r="E133" i="55"/>
  <c r="E132" i="55"/>
  <c r="E131" i="55"/>
  <c r="E130" i="55"/>
  <c r="E129" i="55"/>
  <c r="E127" i="55"/>
  <c r="E126" i="55"/>
  <c r="E125" i="55"/>
  <c r="E124" i="55"/>
  <c r="D123" i="55"/>
  <c r="C123" i="55"/>
  <c r="E122" i="55"/>
  <c r="E121" i="55"/>
  <c r="E120" i="55"/>
  <c r="E119" i="55"/>
  <c r="E118" i="55"/>
  <c r="E117" i="55"/>
  <c r="E116" i="55"/>
  <c r="E115" i="55"/>
  <c r="D114" i="55"/>
  <c r="C114" i="55"/>
  <c r="E113" i="55"/>
  <c r="E112" i="55"/>
  <c r="E110" i="55"/>
  <c r="E109" i="55"/>
  <c r="E108" i="55"/>
  <c r="E107" i="55"/>
  <c r="E106" i="55"/>
  <c r="D105" i="55"/>
  <c r="C105" i="55"/>
  <c r="E104" i="55"/>
  <c r="E103" i="55"/>
  <c r="E102" i="55"/>
  <c r="D101" i="55"/>
  <c r="C101" i="55"/>
  <c r="E100" i="55"/>
  <c r="E99" i="55"/>
  <c r="E98" i="55"/>
  <c r="E97" i="55"/>
  <c r="E96" i="55"/>
  <c r="E95" i="55"/>
  <c r="E94" i="55"/>
  <c r="E93" i="55"/>
  <c r="E92" i="55"/>
  <c r="E90" i="55"/>
  <c r="D89" i="55"/>
  <c r="C89" i="55"/>
  <c r="E84" i="55"/>
  <c r="E83" i="55"/>
  <c r="E81" i="55"/>
  <c r="E80" i="55"/>
  <c r="D79" i="55"/>
  <c r="D75" i="55" s="1"/>
  <c r="D74" i="55" s="1"/>
  <c r="C79" i="55"/>
  <c r="E78" i="55"/>
  <c r="E77" i="55"/>
  <c r="E76" i="55"/>
  <c r="E71" i="55"/>
  <c r="D70" i="55"/>
  <c r="C70" i="55"/>
  <c r="E69" i="55"/>
  <c r="E68" i="55"/>
  <c r="D67" i="55"/>
  <c r="C67" i="55"/>
  <c r="E66" i="55"/>
  <c r="E65" i="55"/>
  <c r="E64" i="55"/>
  <c r="E63" i="55"/>
  <c r="E62" i="55"/>
  <c r="D61" i="55"/>
  <c r="C61" i="55"/>
  <c r="E60" i="55"/>
  <c r="E59" i="55"/>
  <c r="E58" i="55"/>
  <c r="E57" i="55"/>
  <c r="E56" i="55"/>
  <c r="E55" i="55"/>
  <c r="E54" i="55"/>
  <c r="E53" i="55"/>
  <c r="E52" i="55"/>
  <c r="E51" i="55"/>
  <c r="E50" i="55"/>
  <c r="D49" i="55"/>
  <c r="D45" i="55" s="1"/>
  <c r="C49" i="55"/>
  <c r="E48" i="55"/>
  <c r="E47" i="55"/>
  <c r="E46" i="55"/>
  <c r="E44" i="55"/>
  <c r="E43" i="55"/>
  <c r="E42" i="55"/>
  <c r="E41" i="55"/>
  <c r="E40" i="55"/>
  <c r="E39" i="55"/>
  <c r="D38" i="55"/>
  <c r="C38" i="55"/>
  <c r="E37" i="55"/>
  <c r="E36" i="55"/>
  <c r="E35" i="55"/>
  <c r="D34" i="55"/>
  <c r="C34" i="55"/>
  <c r="E33" i="55"/>
  <c r="E32" i="55"/>
  <c r="D31" i="55"/>
  <c r="C31" i="55"/>
  <c r="E29" i="55"/>
  <c r="E28" i="55"/>
  <c r="E27" i="55"/>
  <c r="D26" i="55"/>
  <c r="C26" i="55"/>
  <c r="E24" i="55"/>
  <c r="E23" i="55"/>
  <c r="D22" i="55"/>
  <c r="C22" i="55"/>
  <c r="E21" i="55"/>
  <c r="E20" i="55"/>
  <c r="E19" i="55"/>
  <c r="E18" i="55"/>
  <c r="E17" i="55"/>
  <c r="E16" i="55"/>
  <c r="E15" i="55"/>
  <c r="E14" i="55"/>
  <c r="E13" i="55"/>
  <c r="E12" i="55"/>
  <c r="E11" i="55"/>
  <c r="D10" i="55"/>
  <c r="D9" i="55" s="1"/>
  <c r="C10" i="55"/>
  <c r="C9" i="55" s="1"/>
  <c r="E150" i="54"/>
  <c r="E149" i="54"/>
  <c r="E148" i="54"/>
  <c r="E147" i="54"/>
  <c r="E145" i="54"/>
  <c r="E144" i="54"/>
  <c r="D143" i="54"/>
  <c r="C143" i="54"/>
  <c r="E141" i="54"/>
  <c r="E140" i="54"/>
  <c r="E139" i="54"/>
  <c r="E138" i="54"/>
  <c r="E137" i="54"/>
  <c r="E136" i="54"/>
  <c r="E135" i="54"/>
  <c r="D134" i="54"/>
  <c r="D128" i="54" s="1"/>
  <c r="C134" i="54"/>
  <c r="C128" i="54" s="1"/>
  <c r="E133" i="54"/>
  <c r="E132" i="54"/>
  <c r="E131" i="54"/>
  <c r="E130" i="54"/>
  <c r="E129" i="54"/>
  <c r="E127" i="54"/>
  <c r="E126" i="54"/>
  <c r="E125" i="54"/>
  <c r="E124" i="54"/>
  <c r="D123" i="54"/>
  <c r="C123" i="54"/>
  <c r="E122" i="54"/>
  <c r="E121" i="54"/>
  <c r="E120" i="54"/>
  <c r="E119" i="54"/>
  <c r="E118" i="54"/>
  <c r="E117" i="54"/>
  <c r="E116" i="54"/>
  <c r="E115" i="54"/>
  <c r="D114" i="54"/>
  <c r="C114" i="54"/>
  <c r="E113" i="54"/>
  <c r="E112" i="54"/>
  <c r="E110" i="54"/>
  <c r="E109" i="54"/>
  <c r="E108" i="54"/>
  <c r="E107" i="54"/>
  <c r="E106" i="54"/>
  <c r="D105" i="54"/>
  <c r="C105" i="54"/>
  <c r="E104" i="54"/>
  <c r="E103" i="54"/>
  <c r="E102" i="54"/>
  <c r="D101" i="54"/>
  <c r="C101" i="54"/>
  <c r="E100" i="54"/>
  <c r="E99" i="54"/>
  <c r="E98" i="54"/>
  <c r="E97" i="54"/>
  <c r="E96" i="54"/>
  <c r="E95" i="54"/>
  <c r="E94" i="54"/>
  <c r="E93" i="54"/>
  <c r="E92" i="54"/>
  <c r="E90" i="54"/>
  <c r="D89" i="54"/>
  <c r="C89" i="54"/>
  <c r="E84" i="54"/>
  <c r="E83" i="54"/>
  <c r="E81" i="54"/>
  <c r="E80" i="54"/>
  <c r="D79" i="54"/>
  <c r="D75" i="54" s="1"/>
  <c r="D74" i="54" s="1"/>
  <c r="C79" i="54"/>
  <c r="E78" i="54"/>
  <c r="E77" i="54"/>
  <c r="E76" i="54"/>
  <c r="E71" i="54"/>
  <c r="D70" i="54"/>
  <c r="C70" i="54"/>
  <c r="E69" i="54"/>
  <c r="E68" i="54"/>
  <c r="D67" i="54"/>
  <c r="C67" i="54"/>
  <c r="E66" i="54"/>
  <c r="E65" i="54"/>
  <c r="E64" i="54"/>
  <c r="E63" i="54"/>
  <c r="E62" i="54"/>
  <c r="D61" i="54"/>
  <c r="C61" i="54"/>
  <c r="E60" i="54"/>
  <c r="E59" i="54"/>
  <c r="E58" i="54"/>
  <c r="E57" i="54"/>
  <c r="E56" i="54"/>
  <c r="E55" i="54"/>
  <c r="E54" i="54"/>
  <c r="E53" i="54"/>
  <c r="E52" i="54"/>
  <c r="E51" i="54"/>
  <c r="E50" i="54"/>
  <c r="D49" i="54"/>
  <c r="D45" i="54" s="1"/>
  <c r="C49" i="54"/>
  <c r="E48" i="54"/>
  <c r="E47" i="54"/>
  <c r="E46" i="54"/>
  <c r="E44" i="54"/>
  <c r="E43" i="54"/>
  <c r="E42" i="54"/>
  <c r="E41" i="54"/>
  <c r="E40" i="54"/>
  <c r="E39" i="54"/>
  <c r="D38" i="54"/>
  <c r="C38" i="54"/>
  <c r="E37" i="54"/>
  <c r="E36" i="54"/>
  <c r="E35" i="54"/>
  <c r="D34" i="54"/>
  <c r="C34" i="54"/>
  <c r="E33" i="54"/>
  <c r="E32" i="54"/>
  <c r="D31" i="54"/>
  <c r="C31" i="54"/>
  <c r="E29" i="54"/>
  <c r="E28" i="54"/>
  <c r="E27" i="54"/>
  <c r="D26" i="54"/>
  <c r="C26" i="54"/>
  <c r="E24" i="54"/>
  <c r="E23" i="54"/>
  <c r="D22" i="54"/>
  <c r="C22" i="54"/>
  <c r="E21" i="54"/>
  <c r="E20" i="54"/>
  <c r="E19" i="54"/>
  <c r="E18" i="54"/>
  <c r="E17" i="54"/>
  <c r="E16" i="54"/>
  <c r="E15" i="54"/>
  <c r="E14" i="54"/>
  <c r="E13" i="54"/>
  <c r="E12" i="54"/>
  <c r="E11" i="54"/>
  <c r="D10" i="54"/>
  <c r="D9" i="54" s="1"/>
  <c r="C10" i="54"/>
  <c r="C9" i="54" s="1"/>
  <c r="E150" i="53"/>
  <c r="E149" i="53"/>
  <c r="E148" i="53"/>
  <c r="E147" i="53"/>
  <c r="E145" i="53"/>
  <c r="E144" i="53"/>
  <c r="D143" i="53"/>
  <c r="C143" i="53"/>
  <c r="E141" i="53"/>
  <c r="E140" i="53"/>
  <c r="E139" i="53"/>
  <c r="E138" i="53"/>
  <c r="E137" i="53"/>
  <c r="E136" i="53"/>
  <c r="E135" i="53"/>
  <c r="D134" i="53"/>
  <c r="D128" i="53" s="1"/>
  <c r="C128" i="53"/>
  <c r="E133" i="53"/>
  <c r="E132" i="53"/>
  <c r="E131" i="53"/>
  <c r="E130" i="53"/>
  <c r="E129" i="53"/>
  <c r="E127" i="53"/>
  <c r="E126" i="53"/>
  <c r="E125" i="53"/>
  <c r="E124" i="53"/>
  <c r="D123" i="53"/>
  <c r="C123" i="53"/>
  <c r="E122" i="53"/>
  <c r="E121" i="53"/>
  <c r="E120" i="53"/>
  <c r="E119" i="53"/>
  <c r="E118" i="53"/>
  <c r="E117" i="53"/>
  <c r="E116" i="53"/>
  <c r="E115" i="53"/>
  <c r="D114" i="53"/>
  <c r="C114" i="53"/>
  <c r="E113" i="53"/>
  <c r="E112" i="53"/>
  <c r="E110" i="53"/>
  <c r="E109" i="53"/>
  <c r="E108" i="53"/>
  <c r="E107" i="53"/>
  <c r="E106" i="53"/>
  <c r="D105" i="53"/>
  <c r="C105" i="53"/>
  <c r="E104" i="53"/>
  <c r="E103" i="53"/>
  <c r="E102" i="53"/>
  <c r="D101" i="53"/>
  <c r="C101" i="53"/>
  <c r="E100" i="53"/>
  <c r="E99" i="53"/>
  <c r="E98" i="53"/>
  <c r="E97" i="53"/>
  <c r="E96" i="53"/>
  <c r="E95" i="53"/>
  <c r="E94" i="53"/>
  <c r="E93" i="53"/>
  <c r="E92" i="53"/>
  <c r="E90" i="53"/>
  <c r="D89" i="53"/>
  <c r="C89" i="53"/>
  <c r="E84" i="53"/>
  <c r="E83" i="53"/>
  <c r="E81" i="53"/>
  <c r="E80" i="53"/>
  <c r="D79" i="53"/>
  <c r="D75" i="53" s="1"/>
  <c r="D74" i="53" s="1"/>
  <c r="C79" i="53"/>
  <c r="C75" i="53" s="1"/>
  <c r="E78" i="53"/>
  <c r="E77" i="53"/>
  <c r="E76" i="53"/>
  <c r="E71" i="53"/>
  <c r="D70" i="53"/>
  <c r="C70" i="53"/>
  <c r="E69" i="53"/>
  <c r="E68" i="53"/>
  <c r="D67" i="53"/>
  <c r="C67" i="53"/>
  <c r="E66" i="53"/>
  <c r="E65" i="53"/>
  <c r="E64" i="53"/>
  <c r="E63" i="53"/>
  <c r="E62" i="53"/>
  <c r="D61" i="53"/>
  <c r="C61" i="53"/>
  <c r="E60" i="53"/>
  <c r="E59" i="53"/>
  <c r="E58" i="53"/>
  <c r="E57" i="53"/>
  <c r="E56" i="53"/>
  <c r="E55" i="53"/>
  <c r="E54" i="53"/>
  <c r="E53" i="53"/>
  <c r="E52" i="53"/>
  <c r="E51" i="53"/>
  <c r="E50" i="53"/>
  <c r="D49" i="53"/>
  <c r="D45" i="53" s="1"/>
  <c r="C49" i="53"/>
  <c r="C45" i="53" s="1"/>
  <c r="E48" i="53"/>
  <c r="E47" i="53"/>
  <c r="E46" i="53"/>
  <c r="E44" i="53"/>
  <c r="E43" i="53"/>
  <c r="E42" i="53"/>
  <c r="E41" i="53"/>
  <c r="E40" i="53"/>
  <c r="E39" i="53"/>
  <c r="D38" i="53"/>
  <c r="C38" i="53"/>
  <c r="E37" i="53"/>
  <c r="E36" i="53"/>
  <c r="E35" i="53"/>
  <c r="D34" i="53"/>
  <c r="C34" i="53"/>
  <c r="E33" i="53"/>
  <c r="E32" i="53"/>
  <c r="D31" i="53"/>
  <c r="C31" i="53"/>
  <c r="E29" i="53"/>
  <c r="E28" i="53"/>
  <c r="E27" i="53"/>
  <c r="D26" i="53"/>
  <c r="C26" i="53"/>
  <c r="E24" i="53"/>
  <c r="E23" i="53"/>
  <c r="D22" i="53"/>
  <c r="C22" i="53"/>
  <c r="E21" i="53"/>
  <c r="E20" i="53"/>
  <c r="E19" i="53"/>
  <c r="E18" i="53"/>
  <c r="E17" i="53"/>
  <c r="E16" i="53"/>
  <c r="E15" i="53"/>
  <c r="E14" i="53"/>
  <c r="E13" i="53"/>
  <c r="E12" i="53"/>
  <c r="E11" i="53"/>
  <c r="D10" i="53"/>
  <c r="D9" i="53" s="1"/>
  <c r="C10" i="53"/>
  <c r="E26" i="53" l="1"/>
  <c r="D88" i="54"/>
  <c r="E45" i="53"/>
  <c r="D88" i="53"/>
  <c r="E101" i="53"/>
  <c r="E105" i="53"/>
  <c r="D30" i="54"/>
  <c r="D25" i="54" s="1"/>
  <c r="D73" i="54" s="1"/>
  <c r="D85" i="54" s="1"/>
  <c r="E61" i="54"/>
  <c r="E67" i="54"/>
  <c r="E70" i="54"/>
  <c r="D30" i="53"/>
  <c r="D25" i="53" s="1"/>
  <c r="D73" i="53" s="1"/>
  <c r="D85" i="53" s="1"/>
  <c r="E34" i="53"/>
  <c r="E38" i="53"/>
  <c r="E70" i="53"/>
  <c r="D111" i="53"/>
  <c r="D111" i="54"/>
  <c r="E123" i="54"/>
  <c r="E9" i="55"/>
  <c r="D30" i="55"/>
  <c r="E61" i="55"/>
  <c r="E67" i="55"/>
  <c r="D88" i="55"/>
  <c r="E101" i="55"/>
  <c r="E105" i="55"/>
  <c r="C30" i="53"/>
  <c r="C25" i="53" s="1"/>
  <c r="E114" i="55"/>
  <c r="D111" i="55"/>
  <c r="E75" i="53"/>
  <c r="C74" i="53"/>
  <c r="E74" i="53" s="1"/>
  <c r="E31" i="54"/>
  <c r="C30" i="54"/>
  <c r="E79" i="54"/>
  <c r="C75" i="54"/>
  <c r="E75" i="54" s="1"/>
  <c r="E49" i="55"/>
  <c r="C45" i="55"/>
  <c r="E45" i="55" s="1"/>
  <c r="E10" i="53"/>
  <c r="C9" i="53"/>
  <c r="E9" i="53" s="1"/>
  <c r="C88" i="53"/>
  <c r="E114" i="53"/>
  <c r="C111" i="53"/>
  <c r="C142" i="53" s="1"/>
  <c r="C151" i="53" s="1"/>
  <c r="E9" i="54"/>
  <c r="E49" i="54"/>
  <c r="C45" i="54"/>
  <c r="E45" i="54" s="1"/>
  <c r="E89" i="54"/>
  <c r="C88" i="54"/>
  <c r="C111" i="54"/>
  <c r="D25" i="55"/>
  <c r="D73" i="55" s="1"/>
  <c r="D85" i="55" s="1"/>
  <c r="E31" i="55"/>
  <c r="C30" i="55"/>
  <c r="E79" i="55"/>
  <c r="C75" i="55"/>
  <c r="C88" i="55"/>
  <c r="C111" i="55"/>
  <c r="E31" i="53"/>
  <c r="E49" i="53"/>
  <c r="E61" i="53"/>
  <c r="E67" i="53"/>
  <c r="E79" i="53"/>
  <c r="E89" i="53"/>
  <c r="E123" i="53"/>
  <c r="E10" i="54"/>
  <c r="E26" i="54"/>
  <c r="E34" i="54"/>
  <c r="E38" i="54"/>
  <c r="E101" i="54"/>
  <c r="E105" i="54"/>
  <c r="E114" i="54"/>
  <c r="E10" i="55"/>
  <c r="E26" i="55"/>
  <c r="E34" i="55"/>
  <c r="E38" i="55"/>
  <c r="E70" i="55"/>
  <c r="E89" i="55"/>
  <c r="E123" i="55"/>
  <c r="E128" i="55"/>
  <c r="E22" i="55"/>
  <c r="E134" i="55"/>
  <c r="E143" i="55"/>
  <c r="E128" i="54"/>
  <c r="E22" i="54"/>
  <c r="E134" i="54"/>
  <c r="E143" i="54"/>
  <c r="E128" i="53"/>
  <c r="E22" i="53"/>
  <c r="E134" i="53"/>
  <c r="E143" i="53"/>
  <c r="D142" i="53" l="1"/>
  <c r="D151" i="53" s="1"/>
  <c r="D142" i="54"/>
  <c r="D151" i="54" s="1"/>
  <c r="E111" i="54"/>
  <c r="C142" i="55"/>
  <c r="C151" i="55" s="1"/>
  <c r="C74" i="54"/>
  <c r="E74" i="54" s="1"/>
  <c r="E88" i="53"/>
  <c r="E88" i="54"/>
  <c r="E111" i="55"/>
  <c r="E111" i="53"/>
  <c r="D142" i="55"/>
  <c r="D151" i="55" s="1"/>
  <c r="E88" i="55"/>
  <c r="E25" i="53"/>
  <c r="E30" i="53"/>
  <c r="C142" i="54"/>
  <c r="E75" i="55"/>
  <c r="C74" i="55"/>
  <c r="E74" i="55" s="1"/>
  <c r="E30" i="55"/>
  <c r="C25" i="55"/>
  <c r="C73" i="53"/>
  <c r="E30" i="54"/>
  <c r="C25" i="54"/>
  <c r="E151" i="53"/>
  <c r="E142" i="53" l="1"/>
  <c r="E151" i="55"/>
  <c r="E142" i="55"/>
  <c r="E142" i="54"/>
  <c r="C151" i="54"/>
  <c r="E151" i="54" s="1"/>
  <c r="E25" i="54"/>
  <c r="C73" i="54"/>
  <c r="C85" i="53"/>
  <c r="E85" i="53" s="1"/>
  <c r="E153" i="53" s="1"/>
  <c r="E73" i="53"/>
  <c r="E25" i="55"/>
  <c r="C73" i="55"/>
  <c r="E73" i="54" l="1"/>
  <c r="C85" i="54"/>
  <c r="E85" i="54" s="1"/>
  <c r="E153" i="54" s="1"/>
  <c r="E73" i="55"/>
  <c r="C85" i="55"/>
  <c r="E85" i="55" s="1"/>
  <c r="E153" i="55" s="1"/>
  <c r="E150" i="51" l="1"/>
  <c r="E149" i="51"/>
  <c r="E148" i="51"/>
  <c r="E147" i="51"/>
  <c r="E145" i="51"/>
  <c r="E144" i="51"/>
  <c r="D143" i="51"/>
  <c r="C143" i="51"/>
  <c r="E141" i="51"/>
  <c r="E140" i="51"/>
  <c r="E139" i="51"/>
  <c r="E138" i="51"/>
  <c r="E137" i="51"/>
  <c r="E136" i="51"/>
  <c r="E135" i="51"/>
  <c r="D134" i="51"/>
  <c r="D128" i="51" s="1"/>
  <c r="C134" i="51"/>
  <c r="E133" i="51"/>
  <c r="E132" i="51"/>
  <c r="E131" i="51"/>
  <c r="E130" i="51"/>
  <c r="E129" i="51"/>
  <c r="E127" i="51"/>
  <c r="E126" i="51"/>
  <c r="E125" i="51"/>
  <c r="E124" i="51"/>
  <c r="D123" i="51"/>
  <c r="C123" i="51"/>
  <c r="E122" i="51"/>
  <c r="E121" i="51"/>
  <c r="E120" i="51"/>
  <c r="E119" i="51"/>
  <c r="E118" i="51"/>
  <c r="E117" i="51"/>
  <c r="E116" i="51"/>
  <c r="E115" i="51"/>
  <c r="D114" i="51"/>
  <c r="C114" i="51"/>
  <c r="E113" i="51"/>
  <c r="E112" i="51"/>
  <c r="E110" i="51"/>
  <c r="E109" i="51"/>
  <c r="E108" i="51"/>
  <c r="E107" i="51"/>
  <c r="E106" i="51"/>
  <c r="D105" i="51"/>
  <c r="C105" i="51"/>
  <c r="E104" i="51"/>
  <c r="E103" i="51"/>
  <c r="E102" i="51"/>
  <c r="D101" i="51"/>
  <c r="C101" i="51"/>
  <c r="E100" i="51"/>
  <c r="E99" i="51"/>
  <c r="E98" i="51"/>
  <c r="E97" i="51"/>
  <c r="E96" i="51"/>
  <c r="E95" i="51"/>
  <c r="E94" i="51"/>
  <c r="E93" i="51"/>
  <c r="E92" i="51"/>
  <c r="E90" i="51"/>
  <c r="D89" i="51"/>
  <c r="C89" i="51"/>
  <c r="E84" i="51"/>
  <c r="E83" i="51"/>
  <c r="E81" i="51"/>
  <c r="E80" i="51"/>
  <c r="D79" i="51"/>
  <c r="D75" i="51" s="1"/>
  <c r="D74" i="51" s="1"/>
  <c r="C79" i="51"/>
  <c r="C75" i="51" s="1"/>
  <c r="E78" i="51"/>
  <c r="E77" i="51"/>
  <c r="E76" i="51"/>
  <c r="E71" i="51"/>
  <c r="D70" i="51"/>
  <c r="C70" i="51"/>
  <c r="E69" i="51"/>
  <c r="E68" i="51"/>
  <c r="D67" i="51"/>
  <c r="C67" i="51"/>
  <c r="E66" i="51"/>
  <c r="E65" i="51"/>
  <c r="E64" i="51"/>
  <c r="E63" i="51"/>
  <c r="E62" i="51"/>
  <c r="D61" i="51"/>
  <c r="C61" i="51"/>
  <c r="E60" i="51"/>
  <c r="E59" i="51"/>
  <c r="E58" i="51"/>
  <c r="E57" i="51"/>
  <c r="E56" i="51"/>
  <c r="E55" i="51"/>
  <c r="E54" i="51"/>
  <c r="E53" i="51"/>
  <c r="E52" i="51"/>
  <c r="E51" i="51"/>
  <c r="E50" i="51"/>
  <c r="D49" i="51"/>
  <c r="D45" i="51" s="1"/>
  <c r="C49" i="51"/>
  <c r="E48" i="51"/>
  <c r="E47" i="51"/>
  <c r="E46" i="51"/>
  <c r="E44" i="51"/>
  <c r="E43" i="51"/>
  <c r="E42" i="51"/>
  <c r="E41" i="51"/>
  <c r="E40" i="51"/>
  <c r="E39" i="51"/>
  <c r="D38" i="51"/>
  <c r="C38" i="51"/>
  <c r="E37" i="51"/>
  <c r="E36" i="51"/>
  <c r="E35" i="51"/>
  <c r="D34" i="51"/>
  <c r="C34" i="51"/>
  <c r="E33" i="51"/>
  <c r="E32" i="51"/>
  <c r="D31" i="51"/>
  <c r="C31" i="51"/>
  <c r="E29" i="51"/>
  <c r="E28" i="51"/>
  <c r="E27" i="51"/>
  <c r="D26" i="51"/>
  <c r="C26" i="51"/>
  <c r="E24" i="51"/>
  <c r="E23" i="51"/>
  <c r="D22" i="51"/>
  <c r="C22" i="51"/>
  <c r="E21" i="51"/>
  <c r="E20" i="51"/>
  <c r="E19" i="51"/>
  <c r="E18" i="51"/>
  <c r="E17" i="51"/>
  <c r="E16" i="51"/>
  <c r="E15" i="51"/>
  <c r="E14" i="51"/>
  <c r="E13" i="51"/>
  <c r="E12" i="51"/>
  <c r="E11" i="51"/>
  <c r="D10" i="51"/>
  <c r="D9" i="51" s="1"/>
  <c r="C10" i="51"/>
  <c r="E150" i="52"/>
  <c r="E149" i="52"/>
  <c r="E148" i="52"/>
  <c r="E147" i="52"/>
  <c r="E145" i="52"/>
  <c r="E144" i="52"/>
  <c r="D143" i="52"/>
  <c r="C143" i="52"/>
  <c r="E141" i="52"/>
  <c r="E140" i="52"/>
  <c r="E139" i="52"/>
  <c r="E138" i="52"/>
  <c r="E137" i="52"/>
  <c r="E136" i="52"/>
  <c r="E135" i="52"/>
  <c r="D134" i="52"/>
  <c r="D128" i="52" s="1"/>
  <c r="C134" i="52"/>
  <c r="E133" i="52"/>
  <c r="E132" i="52"/>
  <c r="E131" i="52"/>
  <c r="E130" i="52"/>
  <c r="E129" i="52"/>
  <c r="C128" i="52"/>
  <c r="E127" i="52"/>
  <c r="E126" i="52"/>
  <c r="E125" i="52"/>
  <c r="E124" i="52"/>
  <c r="D123" i="52"/>
  <c r="C123" i="52"/>
  <c r="E122" i="52"/>
  <c r="E121" i="52"/>
  <c r="E120" i="52"/>
  <c r="E119" i="52"/>
  <c r="E118" i="52"/>
  <c r="E117" i="52"/>
  <c r="E116" i="52"/>
  <c r="E115" i="52"/>
  <c r="D114" i="52"/>
  <c r="C114" i="52"/>
  <c r="E113" i="52"/>
  <c r="E112" i="52"/>
  <c r="E110" i="52"/>
  <c r="E109" i="52"/>
  <c r="E108" i="52"/>
  <c r="E107" i="52"/>
  <c r="E106" i="52"/>
  <c r="D105" i="52"/>
  <c r="C105" i="52"/>
  <c r="E104" i="52"/>
  <c r="E103" i="52"/>
  <c r="E102" i="52"/>
  <c r="D101" i="52"/>
  <c r="C101" i="52"/>
  <c r="E100" i="52"/>
  <c r="E99" i="52"/>
  <c r="E98" i="52"/>
  <c r="E97" i="52"/>
  <c r="E96" i="52"/>
  <c r="E95" i="52"/>
  <c r="E94" i="52"/>
  <c r="E93" i="52"/>
  <c r="E92" i="52"/>
  <c r="E90" i="52"/>
  <c r="D89" i="52"/>
  <c r="C89" i="52"/>
  <c r="E84" i="52"/>
  <c r="E83" i="52"/>
  <c r="E81" i="52"/>
  <c r="E80" i="52"/>
  <c r="D79" i="52"/>
  <c r="D75" i="52" s="1"/>
  <c r="D74" i="52" s="1"/>
  <c r="C79" i="52"/>
  <c r="C75" i="52" s="1"/>
  <c r="C74" i="52" s="1"/>
  <c r="E78" i="52"/>
  <c r="E77" i="52"/>
  <c r="E76" i="52"/>
  <c r="E71" i="52"/>
  <c r="D70" i="52"/>
  <c r="C70" i="52"/>
  <c r="E69" i="52"/>
  <c r="E68" i="52"/>
  <c r="D67" i="52"/>
  <c r="C67" i="52"/>
  <c r="E66" i="52"/>
  <c r="E65" i="52"/>
  <c r="E64" i="52"/>
  <c r="E63" i="52"/>
  <c r="E62" i="52"/>
  <c r="D61" i="52"/>
  <c r="C61" i="52"/>
  <c r="E60" i="52"/>
  <c r="E59" i="52"/>
  <c r="E58" i="52"/>
  <c r="E57" i="52"/>
  <c r="E56" i="52"/>
  <c r="E55" i="52"/>
  <c r="E54" i="52"/>
  <c r="E53" i="52"/>
  <c r="E52" i="52"/>
  <c r="E51" i="52"/>
  <c r="E50" i="52"/>
  <c r="D49" i="52"/>
  <c r="D45" i="52" s="1"/>
  <c r="C49" i="52"/>
  <c r="C45" i="52" s="1"/>
  <c r="E48" i="52"/>
  <c r="E47" i="52"/>
  <c r="E46" i="52"/>
  <c r="E44" i="52"/>
  <c r="E43" i="52"/>
  <c r="E42" i="52"/>
  <c r="E41" i="52"/>
  <c r="E40" i="52"/>
  <c r="E39" i="52"/>
  <c r="D38" i="52"/>
  <c r="C38" i="52"/>
  <c r="E37" i="52"/>
  <c r="E36" i="52"/>
  <c r="E35" i="52"/>
  <c r="D34" i="52"/>
  <c r="C34" i="52"/>
  <c r="E33" i="52"/>
  <c r="E32" i="52"/>
  <c r="D31" i="52"/>
  <c r="C31" i="52"/>
  <c r="E29" i="52"/>
  <c r="E28" i="52"/>
  <c r="E27" i="52"/>
  <c r="D26" i="52"/>
  <c r="C26" i="52"/>
  <c r="E24" i="52"/>
  <c r="E23" i="52"/>
  <c r="D22" i="52"/>
  <c r="C22" i="52"/>
  <c r="E21" i="52"/>
  <c r="E20" i="52"/>
  <c r="E19" i="52"/>
  <c r="E18" i="52"/>
  <c r="E17" i="52"/>
  <c r="E16" i="52"/>
  <c r="E15" i="52"/>
  <c r="E14" i="52"/>
  <c r="E13" i="52"/>
  <c r="E12" i="52"/>
  <c r="E11" i="52"/>
  <c r="D10" i="52"/>
  <c r="D9" i="52" s="1"/>
  <c r="C10" i="52"/>
  <c r="E150" i="50"/>
  <c r="E149" i="50"/>
  <c r="E148" i="50"/>
  <c r="E147" i="50"/>
  <c r="E145" i="50"/>
  <c r="E144" i="50"/>
  <c r="D143" i="50"/>
  <c r="C143" i="50"/>
  <c r="E141" i="50"/>
  <c r="E140" i="50"/>
  <c r="E139" i="50"/>
  <c r="E138" i="50"/>
  <c r="E137" i="50"/>
  <c r="E136" i="50"/>
  <c r="E135" i="50"/>
  <c r="D134" i="50"/>
  <c r="D128" i="50" s="1"/>
  <c r="C134" i="50"/>
  <c r="C128" i="50" s="1"/>
  <c r="E133" i="50"/>
  <c r="E132" i="50"/>
  <c r="E131" i="50"/>
  <c r="E130" i="50"/>
  <c r="E129" i="50"/>
  <c r="E127" i="50"/>
  <c r="E126" i="50"/>
  <c r="E125" i="50"/>
  <c r="E124" i="50"/>
  <c r="D123" i="50"/>
  <c r="C123" i="50"/>
  <c r="E122" i="50"/>
  <c r="E121" i="50"/>
  <c r="E120" i="50"/>
  <c r="E119" i="50"/>
  <c r="E118" i="50"/>
  <c r="E117" i="50"/>
  <c r="E116" i="50"/>
  <c r="E115" i="50"/>
  <c r="D114" i="50"/>
  <c r="C114" i="50"/>
  <c r="E113" i="50"/>
  <c r="E112" i="50"/>
  <c r="E110" i="50"/>
  <c r="E109" i="50"/>
  <c r="E108" i="50"/>
  <c r="E107" i="50"/>
  <c r="E106" i="50"/>
  <c r="D105" i="50"/>
  <c r="C105" i="50"/>
  <c r="E104" i="50"/>
  <c r="E103" i="50"/>
  <c r="E102" i="50"/>
  <c r="D101" i="50"/>
  <c r="C101" i="50"/>
  <c r="E100" i="50"/>
  <c r="E99" i="50"/>
  <c r="E98" i="50"/>
  <c r="E97" i="50"/>
  <c r="E96" i="50"/>
  <c r="E95" i="50"/>
  <c r="E94" i="50"/>
  <c r="E93" i="50"/>
  <c r="E92" i="50"/>
  <c r="E90" i="50"/>
  <c r="D89" i="50"/>
  <c r="C89" i="50"/>
  <c r="E84" i="50"/>
  <c r="E83" i="50"/>
  <c r="E81" i="50"/>
  <c r="E80" i="50"/>
  <c r="D79" i="50"/>
  <c r="C79" i="50"/>
  <c r="C75" i="50" s="1"/>
  <c r="C74" i="50" s="1"/>
  <c r="E78" i="50"/>
  <c r="E77" i="50"/>
  <c r="E76" i="50"/>
  <c r="E71" i="50"/>
  <c r="D70" i="50"/>
  <c r="C70" i="50"/>
  <c r="E69" i="50"/>
  <c r="E68" i="50"/>
  <c r="D67" i="50"/>
  <c r="C67" i="50"/>
  <c r="E66" i="50"/>
  <c r="E65" i="50"/>
  <c r="E64" i="50"/>
  <c r="E63" i="50"/>
  <c r="E62" i="50"/>
  <c r="D61" i="50"/>
  <c r="C61" i="50"/>
  <c r="E60" i="50"/>
  <c r="E59" i="50"/>
  <c r="E58" i="50"/>
  <c r="E57" i="50"/>
  <c r="E56" i="50"/>
  <c r="E55" i="50"/>
  <c r="E54" i="50"/>
  <c r="E53" i="50"/>
  <c r="E52" i="50"/>
  <c r="E51" i="50"/>
  <c r="E50" i="50"/>
  <c r="D49" i="50"/>
  <c r="C49" i="50"/>
  <c r="C45" i="50" s="1"/>
  <c r="E48" i="50"/>
  <c r="E47" i="50"/>
  <c r="E46" i="50"/>
  <c r="E44" i="50"/>
  <c r="E43" i="50"/>
  <c r="E42" i="50"/>
  <c r="E41" i="50"/>
  <c r="E40" i="50"/>
  <c r="E39" i="50"/>
  <c r="D38" i="50"/>
  <c r="C38" i="50"/>
  <c r="E37" i="50"/>
  <c r="E36" i="50"/>
  <c r="E35" i="50"/>
  <c r="D34" i="50"/>
  <c r="C34" i="50"/>
  <c r="E33" i="50"/>
  <c r="E32" i="50"/>
  <c r="D31" i="50"/>
  <c r="C31" i="50"/>
  <c r="E29" i="50"/>
  <c r="E28" i="50"/>
  <c r="E27" i="50"/>
  <c r="D26" i="50"/>
  <c r="C26" i="50"/>
  <c r="E24" i="50"/>
  <c r="E23" i="50"/>
  <c r="D22" i="50"/>
  <c r="C22" i="50"/>
  <c r="E21" i="50"/>
  <c r="E20" i="50"/>
  <c r="E19" i="50"/>
  <c r="E18" i="50"/>
  <c r="E17" i="50"/>
  <c r="E16" i="50"/>
  <c r="E15" i="50"/>
  <c r="E14" i="50"/>
  <c r="E13" i="50"/>
  <c r="E12" i="50"/>
  <c r="E11" i="50"/>
  <c r="D10" i="50"/>
  <c r="D9" i="50" s="1"/>
  <c r="C10" i="50"/>
  <c r="E150" i="49"/>
  <c r="E149" i="49"/>
  <c r="E148" i="49"/>
  <c r="E147" i="49"/>
  <c r="E145" i="49"/>
  <c r="E144" i="49"/>
  <c r="D143" i="49"/>
  <c r="C143" i="49"/>
  <c r="E141" i="49"/>
  <c r="E140" i="49"/>
  <c r="E139" i="49"/>
  <c r="E138" i="49"/>
  <c r="E137" i="49"/>
  <c r="E136" i="49"/>
  <c r="E135" i="49"/>
  <c r="D134" i="49"/>
  <c r="D128" i="49" s="1"/>
  <c r="C134" i="49"/>
  <c r="C128" i="49" s="1"/>
  <c r="E133" i="49"/>
  <c r="E132" i="49"/>
  <c r="E131" i="49"/>
  <c r="E130" i="49"/>
  <c r="E129" i="49"/>
  <c r="E127" i="49"/>
  <c r="E126" i="49"/>
  <c r="E125" i="49"/>
  <c r="E124" i="49"/>
  <c r="D123" i="49"/>
  <c r="C123" i="49"/>
  <c r="E122" i="49"/>
  <c r="E121" i="49"/>
  <c r="E120" i="49"/>
  <c r="E119" i="49"/>
  <c r="E118" i="49"/>
  <c r="E117" i="49"/>
  <c r="E116" i="49"/>
  <c r="E115" i="49"/>
  <c r="D114" i="49"/>
  <c r="D111" i="49" s="1"/>
  <c r="C114" i="49"/>
  <c r="E113" i="49"/>
  <c r="E112" i="49"/>
  <c r="E110" i="49"/>
  <c r="E109" i="49"/>
  <c r="E108" i="49"/>
  <c r="E107" i="49"/>
  <c r="E106" i="49"/>
  <c r="D105" i="49"/>
  <c r="C105" i="49"/>
  <c r="E104" i="49"/>
  <c r="E103" i="49"/>
  <c r="E102" i="49"/>
  <c r="D101" i="49"/>
  <c r="C101" i="49"/>
  <c r="E100" i="49"/>
  <c r="E99" i="49"/>
  <c r="E98" i="49"/>
  <c r="E97" i="49"/>
  <c r="E96" i="49"/>
  <c r="E95" i="49"/>
  <c r="E94" i="49"/>
  <c r="E93" i="49"/>
  <c r="E92" i="49"/>
  <c r="E90" i="49"/>
  <c r="D89" i="49"/>
  <c r="C89" i="49"/>
  <c r="E84" i="49"/>
  <c r="E83" i="49"/>
  <c r="E81" i="49"/>
  <c r="E80" i="49"/>
  <c r="D79" i="49"/>
  <c r="D75" i="49" s="1"/>
  <c r="D74" i="49" s="1"/>
  <c r="C79" i="49"/>
  <c r="C75" i="49" s="1"/>
  <c r="E78" i="49"/>
  <c r="E77" i="49"/>
  <c r="E76" i="49"/>
  <c r="E71" i="49"/>
  <c r="D70" i="49"/>
  <c r="C70" i="49"/>
  <c r="E69" i="49"/>
  <c r="E68" i="49"/>
  <c r="D67" i="49"/>
  <c r="C67" i="49"/>
  <c r="E66" i="49"/>
  <c r="E65" i="49"/>
  <c r="E64" i="49"/>
  <c r="E63" i="49"/>
  <c r="E62" i="49"/>
  <c r="D61" i="49"/>
  <c r="C61" i="49"/>
  <c r="E60" i="49"/>
  <c r="E59" i="49"/>
  <c r="E58" i="49"/>
  <c r="E57" i="49"/>
  <c r="E56" i="49"/>
  <c r="E55" i="49"/>
  <c r="E54" i="49"/>
  <c r="E53" i="49"/>
  <c r="E52" i="49"/>
  <c r="E51" i="49"/>
  <c r="E50" i="49"/>
  <c r="D49" i="49"/>
  <c r="D45" i="49" s="1"/>
  <c r="C49" i="49"/>
  <c r="C45" i="49" s="1"/>
  <c r="E48" i="49"/>
  <c r="E47" i="49"/>
  <c r="E46" i="49"/>
  <c r="E44" i="49"/>
  <c r="E43" i="49"/>
  <c r="E42" i="49"/>
  <c r="E41" i="49"/>
  <c r="E40" i="49"/>
  <c r="E39" i="49"/>
  <c r="D38" i="49"/>
  <c r="C38" i="49"/>
  <c r="E37" i="49"/>
  <c r="E36" i="49"/>
  <c r="E35" i="49"/>
  <c r="D34" i="49"/>
  <c r="C34" i="49"/>
  <c r="E33" i="49"/>
  <c r="E32" i="49"/>
  <c r="D31" i="49"/>
  <c r="C31" i="49"/>
  <c r="E29" i="49"/>
  <c r="E28" i="49"/>
  <c r="E27" i="49"/>
  <c r="D26" i="49"/>
  <c r="C26" i="49"/>
  <c r="E24" i="49"/>
  <c r="E23" i="49"/>
  <c r="D22" i="49"/>
  <c r="C22" i="49"/>
  <c r="E21" i="49"/>
  <c r="E20" i="49"/>
  <c r="E19" i="49"/>
  <c r="E18" i="49"/>
  <c r="E17" i="49"/>
  <c r="E16" i="49"/>
  <c r="E15" i="49"/>
  <c r="E14" i="49"/>
  <c r="E13" i="49"/>
  <c r="E12" i="49"/>
  <c r="E11" i="49"/>
  <c r="D10" i="49"/>
  <c r="D9" i="49" s="1"/>
  <c r="C10" i="49"/>
  <c r="C9" i="49" s="1"/>
  <c r="D30" i="49" l="1"/>
  <c r="D25" i="49" s="1"/>
  <c r="E34" i="49"/>
  <c r="E38" i="49"/>
  <c r="E49" i="49"/>
  <c r="E67" i="49"/>
  <c r="C88" i="49"/>
  <c r="D30" i="50"/>
  <c r="D25" i="50" s="1"/>
  <c r="E89" i="50"/>
  <c r="E101" i="50"/>
  <c r="E105" i="50"/>
  <c r="D30" i="52"/>
  <c r="D25" i="52" s="1"/>
  <c r="D73" i="52" s="1"/>
  <c r="D85" i="52" s="1"/>
  <c r="E38" i="52"/>
  <c r="E79" i="52"/>
  <c r="E114" i="52"/>
  <c r="D111" i="52"/>
  <c r="E134" i="52"/>
  <c r="E34" i="50"/>
  <c r="D88" i="51"/>
  <c r="E101" i="51"/>
  <c r="E105" i="51"/>
  <c r="E22" i="49"/>
  <c r="E26" i="49"/>
  <c r="E79" i="50"/>
  <c r="D111" i="50"/>
  <c r="E10" i="52"/>
  <c r="E22" i="52"/>
  <c r="D88" i="52"/>
  <c r="D30" i="51"/>
  <c r="D25" i="51" s="1"/>
  <c r="D73" i="51" s="1"/>
  <c r="D85" i="51" s="1"/>
  <c r="E34" i="51"/>
  <c r="E49" i="51"/>
  <c r="E61" i="51"/>
  <c r="E67" i="51"/>
  <c r="C88" i="51"/>
  <c r="D111" i="51"/>
  <c r="E134" i="51"/>
  <c r="E31" i="49"/>
  <c r="E101" i="49"/>
  <c r="E105" i="49"/>
  <c r="E10" i="50"/>
  <c r="E22" i="50"/>
  <c r="E26" i="50"/>
  <c r="C30" i="50"/>
  <c r="C25" i="50" s="1"/>
  <c r="E38" i="50"/>
  <c r="E49" i="50"/>
  <c r="E67" i="50"/>
  <c r="E70" i="50"/>
  <c r="C88" i="50"/>
  <c r="E114" i="50"/>
  <c r="E31" i="52"/>
  <c r="C111" i="52"/>
  <c r="E10" i="51"/>
  <c r="E22" i="51"/>
  <c r="E31" i="51"/>
  <c r="E70" i="51"/>
  <c r="E89" i="51"/>
  <c r="E114" i="51"/>
  <c r="E9" i="49"/>
  <c r="E31" i="50"/>
  <c r="E10" i="49"/>
  <c r="C30" i="49"/>
  <c r="C25" i="49" s="1"/>
  <c r="C73" i="49" s="1"/>
  <c r="E45" i="49"/>
  <c r="E61" i="49"/>
  <c r="E70" i="49"/>
  <c r="D88" i="49"/>
  <c r="D142" i="49" s="1"/>
  <c r="D151" i="49" s="1"/>
  <c r="E114" i="49"/>
  <c r="E123" i="49"/>
  <c r="E134" i="49"/>
  <c r="C9" i="50"/>
  <c r="E9" i="50" s="1"/>
  <c r="E61" i="50"/>
  <c r="D88" i="50"/>
  <c r="C111" i="50"/>
  <c r="E123" i="50"/>
  <c r="C9" i="52"/>
  <c r="E9" i="52" s="1"/>
  <c r="E26" i="52"/>
  <c r="C30" i="52"/>
  <c r="E34" i="52"/>
  <c r="E49" i="52"/>
  <c r="E61" i="52"/>
  <c r="E67" i="52"/>
  <c r="E70" i="52"/>
  <c r="E74" i="52"/>
  <c r="E75" i="52"/>
  <c r="E89" i="52"/>
  <c r="E101" i="52"/>
  <c r="E105" i="52"/>
  <c r="E123" i="52"/>
  <c r="C9" i="51"/>
  <c r="E9" i="51" s="1"/>
  <c r="E26" i="51"/>
  <c r="C30" i="51"/>
  <c r="C25" i="51" s="1"/>
  <c r="E38" i="51"/>
  <c r="E79" i="51"/>
  <c r="C111" i="51"/>
  <c r="E123" i="51"/>
  <c r="C128" i="51"/>
  <c r="E75" i="51"/>
  <c r="C74" i="51"/>
  <c r="E74" i="51" s="1"/>
  <c r="E143" i="51"/>
  <c r="C45" i="51"/>
  <c r="E45" i="51" s="1"/>
  <c r="E45" i="52"/>
  <c r="E128" i="52"/>
  <c r="E143" i="52"/>
  <c r="C88" i="52"/>
  <c r="C142" i="50"/>
  <c r="E128" i="50"/>
  <c r="D75" i="50"/>
  <c r="D74" i="50" s="1"/>
  <c r="E74" i="50" s="1"/>
  <c r="E143" i="50"/>
  <c r="E134" i="50"/>
  <c r="D45" i="50"/>
  <c r="E75" i="49"/>
  <c r="C74" i="49"/>
  <c r="E74" i="49" s="1"/>
  <c r="E79" i="49"/>
  <c r="E89" i="49"/>
  <c r="C111" i="49"/>
  <c r="E111" i="49" s="1"/>
  <c r="E128" i="49"/>
  <c r="E143" i="49"/>
  <c r="D73" i="49" l="1"/>
  <c r="E73" i="49" s="1"/>
  <c r="E88" i="51"/>
  <c r="E88" i="52"/>
  <c r="E88" i="50"/>
  <c r="E111" i="52"/>
  <c r="E111" i="50"/>
  <c r="E25" i="49"/>
  <c r="E30" i="50"/>
  <c r="D142" i="51"/>
  <c r="D151" i="51" s="1"/>
  <c r="D73" i="50"/>
  <c r="D85" i="50" s="1"/>
  <c r="E111" i="51"/>
  <c r="D142" i="52"/>
  <c r="D151" i="52" s="1"/>
  <c r="E25" i="51"/>
  <c r="E30" i="51"/>
  <c r="E25" i="50"/>
  <c r="C73" i="50"/>
  <c r="C142" i="51"/>
  <c r="E30" i="49"/>
  <c r="E88" i="49"/>
  <c r="E128" i="51"/>
  <c r="E30" i="52"/>
  <c r="C25" i="52"/>
  <c r="D142" i="50"/>
  <c r="D151" i="50" s="1"/>
  <c r="C73" i="51"/>
  <c r="C142" i="52"/>
  <c r="E45" i="50"/>
  <c r="E75" i="50"/>
  <c r="C151" i="50"/>
  <c r="C142" i="49"/>
  <c r="D85" i="49" l="1"/>
  <c r="E151" i="50"/>
  <c r="C85" i="49"/>
  <c r="E85" i="49" s="1"/>
  <c r="E73" i="50"/>
  <c r="C85" i="50"/>
  <c r="E85" i="50" s="1"/>
  <c r="E142" i="51"/>
  <c r="C151" i="51"/>
  <c r="E151" i="51" s="1"/>
  <c r="E25" i="52"/>
  <c r="C73" i="52"/>
  <c r="E142" i="50"/>
  <c r="C85" i="51"/>
  <c r="E73" i="51"/>
  <c r="E142" i="52"/>
  <c r="C151" i="52"/>
  <c r="E151" i="52" s="1"/>
  <c r="E142" i="49"/>
  <c r="C151" i="49"/>
  <c r="E151" i="49" s="1"/>
  <c r="E150" i="48"/>
  <c r="E149" i="48"/>
  <c r="E148" i="48"/>
  <c r="E147" i="48"/>
  <c r="E145" i="48"/>
  <c r="E144" i="48"/>
  <c r="D143" i="48"/>
  <c r="C143" i="48"/>
  <c r="E141" i="48"/>
  <c r="E140" i="48"/>
  <c r="E139" i="48"/>
  <c r="E138" i="48"/>
  <c r="E137" i="48"/>
  <c r="E136" i="48"/>
  <c r="E135" i="48"/>
  <c r="D134" i="48"/>
  <c r="D128" i="48" s="1"/>
  <c r="C134" i="48"/>
  <c r="C128" i="48" s="1"/>
  <c r="E133" i="48"/>
  <c r="E132" i="48"/>
  <c r="E131" i="48"/>
  <c r="E130" i="48"/>
  <c r="E129" i="48"/>
  <c r="E127" i="48"/>
  <c r="E126" i="48"/>
  <c r="E125" i="48"/>
  <c r="E124" i="48"/>
  <c r="D123" i="48"/>
  <c r="C123" i="48"/>
  <c r="E122" i="48"/>
  <c r="E121" i="48"/>
  <c r="E120" i="48"/>
  <c r="E119" i="48"/>
  <c r="E118" i="48"/>
  <c r="E117" i="48"/>
  <c r="E116" i="48"/>
  <c r="E115" i="48"/>
  <c r="D114" i="48"/>
  <c r="C114" i="48"/>
  <c r="E113" i="48"/>
  <c r="E112" i="48"/>
  <c r="E110" i="48"/>
  <c r="E109" i="48"/>
  <c r="E108" i="48"/>
  <c r="E107" i="48"/>
  <c r="E106" i="48"/>
  <c r="D105" i="48"/>
  <c r="C105" i="48"/>
  <c r="E104" i="48"/>
  <c r="E103" i="48"/>
  <c r="E102" i="48"/>
  <c r="D101" i="48"/>
  <c r="C101" i="48"/>
  <c r="E100" i="48"/>
  <c r="E99" i="48"/>
  <c r="E98" i="48"/>
  <c r="E97" i="48"/>
  <c r="E96" i="48"/>
  <c r="E95" i="48"/>
  <c r="E94" i="48"/>
  <c r="E93" i="48"/>
  <c r="E92" i="48"/>
  <c r="E90" i="48"/>
  <c r="D89" i="48"/>
  <c r="C89" i="48"/>
  <c r="E84" i="48"/>
  <c r="E83" i="48"/>
  <c r="E81" i="48"/>
  <c r="E80" i="48"/>
  <c r="D79" i="48"/>
  <c r="D75" i="48" s="1"/>
  <c r="D74" i="48" s="1"/>
  <c r="C79" i="48"/>
  <c r="C75" i="48" s="1"/>
  <c r="E78" i="48"/>
  <c r="E77" i="48"/>
  <c r="E76" i="48"/>
  <c r="E71" i="48"/>
  <c r="D70" i="48"/>
  <c r="C70" i="48"/>
  <c r="E69" i="48"/>
  <c r="E68" i="48"/>
  <c r="D67" i="48"/>
  <c r="C67" i="48"/>
  <c r="E66" i="48"/>
  <c r="E65" i="48"/>
  <c r="E64" i="48"/>
  <c r="E63" i="48"/>
  <c r="E62" i="48"/>
  <c r="D61" i="48"/>
  <c r="C61" i="48"/>
  <c r="E60" i="48"/>
  <c r="E59" i="48"/>
  <c r="E58" i="48"/>
  <c r="E57" i="48"/>
  <c r="E56" i="48"/>
  <c r="E55" i="48"/>
  <c r="E54" i="48"/>
  <c r="E53" i="48"/>
  <c r="E52" i="48"/>
  <c r="E51" i="48"/>
  <c r="E50" i="48"/>
  <c r="D49" i="48"/>
  <c r="D45" i="48" s="1"/>
  <c r="C49" i="48"/>
  <c r="E48" i="48"/>
  <c r="E47" i="48"/>
  <c r="E46" i="48"/>
  <c r="E44" i="48"/>
  <c r="E43" i="48"/>
  <c r="E42" i="48"/>
  <c r="E41" i="48"/>
  <c r="E40" i="48"/>
  <c r="E39" i="48"/>
  <c r="D38" i="48"/>
  <c r="E37" i="48"/>
  <c r="E36" i="48"/>
  <c r="E35" i="48"/>
  <c r="D34" i="48"/>
  <c r="C34" i="48"/>
  <c r="E33" i="48"/>
  <c r="E32" i="48"/>
  <c r="D31" i="48"/>
  <c r="D30" i="48" s="1"/>
  <c r="C31" i="48"/>
  <c r="E29" i="48"/>
  <c r="E28" i="48"/>
  <c r="E27" i="48"/>
  <c r="D26" i="48"/>
  <c r="C26" i="48"/>
  <c r="E24" i="48"/>
  <c r="E23" i="48"/>
  <c r="D22" i="48"/>
  <c r="C22" i="48"/>
  <c r="E21" i="48"/>
  <c r="E20" i="48"/>
  <c r="E19" i="48"/>
  <c r="E18" i="48"/>
  <c r="E17" i="48"/>
  <c r="E16" i="48"/>
  <c r="E15" i="48"/>
  <c r="E14" i="48"/>
  <c r="E13" i="48"/>
  <c r="E12" i="48"/>
  <c r="E11" i="48"/>
  <c r="D10" i="48"/>
  <c r="D9" i="48" s="1"/>
  <c r="C10" i="48"/>
  <c r="E150" i="47"/>
  <c r="E149" i="47"/>
  <c r="E148" i="47"/>
  <c r="E147" i="47"/>
  <c r="E145" i="47"/>
  <c r="E144" i="47"/>
  <c r="D143" i="47"/>
  <c r="C143" i="47"/>
  <c r="E141" i="47"/>
  <c r="E140" i="47"/>
  <c r="E139" i="47"/>
  <c r="E138" i="47"/>
  <c r="E137" i="47"/>
  <c r="E136" i="47"/>
  <c r="E135" i="47"/>
  <c r="D134" i="47"/>
  <c r="D128" i="47" s="1"/>
  <c r="C134" i="47"/>
  <c r="C128" i="47" s="1"/>
  <c r="E133" i="47"/>
  <c r="E132" i="47"/>
  <c r="E131" i="47"/>
  <c r="E130" i="47"/>
  <c r="E129" i="47"/>
  <c r="E127" i="47"/>
  <c r="E126" i="47"/>
  <c r="E125" i="47"/>
  <c r="E124" i="47"/>
  <c r="D123" i="47"/>
  <c r="C123" i="47"/>
  <c r="E122" i="47"/>
  <c r="E121" i="47"/>
  <c r="E120" i="47"/>
  <c r="E119" i="47"/>
  <c r="E118" i="47"/>
  <c r="E117" i="47"/>
  <c r="E116" i="47"/>
  <c r="E115" i="47"/>
  <c r="D114" i="47"/>
  <c r="C114" i="47"/>
  <c r="E113" i="47"/>
  <c r="E112" i="47"/>
  <c r="E110" i="47"/>
  <c r="E109" i="47"/>
  <c r="E108" i="47"/>
  <c r="E107" i="47"/>
  <c r="E106" i="47"/>
  <c r="D105" i="47"/>
  <c r="C105" i="47"/>
  <c r="E104" i="47"/>
  <c r="E103" i="47"/>
  <c r="E102" i="47"/>
  <c r="D101" i="47"/>
  <c r="C101" i="47"/>
  <c r="E100" i="47"/>
  <c r="E99" i="47"/>
  <c r="E98" i="47"/>
  <c r="E97" i="47"/>
  <c r="E96" i="47"/>
  <c r="E95" i="47"/>
  <c r="E94" i="47"/>
  <c r="E93" i="47"/>
  <c r="E92" i="47"/>
  <c r="E90" i="47"/>
  <c r="D89" i="47"/>
  <c r="C89" i="47"/>
  <c r="E84" i="47"/>
  <c r="E83" i="47"/>
  <c r="E81" i="47"/>
  <c r="E80" i="47"/>
  <c r="D79" i="47"/>
  <c r="D75" i="47" s="1"/>
  <c r="D74" i="47" s="1"/>
  <c r="C79" i="47"/>
  <c r="C75" i="47" s="1"/>
  <c r="C74" i="47" s="1"/>
  <c r="E78" i="47"/>
  <c r="E77" i="47"/>
  <c r="E76" i="47"/>
  <c r="E71" i="47"/>
  <c r="D70" i="47"/>
  <c r="C70" i="47"/>
  <c r="E69" i="47"/>
  <c r="E68" i="47"/>
  <c r="D67" i="47"/>
  <c r="C67" i="47"/>
  <c r="E66" i="47"/>
  <c r="E65" i="47"/>
  <c r="E64" i="47"/>
  <c r="E63" i="47"/>
  <c r="E62" i="47"/>
  <c r="D61" i="47"/>
  <c r="C61" i="47"/>
  <c r="E60" i="47"/>
  <c r="E59" i="47"/>
  <c r="E58" i="47"/>
  <c r="E57" i="47"/>
  <c r="E56" i="47"/>
  <c r="E55" i="47"/>
  <c r="E54" i="47"/>
  <c r="E53" i="47"/>
  <c r="E52" i="47"/>
  <c r="E51" i="47"/>
  <c r="E50" i="47"/>
  <c r="D49" i="47"/>
  <c r="D45" i="47" s="1"/>
  <c r="C49" i="47"/>
  <c r="C45" i="47" s="1"/>
  <c r="E48" i="47"/>
  <c r="E47" i="47"/>
  <c r="E46" i="47"/>
  <c r="E44" i="47"/>
  <c r="E43" i="47"/>
  <c r="E42" i="47"/>
  <c r="E41" i="47"/>
  <c r="E40" i="47"/>
  <c r="E39" i="47"/>
  <c r="D38" i="47"/>
  <c r="C38" i="47"/>
  <c r="E37" i="47"/>
  <c r="E36" i="47"/>
  <c r="E35" i="47"/>
  <c r="D34" i="47"/>
  <c r="C34" i="47"/>
  <c r="E33" i="47"/>
  <c r="E32" i="47"/>
  <c r="D31" i="47"/>
  <c r="C31" i="47"/>
  <c r="E29" i="47"/>
  <c r="E28" i="47"/>
  <c r="E27" i="47"/>
  <c r="D26" i="47"/>
  <c r="C26" i="47"/>
  <c r="E24" i="47"/>
  <c r="E23" i="47"/>
  <c r="D22" i="47"/>
  <c r="C22" i="47"/>
  <c r="E21" i="47"/>
  <c r="E20" i="47"/>
  <c r="E19" i="47"/>
  <c r="E18" i="47"/>
  <c r="E17" i="47"/>
  <c r="E16" i="47"/>
  <c r="E15" i="47"/>
  <c r="E14" i="47"/>
  <c r="E13" i="47"/>
  <c r="E12" i="47"/>
  <c r="E11" i="47"/>
  <c r="D10" i="47"/>
  <c r="D9" i="47" s="1"/>
  <c r="C10" i="47"/>
  <c r="C9" i="47" s="1"/>
  <c r="E153" i="50" l="1"/>
  <c r="E153" i="49"/>
  <c r="E85" i="51"/>
  <c r="E153" i="51" s="1"/>
  <c r="D88" i="47"/>
  <c r="D88" i="48"/>
  <c r="E101" i="48"/>
  <c r="E105" i="48"/>
  <c r="D30" i="47"/>
  <c r="E31" i="47"/>
  <c r="E61" i="47"/>
  <c r="E67" i="47"/>
  <c r="E74" i="47"/>
  <c r="E89" i="47"/>
  <c r="D111" i="47"/>
  <c r="D142" i="47" s="1"/>
  <c r="D151" i="47" s="1"/>
  <c r="E123" i="47"/>
  <c r="E134" i="47"/>
  <c r="D25" i="48"/>
  <c r="D73" i="48" s="1"/>
  <c r="D85" i="48" s="1"/>
  <c r="E31" i="48"/>
  <c r="C88" i="48"/>
  <c r="D111" i="48"/>
  <c r="E123" i="48"/>
  <c r="D25" i="47"/>
  <c r="D73" i="47" s="1"/>
  <c r="E22" i="47"/>
  <c r="E26" i="47"/>
  <c r="E34" i="47"/>
  <c r="E38" i="47"/>
  <c r="E70" i="47"/>
  <c r="E101" i="47"/>
  <c r="E105" i="47"/>
  <c r="E10" i="48"/>
  <c r="E22" i="48"/>
  <c r="E26" i="48"/>
  <c r="E38" i="48"/>
  <c r="E49" i="48"/>
  <c r="E61" i="48"/>
  <c r="E67" i="48"/>
  <c r="E89" i="48"/>
  <c r="C111" i="48"/>
  <c r="E73" i="52"/>
  <c r="C85" i="52"/>
  <c r="E85" i="52" s="1"/>
  <c r="E153" i="52" s="1"/>
  <c r="E9" i="47"/>
  <c r="E79" i="48"/>
  <c r="E10" i="47"/>
  <c r="C30" i="47"/>
  <c r="E45" i="47"/>
  <c r="E49" i="47"/>
  <c r="E79" i="47"/>
  <c r="C88" i="47"/>
  <c r="E114" i="47"/>
  <c r="C9" i="48"/>
  <c r="E9" i="48" s="1"/>
  <c r="C30" i="48"/>
  <c r="E30" i="48" s="1"/>
  <c r="E34" i="48"/>
  <c r="E70" i="48"/>
  <c r="E114" i="48"/>
  <c r="E134" i="48"/>
  <c r="E75" i="48"/>
  <c r="C74" i="48"/>
  <c r="E74" i="48" s="1"/>
  <c r="E128" i="48"/>
  <c r="E143" i="48"/>
  <c r="C45" i="48"/>
  <c r="E45" i="48" s="1"/>
  <c r="E75" i="47"/>
  <c r="C111" i="47"/>
  <c r="E128" i="47"/>
  <c r="E143" i="47"/>
  <c r="E150" i="46"/>
  <c r="E149" i="46"/>
  <c r="E148" i="46"/>
  <c r="E147" i="46"/>
  <c r="E145" i="46"/>
  <c r="E144" i="46"/>
  <c r="D143" i="46"/>
  <c r="C143" i="46"/>
  <c r="E141" i="46"/>
  <c r="E140" i="46"/>
  <c r="E139" i="46"/>
  <c r="E138" i="46"/>
  <c r="E137" i="46"/>
  <c r="E136" i="46"/>
  <c r="E135" i="46"/>
  <c r="D134" i="46"/>
  <c r="D128" i="46" s="1"/>
  <c r="C134" i="46"/>
  <c r="C128" i="46" s="1"/>
  <c r="E133" i="46"/>
  <c r="E132" i="46"/>
  <c r="E131" i="46"/>
  <c r="E130" i="46"/>
  <c r="E129" i="46"/>
  <c r="E127" i="46"/>
  <c r="E126" i="46"/>
  <c r="E125" i="46"/>
  <c r="E124" i="46"/>
  <c r="D123" i="46"/>
  <c r="C123" i="46"/>
  <c r="E122" i="46"/>
  <c r="E121" i="46"/>
  <c r="E120" i="46"/>
  <c r="E119" i="46"/>
  <c r="E118" i="46"/>
  <c r="E117" i="46"/>
  <c r="E116" i="46"/>
  <c r="E115" i="46"/>
  <c r="D114" i="46"/>
  <c r="C114" i="46"/>
  <c r="E113" i="46"/>
  <c r="E112" i="46"/>
  <c r="E110" i="46"/>
  <c r="E109" i="46"/>
  <c r="E108" i="46"/>
  <c r="E107" i="46"/>
  <c r="E106" i="46"/>
  <c r="D105" i="46"/>
  <c r="C105" i="46"/>
  <c r="E104" i="46"/>
  <c r="E103" i="46"/>
  <c r="E102" i="46"/>
  <c r="D101" i="46"/>
  <c r="C101" i="46"/>
  <c r="E100" i="46"/>
  <c r="E99" i="46"/>
  <c r="E98" i="46"/>
  <c r="E97" i="46"/>
  <c r="E96" i="46"/>
  <c r="E95" i="46"/>
  <c r="E94" i="46"/>
  <c r="E93" i="46"/>
  <c r="E92" i="46"/>
  <c r="E91" i="46"/>
  <c r="E90" i="46"/>
  <c r="D89" i="46"/>
  <c r="C89" i="46"/>
  <c r="E84" i="46"/>
  <c r="E83" i="46"/>
  <c r="E81" i="46"/>
  <c r="E80" i="46"/>
  <c r="D79" i="46"/>
  <c r="C79" i="46"/>
  <c r="E78" i="46"/>
  <c r="E77" i="46"/>
  <c r="E76" i="46"/>
  <c r="E71" i="46"/>
  <c r="D70" i="46"/>
  <c r="C70" i="46"/>
  <c r="E69" i="46"/>
  <c r="E68" i="46"/>
  <c r="D67" i="46"/>
  <c r="C67" i="46"/>
  <c r="E66" i="46"/>
  <c r="E65" i="46"/>
  <c r="E64" i="46"/>
  <c r="E63" i="46"/>
  <c r="E62" i="46"/>
  <c r="D61" i="46"/>
  <c r="C61" i="46"/>
  <c r="E60" i="46"/>
  <c r="E59" i="46"/>
  <c r="E58" i="46"/>
  <c r="E57" i="46"/>
  <c r="E56" i="46"/>
  <c r="E55" i="46"/>
  <c r="E54" i="46"/>
  <c r="E53" i="46"/>
  <c r="E52" i="46"/>
  <c r="E51" i="46"/>
  <c r="E50" i="46"/>
  <c r="D49" i="46"/>
  <c r="D45" i="46" s="1"/>
  <c r="C49" i="46"/>
  <c r="C45" i="46" s="1"/>
  <c r="E48" i="46"/>
  <c r="E47" i="46"/>
  <c r="E46" i="46"/>
  <c r="E44" i="46"/>
  <c r="E43" i="46"/>
  <c r="E42" i="46"/>
  <c r="E41" i="46"/>
  <c r="E40" i="46"/>
  <c r="E39" i="46"/>
  <c r="D38" i="46"/>
  <c r="C38" i="46"/>
  <c r="E37" i="46"/>
  <c r="E36" i="46"/>
  <c r="E35" i="46"/>
  <c r="D34" i="46"/>
  <c r="C34" i="46"/>
  <c r="E33" i="46"/>
  <c r="E32" i="46"/>
  <c r="D31" i="46"/>
  <c r="C31" i="46"/>
  <c r="E29" i="46"/>
  <c r="E28" i="46"/>
  <c r="E27" i="46"/>
  <c r="D26" i="46"/>
  <c r="C26" i="46"/>
  <c r="E24" i="46"/>
  <c r="E23" i="46"/>
  <c r="D22" i="46"/>
  <c r="C22" i="46"/>
  <c r="E21" i="46"/>
  <c r="E20" i="46"/>
  <c r="E19" i="46"/>
  <c r="E18" i="46"/>
  <c r="E17" i="46"/>
  <c r="E16" i="46"/>
  <c r="E15" i="46"/>
  <c r="E14" i="46"/>
  <c r="E13" i="46"/>
  <c r="E12" i="46"/>
  <c r="E11" i="46"/>
  <c r="D10" i="46"/>
  <c r="D9" i="46" s="1"/>
  <c r="C10" i="46"/>
  <c r="E150" i="20"/>
  <c r="E149" i="20"/>
  <c r="E148" i="20"/>
  <c r="E147" i="20"/>
  <c r="E145" i="20"/>
  <c r="E144" i="20"/>
  <c r="D143" i="20"/>
  <c r="C143" i="20"/>
  <c r="E141" i="20"/>
  <c r="E140" i="20"/>
  <c r="E139" i="20"/>
  <c r="E138" i="20"/>
  <c r="E137" i="20"/>
  <c r="E136" i="20"/>
  <c r="E135" i="20"/>
  <c r="D134" i="20"/>
  <c r="D128" i="20" s="1"/>
  <c r="C134" i="20"/>
  <c r="E133" i="20"/>
  <c r="E132" i="20"/>
  <c r="E131" i="20"/>
  <c r="E130" i="20"/>
  <c r="E129" i="20"/>
  <c r="E127" i="20"/>
  <c r="E126" i="20"/>
  <c r="E125" i="20"/>
  <c r="E124" i="20"/>
  <c r="D123" i="20"/>
  <c r="C123" i="20"/>
  <c r="E122" i="20"/>
  <c r="E121" i="20"/>
  <c r="E120" i="20"/>
  <c r="E119" i="20"/>
  <c r="E118" i="20"/>
  <c r="E117" i="20"/>
  <c r="E116" i="20"/>
  <c r="E115" i="20"/>
  <c r="D114" i="20"/>
  <c r="C114" i="20"/>
  <c r="E113" i="20"/>
  <c r="E112" i="20"/>
  <c r="E110" i="20"/>
  <c r="E109" i="20"/>
  <c r="E108" i="20"/>
  <c r="E107" i="20"/>
  <c r="E106" i="20"/>
  <c r="D105" i="20"/>
  <c r="C105" i="20"/>
  <c r="E104" i="20"/>
  <c r="E103" i="20"/>
  <c r="E102" i="20"/>
  <c r="D101" i="20"/>
  <c r="C101" i="20"/>
  <c r="E100" i="20"/>
  <c r="E99" i="20"/>
  <c r="E98" i="20"/>
  <c r="E97" i="20"/>
  <c r="E96" i="20"/>
  <c r="E95" i="20"/>
  <c r="E94" i="20"/>
  <c r="E93" i="20"/>
  <c r="E92" i="20"/>
  <c r="E91" i="20"/>
  <c r="E90" i="20"/>
  <c r="D89" i="20"/>
  <c r="C89" i="20"/>
  <c r="E84" i="20"/>
  <c r="E83" i="20"/>
  <c r="E81" i="20"/>
  <c r="E80" i="20"/>
  <c r="D79" i="20"/>
  <c r="D75" i="20" s="1"/>
  <c r="D74" i="20" s="1"/>
  <c r="C79" i="20"/>
  <c r="C75" i="20" s="1"/>
  <c r="E78" i="20"/>
  <c r="E77" i="20"/>
  <c r="E76" i="20"/>
  <c r="E71" i="20"/>
  <c r="D70" i="20"/>
  <c r="C70" i="20"/>
  <c r="E69" i="20"/>
  <c r="E68" i="20"/>
  <c r="D67" i="20"/>
  <c r="C67" i="20"/>
  <c r="E66" i="20"/>
  <c r="E65" i="20"/>
  <c r="E64" i="20"/>
  <c r="E63" i="20"/>
  <c r="E62" i="20"/>
  <c r="D61" i="20"/>
  <c r="C61" i="20"/>
  <c r="E60" i="20"/>
  <c r="E59" i="20"/>
  <c r="E58" i="20"/>
  <c r="E57" i="20"/>
  <c r="E56" i="20"/>
  <c r="E55" i="20"/>
  <c r="E54" i="20"/>
  <c r="E53" i="20"/>
  <c r="E52" i="20"/>
  <c r="E51" i="20"/>
  <c r="E50" i="20"/>
  <c r="D49" i="20"/>
  <c r="D45" i="20" s="1"/>
  <c r="C49" i="20"/>
  <c r="C45" i="20" s="1"/>
  <c r="E48" i="20"/>
  <c r="E47" i="20"/>
  <c r="E46" i="20"/>
  <c r="E44" i="20"/>
  <c r="E43" i="20"/>
  <c r="E42" i="20"/>
  <c r="E41" i="20"/>
  <c r="E40" i="20"/>
  <c r="E39" i="20"/>
  <c r="D38" i="20"/>
  <c r="C38" i="20"/>
  <c r="E37" i="20"/>
  <c r="E36" i="20"/>
  <c r="E35" i="20"/>
  <c r="D34" i="20"/>
  <c r="C34" i="20"/>
  <c r="E33" i="20"/>
  <c r="E32" i="20"/>
  <c r="D31" i="20"/>
  <c r="C31" i="20"/>
  <c r="E29" i="20"/>
  <c r="E28" i="20"/>
  <c r="E27" i="20"/>
  <c r="D26" i="20"/>
  <c r="C26" i="20"/>
  <c r="E24" i="20"/>
  <c r="E23" i="20"/>
  <c r="D22" i="20"/>
  <c r="C22" i="20"/>
  <c r="E21" i="20"/>
  <c r="E20" i="20"/>
  <c r="E19" i="20"/>
  <c r="E18" i="20"/>
  <c r="E17" i="20"/>
  <c r="E16" i="20"/>
  <c r="E15" i="20"/>
  <c r="E14" i="20"/>
  <c r="E13" i="20"/>
  <c r="E12" i="20"/>
  <c r="E11" i="20"/>
  <c r="D10" i="20"/>
  <c r="D9" i="20" s="1"/>
  <c r="C10" i="20"/>
  <c r="C9" i="20" s="1"/>
  <c r="E91" i="22"/>
  <c r="E92" i="34"/>
  <c r="E92" i="37"/>
  <c r="E92" i="10"/>
  <c r="E92" i="22"/>
  <c r="E92" i="18"/>
  <c r="C143" i="17"/>
  <c r="C134" i="17"/>
  <c r="C128" i="17" s="1"/>
  <c r="C123" i="17"/>
  <c r="C114" i="17"/>
  <c r="C105" i="17"/>
  <c r="C101" i="17"/>
  <c r="C89" i="17"/>
  <c r="C79" i="17"/>
  <c r="C70" i="17"/>
  <c r="C67" i="17"/>
  <c r="C61" i="17"/>
  <c r="C49" i="17"/>
  <c r="C45" i="17" s="1"/>
  <c r="C38" i="17"/>
  <c r="C34" i="17"/>
  <c r="C31" i="17"/>
  <c r="C26" i="17"/>
  <c r="C22" i="17"/>
  <c r="C10" i="17"/>
  <c r="C9" i="17" s="1"/>
  <c r="E150" i="45"/>
  <c r="E149" i="45"/>
  <c r="E148" i="45"/>
  <c r="E147" i="45"/>
  <c r="E145" i="45"/>
  <c r="E144" i="45"/>
  <c r="D143" i="45"/>
  <c r="E141" i="45"/>
  <c r="E140" i="45"/>
  <c r="E139" i="45"/>
  <c r="E138" i="45"/>
  <c r="E137" i="45"/>
  <c r="E136" i="45"/>
  <c r="E135" i="45"/>
  <c r="D134" i="45"/>
  <c r="D128" i="45" s="1"/>
  <c r="E133" i="45"/>
  <c r="E132" i="45"/>
  <c r="E131" i="45"/>
  <c r="E130" i="45"/>
  <c r="E129" i="45"/>
  <c r="E127" i="45"/>
  <c r="E126" i="45"/>
  <c r="E125" i="45"/>
  <c r="E124" i="45"/>
  <c r="D123" i="45"/>
  <c r="E122" i="45"/>
  <c r="E121" i="45"/>
  <c r="E120" i="45"/>
  <c r="E119" i="45"/>
  <c r="E118" i="45"/>
  <c r="E117" i="45"/>
  <c r="E116" i="45"/>
  <c r="E115" i="45"/>
  <c r="D114" i="45"/>
  <c r="E113" i="45"/>
  <c r="E112" i="45"/>
  <c r="E110" i="45"/>
  <c r="E109" i="45"/>
  <c r="E108" i="45"/>
  <c r="E107" i="45"/>
  <c r="E106" i="45"/>
  <c r="D105" i="45"/>
  <c r="E104" i="45"/>
  <c r="E103" i="45"/>
  <c r="E102" i="45"/>
  <c r="D101" i="45"/>
  <c r="E100" i="45"/>
  <c r="E99" i="45"/>
  <c r="E98" i="45"/>
  <c r="E97" i="45"/>
  <c r="E96" i="45"/>
  <c r="E95" i="45"/>
  <c r="E94" i="45"/>
  <c r="E93" i="45"/>
  <c r="E92" i="45"/>
  <c r="E90" i="45"/>
  <c r="D89" i="45"/>
  <c r="E84" i="45"/>
  <c r="E83" i="45"/>
  <c r="E81" i="45"/>
  <c r="E80" i="45"/>
  <c r="D79" i="45"/>
  <c r="E78" i="45"/>
  <c r="E77" i="45"/>
  <c r="E76" i="45"/>
  <c r="E71" i="45"/>
  <c r="D70" i="45"/>
  <c r="E69" i="45"/>
  <c r="E68" i="45"/>
  <c r="D67" i="45"/>
  <c r="E66" i="45"/>
  <c r="E65" i="45"/>
  <c r="E64" i="45"/>
  <c r="E63" i="45"/>
  <c r="E62" i="45"/>
  <c r="D61" i="45"/>
  <c r="E60" i="45"/>
  <c r="E59" i="45"/>
  <c r="E58" i="45"/>
  <c r="E57" i="45"/>
  <c r="E56" i="45"/>
  <c r="E55" i="45"/>
  <c r="E54" i="45"/>
  <c r="E53" i="45"/>
  <c r="E52" i="45"/>
  <c r="E51" i="45"/>
  <c r="E50" i="45"/>
  <c r="D49" i="45"/>
  <c r="D45" i="45" s="1"/>
  <c r="E48" i="45"/>
  <c r="E47" i="45"/>
  <c r="E46" i="45"/>
  <c r="E44" i="45"/>
  <c r="E43" i="45"/>
  <c r="E42" i="45"/>
  <c r="E41" i="45"/>
  <c r="E40" i="45"/>
  <c r="E39" i="45"/>
  <c r="D38" i="45"/>
  <c r="E37" i="45"/>
  <c r="E36" i="45"/>
  <c r="E35" i="45"/>
  <c r="D34" i="45"/>
  <c r="E33" i="45"/>
  <c r="E32" i="45"/>
  <c r="D31" i="45"/>
  <c r="E29" i="45"/>
  <c r="E28" i="45"/>
  <c r="E27" i="45"/>
  <c r="D26" i="45"/>
  <c r="E24" i="45"/>
  <c r="E23" i="45"/>
  <c r="D22" i="45"/>
  <c r="E21" i="45"/>
  <c r="E20" i="45"/>
  <c r="E19" i="45"/>
  <c r="E18" i="45"/>
  <c r="E17" i="45"/>
  <c r="E16" i="45"/>
  <c r="E15" i="45"/>
  <c r="E14" i="45"/>
  <c r="E13" i="45"/>
  <c r="E12" i="45"/>
  <c r="E11" i="45"/>
  <c r="D10" i="45"/>
  <c r="D9" i="45" s="1"/>
  <c r="D69" i="41"/>
  <c r="C10" i="33"/>
  <c r="C9" i="33" s="1"/>
  <c r="C22" i="33"/>
  <c r="C26" i="33"/>
  <c r="C31" i="33"/>
  <c r="C34" i="33"/>
  <c r="C38" i="33"/>
  <c r="C49" i="33"/>
  <c r="C45" i="33" s="1"/>
  <c r="C61" i="33"/>
  <c r="C67" i="33"/>
  <c r="C70" i="33"/>
  <c r="C79" i="33"/>
  <c r="C89" i="33"/>
  <c r="C101" i="33"/>
  <c r="C105" i="33"/>
  <c r="C114" i="33"/>
  <c r="C123" i="33"/>
  <c r="C134" i="33"/>
  <c r="C128" i="33" s="1"/>
  <c r="C143" i="33"/>
  <c r="Q13" i="42"/>
  <c r="C88" i="20" l="1"/>
  <c r="D85" i="47"/>
  <c r="E111" i="47"/>
  <c r="E88" i="47"/>
  <c r="D111" i="45"/>
  <c r="E111" i="45" s="1"/>
  <c r="D88" i="45"/>
  <c r="E88" i="45" s="1"/>
  <c r="D111" i="46"/>
  <c r="E45" i="46"/>
  <c r="E26" i="20"/>
  <c r="E10" i="46"/>
  <c r="D30" i="46"/>
  <c r="D25" i="46" s="1"/>
  <c r="D73" i="46" s="1"/>
  <c r="E34" i="46"/>
  <c r="E38" i="46"/>
  <c r="E70" i="46"/>
  <c r="D142" i="48"/>
  <c r="D151" i="48" s="1"/>
  <c r="E88" i="48"/>
  <c r="C111" i="33"/>
  <c r="E91" i="6"/>
  <c r="E30" i="47"/>
  <c r="C142" i="48"/>
  <c r="C151" i="48" s="1"/>
  <c r="E111" i="48"/>
  <c r="D111" i="20"/>
  <c r="C30" i="17"/>
  <c r="C25" i="17" s="1"/>
  <c r="C73" i="17" s="1"/>
  <c r="C111" i="46"/>
  <c r="C25" i="47"/>
  <c r="C25" i="48"/>
  <c r="E25" i="48" s="1"/>
  <c r="C111" i="17"/>
  <c r="C111" i="20"/>
  <c r="C88" i="17"/>
  <c r="D30" i="20"/>
  <c r="D25" i="20" s="1"/>
  <c r="D73" i="20" s="1"/>
  <c r="D85" i="20" s="1"/>
  <c r="E34" i="20"/>
  <c r="E38" i="20"/>
  <c r="E26" i="46"/>
  <c r="D88" i="46"/>
  <c r="E101" i="46"/>
  <c r="E105" i="46"/>
  <c r="C30" i="20"/>
  <c r="C25" i="20" s="1"/>
  <c r="E70" i="20"/>
  <c r="E134" i="20"/>
  <c r="C30" i="46"/>
  <c r="C25" i="46" s="1"/>
  <c r="C88" i="46"/>
  <c r="E49" i="45"/>
  <c r="E89" i="45"/>
  <c r="E101" i="45"/>
  <c r="E134" i="45"/>
  <c r="E61" i="45"/>
  <c r="E67" i="45"/>
  <c r="E10" i="45"/>
  <c r="E26" i="45"/>
  <c r="D30" i="45"/>
  <c r="D25" i="45" s="1"/>
  <c r="D73" i="45" s="1"/>
  <c r="E34" i="45"/>
  <c r="E123" i="45"/>
  <c r="E38" i="45"/>
  <c r="E45" i="45"/>
  <c r="E70" i="45"/>
  <c r="E114" i="45"/>
  <c r="E128" i="45"/>
  <c r="C30" i="33"/>
  <c r="C25" i="33" s="1"/>
  <c r="C73" i="33" s="1"/>
  <c r="D75" i="45"/>
  <c r="D74" i="45" s="1"/>
  <c r="E105" i="45"/>
  <c r="E10" i="20"/>
  <c r="E22" i="20"/>
  <c r="E31" i="20"/>
  <c r="D88" i="20"/>
  <c r="E88" i="20" s="1"/>
  <c r="D75" i="46"/>
  <c r="D74" i="46" s="1"/>
  <c r="C75" i="33"/>
  <c r="C74" i="33" s="1"/>
  <c r="E9" i="45"/>
  <c r="E31" i="45"/>
  <c r="E79" i="45"/>
  <c r="C75" i="17"/>
  <c r="C74" i="17" s="1"/>
  <c r="E45" i="20"/>
  <c r="E61" i="20"/>
  <c r="E67" i="20"/>
  <c r="E89" i="20"/>
  <c r="E101" i="20"/>
  <c r="E105" i="20"/>
  <c r="E123" i="20"/>
  <c r="C128" i="20"/>
  <c r="E128" i="20" s="1"/>
  <c r="C9" i="46"/>
  <c r="E9" i="46" s="1"/>
  <c r="E31" i="46"/>
  <c r="E49" i="46"/>
  <c r="E61" i="46"/>
  <c r="E67" i="46"/>
  <c r="E79" i="46"/>
  <c r="C75" i="46"/>
  <c r="E89" i="46"/>
  <c r="E123" i="46"/>
  <c r="C142" i="47"/>
  <c r="E142" i="47" s="1"/>
  <c r="E128" i="46"/>
  <c r="E22" i="46"/>
  <c r="E114" i="46"/>
  <c r="E134" i="46"/>
  <c r="E143" i="46"/>
  <c r="E75" i="20"/>
  <c r="C74" i="20"/>
  <c r="E74" i="20" s="1"/>
  <c r="E9" i="20"/>
  <c r="E49" i="20"/>
  <c r="E79" i="20"/>
  <c r="E114" i="20"/>
  <c r="E143" i="20"/>
  <c r="C88" i="33"/>
  <c r="E22" i="45"/>
  <c r="E143" i="45"/>
  <c r="E25" i="47" l="1"/>
  <c r="C73" i="47"/>
  <c r="E73" i="47" s="1"/>
  <c r="D142" i="45"/>
  <c r="D151" i="45" s="1"/>
  <c r="E151" i="45" s="1"/>
  <c r="E142" i="48"/>
  <c r="E151" i="48"/>
  <c r="C142" i="33"/>
  <c r="C151" i="33" s="1"/>
  <c r="D142" i="20"/>
  <c r="D151" i="20" s="1"/>
  <c r="E88" i="46"/>
  <c r="C142" i="46"/>
  <c r="E111" i="46"/>
  <c r="E25" i="46"/>
  <c r="C85" i="17"/>
  <c r="D142" i="46"/>
  <c r="D151" i="46" s="1"/>
  <c r="E25" i="20"/>
  <c r="C142" i="17"/>
  <c r="C151" i="17" s="1"/>
  <c r="C73" i="48"/>
  <c r="C142" i="20"/>
  <c r="C151" i="20" s="1"/>
  <c r="C151" i="47"/>
  <c r="E151" i="47" s="1"/>
  <c r="E30" i="46"/>
  <c r="E111" i="20"/>
  <c r="E30" i="20"/>
  <c r="D85" i="46"/>
  <c r="C73" i="20"/>
  <c r="E73" i="20" s="1"/>
  <c r="E25" i="45"/>
  <c r="E30" i="45"/>
  <c r="C85" i="33"/>
  <c r="C74" i="46"/>
  <c r="E74" i="46" s="1"/>
  <c r="E75" i="46"/>
  <c r="E74" i="45"/>
  <c r="E75" i="45"/>
  <c r="C73" i="46"/>
  <c r="D85" i="45"/>
  <c r="E150" i="33"/>
  <c r="E149" i="33"/>
  <c r="E148" i="33"/>
  <c r="E147" i="33"/>
  <c r="E145" i="33"/>
  <c r="E144" i="33"/>
  <c r="D143" i="33"/>
  <c r="E143" i="33" s="1"/>
  <c r="E141" i="33"/>
  <c r="E140" i="33"/>
  <c r="E139" i="33"/>
  <c r="E138" i="33"/>
  <c r="E137" i="33"/>
  <c r="E136" i="33"/>
  <c r="E135" i="33"/>
  <c r="D134" i="33"/>
  <c r="E134" i="33" s="1"/>
  <c r="E133" i="33"/>
  <c r="E132" i="33"/>
  <c r="E131" i="33"/>
  <c r="E130" i="33"/>
  <c r="E129" i="33"/>
  <c r="E127" i="33"/>
  <c r="E126" i="33"/>
  <c r="E125" i="33"/>
  <c r="E124" i="33"/>
  <c r="D123" i="33"/>
  <c r="E123" i="33" s="1"/>
  <c r="E122" i="33"/>
  <c r="E121" i="33"/>
  <c r="E120" i="33"/>
  <c r="E119" i="33"/>
  <c r="E118" i="33"/>
  <c r="E117" i="33"/>
  <c r="E116" i="33"/>
  <c r="E115" i="33"/>
  <c r="D114" i="33"/>
  <c r="E114" i="33" s="1"/>
  <c r="E113" i="33"/>
  <c r="E112" i="33"/>
  <c r="E110" i="33"/>
  <c r="E109" i="33"/>
  <c r="E108" i="33"/>
  <c r="E107" i="33"/>
  <c r="E106" i="33"/>
  <c r="D105" i="33"/>
  <c r="E105" i="33" s="1"/>
  <c r="E104" i="33"/>
  <c r="E103" i="33"/>
  <c r="E102" i="33"/>
  <c r="D101" i="33"/>
  <c r="E101" i="33" s="1"/>
  <c r="E100" i="33"/>
  <c r="E99" i="33"/>
  <c r="E98" i="33"/>
  <c r="E97" i="33"/>
  <c r="E96" i="33"/>
  <c r="E95" i="33"/>
  <c r="E94" i="33"/>
  <c r="E93" i="33"/>
  <c r="E92" i="33"/>
  <c r="E90" i="33"/>
  <c r="D89" i="33"/>
  <c r="E84" i="33"/>
  <c r="E83" i="33"/>
  <c r="E81" i="33"/>
  <c r="E80" i="33"/>
  <c r="D79" i="33"/>
  <c r="E79" i="33" s="1"/>
  <c r="E78" i="33"/>
  <c r="E77" i="33"/>
  <c r="E76" i="33"/>
  <c r="E71" i="33"/>
  <c r="D70" i="33"/>
  <c r="E70" i="33" s="1"/>
  <c r="E69" i="33"/>
  <c r="E68" i="33"/>
  <c r="D67" i="33"/>
  <c r="E67" i="33" s="1"/>
  <c r="E66" i="33"/>
  <c r="E65" i="33"/>
  <c r="E64" i="33"/>
  <c r="E63" i="33"/>
  <c r="E62" i="33"/>
  <c r="D61" i="33"/>
  <c r="E60" i="33"/>
  <c r="E59" i="33"/>
  <c r="E58" i="33"/>
  <c r="E57" i="33"/>
  <c r="E56" i="33"/>
  <c r="E55" i="33"/>
  <c r="E54" i="33"/>
  <c r="E53" i="33"/>
  <c r="E52" i="33"/>
  <c r="E51" i="33"/>
  <c r="E50" i="33"/>
  <c r="D49" i="33"/>
  <c r="E49" i="33" s="1"/>
  <c r="E48" i="33"/>
  <c r="E47" i="33"/>
  <c r="E46" i="33"/>
  <c r="D45" i="33"/>
  <c r="E44" i="33"/>
  <c r="E43" i="33"/>
  <c r="E42" i="33"/>
  <c r="E41" i="33"/>
  <c r="E40" i="33"/>
  <c r="E39" i="33"/>
  <c r="D38" i="33"/>
  <c r="E37" i="33"/>
  <c r="E36" i="33"/>
  <c r="E35" i="33"/>
  <c r="D34" i="33"/>
  <c r="E33" i="33"/>
  <c r="E32" i="33"/>
  <c r="D31" i="33"/>
  <c r="E29" i="33"/>
  <c r="E28" i="33"/>
  <c r="E27" i="33"/>
  <c r="D26" i="33"/>
  <c r="E26" i="33" s="1"/>
  <c r="E24" i="33"/>
  <c r="E23" i="33"/>
  <c r="D22" i="33"/>
  <c r="E22" i="33" s="1"/>
  <c r="E21" i="33"/>
  <c r="E20" i="33"/>
  <c r="E19" i="33"/>
  <c r="E18" i="33"/>
  <c r="E17" i="33"/>
  <c r="E16" i="33"/>
  <c r="E15" i="33"/>
  <c r="E14" i="33"/>
  <c r="E13" i="33"/>
  <c r="E12" i="33"/>
  <c r="E11" i="33"/>
  <c r="D10" i="33"/>
  <c r="D9" i="33" s="1"/>
  <c r="E150" i="34"/>
  <c r="E149" i="34"/>
  <c r="E148" i="34"/>
  <c r="E147" i="34"/>
  <c r="E145" i="34"/>
  <c r="E144" i="34"/>
  <c r="D143" i="34"/>
  <c r="C143" i="34"/>
  <c r="E141" i="34"/>
  <c r="E140" i="34"/>
  <c r="E139" i="34"/>
  <c r="E138" i="34"/>
  <c r="E137" i="34"/>
  <c r="E136" i="34"/>
  <c r="E135" i="34"/>
  <c r="D134" i="34"/>
  <c r="C134" i="34"/>
  <c r="E133" i="34"/>
  <c r="E132" i="34"/>
  <c r="E131" i="34"/>
  <c r="E130" i="34"/>
  <c r="E129" i="34"/>
  <c r="C128" i="34"/>
  <c r="E127" i="34"/>
  <c r="E126" i="34"/>
  <c r="E125" i="34"/>
  <c r="E124" i="34"/>
  <c r="D123" i="34"/>
  <c r="C123" i="34"/>
  <c r="E122" i="34"/>
  <c r="E121" i="34"/>
  <c r="E120" i="34"/>
  <c r="E119" i="34"/>
  <c r="E118" i="34"/>
  <c r="E117" i="34"/>
  <c r="E116" i="34"/>
  <c r="E115" i="34"/>
  <c r="D114" i="34"/>
  <c r="D111" i="34" s="1"/>
  <c r="C114" i="34"/>
  <c r="C111" i="34" s="1"/>
  <c r="E113" i="34"/>
  <c r="E112" i="34"/>
  <c r="E110" i="34"/>
  <c r="E109" i="34"/>
  <c r="E108" i="34"/>
  <c r="E107" i="34"/>
  <c r="E106" i="34"/>
  <c r="D105" i="34"/>
  <c r="C105" i="34"/>
  <c r="E104" i="34"/>
  <c r="E103" i="34"/>
  <c r="E102" i="34"/>
  <c r="D101" i="34"/>
  <c r="C101" i="34"/>
  <c r="E100" i="34"/>
  <c r="E99" i="34"/>
  <c r="E98" i="34"/>
  <c r="E97" i="34"/>
  <c r="E96" i="34"/>
  <c r="E95" i="34"/>
  <c r="E94" i="34"/>
  <c r="E93" i="34"/>
  <c r="E90" i="34"/>
  <c r="D89" i="34"/>
  <c r="C89" i="34"/>
  <c r="E84" i="34"/>
  <c r="E83" i="34"/>
  <c r="E81" i="34"/>
  <c r="E80" i="34"/>
  <c r="D79" i="34"/>
  <c r="C79" i="34"/>
  <c r="C75" i="34" s="1"/>
  <c r="C74" i="34" s="1"/>
  <c r="E78" i="34"/>
  <c r="E77" i="34"/>
  <c r="E76" i="34"/>
  <c r="E71" i="34"/>
  <c r="D70" i="34"/>
  <c r="C70" i="34"/>
  <c r="E69" i="34"/>
  <c r="E68" i="34"/>
  <c r="D67" i="34"/>
  <c r="C67" i="34"/>
  <c r="E66" i="34"/>
  <c r="E65" i="34"/>
  <c r="E64" i="34"/>
  <c r="E63" i="34"/>
  <c r="E62" i="34"/>
  <c r="D61" i="34"/>
  <c r="C61" i="34"/>
  <c r="E60" i="34"/>
  <c r="E59" i="34"/>
  <c r="E58" i="34"/>
  <c r="E57" i="34"/>
  <c r="E56" i="34"/>
  <c r="E55" i="34"/>
  <c r="E54" i="34"/>
  <c r="E53" i="34"/>
  <c r="E52" i="34"/>
  <c r="E51" i="34"/>
  <c r="E50" i="34"/>
  <c r="D49" i="34"/>
  <c r="D45" i="34" s="1"/>
  <c r="C49" i="34"/>
  <c r="E48" i="34"/>
  <c r="E47" i="34"/>
  <c r="E46" i="34"/>
  <c r="E44" i="34"/>
  <c r="E43" i="34"/>
  <c r="E42" i="34"/>
  <c r="E41" i="34"/>
  <c r="E40" i="34"/>
  <c r="E39" i="34"/>
  <c r="D38" i="34"/>
  <c r="C38" i="34"/>
  <c r="E37" i="34"/>
  <c r="E36" i="34"/>
  <c r="E35" i="34"/>
  <c r="D34" i="34"/>
  <c r="C34" i="34"/>
  <c r="E33" i="34"/>
  <c r="E32" i="34"/>
  <c r="D31" i="34"/>
  <c r="C31" i="34"/>
  <c r="C30" i="34" s="1"/>
  <c r="E29" i="34"/>
  <c r="E28" i="34"/>
  <c r="E27" i="34"/>
  <c r="D26" i="34"/>
  <c r="C26" i="34"/>
  <c r="E24" i="34"/>
  <c r="E23" i="34"/>
  <c r="D22" i="34"/>
  <c r="C22" i="34"/>
  <c r="E21" i="34"/>
  <c r="E20" i="34"/>
  <c r="E19" i="34"/>
  <c r="E18" i="34"/>
  <c r="E17" i="34"/>
  <c r="E16" i="34"/>
  <c r="E15" i="34"/>
  <c r="E14" i="34"/>
  <c r="E13" i="34"/>
  <c r="E12" i="34"/>
  <c r="E11" i="34"/>
  <c r="D10" i="34"/>
  <c r="C10" i="34"/>
  <c r="C9" i="34" s="1"/>
  <c r="D9" i="34"/>
  <c r="E150" i="35"/>
  <c r="E149" i="35"/>
  <c r="E148" i="35"/>
  <c r="E147" i="35"/>
  <c r="E145" i="35"/>
  <c r="E144" i="35"/>
  <c r="D143" i="35"/>
  <c r="C143" i="35"/>
  <c r="E141" i="35"/>
  <c r="E140" i="35"/>
  <c r="E139" i="35"/>
  <c r="E138" i="35"/>
  <c r="E137" i="35"/>
  <c r="E136" i="35"/>
  <c r="E135" i="35"/>
  <c r="D134" i="35"/>
  <c r="D128" i="35" s="1"/>
  <c r="C134" i="35"/>
  <c r="E133" i="35"/>
  <c r="E132" i="35"/>
  <c r="E131" i="35"/>
  <c r="E130" i="35"/>
  <c r="E129" i="35"/>
  <c r="C128" i="35"/>
  <c r="E127" i="35"/>
  <c r="E126" i="35"/>
  <c r="E125" i="35"/>
  <c r="E124" i="35"/>
  <c r="D123" i="35"/>
  <c r="C123" i="35"/>
  <c r="E122" i="35"/>
  <c r="E121" i="35"/>
  <c r="E120" i="35"/>
  <c r="E119" i="35"/>
  <c r="E118" i="35"/>
  <c r="E117" i="35"/>
  <c r="E116" i="35"/>
  <c r="E115" i="35"/>
  <c r="D114" i="35"/>
  <c r="C114" i="35"/>
  <c r="E113" i="35"/>
  <c r="E112" i="35"/>
  <c r="D111" i="35"/>
  <c r="E110" i="35"/>
  <c r="E109" i="35"/>
  <c r="E108" i="35"/>
  <c r="E107" i="35"/>
  <c r="E106" i="35"/>
  <c r="D105" i="35"/>
  <c r="C105" i="35"/>
  <c r="E104" i="35"/>
  <c r="E103" i="35"/>
  <c r="E102" i="35"/>
  <c r="D101" i="35"/>
  <c r="C101" i="35"/>
  <c r="E100" i="35"/>
  <c r="E99" i="35"/>
  <c r="E98" i="35"/>
  <c r="E97" i="35"/>
  <c r="E96" i="35"/>
  <c r="E95" i="35"/>
  <c r="E94" i="35"/>
  <c r="E93" i="35"/>
  <c r="E92" i="35"/>
  <c r="E90" i="35"/>
  <c r="D89" i="35"/>
  <c r="D88" i="35" s="1"/>
  <c r="C89" i="35"/>
  <c r="E84" i="35"/>
  <c r="E83" i="35"/>
  <c r="E81" i="35"/>
  <c r="E80" i="35"/>
  <c r="D79" i="35"/>
  <c r="C79" i="35"/>
  <c r="C75" i="35" s="1"/>
  <c r="E78" i="35"/>
  <c r="E77" i="35"/>
  <c r="E76" i="35"/>
  <c r="E71" i="35"/>
  <c r="D70" i="35"/>
  <c r="C70" i="35"/>
  <c r="E69" i="35"/>
  <c r="E68" i="35"/>
  <c r="D67" i="35"/>
  <c r="C67" i="35"/>
  <c r="E66" i="35"/>
  <c r="E65" i="35"/>
  <c r="E64" i="35"/>
  <c r="E63" i="35"/>
  <c r="E62" i="35"/>
  <c r="D61" i="35"/>
  <c r="C61" i="35"/>
  <c r="E60" i="35"/>
  <c r="E59" i="35"/>
  <c r="E58" i="35"/>
  <c r="E57" i="35"/>
  <c r="E56" i="35"/>
  <c r="E55" i="35"/>
  <c r="E54" i="35"/>
  <c r="E53" i="35"/>
  <c r="E52" i="35"/>
  <c r="E51" i="35"/>
  <c r="E50" i="35"/>
  <c r="D49" i="35"/>
  <c r="D45" i="35" s="1"/>
  <c r="C49" i="35"/>
  <c r="E48" i="35"/>
  <c r="E47" i="35"/>
  <c r="E46" i="35"/>
  <c r="E44" i="35"/>
  <c r="E43" i="35"/>
  <c r="E42" i="35"/>
  <c r="E41" i="35"/>
  <c r="E40" i="35"/>
  <c r="E39" i="35"/>
  <c r="D38" i="35"/>
  <c r="C38" i="35"/>
  <c r="E37" i="35"/>
  <c r="E36" i="35"/>
  <c r="E35" i="35"/>
  <c r="D34" i="35"/>
  <c r="C34" i="35"/>
  <c r="E33" i="35"/>
  <c r="E32" i="35"/>
  <c r="D31" i="35"/>
  <c r="C31" i="35"/>
  <c r="D30" i="35"/>
  <c r="E29" i="35"/>
  <c r="E28" i="35"/>
  <c r="E27" i="35"/>
  <c r="D26" i="35"/>
  <c r="C26" i="35"/>
  <c r="E24" i="35"/>
  <c r="E23" i="35"/>
  <c r="D22" i="35"/>
  <c r="C22" i="35"/>
  <c r="E21" i="35"/>
  <c r="E20" i="35"/>
  <c r="E19" i="35"/>
  <c r="E18" i="35"/>
  <c r="E17" i="35"/>
  <c r="E16" i="35"/>
  <c r="E15" i="35"/>
  <c r="E14" i="35"/>
  <c r="E13" i="35"/>
  <c r="E12" i="35"/>
  <c r="E11" i="35"/>
  <c r="D10" i="35"/>
  <c r="D9" i="35" s="1"/>
  <c r="C10" i="35"/>
  <c r="E150" i="36"/>
  <c r="E149" i="36"/>
  <c r="E148" i="36"/>
  <c r="E147" i="36"/>
  <c r="E145" i="36"/>
  <c r="E144" i="36"/>
  <c r="D143" i="36"/>
  <c r="C143" i="36"/>
  <c r="E141" i="36"/>
  <c r="E140" i="36"/>
  <c r="E139" i="36"/>
  <c r="E138" i="36"/>
  <c r="E137" i="36"/>
  <c r="E136" i="36"/>
  <c r="E135" i="36"/>
  <c r="D134" i="36"/>
  <c r="D128" i="36" s="1"/>
  <c r="C134" i="36"/>
  <c r="E133" i="36"/>
  <c r="E132" i="36"/>
  <c r="E131" i="36"/>
  <c r="E130" i="36"/>
  <c r="E129" i="36"/>
  <c r="E127" i="36"/>
  <c r="E126" i="36"/>
  <c r="E125" i="36"/>
  <c r="E124" i="36"/>
  <c r="D123" i="36"/>
  <c r="C123" i="36"/>
  <c r="E122" i="36"/>
  <c r="E121" i="36"/>
  <c r="E120" i="36"/>
  <c r="E119" i="36"/>
  <c r="E118" i="36"/>
  <c r="E117" i="36"/>
  <c r="E116" i="36"/>
  <c r="E115" i="36"/>
  <c r="D114" i="36"/>
  <c r="C114" i="36"/>
  <c r="E113" i="36"/>
  <c r="E112" i="36"/>
  <c r="D111" i="36"/>
  <c r="C111" i="36"/>
  <c r="E110" i="36"/>
  <c r="E109" i="36"/>
  <c r="E108" i="36"/>
  <c r="E107" i="36"/>
  <c r="E106" i="36"/>
  <c r="D105" i="36"/>
  <c r="C105" i="36"/>
  <c r="E104" i="36"/>
  <c r="E103" i="36"/>
  <c r="E102" i="36"/>
  <c r="D101" i="36"/>
  <c r="C101" i="36"/>
  <c r="E100" i="36"/>
  <c r="E99" i="36"/>
  <c r="E98" i="36"/>
  <c r="E97" i="36"/>
  <c r="E96" i="36"/>
  <c r="E95" i="36"/>
  <c r="E94" i="36"/>
  <c r="E93" i="36"/>
  <c r="E92" i="36"/>
  <c r="E90" i="36"/>
  <c r="D89" i="36"/>
  <c r="D88" i="36" s="1"/>
  <c r="C89" i="36"/>
  <c r="E84" i="36"/>
  <c r="E83" i="36"/>
  <c r="E81" i="36"/>
  <c r="E80" i="36"/>
  <c r="D79" i="36"/>
  <c r="C79" i="36"/>
  <c r="E78" i="36"/>
  <c r="E77" i="36"/>
  <c r="E76" i="36"/>
  <c r="E71" i="36"/>
  <c r="D70" i="36"/>
  <c r="C70" i="36"/>
  <c r="E69" i="36"/>
  <c r="E68" i="36"/>
  <c r="D67" i="36"/>
  <c r="C67" i="36"/>
  <c r="E66" i="36"/>
  <c r="E65" i="36"/>
  <c r="E64" i="36"/>
  <c r="E63" i="36"/>
  <c r="E62" i="36"/>
  <c r="D61" i="36"/>
  <c r="C61" i="36"/>
  <c r="E60" i="36"/>
  <c r="E59" i="36"/>
  <c r="E58" i="36"/>
  <c r="E57" i="36"/>
  <c r="E56" i="36"/>
  <c r="E55" i="36"/>
  <c r="E54" i="36"/>
  <c r="E53" i="36"/>
  <c r="E52" i="36"/>
  <c r="E51" i="36"/>
  <c r="E50" i="36"/>
  <c r="D49" i="36"/>
  <c r="D45" i="36" s="1"/>
  <c r="C49" i="36"/>
  <c r="E48" i="36"/>
  <c r="E47" i="36"/>
  <c r="E46" i="36"/>
  <c r="E44" i="36"/>
  <c r="E43" i="36"/>
  <c r="E42" i="36"/>
  <c r="E41" i="36"/>
  <c r="E40" i="36"/>
  <c r="E39" i="36"/>
  <c r="D38" i="36"/>
  <c r="C38" i="36"/>
  <c r="E37" i="36"/>
  <c r="E36" i="36"/>
  <c r="E35" i="36"/>
  <c r="D34" i="36"/>
  <c r="C34" i="36"/>
  <c r="E33" i="36"/>
  <c r="E32" i="36"/>
  <c r="D31" i="36"/>
  <c r="C31" i="36"/>
  <c r="C30" i="36" s="1"/>
  <c r="E29" i="36"/>
  <c r="E28" i="36"/>
  <c r="E27" i="36"/>
  <c r="D26" i="36"/>
  <c r="C26" i="36"/>
  <c r="E24" i="36"/>
  <c r="E23" i="36"/>
  <c r="D22" i="36"/>
  <c r="C22" i="36"/>
  <c r="E21" i="36"/>
  <c r="E20" i="36"/>
  <c r="E19" i="36"/>
  <c r="E18" i="36"/>
  <c r="E17" i="36"/>
  <c r="E16" i="36"/>
  <c r="E15" i="36"/>
  <c r="E14" i="36"/>
  <c r="E13" i="36"/>
  <c r="E12" i="36"/>
  <c r="E11" i="36"/>
  <c r="D10" i="36"/>
  <c r="C10" i="36"/>
  <c r="D9" i="36"/>
  <c r="E150" i="37"/>
  <c r="E149" i="37"/>
  <c r="E148" i="37"/>
  <c r="E147" i="37"/>
  <c r="E145" i="37"/>
  <c r="E144" i="37"/>
  <c r="D143" i="37"/>
  <c r="C143" i="37"/>
  <c r="E141" i="37"/>
  <c r="E140" i="37"/>
  <c r="E139" i="37"/>
  <c r="E138" i="37"/>
  <c r="E137" i="37"/>
  <c r="E136" i="37"/>
  <c r="E135" i="37"/>
  <c r="D134" i="37"/>
  <c r="D128" i="37" s="1"/>
  <c r="C134" i="37"/>
  <c r="E133" i="37"/>
  <c r="E132" i="37"/>
  <c r="E131" i="37"/>
  <c r="E130" i="37"/>
  <c r="E129" i="37"/>
  <c r="C128" i="37"/>
  <c r="E127" i="37"/>
  <c r="E126" i="37"/>
  <c r="E125" i="37"/>
  <c r="E124" i="37"/>
  <c r="D123" i="37"/>
  <c r="C123" i="37"/>
  <c r="E122" i="37"/>
  <c r="E121" i="37"/>
  <c r="E120" i="37"/>
  <c r="E119" i="37"/>
  <c r="E118" i="37"/>
  <c r="E117" i="37"/>
  <c r="E116" i="37"/>
  <c r="E115" i="37"/>
  <c r="D114" i="37"/>
  <c r="E113" i="37"/>
  <c r="E112" i="37"/>
  <c r="C111" i="37"/>
  <c r="E110" i="37"/>
  <c r="E109" i="37"/>
  <c r="E108" i="37"/>
  <c r="E107" i="37"/>
  <c r="E106" i="37"/>
  <c r="D105" i="37"/>
  <c r="C105" i="37"/>
  <c r="E104" i="37"/>
  <c r="E103" i="37"/>
  <c r="E102" i="37"/>
  <c r="D101" i="37"/>
  <c r="C101" i="37"/>
  <c r="E100" i="37"/>
  <c r="E99" i="37"/>
  <c r="E98" i="37"/>
  <c r="E97" i="37"/>
  <c r="E96" i="37"/>
  <c r="E95" i="37"/>
  <c r="E94" i="37"/>
  <c r="E93" i="37"/>
  <c r="E90" i="37"/>
  <c r="D89" i="37"/>
  <c r="C89" i="37"/>
  <c r="E84" i="37"/>
  <c r="E83" i="37"/>
  <c r="E81" i="37"/>
  <c r="E80" i="37"/>
  <c r="D79" i="37"/>
  <c r="D75" i="37" s="1"/>
  <c r="D74" i="37" s="1"/>
  <c r="C79" i="37"/>
  <c r="C75" i="37" s="1"/>
  <c r="E78" i="37"/>
  <c r="E77" i="37"/>
  <c r="E76" i="37"/>
  <c r="E71" i="37"/>
  <c r="D70" i="37"/>
  <c r="C70" i="37"/>
  <c r="E69" i="37"/>
  <c r="E68" i="37"/>
  <c r="D67" i="37"/>
  <c r="C67" i="37"/>
  <c r="E66" i="37"/>
  <c r="E65" i="37"/>
  <c r="E64" i="37"/>
  <c r="E63" i="37"/>
  <c r="E62" i="37"/>
  <c r="D61" i="37"/>
  <c r="C61" i="37"/>
  <c r="E60" i="37"/>
  <c r="E59" i="37"/>
  <c r="E58" i="37"/>
  <c r="E57" i="37"/>
  <c r="E56" i="37"/>
  <c r="E55" i="37"/>
  <c r="E54" i="37"/>
  <c r="E53" i="37"/>
  <c r="E52" i="37"/>
  <c r="E51" i="37"/>
  <c r="E50" i="37"/>
  <c r="D49" i="37"/>
  <c r="D45" i="37" s="1"/>
  <c r="C49" i="37"/>
  <c r="E48" i="37"/>
  <c r="E47" i="37"/>
  <c r="E46" i="37"/>
  <c r="C45" i="37"/>
  <c r="E44" i="37"/>
  <c r="E43" i="37"/>
  <c r="E42" i="37"/>
  <c r="E41" i="37"/>
  <c r="E40" i="37"/>
  <c r="E39" i="37"/>
  <c r="D38" i="37"/>
  <c r="C38" i="37"/>
  <c r="E37" i="37"/>
  <c r="E36" i="37"/>
  <c r="E35" i="37"/>
  <c r="D34" i="37"/>
  <c r="C34" i="37"/>
  <c r="E33" i="37"/>
  <c r="E32" i="37"/>
  <c r="D31" i="37"/>
  <c r="D30" i="37" s="1"/>
  <c r="C31" i="37"/>
  <c r="E29" i="37"/>
  <c r="E28" i="37"/>
  <c r="E27" i="37"/>
  <c r="D26" i="37"/>
  <c r="C26" i="37"/>
  <c r="E24" i="37"/>
  <c r="E23" i="37"/>
  <c r="D22" i="37"/>
  <c r="C22" i="37"/>
  <c r="E21" i="37"/>
  <c r="E20" i="37"/>
  <c r="E19" i="37"/>
  <c r="E18" i="37"/>
  <c r="E17" i="37"/>
  <c r="E16" i="37"/>
  <c r="E15" i="37"/>
  <c r="E14" i="37"/>
  <c r="E13" i="37"/>
  <c r="E12" i="37"/>
  <c r="E11" i="37"/>
  <c r="D10" i="37"/>
  <c r="C10" i="37"/>
  <c r="D9" i="37"/>
  <c r="E150" i="32"/>
  <c r="E149" i="32"/>
  <c r="E148" i="32"/>
  <c r="E147" i="32"/>
  <c r="E145" i="32"/>
  <c r="E144" i="32"/>
  <c r="D143" i="32"/>
  <c r="C143" i="32"/>
  <c r="E141" i="32"/>
  <c r="E140" i="32"/>
  <c r="E139" i="32"/>
  <c r="E138" i="32"/>
  <c r="E137" i="32"/>
  <c r="E136" i="32"/>
  <c r="E135" i="32"/>
  <c r="D134" i="32"/>
  <c r="D128" i="32" s="1"/>
  <c r="C134" i="32"/>
  <c r="E133" i="32"/>
  <c r="E132" i="32"/>
  <c r="E131" i="32"/>
  <c r="E130" i="32"/>
  <c r="E129" i="32"/>
  <c r="E127" i="32"/>
  <c r="E126" i="32"/>
  <c r="E125" i="32"/>
  <c r="E124" i="32"/>
  <c r="D123" i="32"/>
  <c r="C123" i="32"/>
  <c r="E122" i="32"/>
  <c r="E121" i="32"/>
  <c r="E120" i="32"/>
  <c r="E119" i="32"/>
  <c r="E118" i="32"/>
  <c r="E117" i="32"/>
  <c r="E116" i="32"/>
  <c r="E115" i="32"/>
  <c r="D114" i="32"/>
  <c r="C114" i="32"/>
  <c r="E113" i="32"/>
  <c r="E112" i="32"/>
  <c r="D111" i="32"/>
  <c r="E110" i="32"/>
  <c r="E109" i="32"/>
  <c r="E108" i="32"/>
  <c r="E107" i="32"/>
  <c r="E106" i="32"/>
  <c r="D105" i="32"/>
  <c r="C105" i="32"/>
  <c r="E104" i="32"/>
  <c r="E103" i="32"/>
  <c r="E102" i="32"/>
  <c r="D101" i="32"/>
  <c r="C101" i="32"/>
  <c r="E100" i="32"/>
  <c r="E99" i="32"/>
  <c r="E98" i="32"/>
  <c r="E97" i="32"/>
  <c r="E96" i="32"/>
  <c r="E95" i="32"/>
  <c r="E94" i="32"/>
  <c r="E93" i="32"/>
  <c r="E92" i="32"/>
  <c r="E90" i="32"/>
  <c r="D89" i="32"/>
  <c r="D88" i="32" s="1"/>
  <c r="C89" i="32"/>
  <c r="E84" i="32"/>
  <c r="E83" i="32"/>
  <c r="E81" i="32"/>
  <c r="E80" i="32"/>
  <c r="D79" i="32"/>
  <c r="C79" i="32"/>
  <c r="E78" i="32"/>
  <c r="E77" i="32"/>
  <c r="E76" i="32"/>
  <c r="E71" i="32"/>
  <c r="D70" i="32"/>
  <c r="C70" i="32"/>
  <c r="E69" i="32"/>
  <c r="E68" i="32"/>
  <c r="D67" i="32"/>
  <c r="C67" i="32"/>
  <c r="E66" i="32"/>
  <c r="E65" i="32"/>
  <c r="E64" i="32"/>
  <c r="E63" i="32"/>
  <c r="E62" i="32"/>
  <c r="D61" i="32"/>
  <c r="C61" i="32"/>
  <c r="E60" i="32"/>
  <c r="E59" i="32"/>
  <c r="E58" i="32"/>
  <c r="E57" i="32"/>
  <c r="E56" i="32"/>
  <c r="E55" i="32"/>
  <c r="E54" i="32"/>
  <c r="E53" i="32"/>
  <c r="E52" i="32"/>
  <c r="E51" i="32"/>
  <c r="E50" i="32"/>
  <c r="D49" i="32"/>
  <c r="D45" i="32" s="1"/>
  <c r="C49" i="32"/>
  <c r="E48" i="32"/>
  <c r="E47" i="32"/>
  <c r="E46" i="32"/>
  <c r="E44" i="32"/>
  <c r="E43" i="32"/>
  <c r="E42" i="32"/>
  <c r="E41" i="32"/>
  <c r="E40" i="32"/>
  <c r="E39" i="32"/>
  <c r="D38" i="32"/>
  <c r="C38" i="32"/>
  <c r="E37" i="32"/>
  <c r="E36" i="32"/>
  <c r="E35" i="32"/>
  <c r="D34" i="32"/>
  <c r="C34" i="32"/>
  <c r="E33" i="32"/>
  <c r="E32" i="32"/>
  <c r="D31" i="32"/>
  <c r="C31" i="32"/>
  <c r="C30" i="32" s="1"/>
  <c r="E29" i="32"/>
  <c r="E28" i="32"/>
  <c r="E27" i="32"/>
  <c r="D26" i="32"/>
  <c r="C26" i="32"/>
  <c r="E24" i="32"/>
  <c r="E23" i="32"/>
  <c r="D22" i="32"/>
  <c r="C22" i="32"/>
  <c r="E21" i="32"/>
  <c r="E20" i="32"/>
  <c r="E19" i="32"/>
  <c r="E18" i="32"/>
  <c r="E17" i="32"/>
  <c r="E16" i="32"/>
  <c r="E15" i="32"/>
  <c r="E14" i="32"/>
  <c r="E13" i="32"/>
  <c r="E12" i="32"/>
  <c r="E11" i="32"/>
  <c r="D10" i="32"/>
  <c r="D9" i="32" s="1"/>
  <c r="C10" i="32"/>
  <c r="C9" i="32" s="1"/>
  <c r="E150" i="31"/>
  <c r="E149" i="31"/>
  <c r="E148" i="31"/>
  <c r="E147" i="31"/>
  <c r="E145" i="31"/>
  <c r="E144" i="31"/>
  <c r="D143" i="31"/>
  <c r="C143" i="31"/>
  <c r="E141" i="31"/>
  <c r="E140" i="31"/>
  <c r="E139" i="31"/>
  <c r="E138" i="31"/>
  <c r="E137" i="31"/>
  <c r="E136" i="31"/>
  <c r="E135" i="31"/>
  <c r="D134" i="31"/>
  <c r="D128" i="31" s="1"/>
  <c r="C134" i="31"/>
  <c r="C128" i="31" s="1"/>
  <c r="E133" i="31"/>
  <c r="E132" i="31"/>
  <c r="E131" i="31"/>
  <c r="E130" i="31"/>
  <c r="E129" i="31"/>
  <c r="E127" i="31"/>
  <c r="E126" i="31"/>
  <c r="E125" i="31"/>
  <c r="E124" i="31"/>
  <c r="D123" i="31"/>
  <c r="C123" i="31"/>
  <c r="E122" i="31"/>
  <c r="E121" i="31"/>
  <c r="E120" i="31"/>
  <c r="E119" i="31"/>
  <c r="E118" i="31"/>
  <c r="E117" i="31"/>
  <c r="E116" i="31"/>
  <c r="E115" i="31"/>
  <c r="D114" i="31"/>
  <c r="C114" i="31"/>
  <c r="E113" i="31"/>
  <c r="E112" i="31"/>
  <c r="D111" i="31"/>
  <c r="E110" i="31"/>
  <c r="E109" i="31"/>
  <c r="E108" i="31"/>
  <c r="E107" i="31"/>
  <c r="E106" i="31"/>
  <c r="D105" i="31"/>
  <c r="C105" i="31"/>
  <c r="E104" i="31"/>
  <c r="E103" i="31"/>
  <c r="E102" i="31"/>
  <c r="D101" i="31"/>
  <c r="C101" i="31"/>
  <c r="E100" i="31"/>
  <c r="E99" i="31"/>
  <c r="E98" i="31"/>
  <c r="E97" i="31"/>
  <c r="E96" i="31"/>
  <c r="E95" i="31"/>
  <c r="E94" i="31"/>
  <c r="E93" i="31"/>
  <c r="E92" i="31"/>
  <c r="E90" i="31"/>
  <c r="D89" i="31"/>
  <c r="D88" i="31" s="1"/>
  <c r="C89" i="31"/>
  <c r="E84" i="31"/>
  <c r="E83" i="31"/>
  <c r="E81" i="31"/>
  <c r="E80" i="31"/>
  <c r="D79" i="31"/>
  <c r="C79" i="31"/>
  <c r="E78" i="31"/>
  <c r="E77" i="31"/>
  <c r="E76" i="31"/>
  <c r="E71" i="31"/>
  <c r="D70" i="31"/>
  <c r="C70" i="31"/>
  <c r="E69" i="31"/>
  <c r="E68" i="31"/>
  <c r="D67" i="31"/>
  <c r="C67" i="31"/>
  <c r="E66" i="31"/>
  <c r="E65" i="31"/>
  <c r="E64" i="31"/>
  <c r="E63" i="31"/>
  <c r="E62" i="31"/>
  <c r="D61" i="31"/>
  <c r="C61" i="31"/>
  <c r="E60" i="31"/>
  <c r="E59" i="31"/>
  <c r="E58" i="31"/>
  <c r="E57" i="31"/>
  <c r="E56" i="31"/>
  <c r="E55" i="31"/>
  <c r="E54" i="31"/>
  <c r="E53" i="31"/>
  <c r="E52" i="31"/>
  <c r="E51" i="31"/>
  <c r="E50" i="31"/>
  <c r="D49" i="31"/>
  <c r="D45" i="31" s="1"/>
  <c r="C49" i="31"/>
  <c r="E48" i="31"/>
  <c r="E47" i="31"/>
  <c r="E46" i="31"/>
  <c r="E44" i="31"/>
  <c r="E43" i="31"/>
  <c r="E42" i="31"/>
  <c r="E41" i="31"/>
  <c r="E40" i="31"/>
  <c r="E39" i="31"/>
  <c r="D38" i="31"/>
  <c r="C38" i="31"/>
  <c r="E37" i="31"/>
  <c r="E36" i="31"/>
  <c r="E35" i="31"/>
  <c r="D34" i="31"/>
  <c r="C34" i="31"/>
  <c r="E33" i="31"/>
  <c r="E32" i="31"/>
  <c r="D31" i="31"/>
  <c r="C31" i="31"/>
  <c r="C30" i="31" s="1"/>
  <c r="E29" i="31"/>
  <c r="E28" i="31"/>
  <c r="E27" i="31"/>
  <c r="D26" i="31"/>
  <c r="C26" i="31"/>
  <c r="E24" i="31"/>
  <c r="E23" i="31"/>
  <c r="D22" i="31"/>
  <c r="C22" i="31"/>
  <c r="E21" i="31"/>
  <c r="E20" i="31"/>
  <c r="E19" i="31"/>
  <c r="E18" i="31"/>
  <c r="E17" i="31"/>
  <c r="E16" i="31"/>
  <c r="E15" i="31"/>
  <c r="E14" i="31"/>
  <c r="E13" i="31"/>
  <c r="E12" i="31"/>
  <c r="E11" i="31"/>
  <c r="D10" i="31"/>
  <c r="D9" i="31" s="1"/>
  <c r="C10" i="31"/>
  <c r="C9" i="31" s="1"/>
  <c r="E150" i="30"/>
  <c r="E149" i="30"/>
  <c r="E148" i="30"/>
  <c r="E147" i="30"/>
  <c r="E145" i="30"/>
  <c r="E144" i="30"/>
  <c r="D143" i="30"/>
  <c r="C143" i="30"/>
  <c r="E141" i="30"/>
  <c r="E140" i="30"/>
  <c r="E139" i="30"/>
  <c r="E138" i="30"/>
  <c r="E137" i="30"/>
  <c r="E136" i="30"/>
  <c r="E135" i="30"/>
  <c r="D134" i="30"/>
  <c r="D128" i="30" s="1"/>
  <c r="C134" i="30"/>
  <c r="E133" i="30"/>
  <c r="E132" i="30"/>
  <c r="E131" i="30"/>
  <c r="E130" i="30"/>
  <c r="E129" i="30"/>
  <c r="E127" i="30"/>
  <c r="E126" i="30"/>
  <c r="E125" i="30"/>
  <c r="E124" i="30"/>
  <c r="D123" i="30"/>
  <c r="C123" i="30"/>
  <c r="AA122" i="4" s="1"/>
  <c r="AM122" i="4" s="1"/>
  <c r="E122" i="30"/>
  <c r="E121" i="30"/>
  <c r="E120" i="30"/>
  <c r="E119" i="30"/>
  <c r="E118" i="30"/>
  <c r="E117" i="30"/>
  <c r="E116" i="30"/>
  <c r="E115" i="30"/>
  <c r="D114" i="30"/>
  <c r="C114" i="30"/>
  <c r="AA113" i="4" s="1"/>
  <c r="AM113" i="4" s="1"/>
  <c r="E113" i="30"/>
  <c r="E112" i="30"/>
  <c r="D111" i="30"/>
  <c r="E110" i="30"/>
  <c r="E109" i="30"/>
  <c r="E108" i="30"/>
  <c r="E107" i="30"/>
  <c r="E106" i="30"/>
  <c r="D105" i="30"/>
  <c r="C105" i="30"/>
  <c r="E104" i="30"/>
  <c r="E103" i="30"/>
  <c r="E102" i="30"/>
  <c r="D101" i="30"/>
  <c r="C101" i="30"/>
  <c r="E100" i="30"/>
  <c r="E99" i="30"/>
  <c r="E98" i="30"/>
  <c r="E97" i="30"/>
  <c r="E96" i="30"/>
  <c r="E95" i="30"/>
  <c r="E94" i="30"/>
  <c r="E90" i="30"/>
  <c r="D89" i="30"/>
  <c r="C89" i="30"/>
  <c r="E84" i="30"/>
  <c r="E83" i="30"/>
  <c r="E81" i="30"/>
  <c r="E80" i="30"/>
  <c r="D79" i="30"/>
  <c r="C79" i="30"/>
  <c r="E78" i="30"/>
  <c r="E77" i="30"/>
  <c r="E76" i="30"/>
  <c r="E71" i="30"/>
  <c r="D70" i="30"/>
  <c r="C70" i="30"/>
  <c r="E69" i="30"/>
  <c r="E68" i="30"/>
  <c r="D67" i="30"/>
  <c r="C67" i="30"/>
  <c r="E66" i="30"/>
  <c r="E65" i="30"/>
  <c r="E64" i="30"/>
  <c r="E63" i="30"/>
  <c r="E62" i="30"/>
  <c r="D61" i="30"/>
  <c r="C61" i="30"/>
  <c r="E60" i="30"/>
  <c r="E59" i="30"/>
  <c r="E58" i="30"/>
  <c r="E57" i="30"/>
  <c r="E56" i="30"/>
  <c r="E55" i="30"/>
  <c r="E54" i="30"/>
  <c r="E53" i="30"/>
  <c r="E52" i="30"/>
  <c r="E51" i="30"/>
  <c r="E50" i="30"/>
  <c r="D49" i="30"/>
  <c r="D45" i="30" s="1"/>
  <c r="C49" i="30"/>
  <c r="E48" i="30"/>
  <c r="E47" i="30"/>
  <c r="E46" i="30"/>
  <c r="E44" i="30"/>
  <c r="E43" i="30"/>
  <c r="E42" i="30"/>
  <c r="E41" i="30"/>
  <c r="E40" i="30"/>
  <c r="E39" i="30"/>
  <c r="D38" i="30"/>
  <c r="C38" i="30"/>
  <c r="E37" i="30"/>
  <c r="E36" i="30"/>
  <c r="E35" i="30"/>
  <c r="D34" i="30"/>
  <c r="C34" i="30"/>
  <c r="E33" i="30"/>
  <c r="E32" i="30"/>
  <c r="D31" i="30"/>
  <c r="C31" i="30"/>
  <c r="C30" i="30" s="1"/>
  <c r="E29" i="30"/>
  <c r="E28" i="30"/>
  <c r="E27" i="30"/>
  <c r="D26" i="30"/>
  <c r="C26" i="30"/>
  <c r="E24" i="30"/>
  <c r="E23" i="30"/>
  <c r="D22" i="30"/>
  <c r="C22" i="30"/>
  <c r="E21" i="30"/>
  <c r="E20" i="30"/>
  <c r="E19" i="30"/>
  <c r="E18" i="30"/>
  <c r="E17" i="30"/>
  <c r="E16" i="30"/>
  <c r="E15" i="30"/>
  <c r="E14" i="30"/>
  <c r="E13" i="30"/>
  <c r="E12" i="30"/>
  <c r="E11" i="30"/>
  <c r="D10" i="30"/>
  <c r="D9" i="30" s="1"/>
  <c r="C10" i="30"/>
  <c r="C9" i="30" s="1"/>
  <c r="E150" i="29"/>
  <c r="E149" i="29"/>
  <c r="E148" i="29"/>
  <c r="E147" i="29"/>
  <c r="E145" i="29"/>
  <c r="E144" i="29"/>
  <c r="D143" i="29"/>
  <c r="C143" i="29"/>
  <c r="E141" i="29"/>
  <c r="E140" i="29"/>
  <c r="E139" i="29"/>
  <c r="E138" i="29"/>
  <c r="E137" i="29"/>
  <c r="E136" i="29"/>
  <c r="E135" i="29"/>
  <c r="D134" i="29"/>
  <c r="D128" i="29" s="1"/>
  <c r="C134" i="29"/>
  <c r="E133" i="29"/>
  <c r="E132" i="29"/>
  <c r="E131" i="29"/>
  <c r="E130" i="29"/>
  <c r="E129" i="29"/>
  <c r="E127" i="29"/>
  <c r="E126" i="29"/>
  <c r="E125" i="29"/>
  <c r="E124" i="29"/>
  <c r="D123" i="29"/>
  <c r="C123" i="29"/>
  <c r="E122" i="29"/>
  <c r="E121" i="29"/>
  <c r="E120" i="29"/>
  <c r="E119" i="29"/>
  <c r="E118" i="29"/>
  <c r="E117" i="29"/>
  <c r="E116" i="29"/>
  <c r="E115" i="29"/>
  <c r="D114" i="29"/>
  <c r="C114" i="29"/>
  <c r="C111" i="29" s="1"/>
  <c r="E113" i="29"/>
  <c r="E112" i="29"/>
  <c r="E110" i="29"/>
  <c r="E109" i="29"/>
  <c r="E108" i="29"/>
  <c r="E107" i="29"/>
  <c r="E106" i="29"/>
  <c r="D105" i="29"/>
  <c r="C105" i="29"/>
  <c r="E104" i="29"/>
  <c r="E103" i="29"/>
  <c r="E102" i="29"/>
  <c r="D101" i="29"/>
  <c r="C101" i="29"/>
  <c r="E100" i="29"/>
  <c r="E99" i="29"/>
  <c r="E98" i="29"/>
  <c r="E97" i="29"/>
  <c r="E96" i="29"/>
  <c r="E95" i="29"/>
  <c r="E94" i="29"/>
  <c r="E93" i="29"/>
  <c r="E92" i="29"/>
  <c r="E90" i="29"/>
  <c r="D89" i="29"/>
  <c r="C88" i="29"/>
  <c r="E84" i="29"/>
  <c r="E83" i="29"/>
  <c r="E81" i="29"/>
  <c r="E80" i="29"/>
  <c r="D79" i="29"/>
  <c r="D75" i="29" s="1"/>
  <c r="D74" i="29" s="1"/>
  <c r="C79" i="29"/>
  <c r="E78" i="29"/>
  <c r="E77" i="29"/>
  <c r="E76" i="29"/>
  <c r="E71" i="29"/>
  <c r="D70" i="29"/>
  <c r="C70" i="29"/>
  <c r="E69" i="29"/>
  <c r="E68" i="29"/>
  <c r="D67" i="29"/>
  <c r="C67" i="29"/>
  <c r="E66" i="29"/>
  <c r="E65" i="29"/>
  <c r="E64" i="29"/>
  <c r="E63" i="29"/>
  <c r="E62" i="29"/>
  <c r="D61" i="29"/>
  <c r="C61" i="29"/>
  <c r="E60" i="29"/>
  <c r="E59" i="29"/>
  <c r="E58" i="29"/>
  <c r="E57" i="29"/>
  <c r="E56" i="29"/>
  <c r="E55" i="29"/>
  <c r="E54" i="29"/>
  <c r="E53" i="29"/>
  <c r="E52" i="29"/>
  <c r="E51" i="29"/>
  <c r="E50" i="29"/>
  <c r="D49" i="29"/>
  <c r="D45" i="29" s="1"/>
  <c r="C49" i="29"/>
  <c r="E48" i="29"/>
  <c r="E47" i="29"/>
  <c r="E46" i="29"/>
  <c r="C45" i="29"/>
  <c r="E44" i="29"/>
  <c r="E43" i="29"/>
  <c r="E42" i="29"/>
  <c r="E41" i="29"/>
  <c r="E40" i="29"/>
  <c r="E39" i="29"/>
  <c r="D38" i="29"/>
  <c r="C38" i="29"/>
  <c r="E37" i="29"/>
  <c r="E36" i="29"/>
  <c r="E35" i="29"/>
  <c r="D34" i="29"/>
  <c r="C34" i="29"/>
  <c r="E33" i="29"/>
  <c r="E32" i="29"/>
  <c r="D31" i="29"/>
  <c r="D30" i="29" s="1"/>
  <c r="C31" i="29"/>
  <c r="E29" i="29"/>
  <c r="E28" i="29"/>
  <c r="E27" i="29"/>
  <c r="D26" i="29"/>
  <c r="C26" i="29"/>
  <c r="E24" i="29"/>
  <c r="E23" i="29"/>
  <c r="D22" i="29"/>
  <c r="C22" i="29"/>
  <c r="E21" i="29"/>
  <c r="E20" i="29"/>
  <c r="E19" i="29"/>
  <c r="E18" i="29"/>
  <c r="E17" i="29"/>
  <c r="E16" i="29"/>
  <c r="E15" i="29"/>
  <c r="E14" i="29"/>
  <c r="E13" i="29"/>
  <c r="E12" i="29"/>
  <c r="E11" i="29"/>
  <c r="D10" i="29"/>
  <c r="C10" i="29"/>
  <c r="D9" i="29"/>
  <c r="E150" i="28"/>
  <c r="E149" i="28"/>
  <c r="E148" i="28"/>
  <c r="E147" i="28"/>
  <c r="E145" i="28"/>
  <c r="E144" i="28"/>
  <c r="D143" i="28"/>
  <c r="C143" i="28"/>
  <c r="E141" i="28"/>
  <c r="E140" i="28"/>
  <c r="E139" i="28"/>
  <c r="E138" i="28"/>
  <c r="E137" i="28"/>
  <c r="E136" i="28"/>
  <c r="E135" i="28"/>
  <c r="D134" i="28"/>
  <c r="D128" i="28" s="1"/>
  <c r="C134" i="28"/>
  <c r="E133" i="28"/>
  <c r="E132" i="28"/>
  <c r="E131" i="28"/>
  <c r="E130" i="28"/>
  <c r="E129" i="28"/>
  <c r="C128" i="28"/>
  <c r="E127" i="28"/>
  <c r="E126" i="28"/>
  <c r="E125" i="28"/>
  <c r="E124" i="28"/>
  <c r="D123" i="28"/>
  <c r="C123" i="28"/>
  <c r="E122" i="28"/>
  <c r="E121" i="28"/>
  <c r="E120" i="28"/>
  <c r="E119" i="28"/>
  <c r="E118" i="28"/>
  <c r="E117" i="28"/>
  <c r="E116" i="28"/>
  <c r="E115" i="28"/>
  <c r="D114" i="28"/>
  <c r="C114" i="28"/>
  <c r="E113" i="28"/>
  <c r="E112" i="28"/>
  <c r="E110" i="28"/>
  <c r="E109" i="28"/>
  <c r="E108" i="28"/>
  <c r="E107" i="28"/>
  <c r="E106" i="28"/>
  <c r="D105" i="28"/>
  <c r="C105" i="28"/>
  <c r="E104" i="28"/>
  <c r="E103" i="28"/>
  <c r="E102" i="28"/>
  <c r="D101" i="28"/>
  <c r="C101" i="28"/>
  <c r="E100" i="28"/>
  <c r="E99" i="28"/>
  <c r="E98" i="28"/>
  <c r="E97" i="28"/>
  <c r="E96" i="28"/>
  <c r="E95" i="28"/>
  <c r="E94" i="28"/>
  <c r="E93" i="28"/>
  <c r="E92" i="28"/>
  <c r="E90" i="28"/>
  <c r="D89" i="28"/>
  <c r="D88" i="28" s="1"/>
  <c r="C89" i="28"/>
  <c r="E84" i="28"/>
  <c r="E83" i="28"/>
  <c r="E81" i="28"/>
  <c r="E80" i="28"/>
  <c r="D79" i="28"/>
  <c r="C79" i="28"/>
  <c r="C75" i="28" s="1"/>
  <c r="C74" i="28" s="1"/>
  <c r="E78" i="28"/>
  <c r="E77" i="28"/>
  <c r="E76" i="28"/>
  <c r="E71" i="28"/>
  <c r="D70" i="28"/>
  <c r="C70" i="28"/>
  <c r="E69" i="28"/>
  <c r="E68" i="28"/>
  <c r="D67" i="28"/>
  <c r="C67" i="28"/>
  <c r="E66" i="28"/>
  <c r="E65" i="28"/>
  <c r="E64" i="28"/>
  <c r="E63" i="28"/>
  <c r="E62" i="28"/>
  <c r="D61" i="28"/>
  <c r="C61" i="28"/>
  <c r="E60" i="28"/>
  <c r="E59" i="28"/>
  <c r="E58" i="28"/>
  <c r="E57" i="28"/>
  <c r="E56" i="28"/>
  <c r="E55" i="28"/>
  <c r="E54" i="28"/>
  <c r="E53" i="28"/>
  <c r="E52" i="28"/>
  <c r="E51" i="28"/>
  <c r="E50" i="28"/>
  <c r="D49" i="28"/>
  <c r="D45" i="28" s="1"/>
  <c r="C49" i="28"/>
  <c r="E48" i="28"/>
  <c r="E47" i="28"/>
  <c r="E46" i="28"/>
  <c r="E44" i="28"/>
  <c r="E43" i="28"/>
  <c r="E42" i="28"/>
  <c r="E41" i="28"/>
  <c r="E40" i="28"/>
  <c r="E39" i="28"/>
  <c r="D38" i="28"/>
  <c r="C38" i="28"/>
  <c r="E37" i="28"/>
  <c r="E36" i="28"/>
  <c r="E35" i="28"/>
  <c r="D34" i="28"/>
  <c r="C34" i="28"/>
  <c r="E33" i="28"/>
  <c r="E32" i="28"/>
  <c r="D31" i="28"/>
  <c r="C31" i="28"/>
  <c r="D30" i="28"/>
  <c r="E29" i="28"/>
  <c r="E28" i="28"/>
  <c r="E27" i="28"/>
  <c r="D26" i="28"/>
  <c r="C26" i="28"/>
  <c r="E24" i="28"/>
  <c r="E23" i="28"/>
  <c r="D22" i="28"/>
  <c r="C22" i="28"/>
  <c r="E21" i="28"/>
  <c r="E20" i="28"/>
  <c r="E19" i="28"/>
  <c r="E18" i="28"/>
  <c r="E17" i="28"/>
  <c r="E16" i="28"/>
  <c r="E15" i="28"/>
  <c r="E14" i="28"/>
  <c r="E13" i="28"/>
  <c r="E12" i="28"/>
  <c r="E11" i="28"/>
  <c r="D10" i="28"/>
  <c r="D9" i="28" s="1"/>
  <c r="C10" i="28"/>
  <c r="E150" i="27"/>
  <c r="E149" i="27"/>
  <c r="E148" i="27"/>
  <c r="E147" i="27"/>
  <c r="E145" i="27"/>
  <c r="E144" i="27"/>
  <c r="D143" i="27"/>
  <c r="C143" i="27"/>
  <c r="E141" i="27"/>
  <c r="E140" i="27"/>
  <c r="E139" i="27"/>
  <c r="E138" i="27"/>
  <c r="E137" i="27"/>
  <c r="E136" i="27"/>
  <c r="E135" i="27"/>
  <c r="D134" i="27"/>
  <c r="D128" i="27" s="1"/>
  <c r="C134" i="27"/>
  <c r="E133" i="27"/>
  <c r="E132" i="27"/>
  <c r="E131" i="27"/>
  <c r="E130" i="27"/>
  <c r="E129" i="27"/>
  <c r="E127" i="27"/>
  <c r="E126" i="27"/>
  <c r="E125" i="27"/>
  <c r="E124" i="27"/>
  <c r="D123" i="27"/>
  <c r="C123" i="27"/>
  <c r="E122" i="27"/>
  <c r="E121" i="27"/>
  <c r="E120" i="27"/>
  <c r="E119" i="27"/>
  <c r="E118" i="27"/>
  <c r="E117" i="27"/>
  <c r="E116" i="27"/>
  <c r="E115" i="27"/>
  <c r="D114" i="27"/>
  <c r="C114" i="27"/>
  <c r="E113" i="27"/>
  <c r="E112" i="27"/>
  <c r="D111" i="27"/>
  <c r="C111" i="27"/>
  <c r="E110" i="27"/>
  <c r="E109" i="27"/>
  <c r="E108" i="27"/>
  <c r="E107" i="27"/>
  <c r="E106" i="27"/>
  <c r="D105" i="27"/>
  <c r="C105" i="27"/>
  <c r="E104" i="27"/>
  <c r="E103" i="27"/>
  <c r="E102" i="27"/>
  <c r="D101" i="27"/>
  <c r="C101" i="27"/>
  <c r="E100" i="27"/>
  <c r="E99" i="27"/>
  <c r="E98" i="27"/>
  <c r="E97" i="27"/>
  <c r="E96" i="27"/>
  <c r="E95" i="27"/>
  <c r="E94" i="27"/>
  <c r="E93" i="27"/>
  <c r="E92" i="27"/>
  <c r="E90" i="27"/>
  <c r="D89" i="27"/>
  <c r="D88" i="27" s="1"/>
  <c r="C89" i="27"/>
  <c r="E84" i="27"/>
  <c r="E83" i="27"/>
  <c r="E81" i="27"/>
  <c r="E80" i="27"/>
  <c r="D79" i="27"/>
  <c r="C79" i="27"/>
  <c r="E78" i="27"/>
  <c r="E77" i="27"/>
  <c r="E76" i="27"/>
  <c r="E71" i="27"/>
  <c r="D70" i="27"/>
  <c r="C70" i="27"/>
  <c r="E69" i="27"/>
  <c r="E68" i="27"/>
  <c r="D67" i="27"/>
  <c r="C67" i="27"/>
  <c r="E66" i="27"/>
  <c r="E65" i="27"/>
  <c r="E64" i="27"/>
  <c r="E63" i="27"/>
  <c r="E62" i="27"/>
  <c r="D61" i="27"/>
  <c r="C61" i="27"/>
  <c r="E60" i="27"/>
  <c r="E59" i="27"/>
  <c r="E58" i="27"/>
  <c r="E57" i="27"/>
  <c r="E56" i="27"/>
  <c r="E55" i="27"/>
  <c r="E54" i="27"/>
  <c r="E53" i="27"/>
  <c r="E52" i="27"/>
  <c r="E51" i="27"/>
  <c r="E50" i="27"/>
  <c r="D49" i="27"/>
  <c r="D45" i="27" s="1"/>
  <c r="C49" i="27"/>
  <c r="E48" i="27"/>
  <c r="E47" i="27"/>
  <c r="E46" i="27"/>
  <c r="E44" i="27"/>
  <c r="E43" i="27"/>
  <c r="E42" i="27"/>
  <c r="E41" i="27"/>
  <c r="E40" i="27"/>
  <c r="E39" i="27"/>
  <c r="D38" i="27"/>
  <c r="C38" i="27"/>
  <c r="E37" i="27"/>
  <c r="E36" i="27"/>
  <c r="E35" i="27"/>
  <c r="D34" i="27"/>
  <c r="C34" i="27"/>
  <c r="E33" i="27"/>
  <c r="E32" i="27"/>
  <c r="D31" i="27"/>
  <c r="C31" i="27"/>
  <c r="C30" i="27" s="1"/>
  <c r="E29" i="27"/>
  <c r="E28" i="27"/>
  <c r="E27" i="27"/>
  <c r="D26" i="27"/>
  <c r="C26" i="27"/>
  <c r="E24" i="27"/>
  <c r="E23" i="27"/>
  <c r="D22" i="27"/>
  <c r="C22" i="27"/>
  <c r="E21" i="27"/>
  <c r="E20" i="27"/>
  <c r="E19" i="27"/>
  <c r="E18" i="27"/>
  <c r="E17" i="27"/>
  <c r="E16" i="27"/>
  <c r="E15" i="27"/>
  <c r="E14" i="27"/>
  <c r="E13" i="27"/>
  <c r="E12" i="27"/>
  <c r="E11" i="27"/>
  <c r="D10" i="27"/>
  <c r="D9" i="27" s="1"/>
  <c r="C10" i="27"/>
  <c r="E150" i="26"/>
  <c r="E149" i="26"/>
  <c r="E148" i="26"/>
  <c r="E147" i="26"/>
  <c r="E145" i="26"/>
  <c r="E144" i="26"/>
  <c r="D143" i="26"/>
  <c r="C143" i="26"/>
  <c r="E141" i="26"/>
  <c r="E140" i="26"/>
  <c r="E139" i="26"/>
  <c r="E138" i="26"/>
  <c r="E137" i="26"/>
  <c r="E136" i="26"/>
  <c r="E135" i="26"/>
  <c r="D134" i="26"/>
  <c r="D128" i="26" s="1"/>
  <c r="C134" i="26"/>
  <c r="E133" i="26"/>
  <c r="E132" i="26"/>
  <c r="E131" i="26"/>
  <c r="E130" i="26"/>
  <c r="E129" i="26"/>
  <c r="E127" i="26"/>
  <c r="E126" i="26"/>
  <c r="E125" i="26"/>
  <c r="E124" i="26"/>
  <c r="D123" i="26"/>
  <c r="C123" i="26"/>
  <c r="E122" i="26"/>
  <c r="E121" i="26"/>
  <c r="E120" i="26"/>
  <c r="E119" i="26"/>
  <c r="E118" i="26"/>
  <c r="E117" i="26"/>
  <c r="E116" i="26"/>
  <c r="E115" i="26"/>
  <c r="D114" i="26"/>
  <c r="C114" i="26"/>
  <c r="E113" i="26"/>
  <c r="E112" i="26"/>
  <c r="D111" i="26"/>
  <c r="E110" i="26"/>
  <c r="E109" i="26"/>
  <c r="E108" i="26"/>
  <c r="E107" i="26"/>
  <c r="E106" i="26"/>
  <c r="D105" i="26"/>
  <c r="C105" i="26"/>
  <c r="E104" i="26"/>
  <c r="E103" i="26"/>
  <c r="E102" i="26"/>
  <c r="D101" i="26"/>
  <c r="C101" i="26"/>
  <c r="E100" i="26"/>
  <c r="E99" i="26"/>
  <c r="E98" i="26"/>
  <c r="E97" i="26"/>
  <c r="E96" i="26"/>
  <c r="E95" i="26"/>
  <c r="E94" i="26"/>
  <c r="E93" i="26"/>
  <c r="E92" i="26"/>
  <c r="E90" i="26"/>
  <c r="D89" i="26"/>
  <c r="D88" i="26" s="1"/>
  <c r="C89" i="26"/>
  <c r="E84" i="26"/>
  <c r="E83" i="26"/>
  <c r="E81" i="26"/>
  <c r="E80" i="26"/>
  <c r="D79" i="26"/>
  <c r="C79" i="26"/>
  <c r="C75" i="26" s="1"/>
  <c r="C74" i="26" s="1"/>
  <c r="E78" i="26"/>
  <c r="E77" i="26"/>
  <c r="E76" i="26"/>
  <c r="E71" i="26"/>
  <c r="D70" i="26"/>
  <c r="C70" i="26"/>
  <c r="E69" i="26"/>
  <c r="E68" i="26"/>
  <c r="D67" i="26"/>
  <c r="C67" i="26"/>
  <c r="E66" i="26"/>
  <c r="E65" i="26"/>
  <c r="E64" i="26"/>
  <c r="E63" i="26"/>
  <c r="E62" i="26"/>
  <c r="D61" i="26"/>
  <c r="C61" i="26"/>
  <c r="E60" i="26"/>
  <c r="E59" i="26"/>
  <c r="E58" i="26"/>
  <c r="E57" i="26"/>
  <c r="E56" i="26"/>
  <c r="E55" i="26"/>
  <c r="E54" i="26"/>
  <c r="E53" i="26"/>
  <c r="E52" i="26"/>
  <c r="E51" i="26"/>
  <c r="E50" i="26"/>
  <c r="D49" i="26"/>
  <c r="D45" i="26" s="1"/>
  <c r="C49" i="26"/>
  <c r="E48" i="26"/>
  <c r="E47" i="26"/>
  <c r="E46" i="26"/>
  <c r="E44" i="26"/>
  <c r="E43" i="26"/>
  <c r="E42" i="26"/>
  <c r="E41" i="26"/>
  <c r="E40" i="26"/>
  <c r="E39" i="26"/>
  <c r="D38" i="26"/>
  <c r="C38" i="26"/>
  <c r="E37" i="26"/>
  <c r="E36" i="26"/>
  <c r="E35" i="26"/>
  <c r="D34" i="26"/>
  <c r="C34" i="26"/>
  <c r="E33" i="26"/>
  <c r="E32" i="26"/>
  <c r="D31" i="26"/>
  <c r="C31" i="26"/>
  <c r="E29" i="26"/>
  <c r="E28" i="26"/>
  <c r="E27" i="26"/>
  <c r="D26" i="26"/>
  <c r="C26" i="26"/>
  <c r="E24" i="26"/>
  <c r="E23" i="26"/>
  <c r="D22" i="26"/>
  <c r="C22" i="26"/>
  <c r="E21" i="26"/>
  <c r="E20" i="26"/>
  <c r="E19" i="26"/>
  <c r="E18" i="26"/>
  <c r="E17" i="26"/>
  <c r="E16" i="26"/>
  <c r="E15" i="26"/>
  <c r="E14" i="26"/>
  <c r="E13" i="26"/>
  <c r="E12" i="26"/>
  <c r="E11" i="26"/>
  <c r="D10" i="26"/>
  <c r="D9" i="26" s="1"/>
  <c r="C10" i="26"/>
  <c r="C9" i="26" s="1"/>
  <c r="D111" i="37" l="1"/>
  <c r="E111" i="37" s="1"/>
  <c r="D111" i="28"/>
  <c r="D142" i="28" s="1"/>
  <c r="E151" i="20"/>
  <c r="E142" i="46"/>
  <c r="C151" i="46"/>
  <c r="E151" i="46" s="1"/>
  <c r="D88" i="33"/>
  <c r="E88" i="33" s="1"/>
  <c r="E142" i="20"/>
  <c r="E73" i="48"/>
  <c r="C85" i="48"/>
  <c r="E85" i="48" s="1"/>
  <c r="E153" i="48" s="1"/>
  <c r="D111" i="33"/>
  <c r="E111" i="33" s="1"/>
  <c r="C85" i="20"/>
  <c r="E85" i="20" s="1"/>
  <c r="C85" i="47"/>
  <c r="E85" i="47" s="1"/>
  <c r="E153" i="47" s="1"/>
  <c r="E34" i="26"/>
  <c r="E38" i="26"/>
  <c r="E61" i="26"/>
  <c r="E70" i="26"/>
  <c r="E89" i="26"/>
  <c r="E101" i="26"/>
  <c r="E105" i="26"/>
  <c r="E9" i="30"/>
  <c r="E9" i="32"/>
  <c r="E134" i="32"/>
  <c r="E34" i="37"/>
  <c r="E67" i="37"/>
  <c r="E143" i="37"/>
  <c r="E22" i="36"/>
  <c r="E38" i="36"/>
  <c r="E49" i="36"/>
  <c r="E61" i="36"/>
  <c r="E70" i="36"/>
  <c r="E101" i="36"/>
  <c r="E34" i="35"/>
  <c r="E67" i="35"/>
  <c r="D30" i="33"/>
  <c r="D25" i="33" s="1"/>
  <c r="D73" i="33" s="1"/>
  <c r="E73" i="33" s="1"/>
  <c r="E123" i="26"/>
  <c r="E134" i="30"/>
  <c r="E134" i="26"/>
  <c r="E22" i="27"/>
  <c r="E38" i="27"/>
  <c r="E49" i="27"/>
  <c r="E70" i="27"/>
  <c r="E22" i="29"/>
  <c r="E26" i="29"/>
  <c r="E49" i="29"/>
  <c r="E67" i="29"/>
  <c r="E70" i="29"/>
  <c r="E143" i="29"/>
  <c r="E49" i="30"/>
  <c r="E67" i="30"/>
  <c r="E70" i="30"/>
  <c r="D88" i="30"/>
  <c r="D142" i="30" s="1"/>
  <c r="E9" i="31"/>
  <c r="E128" i="31"/>
  <c r="E22" i="34"/>
  <c r="C25" i="34"/>
  <c r="E38" i="34"/>
  <c r="E67" i="34"/>
  <c r="C88" i="34"/>
  <c r="C142" i="34" s="1"/>
  <c r="C151" i="34" s="1"/>
  <c r="E31" i="26"/>
  <c r="C128" i="26"/>
  <c r="E128" i="26" s="1"/>
  <c r="E105" i="27"/>
  <c r="E10" i="28"/>
  <c r="E22" i="28"/>
  <c r="E26" i="28"/>
  <c r="E61" i="28"/>
  <c r="E105" i="29"/>
  <c r="C128" i="30"/>
  <c r="E49" i="31"/>
  <c r="E70" i="31"/>
  <c r="E101" i="31"/>
  <c r="E105" i="31"/>
  <c r="E114" i="31"/>
  <c r="E123" i="31"/>
  <c r="E143" i="31"/>
  <c r="E49" i="32"/>
  <c r="E67" i="32"/>
  <c r="E70" i="32"/>
  <c r="E114" i="32"/>
  <c r="C128" i="32"/>
  <c r="E128" i="32" s="1"/>
  <c r="E105" i="36"/>
  <c r="E22" i="35"/>
  <c r="E26" i="35"/>
  <c r="E89" i="35"/>
  <c r="D88" i="34"/>
  <c r="E67" i="26"/>
  <c r="D75" i="26"/>
  <c r="D74" i="26" s="1"/>
  <c r="E74" i="26" s="1"/>
  <c r="E61" i="27"/>
  <c r="E79" i="27"/>
  <c r="C75" i="27"/>
  <c r="E89" i="27"/>
  <c r="E101" i="27"/>
  <c r="E134" i="27"/>
  <c r="E34" i="28"/>
  <c r="E38" i="28"/>
  <c r="E67" i="28"/>
  <c r="D75" i="28"/>
  <c r="D74" i="28" s="1"/>
  <c r="E74" i="28" s="1"/>
  <c r="E123" i="28"/>
  <c r="E134" i="28"/>
  <c r="E10" i="29"/>
  <c r="E34" i="29"/>
  <c r="E79" i="29"/>
  <c r="C75" i="29"/>
  <c r="E101" i="29"/>
  <c r="E123" i="29"/>
  <c r="E134" i="29"/>
  <c r="E61" i="30"/>
  <c r="D75" i="30"/>
  <c r="D74" i="30" s="1"/>
  <c r="E101" i="30"/>
  <c r="E105" i="30"/>
  <c r="E114" i="30"/>
  <c r="D30" i="31"/>
  <c r="E30" i="31" s="1"/>
  <c r="E79" i="31"/>
  <c r="C75" i="31"/>
  <c r="D30" i="32"/>
  <c r="E30" i="32" s="1"/>
  <c r="E79" i="32"/>
  <c r="C75" i="32"/>
  <c r="E101" i="32"/>
  <c r="E105" i="32"/>
  <c r="E22" i="37"/>
  <c r="D88" i="37"/>
  <c r="E101" i="37"/>
  <c r="E114" i="37"/>
  <c r="E34" i="36"/>
  <c r="D75" i="36"/>
  <c r="D74" i="36" s="1"/>
  <c r="E61" i="35"/>
  <c r="D75" i="35"/>
  <c r="D74" i="35" s="1"/>
  <c r="E134" i="35"/>
  <c r="E34" i="34"/>
  <c r="E70" i="34"/>
  <c r="D75" i="34"/>
  <c r="D74" i="34" s="1"/>
  <c r="E74" i="34" s="1"/>
  <c r="D75" i="33"/>
  <c r="D74" i="33" s="1"/>
  <c r="D128" i="33"/>
  <c r="E128" i="33" s="1"/>
  <c r="E9" i="26"/>
  <c r="C30" i="26"/>
  <c r="C25" i="26" s="1"/>
  <c r="D142" i="26"/>
  <c r="D151" i="26" s="1"/>
  <c r="E34" i="27"/>
  <c r="D75" i="27"/>
  <c r="D74" i="27" s="1"/>
  <c r="E128" i="28"/>
  <c r="D30" i="30"/>
  <c r="D25" i="30" s="1"/>
  <c r="D73" i="30" s="1"/>
  <c r="E79" i="30"/>
  <c r="C75" i="30"/>
  <c r="E61" i="31"/>
  <c r="D75" i="31"/>
  <c r="D74" i="31" s="1"/>
  <c r="E134" i="31"/>
  <c r="D75" i="32"/>
  <c r="D74" i="32" s="1"/>
  <c r="E79" i="36"/>
  <c r="C75" i="36"/>
  <c r="E38" i="35"/>
  <c r="E105" i="34"/>
  <c r="E123" i="34"/>
  <c r="E73" i="45"/>
  <c r="E85" i="45"/>
  <c r="C85" i="46"/>
  <c r="E85" i="46" s="1"/>
  <c r="E153" i="46" s="1"/>
  <c r="E73" i="46"/>
  <c r="E143" i="34"/>
  <c r="E143" i="30"/>
  <c r="E143" i="32"/>
  <c r="E142" i="45"/>
  <c r="E89" i="36"/>
  <c r="E89" i="28"/>
  <c r="E22" i="26"/>
  <c r="D30" i="26"/>
  <c r="E49" i="26"/>
  <c r="E114" i="26"/>
  <c r="E10" i="27"/>
  <c r="C25" i="27"/>
  <c r="E26" i="27"/>
  <c r="E31" i="27"/>
  <c r="E67" i="27"/>
  <c r="E111" i="27"/>
  <c r="E114" i="27"/>
  <c r="E123" i="27"/>
  <c r="C128" i="27"/>
  <c r="E128" i="27" s="1"/>
  <c r="E143" i="27"/>
  <c r="C9" i="28"/>
  <c r="E9" i="28" s="1"/>
  <c r="C30" i="28"/>
  <c r="E30" i="28" s="1"/>
  <c r="E31" i="28"/>
  <c r="E49" i="28"/>
  <c r="E70" i="28"/>
  <c r="E79" i="28"/>
  <c r="E101" i="28"/>
  <c r="E105" i="28"/>
  <c r="E114" i="28"/>
  <c r="E143" i="28"/>
  <c r="C9" i="29"/>
  <c r="E9" i="29" s="1"/>
  <c r="D25" i="29"/>
  <c r="D73" i="29" s="1"/>
  <c r="D85" i="29" s="1"/>
  <c r="E31" i="29"/>
  <c r="E38" i="29"/>
  <c r="E45" i="29"/>
  <c r="E61" i="29"/>
  <c r="E89" i="29"/>
  <c r="E114" i="29"/>
  <c r="C128" i="29"/>
  <c r="C142" i="29" s="1"/>
  <c r="C151" i="29" s="1"/>
  <c r="E10" i="30"/>
  <c r="E22" i="30"/>
  <c r="E26" i="30"/>
  <c r="E34" i="30"/>
  <c r="E38" i="30"/>
  <c r="E89" i="30"/>
  <c r="E31" i="31"/>
  <c r="E67" i="31"/>
  <c r="E61" i="32"/>
  <c r="E26" i="37"/>
  <c r="E38" i="37"/>
  <c r="E45" i="37"/>
  <c r="E134" i="36"/>
  <c r="C128" i="36"/>
  <c r="E128" i="36" s="1"/>
  <c r="E128" i="35"/>
  <c r="E79" i="34"/>
  <c r="E134" i="34"/>
  <c r="D128" i="34"/>
  <c r="E128" i="34" s="1"/>
  <c r="E61" i="33"/>
  <c r="E31" i="30"/>
  <c r="E31" i="32"/>
  <c r="E31" i="37"/>
  <c r="C30" i="37"/>
  <c r="C25" i="37" s="1"/>
  <c r="E10" i="35"/>
  <c r="C9" i="35"/>
  <c r="E9" i="35" s="1"/>
  <c r="D142" i="35"/>
  <c r="D151" i="35" s="1"/>
  <c r="E10" i="34"/>
  <c r="E10" i="33"/>
  <c r="E9" i="33"/>
  <c r="E123" i="30"/>
  <c r="E10" i="31"/>
  <c r="E22" i="31"/>
  <c r="E26" i="31"/>
  <c r="E34" i="31"/>
  <c r="E38" i="31"/>
  <c r="E89" i="31"/>
  <c r="D142" i="31"/>
  <c r="D151" i="31" s="1"/>
  <c r="E10" i="32"/>
  <c r="E22" i="32"/>
  <c r="E26" i="32"/>
  <c r="E34" i="32"/>
  <c r="E38" i="32"/>
  <c r="E89" i="32"/>
  <c r="E123" i="32"/>
  <c r="D142" i="32"/>
  <c r="D151" i="32" s="1"/>
  <c r="E10" i="37"/>
  <c r="D25" i="37"/>
  <c r="D73" i="37" s="1"/>
  <c r="D85" i="37" s="1"/>
  <c r="E49" i="37"/>
  <c r="E61" i="37"/>
  <c r="E70" i="37"/>
  <c r="E79" i="37"/>
  <c r="E89" i="37"/>
  <c r="E105" i="37"/>
  <c r="E123" i="37"/>
  <c r="E134" i="37"/>
  <c r="E10" i="36"/>
  <c r="C25" i="36"/>
  <c r="E26" i="36"/>
  <c r="E31" i="36"/>
  <c r="E67" i="36"/>
  <c r="E111" i="36"/>
  <c r="E114" i="36"/>
  <c r="E123" i="36"/>
  <c r="E143" i="36"/>
  <c r="C30" i="35"/>
  <c r="C25" i="35" s="1"/>
  <c r="E31" i="35"/>
  <c r="E49" i="35"/>
  <c r="E70" i="35"/>
  <c r="E79" i="35"/>
  <c r="E101" i="35"/>
  <c r="E105" i="35"/>
  <c r="E114" i="35"/>
  <c r="E123" i="35"/>
  <c r="E143" i="35"/>
  <c r="E31" i="34"/>
  <c r="E49" i="34"/>
  <c r="E61" i="34"/>
  <c r="E89" i="34"/>
  <c r="E101" i="34"/>
  <c r="E114" i="34"/>
  <c r="E31" i="33"/>
  <c r="E34" i="33"/>
  <c r="E38" i="33"/>
  <c r="E89" i="33"/>
  <c r="E45" i="33"/>
  <c r="E9" i="34"/>
  <c r="E111" i="34"/>
  <c r="E26" i="34"/>
  <c r="D30" i="34"/>
  <c r="C45" i="34"/>
  <c r="E45" i="34" s="1"/>
  <c r="D25" i="35"/>
  <c r="D73" i="35" s="1"/>
  <c r="C111" i="35"/>
  <c r="E111" i="35" s="1"/>
  <c r="C88" i="35"/>
  <c r="E88" i="35" s="1"/>
  <c r="C45" i="35"/>
  <c r="E45" i="35" s="1"/>
  <c r="D142" i="36"/>
  <c r="D151" i="36" s="1"/>
  <c r="C9" i="36"/>
  <c r="D30" i="36"/>
  <c r="D25" i="36" s="1"/>
  <c r="C88" i="36"/>
  <c r="C45" i="36"/>
  <c r="E45" i="36" s="1"/>
  <c r="C9" i="37"/>
  <c r="E128" i="37"/>
  <c r="C88" i="37"/>
  <c r="C25" i="32"/>
  <c r="C111" i="32"/>
  <c r="E111" i="32" s="1"/>
  <c r="C88" i="32"/>
  <c r="E88" i="32" s="1"/>
  <c r="C45" i="32"/>
  <c r="E45" i="32" s="1"/>
  <c r="C25" i="31"/>
  <c r="C111" i="31"/>
  <c r="E111" i="31" s="1"/>
  <c r="C88" i="31"/>
  <c r="E88" i="31" s="1"/>
  <c r="C45" i="31"/>
  <c r="E45" i="31" s="1"/>
  <c r="C25" i="30"/>
  <c r="C111" i="30"/>
  <c r="C88" i="30"/>
  <c r="C45" i="30"/>
  <c r="E45" i="30" s="1"/>
  <c r="C30" i="29"/>
  <c r="D111" i="29"/>
  <c r="D88" i="29"/>
  <c r="E88" i="29" s="1"/>
  <c r="D25" i="28"/>
  <c r="D73" i="28" s="1"/>
  <c r="C111" i="28"/>
  <c r="C88" i="28"/>
  <c r="E88" i="28" s="1"/>
  <c r="C45" i="28"/>
  <c r="E45" i="28" s="1"/>
  <c r="D142" i="27"/>
  <c r="D151" i="27" s="1"/>
  <c r="C9" i="27"/>
  <c r="D30" i="27"/>
  <c r="D25" i="27" s="1"/>
  <c r="C88" i="27"/>
  <c r="E88" i="27" s="1"/>
  <c r="C45" i="27"/>
  <c r="E45" i="27" s="1"/>
  <c r="E10" i="26"/>
  <c r="E26" i="26"/>
  <c r="C111" i="26"/>
  <c r="E79" i="26"/>
  <c r="C88" i="26"/>
  <c r="E143" i="26"/>
  <c r="C45" i="26"/>
  <c r="E45" i="26" s="1"/>
  <c r="E153" i="20" l="1"/>
  <c r="E153" i="45"/>
  <c r="D142" i="37"/>
  <c r="D151" i="37" s="1"/>
  <c r="E111" i="28"/>
  <c r="E88" i="36"/>
  <c r="D142" i="33"/>
  <c r="D151" i="33" s="1"/>
  <c r="E75" i="26"/>
  <c r="E75" i="28"/>
  <c r="D25" i="32"/>
  <c r="D73" i="32" s="1"/>
  <c r="D85" i="32" s="1"/>
  <c r="E88" i="37"/>
  <c r="D25" i="31"/>
  <c r="D73" i="31" s="1"/>
  <c r="D85" i="31" s="1"/>
  <c r="E30" i="37"/>
  <c r="E30" i="35"/>
  <c r="E88" i="34"/>
  <c r="E128" i="29"/>
  <c r="E30" i="26"/>
  <c r="D151" i="28"/>
  <c r="E88" i="26"/>
  <c r="E88" i="30"/>
  <c r="E30" i="30"/>
  <c r="E75" i="34"/>
  <c r="E128" i="30"/>
  <c r="E111" i="30"/>
  <c r="C25" i="28"/>
  <c r="C73" i="28" s="1"/>
  <c r="E25" i="37"/>
  <c r="D151" i="30"/>
  <c r="D142" i="34"/>
  <c r="D151" i="34" s="1"/>
  <c r="E151" i="34" s="1"/>
  <c r="D25" i="26"/>
  <c r="D73" i="26" s="1"/>
  <c r="D85" i="26" s="1"/>
  <c r="E25" i="27"/>
  <c r="E25" i="36"/>
  <c r="D85" i="35"/>
  <c r="E30" i="27"/>
  <c r="D85" i="28"/>
  <c r="D85" i="30"/>
  <c r="D85" i="33"/>
  <c r="C142" i="27"/>
  <c r="E75" i="29"/>
  <c r="C74" i="29"/>
  <c r="E74" i="29" s="1"/>
  <c r="C142" i="37"/>
  <c r="E74" i="33"/>
  <c r="E75" i="33"/>
  <c r="E30" i="33"/>
  <c r="C73" i="34"/>
  <c r="E30" i="34"/>
  <c r="D25" i="34"/>
  <c r="C74" i="35"/>
  <c r="E74" i="35" s="1"/>
  <c r="E75" i="35"/>
  <c r="C142" i="35"/>
  <c r="C73" i="35"/>
  <c r="E25" i="35"/>
  <c r="C74" i="36"/>
  <c r="E74" i="36" s="1"/>
  <c r="E75" i="36"/>
  <c r="E9" i="36"/>
  <c r="C73" i="36"/>
  <c r="D73" i="36"/>
  <c r="D85" i="36" s="1"/>
  <c r="C142" i="36"/>
  <c r="E30" i="36"/>
  <c r="E9" i="37"/>
  <c r="C73" i="37"/>
  <c r="C74" i="37"/>
  <c r="E74" i="37" s="1"/>
  <c r="E75" i="37"/>
  <c r="C74" i="32"/>
  <c r="E74" i="32" s="1"/>
  <c r="E75" i="32"/>
  <c r="C142" i="32"/>
  <c r="C73" i="32"/>
  <c r="C74" i="31"/>
  <c r="E74" i="31" s="1"/>
  <c r="E75" i="31"/>
  <c r="C142" i="31"/>
  <c r="C73" i="31"/>
  <c r="C74" i="30"/>
  <c r="E74" i="30" s="1"/>
  <c r="E75" i="30"/>
  <c r="C142" i="30"/>
  <c r="C73" i="30"/>
  <c r="E25" i="30"/>
  <c r="D142" i="29"/>
  <c r="E111" i="29"/>
  <c r="C25" i="29"/>
  <c r="E30" i="29"/>
  <c r="C142" i="28"/>
  <c r="D73" i="27"/>
  <c r="D85" i="27" s="1"/>
  <c r="C74" i="27"/>
  <c r="E74" i="27" s="1"/>
  <c r="E75" i="27"/>
  <c r="E9" i="27"/>
  <c r="C73" i="27"/>
  <c r="C142" i="26"/>
  <c r="E111" i="26"/>
  <c r="C73" i="26"/>
  <c r="E142" i="37" l="1"/>
  <c r="E25" i="28"/>
  <c r="E25" i="31"/>
  <c r="E25" i="32"/>
  <c r="E142" i="34"/>
  <c r="E25" i="26"/>
  <c r="C151" i="37"/>
  <c r="E151" i="37" s="1"/>
  <c r="E142" i="27"/>
  <c r="C151" i="27"/>
  <c r="E151" i="27" s="1"/>
  <c r="E142" i="33"/>
  <c r="E151" i="33"/>
  <c r="E25" i="33"/>
  <c r="D73" i="34"/>
  <c r="D85" i="34" s="1"/>
  <c r="E25" i="34"/>
  <c r="C85" i="34"/>
  <c r="E85" i="34" s="1"/>
  <c r="E153" i="34" s="1"/>
  <c r="C85" i="35"/>
  <c r="E85" i="35" s="1"/>
  <c r="E73" i="35"/>
  <c r="E142" i="35"/>
  <c r="C151" i="35"/>
  <c r="E151" i="35" s="1"/>
  <c r="C85" i="36"/>
  <c r="E85" i="36" s="1"/>
  <c r="E73" i="36"/>
  <c r="E142" i="36"/>
  <c r="C151" i="36"/>
  <c r="E151" i="36" s="1"/>
  <c r="C85" i="37"/>
  <c r="E85" i="37" s="1"/>
  <c r="E73" i="37"/>
  <c r="C85" i="32"/>
  <c r="E85" i="32" s="1"/>
  <c r="E73" i="32"/>
  <c r="E142" i="32"/>
  <c r="C151" i="32"/>
  <c r="E151" i="32" s="1"/>
  <c r="C85" i="31"/>
  <c r="E85" i="31" s="1"/>
  <c r="E73" i="31"/>
  <c r="E142" i="31"/>
  <c r="C151" i="31"/>
  <c r="E151" i="31" s="1"/>
  <c r="C85" i="30"/>
  <c r="E85" i="30" s="1"/>
  <c r="E73" i="30"/>
  <c r="E142" i="30"/>
  <c r="C151" i="30"/>
  <c r="D151" i="29"/>
  <c r="E151" i="29" s="1"/>
  <c r="E142" i="29"/>
  <c r="E25" i="29"/>
  <c r="C73" i="29"/>
  <c r="E142" i="28"/>
  <c r="C151" i="28"/>
  <c r="E151" i="28" s="1"/>
  <c r="C85" i="28"/>
  <c r="E85" i="28" s="1"/>
  <c r="E73" i="28"/>
  <c r="C85" i="27"/>
  <c r="E85" i="27" s="1"/>
  <c r="E73" i="27"/>
  <c r="E142" i="26"/>
  <c r="C151" i="26"/>
  <c r="C85" i="26"/>
  <c r="E85" i="26" s="1"/>
  <c r="E73" i="26"/>
  <c r="Q11" i="4"/>
  <c r="AC11" i="4"/>
  <c r="Q12" i="4"/>
  <c r="AC12" i="4"/>
  <c r="Q13" i="4"/>
  <c r="AC13" i="4"/>
  <c r="Q14" i="4"/>
  <c r="AC14" i="4"/>
  <c r="Q15" i="4"/>
  <c r="AC15" i="4"/>
  <c r="Q16" i="4"/>
  <c r="AC16" i="4"/>
  <c r="Q17" i="4"/>
  <c r="AC17" i="4"/>
  <c r="Q18" i="4"/>
  <c r="AC18" i="4"/>
  <c r="Q19" i="4"/>
  <c r="AC19" i="4"/>
  <c r="Q20" i="4"/>
  <c r="AC20" i="4"/>
  <c r="Q21" i="4"/>
  <c r="AC21" i="4"/>
  <c r="Q23" i="4"/>
  <c r="AC23" i="4"/>
  <c r="Q24" i="4"/>
  <c r="AC24" i="4"/>
  <c r="Q27" i="4"/>
  <c r="AC27" i="4"/>
  <c r="Q28" i="4"/>
  <c r="AC28" i="4"/>
  <c r="Q29" i="4"/>
  <c r="AC29" i="4"/>
  <c r="Q32" i="4"/>
  <c r="AC32" i="4"/>
  <c r="Q33" i="4"/>
  <c r="AC33" i="4"/>
  <c r="Q35" i="4"/>
  <c r="AC35" i="4"/>
  <c r="Q36" i="4"/>
  <c r="AC36" i="4"/>
  <c r="Q37" i="4"/>
  <c r="AC37" i="4"/>
  <c r="Q39" i="4"/>
  <c r="AC39" i="4"/>
  <c r="Q40" i="4"/>
  <c r="AC40" i="4"/>
  <c r="Q41" i="4"/>
  <c r="AC41" i="4"/>
  <c r="Q42" i="4"/>
  <c r="AC42" i="4"/>
  <c r="Q43" i="4"/>
  <c r="AC43" i="4"/>
  <c r="Q44" i="4"/>
  <c r="AC44" i="4"/>
  <c r="Q46" i="4"/>
  <c r="AC46" i="4"/>
  <c r="Q47" i="4"/>
  <c r="AC47" i="4"/>
  <c r="Q48" i="4"/>
  <c r="AC48" i="4"/>
  <c r="Q50" i="4"/>
  <c r="AC50" i="4"/>
  <c r="Q51" i="4"/>
  <c r="AC51" i="4"/>
  <c r="Q52" i="4"/>
  <c r="AC52" i="4"/>
  <c r="Q53" i="4"/>
  <c r="AC53" i="4"/>
  <c r="Q54" i="4"/>
  <c r="AC54" i="4"/>
  <c r="Q55" i="4"/>
  <c r="AC55" i="4"/>
  <c r="Q56" i="4"/>
  <c r="AC56" i="4"/>
  <c r="Q57" i="4"/>
  <c r="AC57" i="4"/>
  <c r="Q58" i="4"/>
  <c r="AC58" i="4"/>
  <c r="Q59" i="4"/>
  <c r="AC59" i="4"/>
  <c r="Q60" i="4"/>
  <c r="AC60" i="4"/>
  <c r="Q62" i="4"/>
  <c r="AC62" i="4"/>
  <c r="Q63" i="4"/>
  <c r="AC63" i="4"/>
  <c r="Q64" i="4"/>
  <c r="AC64" i="4"/>
  <c r="Q65" i="4"/>
  <c r="AC65" i="4"/>
  <c r="Q66" i="4"/>
  <c r="AC66" i="4"/>
  <c r="Q68" i="4"/>
  <c r="AC68" i="4"/>
  <c r="Q69" i="4"/>
  <c r="AC69" i="4"/>
  <c r="Q71" i="4"/>
  <c r="AC71" i="4"/>
  <c r="Q76" i="4"/>
  <c r="AC76" i="4"/>
  <c r="Q77" i="4"/>
  <c r="AC77" i="4"/>
  <c r="Q78" i="4"/>
  <c r="AC78" i="4"/>
  <c r="Q80" i="4"/>
  <c r="AC80" i="4"/>
  <c r="Q81" i="4"/>
  <c r="AC81" i="4"/>
  <c r="Q83" i="4"/>
  <c r="AC83" i="4"/>
  <c r="Q84" i="4"/>
  <c r="AC84" i="4"/>
  <c r="Q90" i="4"/>
  <c r="AC90" i="4"/>
  <c r="Q92" i="4"/>
  <c r="AC92" i="4"/>
  <c r="Q93" i="4"/>
  <c r="AC93" i="4"/>
  <c r="Q94" i="4"/>
  <c r="AC94" i="4"/>
  <c r="Q95" i="4"/>
  <c r="AC95" i="4"/>
  <c r="Q96" i="4"/>
  <c r="AC96" i="4"/>
  <c r="Q97" i="4"/>
  <c r="AC97" i="4"/>
  <c r="Q98" i="4"/>
  <c r="AC98" i="4"/>
  <c r="Q99" i="4"/>
  <c r="AC99" i="4"/>
  <c r="Q100" i="4"/>
  <c r="AC100" i="4"/>
  <c r="Q102" i="4"/>
  <c r="AC102" i="4"/>
  <c r="Q103" i="4"/>
  <c r="AC103" i="4"/>
  <c r="Q104" i="4"/>
  <c r="AC104" i="4"/>
  <c r="Q106" i="4"/>
  <c r="AC106" i="4"/>
  <c r="Q107" i="4"/>
  <c r="AC107" i="4"/>
  <c r="Q108" i="4"/>
  <c r="AC108" i="4"/>
  <c r="Q109" i="4"/>
  <c r="AC109" i="4"/>
  <c r="Q110" i="4"/>
  <c r="AC110" i="4"/>
  <c r="Q112" i="4"/>
  <c r="AC112" i="4"/>
  <c r="Q113" i="4"/>
  <c r="AC113" i="4"/>
  <c r="Q115" i="4"/>
  <c r="AC115" i="4"/>
  <c r="Q116" i="4"/>
  <c r="AC116" i="4"/>
  <c r="Q117" i="4"/>
  <c r="AC117" i="4"/>
  <c r="Q118" i="4"/>
  <c r="AC118" i="4"/>
  <c r="Q119" i="4"/>
  <c r="AC119" i="4"/>
  <c r="Q120" i="4"/>
  <c r="AC120" i="4"/>
  <c r="Q121" i="4"/>
  <c r="AC121" i="4"/>
  <c r="Q122" i="4"/>
  <c r="AC122" i="4"/>
  <c r="Q124" i="4"/>
  <c r="AC124" i="4"/>
  <c r="Q125" i="4"/>
  <c r="AC125" i="4"/>
  <c r="Q126" i="4"/>
  <c r="AC126" i="4"/>
  <c r="Q127" i="4"/>
  <c r="AC127" i="4"/>
  <c r="Q129" i="4"/>
  <c r="AC129" i="4"/>
  <c r="Q130" i="4"/>
  <c r="AC130" i="4"/>
  <c r="Q131" i="4"/>
  <c r="AC131" i="4"/>
  <c r="Q132" i="4"/>
  <c r="AC132" i="4"/>
  <c r="Q133" i="4"/>
  <c r="AC133" i="4"/>
  <c r="Q135" i="4"/>
  <c r="AC135" i="4"/>
  <c r="Q136" i="4"/>
  <c r="AC136" i="4"/>
  <c r="Q137" i="4"/>
  <c r="AC137" i="4"/>
  <c r="Q138" i="4"/>
  <c r="AC138" i="4"/>
  <c r="Q139" i="4"/>
  <c r="AC139" i="4"/>
  <c r="Q140" i="4"/>
  <c r="AC140" i="4"/>
  <c r="Q141" i="4"/>
  <c r="AC141" i="4"/>
  <c r="Q144" i="4"/>
  <c r="AC144" i="4"/>
  <c r="Q145" i="4"/>
  <c r="AC145" i="4"/>
  <c r="Q147" i="4"/>
  <c r="AC147" i="4"/>
  <c r="Q148" i="4"/>
  <c r="AC148" i="4"/>
  <c r="Q149" i="4"/>
  <c r="AC149" i="4"/>
  <c r="Q150" i="4"/>
  <c r="AC150" i="4"/>
  <c r="E150" i="21"/>
  <c r="E149" i="21"/>
  <c r="E148" i="21"/>
  <c r="E147" i="21"/>
  <c r="E145" i="21"/>
  <c r="E144" i="21"/>
  <c r="D143" i="21"/>
  <c r="C143" i="21"/>
  <c r="E141" i="21"/>
  <c r="E140" i="21"/>
  <c r="E139" i="21"/>
  <c r="E138" i="21"/>
  <c r="E137" i="21"/>
  <c r="E136" i="21"/>
  <c r="E135" i="21"/>
  <c r="D134" i="21"/>
  <c r="D128" i="21" s="1"/>
  <c r="C134" i="21"/>
  <c r="E133" i="21"/>
  <c r="E132" i="21"/>
  <c r="E131" i="21"/>
  <c r="E130" i="21"/>
  <c r="E129" i="21"/>
  <c r="C128" i="21"/>
  <c r="E127" i="21"/>
  <c r="E126" i="21"/>
  <c r="E125" i="21"/>
  <c r="E124" i="21"/>
  <c r="D123" i="21"/>
  <c r="C123" i="21"/>
  <c r="E122" i="21"/>
  <c r="E121" i="21"/>
  <c r="E120" i="21"/>
  <c r="E119" i="21"/>
  <c r="E118" i="21"/>
  <c r="E117" i="21"/>
  <c r="E116" i="21"/>
  <c r="E115" i="21"/>
  <c r="D114" i="21"/>
  <c r="C114" i="21"/>
  <c r="E113" i="21"/>
  <c r="E112" i="21"/>
  <c r="D111" i="21"/>
  <c r="E110" i="21"/>
  <c r="E109" i="21"/>
  <c r="E108" i="21"/>
  <c r="E107" i="21"/>
  <c r="E106" i="21"/>
  <c r="D105" i="21"/>
  <c r="C105" i="21"/>
  <c r="E104" i="21"/>
  <c r="E103" i="21"/>
  <c r="E102" i="21"/>
  <c r="D101" i="21"/>
  <c r="C101" i="21"/>
  <c r="E100" i="21"/>
  <c r="E99" i="21"/>
  <c r="E98" i="21"/>
  <c r="E97" i="21"/>
  <c r="E96" i="21"/>
  <c r="E95" i="21"/>
  <c r="E94" i="21"/>
  <c r="E93" i="21"/>
  <c r="E92" i="21"/>
  <c r="E92" i="6" s="1"/>
  <c r="E90" i="21"/>
  <c r="D89" i="21"/>
  <c r="D88" i="21" s="1"/>
  <c r="C89" i="21"/>
  <c r="E84" i="21"/>
  <c r="E83" i="21"/>
  <c r="E81" i="21"/>
  <c r="E80" i="21"/>
  <c r="D79" i="21"/>
  <c r="C79" i="21"/>
  <c r="C75" i="21" s="1"/>
  <c r="E78" i="21"/>
  <c r="E77" i="21"/>
  <c r="E76" i="21"/>
  <c r="E71" i="21"/>
  <c r="D70" i="21"/>
  <c r="C70" i="21"/>
  <c r="E69" i="21"/>
  <c r="E68" i="21"/>
  <c r="D67" i="21"/>
  <c r="C67" i="21"/>
  <c r="E66" i="21"/>
  <c r="E65" i="21"/>
  <c r="E64" i="21"/>
  <c r="E63" i="21"/>
  <c r="E62" i="21"/>
  <c r="D61" i="21"/>
  <c r="C61" i="21"/>
  <c r="E60" i="21"/>
  <c r="E59" i="21"/>
  <c r="E58" i="21"/>
  <c r="E57" i="21"/>
  <c r="E56" i="21"/>
  <c r="E55" i="21"/>
  <c r="E54" i="21"/>
  <c r="E53" i="21"/>
  <c r="E52" i="21"/>
  <c r="E51" i="21"/>
  <c r="E50" i="21"/>
  <c r="D49" i="21"/>
  <c r="D45" i="21" s="1"/>
  <c r="C49" i="21"/>
  <c r="E48" i="21"/>
  <c r="E47" i="21"/>
  <c r="E46" i="21"/>
  <c r="E44" i="21"/>
  <c r="E43" i="21"/>
  <c r="E42" i="21"/>
  <c r="E41" i="21"/>
  <c r="E40" i="21"/>
  <c r="E39" i="21"/>
  <c r="D38" i="21"/>
  <c r="C38" i="21"/>
  <c r="E37" i="21"/>
  <c r="E36" i="21"/>
  <c r="E35" i="21"/>
  <c r="D34" i="21"/>
  <c r="C34" i="21"/>
  <c r="E33" i="21"/>
  <c r="E32" i="21"/>
  <c r="D31" i="21"/>
  <c r="D30" i="21" s="1"/>
  <c r="C31" i="21"/>
  <c r="C30" i="21" s="1"/>
  <c r="E29" i="21"/>
  <c r="E28" i="21"/>
  <c r="E27" i="21"/>
  <c r="D26" i="21"/>
  <c r="C26" i="21"/>
  <c r="E24" i="21"/>
  <c r="E23" i="21"/>
  <c r="D22" i="21"/>
  <c r="C22" i="21"/>
  <c r="E21" i="21"/>
  <c r="E20" i="21"/>
  <c r="E19" i="21"/>
  <c r="E18" i="21"/>
  <c r="E17" i="21"/>
  <c r="E16" i="21"/>
  <c r="E15" i="21"/>
  <c r="E14" i="21"/>
  <c r="E13" i="21"/>
  <c r="E12" i="21"/>
  <c r="E11" i="21"/>
  <c r="D10" i="21"/>
  <c r="D9" i="21" s="1"/>
  <c r="C10" i="21"/>
  <c r="C9" i="21" s="1"/>
  <c r="E150" i="22"/>
  <c r="E150" i="6" s="1"/>
  <c r="E149" i="22"/>
  <c r="E149" i="6" s="1"/>
  <c r="E148" i="22"/>
  <c r="E148" i="6" s="1"/>
  <c r="E147" i="22"/>
  <c r="E147" i="6" s="1"/>
  <c r="E145" i="22"/>
  <c r="E145" i="6" s="1"/>
  <c r="E144" i="22"/>
  <c r="E144" i="6" s="1"/>
  <c r="D143" i="22"/>
  <c r="D143" i="6" s="1"/>
  <c r="P143" i="4" s="1"/>
  <c r="C143" i="22"/>
  <c r="C143" i="6" s="1"/>
  <c r="O143" i="4" s="1"/>
  <c r="E141" i="22"/>
  <c r="E141" i="6" s="1"/>
  <c r="E140" i="22"/>
  <c r="E140" i="6" s="1"/>
  <c r="E139" i="22"/>
  <c r="E139" i="6" s="1"/>
  <c r="E138" i="22"/>
  <c r="E137" i="22"/>
  <c r="E136" i="22"/>
  <c r="E136" i="6" s="1"/>
  <c r="E135" i="22"/>
  <c r="E135" i="6" s="1"/>
  <c r="D134" i="22"/>
  <c r="C134" i="22"/>
  <c r="C134" i="6" s="1"/>
  <c r="O134" i="4" s="1"/>
  <c r="E133" i="22"/>
  <c r="E133" i="6" s="1"/>
  <c r="E132" i="22"/>
  <c r="E132" i="6" s="1"/>
  <c r="E131" i="22"/>
  <c r="E131" i="6" s="1"/>
  <c r="E130" i="22"/>
  <c r="E130" i="6" s="1"/>
  <c r="E129" i="22"/>
  <c r="E129" i="6" s="1"/>
  <c r="C128" i="22"/>
  <c r="C128" i="6" s="1"/>
  <c r="O128" i="4" s="1"/>
  <c r="E127" i="22"/>
  <c r="E127" i="6" s="1"/>
  <c r="E126" i="22"/>
  <c r="E126" i="6" s="1"/>
  <c r="E125" i="22"/>
  <c r="E125" i="6" s="1"/>
  <c r="E124" i="22"/>
  <c r="E124" i="6" s="1"/>
  <c r="D123" i="22"/>
  <c r="D123" i="6" s="1"/>
  <c r="P123" i="4" s="1"/>
  <c r="C123" i="22"/>
  <c r="C123" i="6" s="1"/>
  <c r="O123" i="4" s="1"/>
  <c r="E122" i="22"/>
  <c r="E122" i="6" s="1"/>
  <c r="E121" i="22"/>
  <c r="E121" i="6" s="1"/>
  <c r="E120" i="22"/>
  <c r="E120" i="6" s="1"/>
  <c r="E119" i="22"/>
  <c r="E119" i="6" s="1"/>
  <c r="E118" i="22"/>
  <c r="E118" i="6" s="1"/>
  <c r="E117" i="22"/>
  <c r="E117" i="6" s="1"/>
  <c r="E116" i="22"/>
  <c r="E116" i="6" s="1"/>
  <c r="E115" i="22"/>
  <c r="E115" i="6" s="1"/>
  <c r="D114" i="22"/>
  <c r="D114" i="6" s="1"/>
  <c r="P114" i="4" s="1"/>
  <c r="C114" i="22"/>
  <c r="C114" i="6" s="1"/>
  <c r="O114" i="4" s="1"/>
  <c r="E113" i="22"/>
  <c r="E113" i="6" s="1"/>
  <c r="E112" i="22"/>
  <c r="E112" i="6" s="1"/>
  <c r="D111" i="22"/>
  <c r="D111" i="6" s="1"/>
  <c r="P111" i="4" s="1"/>
  <c r="C111" i="22"/>
  <c r="E110" i="22"/>
  <c r="E109" i="22"/>
  <c r="E108" i="22"/>
  <c r="E107" i="22"/>
  <c r="E106" i="22"/>
  <c r="D105" i="22"/>
  <c r="C105" i="22"/>
  <c r="E104" i="22"/>
  <c r="E103" i="22"/>
  <c r="E102" i="22"/>
  <c r="D101" i="22"/>
  <c r="C101" i="22"/>
  <c r="E100" i="22"/>
  <c r="E99" i="22"/>
  <c r="E98" i="22"/>
  <c r="E97" i="22"/>
  <c r="E96" i="22"/>
  <c r="E95" i="22"/>
  <c r="E94" i="22"/>
  <c r="E93" i="22"/>
  <c r="E90" i="22"/>
  <c r="E90" i="6" s="1"/>
  <c r="D89" i="22"/>
  <c r="D89" i="6" s="1"/>
  <c r="P89" i="4" s="1"/>
  <c r="C89" i="22"/>
  <c r="C89" i="6" s="1"/>
  <c r="O89" i="4" s="1"/>
  <c r="E84" i="22"/>
  <c r="E84" i="6" s="1"/>
  <c r="E83" i="22"/>
  <c r="E83" i="6" s="1"/>
  <c r="E81" i="22"/>
  <c r="E81" i="6" s="1"/>
  <c r="E80" i="22"/>
  <c r="E80" i="6" s="1"/>
  <c r="D79" i="22"/>
  <c r="D79" i="6" s="1"/>
  <c r="P79" i="4" s="1"/>
  <c r="C79" i="22"/>
  <c r="E78" i="22"/>
  <c r="E78" i="6" s="1"/>
  <c r="E77" i="22"/>
  <c r="E77" i="6" s="1"/>
  <c r="E76" i="22"/>
  <c r="E76" i="6" s="1"/>
  <c r="E71" i="22"/>
  <c r="E71" i="6" s="1"/>
  <c r="D70" i="22"/>
  <c r="D70" i="6" s="1"/>
  <c r="P70" i="4" s="1"/>
  <c r="C70" i="22"/>
  <c r="C70" i="6" s="1"/>
  <c r="O70" i="4" s="1"/>
  <c r="E69" i="22"/>
  <c r="E69" i="6" s="1"/>
  <c r="E68" i="22"/>
  <c r="E68" i="6" s="1"/>
  <c r="D67" i="22"/>
  <c r="D67" i="6" s="1"/>
  <c r="P67" i="4" s="1"/>
  <c r="C67" i="22"/>
  <c r="C67" i="6" s="1"/>
  <c r="O67" i="4" s="1"/>
  <c r="E66" i="22"/>
  <c r="E66" i="6" s="1"/>
  <c r="E65" i="22"/>
  <c r="E65" i="6" s="1"/>
  <c r="E64" i="22"/>
  <c r="E64" i="6" s="1"/>
  <c r="E63" i="22"/>
  <c r="E63" i="6" s="1"/>
  <c r="E62" i="22"/>
  <c r="E62" i="6" s="1"/>
  <c r="D61" i="22"/>
  <c r="D61" i="6" s="1"/>
  <c r="P61" i="4" s="1"/>
  <c r="C61" i="22"/>
  <c r="C61" i="6" s="1"/>
  <c r="O61" i="4" s="1"/>
  <c r="E60" i="22"/>
  <c r="E60" i="6" s="1"/>
  <c r="E59" i="22"/>
  <c r="E59" i="6" s="1"/>
  <c r="E58" i="22"/>
  <c r="E58" i="6" s="1"/>
  <c r="E57" i="22"/>
  <c r="E57" i="6" s="1"/>
  <c r="E56" i="22"/>
  <c r="E56" i="6" s="1"/>
  <c r="E55" i="22"/>
  <c r="E55" i="6" s="1"/>
  <c r="E54" i="22"/>
  <c r="E54" i="6" s="1"/>
  <c r="E53" i="22"/>
  <c r="E53" i="6" s="1"/>
  <c r="E52" i="22"/>
  <c r="E52" i="6" s="1"/>
  <c r="E51" i="22"/>
  <c r="E51" i="6" s="1"/>
  <c r="E50" i="22"/>
  <c r="E50" i="6" s="1"/>
  <c r="D49" i="22"/>
  <c r="C49" i="22"/>
  <c r="C49" i="6" s="1"/>
  <c r="O49" i="4" s="1"/>
  <c r="E48" i="22"/>
  <c r="E48" i="6" s="1"/>
  <c r="E47" i="22"/>
  <c r="E47" i="6" s="1"/>
  <c r="E46" i="22"/>
  <c r="E46" i="6" s="1"/>
  <c r="E44" i="22"/>
  <c r="E44" i="6" s="1"/>
  <c r="E43" i="22"/>
  <c r="E43" i="6" s="1"/>
  <c r="E42" i="22"/>
  <c r="E42" i="6" s="1"/>
  <c r="E41" i="22"/>
  <c r="E41" i="6" s="1"/>
  <c r="E40" i="22"/>
  <c r="E40" i="6" s="1"/>
  <c r="E39" i="22"/>
  <c r="E39" i="6" s="1"/>
  <c r="D38" i="22"/>
  <c r="D38" i="6" s="1"/>
  <c r="P38" i="4" s="1"/>
  <c r="C38" i="22"/>
  <c r="C38" i="6" s="1"/>
  <c r="O38" i="4" s="1"/>
  <c r="E37" i="22"/>
  <c r="E37" i="6" s="1"/>
  <c r="E36" i="22"/>
  <c r="E36" i="6" s="1"/>
  <c r="E35" i="22"/>
  <c r="E35" i="6" s="1"/>
  <c r="D34" i="22"/>
  <c r="D34" i="6" s="1"/>
  <c r="P34" i="4" s="1"/>
  <c r="C34" i="22"/>
  <c r="C34" i="6" s="1"/>
  <c r="O34" i="4" s="1"/>
  <c r="E33" i="22"/>
  <c r="E33" i="6" s="1"/>
  <c r="E32" i="22"/>
  <c r="E32" i="6" s="1"/>
  <c r="D31" i="22"/>
  <c r="D31" i="6" s="1"/>
  <c r="P31" i="4" s="1"/>
  <c r="C31" i="22"/>
  <c r="E29" i="22"/>
  <c r="E29" i="6" s="1"/>
  <c r="E28" i="22"/>
  <c r="E28" i="6" s="1"/>
  <c r="E27" i="22"/>
  <c r="E27" i="6" s="1"/>
  <c r="D26" i="22"/>
  <c r="D26" i="6" s="1"/>
  <c r="P26" i="4" s="1"/>
  <c r="C26" i="22"/>
  <c r="C26" i="6" s="1"/>
  <c r="O26" i="4" s="1"/>
  <c r="E24" i="22"/>
  <c r="E24" i="6" s="1"/>
  <c r="E23" i="22"/>
  <c r="E23" i="6" s="1"/>
  <c r="D22" i="22"/>
  <c r="D22" i="6" s="1"/>
  <c r="P22" i="4" s="1"/>
  <c r="C22" i="22"/>
  <c r="C22" i="6" s="1"/>
  <c r="O22" i="4" s="1"/>
  <c r="E21" i="22"/>
  <c r="E21" i="6" s="1"/>
  <c r="E20" i="22"/>
  <c r="E20" i="6" s="1"/>
  <c r="E19" i="22"/>
  <c r="E19" i="6" s="1"/>
  <c r="E18" i="22"/>
  <c r="E18" i="6" s="1"/>
  <c r="E17" i="22"/>
  <c r="E17" i="6" s="1"/>
  <c r="E16" i="22"/>
  <c r="E16" i="6" s="1"/>
  <c r="E15" i="22"/>
  <c r="E15" i="6" s="1"/>
  <c r="E14" i="22"/>
  <c r="E14" i="6" s="1"/>
  <c r="E13" i="22"/>
  <c r="E13" i="6" s="1"/>
  <c r="E12" i="22"/>
  <c r="E12" i="6" s="1"/>
  <c r="E11" i="22"/>
  <c r="E11" i="6" s="1"/>
  <c r="D10" i="22"/>
  <c r="C10" i="22"/>
  <c r="E150" i="18"/>
  <c r="E149" i="18"/>
  <c r="E148" i="18"/>
  <c r="E147" i="18"/>
  <c r="E145" i="18"/>
  <c r="E144" i="18"/>
  <c r="D143" i="18"/>
  <c r="C143" i="18"/>
  <c r="E141" i="18"/>
  <c r="E140" i="18"/>
  <c r="E139" i="18"/>
  <c r="E138" i="18"/>
  <c r="E137" i="18"/>
  <c r="E136" i="18"/>
  <c r="E135" i="18"/>
  <c r="D134" i="18"/>
  <c r="D128" i="18" s="1"/>
  <c r="C134" i="18"/>
  <c r="E133" i="18"/>
  <c r="E132" i="18"/>
  <c r="E131" i="18"/>
  <c r="E130" i="18"/>
  <c r="E129" i="18"/>
  <c r="C128" i="18"/>
  <c r="E127" i="18"/>
  <c r="E126" i="18"/>
  <c r="E125" i="18"/>
  <c r="E124" i="18"/>
  <c r="D123" i="18"/>
  <c r="C123" i="18"/>
  <c r="E122" i="18"/>
  <c r="E121" i="18"/>
  <c r="E120" i="18"/>
  <c r="E119" i="18"/>
  <c r="E118" i="18"/>
  <c r="E117" i="18"/>
  <c r="E116" i="18"/>
  <c r="E115" i="18"/>
  <c r="D114" i="18"/>
  <c r="C114" i="18"/>
  <c r="E113" i="18"/>
  <c r="E112" i="18"/>
  <c r="D111" i="18"/>
  <c r="E110" i="18"/>
  <c r="E109" i="18"/>
  <c r="E108" i="18"/>
  <c r="E107" i="18"/>
  <c r="E106" i="18"/>
  <c r="D105" i="18"/>
  <c r="C105" i="18"/>
  <c r="E104" i="18"/>
  <c r="E103" i="18"/>
  <c r="E102" i="18"/>
  <c r="D101" i="18"/>
  <c r="C101" i="18"/>
  <c r="E100" i="18"/>
  <c r="E99" i="18"/>
  <c r="E98" i="18"/>
  <c r="E97" i="18"/>
  <c r="E96" i="18"/>
  <c r="E95" i="18"/>
  <c r="E94" i="18"/>
  <c r="E93" i="18"/>
  <c r="E90" i="18"/>
  <c r="D89" i="18"/>
  <c r="E84" i="18"/>
  <c r="E83" i="18"/>
  <c r="E81" i="18"/>
  <c r="E80" i="18"/>
  <c r="D79" i="18"/>
  <c r="D75" i="18" s="1"/>
  <c r="D74" i="18" s="1"/>
  <c r="C79" i="18"/>
  <c r="E78" i="18"/>
  <c r="E77" i="18"/>
  <c r="E76" i="18"/>
  <c r="E71" i="18"/>
  <c r="D70" i="18"/>
  <c r="C70" i="18"/>
  <c r="E69" i="18"/>
  <c r="E68" i="18"/>
  <c r="D67" i="18"/>
  <c r="C67" i="18"/>
  <c r="E66" i="18"/>
  <c r="E65" i="18"/>
  <c r="E64" i="18"/>
  <c r="E63" i="18"/>
  <c r="E62" i="18"/>
  <c r="D61" i="18"/>
  <c r="C61" i="18"/>
  <c r="E60" i="18"/>
  <c r="E59" i="18"/>
  <c r="E58" i="18"/>
  <c r="E57" i="18"/>
  <c r="E56" i="18"/>
  <c r="E55" i="18"/>
  <c r="E54" i="18"/>
  <c r="E53" i="18"/>
  <c r="E52" i="18"/>
  <c r="E51" i="18"/>
  <c r="E50" i="18"/>
  <c r="D49" i="18"/>
  <c r="D45" i="18" s="1"/>
  <c r="C49" i="18"/>
  <c r="E48" i="18"/>
  <c r="E47" i="18"/>
  <c r="E46" i="18"/>
  <c r="C45" i="18"/>
  <c r="E44" i="18"/>
  <c r="E43" i="18"/>
  <c r="E42" i="18"/>
  <c r="E41" i="18"/>
  <c r="E40" i="18"/>
  <c r="E39" i="18"/>
  <c r="D38" i="18"/>
  <c r="C38" i="18"/>
  <c r="E37" i="18"/>
  <c r="E36" i="18"/>
  <c r="E35" i="18"/>
  <c r="D34" i="18"/>
  <c r="C34" i="18"/>
  <c r="E33" i="18"/>
  <c r="E32" i="18"/>
  <c r="D31" i="18"/>
  <c r="D30" i="18" s="1"/>
  <c r="C31" i="18"/>
  <c r="E29" i="18"/>
  <c r="E28" i="18"/>
  <c r="E27" i="18"/>
  <c r="D26" i="18"/>
  <c r="C26" i="18"/>
  <c r="E24" i="18"/>
  <c r="E23" i="18"/>
  <c r="D22" i="18"/>
  <c r="C22" i="18"/>
  <c r="E21" i="18"/>
  <c r="E20" i="18"/>
  <c r="E19" i="18"/>
  <c r="E18" i="18"/>
  <c r="E17" i="18"/>
  <c r="E16" i="18"/>
  <c r="E15" i="18"/>
  <c r="E14" i="18"/>
  <c r="E13" i="18"/>
  <c r="E12" i="18"/>
  <c r="E11" i="18"/>
  <c r="D10" i="18"/>
  <c r="D9" i="18" s="1"/>
  <c r="C10" i="18"/>
  <c r="E150" i="19"/>
  <c r="E149" i="19"/>
  <c r="E148" i="19"/>
  <c r="E147" i="19"/>
  <c r="E145" i="19"/>
  <c r="E144" i="19"/>
  <c r="D143" i="19"/>
  <c r="C143" i="19"/>
  <c r="E141" i="19"/>
  <c r="E140" i="19"/>
  <c r="E139" i="19"/>
  <c r="E138" i="19"/>
  <c r="E137" i="19"/>
  <c r="E136" i="19"/>
  <c r="E135" i="19"/>
  <c r="D134" i="19"/>
  <c r="C134" i="19"/>
  <c r="E133" i="19"/>
  <c r="E132" i="19"/>
  <c r="E131" i="19"/>
  <c r="E130" i="19"/>
  <c r="E129" i="19"/>
  <c r="C128" i="19"/>
  <c r="E127" i="19"/>
  <c r="E126" i="19"/>
  <c r="E125" i="19"/>
  <c r="E124" i="19"/>
  <c r="D123" i="19"/>
  <c r="C123" i="19"/>
  <c r="E122" i="19"/>
  <c r="E121" i="19"/>
  <c r="E120" i="19"/>
  <c r="E119" i="19"/>
  <c r="E118" i="19"/>
  <c r="E117" i="19"/>
  <c r="E116" i="19"/>
  <c r="E115" i="19"/>
  <c r="D114" i="19"/>
  <c r="C114" i="19"/>
  <c r="E113" i="19"/>
  <c r="E112" i="19"/>
  <c r="E110" i="19"/>
  <c r="E109" i="19"/>
  <c r="E108" i="19"/>
  <c r="E107" i="19"/>
  <c r="E106" i="19"/>
  <c r="D105" i="19"/>
  <c r="C105" i="19"/>
  <c r="E104" i="19"/>
  <c r="E103" i="19"/>
  <c r="E102" i="19"/>
  <c r="D101" i="19"/>
  <c r="C101" i="19"/>
  <c r="E100" i="19"/>
  <c r="E99" i="19"/>
  <c r="E98" i="19"/>
  <c r="E97" i="19"/>
  <c r="E96" i="19"/>
  <c r="E95" i="19"/>
  <c r="E94" i="19"/>
  <c r="E93" i="19"/>
  <c r="E92" i="19"/>
  <c r="E92" i="5" s="1"/>
  <c r="E90" i="19"/>
  <c r="D89" i="19"/>
  <c r="C89" i="19"/>
  <c r="C89" i="5" s="1"/>
  <c r="C89" i="4" s="1"/>
  <c r="E84" i="19"/>
  <c r="E84" i="5" s="1"/>
  <c r="E83" i="19"/>
  <c r="E83" i="5" s="1"/>
  <c r="E81" i="19"/>
  <c r="E81" i="5" s="1"/>
  <c r="E80" i="19"/>
  <c r="E80" i="5" s="1"/>
  <c r="D79" i="19"/>
  <c r="C79" i="19"/>
  <c r="C79" i="5" s="1"/>
  <c r="C79" i="4" s="1"/>
  <c r="E78" i="19"/>
  <c r="E78" i="5" s="1"/>
  <c r="E77" i="19"/>
  <c r="E77" i="5" s="1"/>
  <c r="E76" i="19"/>
  <c r="E76" i="5" s="1"/>
  <c r="E71" i="19"/>
  <c r="E71" i="5" s="1"/>
  <c r="D70" i="19"/>
  <c r="D70" i="5" s="1"/>
  <c r="D70" i="4" s="1"/>
  <c r="C70" i="19"/>
  <c r="C70" i="5" s="1"/>
  <c r="C70" i="4" s="1"/>
  <c r="E69" i="19"/>
  <c r="E69" i="5" s="1"/>
  <c r="E68" i="19"/>
  <c r="E68" i="5" s="1"/>
  <c r="D67" i="19"/>
  <c r="D67" i="5" s="1"/>
  <c r="D67" i="4" s="1"/>
  <c r="C67" i="19"/>
  <c r="C67" i="5" s="1"/>
  <c r="C67" i="4" s="1"/>
  <c r="E66" i="19"/>
  <c r="E66" i="5" s="1"/>
  <c r="E65" i="19"/>
  <c r="E65" i="5" s="1"/>
  <c r="E64" i="19"/>
  <c r="E64" i="5" s="1"/>
  <c r="E63" i="19"/>
  <c r="E63" i="5" s="1"/>
  <c r="E62" i="19"/>
  <c r="E62" i="5" s="1"/>
  <c r="D61" i="19"/>
  <c r="D61" i="5" s="1"/>
  <c r="D61" i="4" s="1"/>
  <c r="C61" i="19"/>
  <c r="C61" i="5" s="1"/>
  <c r="C61" i="4" s="1"/>
  <c r="E60" i="19"/>
  <c r="E60" i="5" s="1"/>
  <c r="E59" i="19"/>
  <c r="E59" i="5" s="1"/>
  <c r="E58" i="19"/>
  <c r="E58" i="5" s="1"/>
  <c r="E57" i="19"/>
  <c r="E57" i="5" s="1"/>
  <c r="E56" i="19"/>
  <c r="E56" i="5" s="1"/>
  <c r="E55" i="19"/>
  <c r="E55" i="5" s="1"/>
  <c r="E54" i="19"/>
  <c r="E54" i="5" s="1"/>
  <c r="E53" i="19"/>
  <c r="E53" i="5" s="1"/>
  <c r="E52" i="19"/>
  <c r="E52" i="5" s="1"/>
  <c r="E51" i="19"/>
  <c r="E51" i="5" s="1"/>
  <c r="E50" i="19"/>
  <c r="E50" i="5" s="1"/>
  <c r="D49" i="19"/>
  <c r="C49" i="19"/>
  <c r="C49" i="5" s="1"/>
  <c r="C49" i="4" s="1"/>
  <c r="E48" i="19"/>
  <c r="E48" i="5" s="1"/>
  <c r="E47" i="19"/>
  <c r="E47" i="5" s="1"/>
  <c r="E46" i="19"/>
  <c r="E46" i="5" s="1"/>
  <c r="E44" i="19"/>
  <c r="E43" i="19"/>
  <c r="E42" i="19"/>
  <c r="E41" i="19"/>
  <c r="E40" i="19"/>
  <c r="E39" i="19"/>
  <c r="D38" i="19"/>
  <c r="C38" i="19"/>
  <c r="E37" i="19"/>
  <c r="E36" i="19"/>
  <c r="E35" i="19"/>
  <c r="D34" i="19"/>
  <c r="C34" i="19"/>
  <c r="E33" i="19"/>
  <c r="E32" i="19"/>
  <c r="D31" i="19"/>
  <c r="C31" i="19"/>
  <c r="E29" i="19"/>
  <c r="E28" i="19"/>
  <c r="E27" i="19"/>
  <c r="D26" i="19"/>
  <c r="C26" i="19"/>
  <c r="E24" i="19"/>
  <c r="E23" i="19"/>
  <c r="D22" i="19"/>
  <c r="C22" i="19"/>
  <c r="E21" i="19"/>
  <c r="E20" i="19"/>
  <c r="E19" i="19"/>
  <c r="E18" i="19"/>
  <c r="E17" i="19"/>
  <c r="E16" i="19"/>
  <c r="E15" i="19"/>
  <c r="E14" i="19"/>
  <c r="E13" i="19"/>
  <c r="E12" i="19"/>
  <c r="E11" i="19"/>
  <c r="D10" i="19"/>
  <c r="C10" i="19"/>
  <c r="D9" i="19"/>
  <c r="E150" i="17"/>
  <c r="E149" i="17"/>
  <c r="E148" i="17"/>
  <c r="E147" i="17"/>
  <c r="E145" i="17"/>
  <c r="E144" i="17"/>
  <c r="D143" i="17"/>
  <c r="E143" i="17" s="1"/>
  <c r="E141" i="17"/>
  <c r="E140" i="17"/>
  <c r="E139" i="17"/>
  <c r="E138" i="17"/>
  <c r="E137" i="17"/>
  <c r="E136" i="17"/>
  <c r="E135" i="17"/>
  <c r="D134" i="17"/>
  <c r="E134" i="17" s="1"/>
  <c r="E133" i="17"/>
  <c r="E132" i="17"/>
  <c r="E131" i="17"/>
  <c r="E130" i="17"/>
  <c r="E129" i="17"/>
  <c r="E127" i="17"/>
  <c r="E126" i="17"/>
  <c r="E125" i="17"/>
  <c r="E124" i="17"/>
  <c r="D123" i="17"/>
  <c r="E123" i="17" s="1"/>
  <c r="E122" i="17"/>
  <c r="E121" i="17"/>
  <c r="E120" i="17"/>
  <c r="E119" i="17"/>
  <c r="E118" i="17"/>
  <c r="E117" i="17"/>
  <c r="E116" i="17"/>
  <c r="E115" i="17"/>
  <c r="D114" i="17"/>
  <c r="E113" i="17"/>
  <c r="E112" i="17"/>
  <c r="E110" i="17"/>
  <c r="E109" i="17"/>
  <c r="E108" i="17"/>
  <c r="E107" i="17"/>
  <c r="E106" i="17"/>
  <c r="D105" i="17"/>
  <c r="E104" i="17"/>
  <c r="E103" i="17"/>
  <c r="E102" i="17"/>
  <c r="D101" i="17"/>
  <c r="E100" i="17"/>
  <c r="E99" i="17"/>
  <c r="E98" i="17"/>
  <c r="E97" i="17"/>
  <c r="E96" i="17"/>
  <c r="E95" i="17"/>
  <c r="E94" i="17"/>
  <c r="E93" i="17"/>
  <c r="E92" i="17"/>
  <c r="E90" i="17"/>
  <c r="D89" i="17"/>
  <c r="E84" i="17"/>
  <c r="H84" i="17" s="1"/>
  <c r="K84" i="17" s="1"/>
  <c r="N84" i="17" s="1"/>
  <c r="E83" i="17"/>
  <c r="H83" i="17" s="1"/>
  <c r="K83" i="17" s="1"/>
  <c r="N83" i="17" s="1"/>
  <c r="E81" i="17"/>
  <c r="H81" i="17" s="1"/>
  <c r="K81" i="17" s="1"/>
  <c r="N81" i="17" s="1"/>
  <c r="E80" i="17"/>
  <c r="H80" i="17" s="1"/>
  <c r="K80" i="17" s="1"/>
  <c r="N80" i="17" s="1"/>
  <c r="D79" i="17"/>
  <c r="E78" i="17"/>
  <c r="H78" i="17" s="1"/>
  <c r="K78" i="17" s="1"/>
  <c r="N78" i="17" s="1"/>
  <c r="E77" i="17"/>
  <c r="H77" i="17" s="1"/>
  <c r="K77" i="17" s="1"/>
  <c r="N77" i="17" s="1"/>
  <c r="E76" i="17"/>
  <c r="H76" i="17" s="1"/>
  <c r="K76" i="17" s="1"/>
  <c r="N76" i="17" s="1"/>
  <c r="E71" i="17"/>
  <c r="H71" i="17" s="1"/>
  <c r="K71" i="17" s="1"/>
  <c r="N71" i="17" s="1"/>
  <c r="D70" i="17"/>
  <c r="E70" i="17" s="1"/>
  <c r="H70" i="17" s="1"/>
  <c r="K70" i="17" s="1"/>
  <c r="N70" i="17" s="1"/>
  <c r="E69" i="17"/>
  <c r="H69" i="17" s="1"/>
  <c r="K69" i="17" s="1"/>
  <c r="N69" i="17" s="1"/>
  <c r="E68" i="17"/>
  <c r="H68" i="17" s="1"/>
  <c r="K68" i="17" s="1"/>
  <c r="N68" i="17" s="1"/>
  <c r="D67" i="17"/>
  <c r="E66" i="17"/>
  <c r="H66" i="17" s="1"/>
  <c r="K66" i="17" s="1"/>
  <c r="N66" i="17" s="1"/>
  <c r="E65" i="17"/>
  <c r="H65" i="17" s="1"/>
  <c r="K65" i="17" s="1"/>
  <c r="N65" i="17" s="1"/>
  <c r="E64" i="17"/>
  <c r="H64" i="17" s="1"/>
  <c r="K64" i="17" s="1"/>
  <c r="N64" i="17" s="1"/>
  <c r="E63" i="17"/>
  <c r="H63" i="17" s="1"/>
  <c r="K63" i="17" s="1"/>
  <c r="N63" i="17" s="1"/>
  <c r="E62" i="17"/>
  <c r="H62" i="17" s="1"/>
  <c r="K62" i="17" s="1"/>
  <c r="N62" i="17" s="1"/>
  <c r="D61" i="17"/>
  <c r="E60" i="17"/>
  <c r="H60" i="17" s="1"/>
  <c r="K60" i="17" s="1"/>
  <c r="N60" i="17" s="1"/>
  <c r="E59" i="17"/>
  <c r="H59" i="17" s="1"/>
  <c r="K59" i="17" s="1"/>
  <c r="N59" i="17" s="1"/>
  <c r="E58" i="17"/>
  <c r="H58" i="17" s="1"/>
  <c r="K58" i="17" s="1"/>
  <c r="N58" i="17" s="1"/>
  <c r="E57" i="17"/>
  <c r="H57" i="17" s="1"/>
  <c r="K57" i="17" s="1"/>
  <c r="N57" i="17" s="1"/>
  <c r="E56" i="17"/>
  <c r="H56" i="17" s="1"/>
  <c r="K56" i="17" s="1"/>
  <c r="N56" i="17" s="1"/>
  <c r="E55" i="17"/>
  <c r="H55" i="17" s="1"/>
  <c r="K55" i="17" s="1"/>
  <c r="N55" i="17" s="1"/>
  <c r="E54" i="17"/>
  <c r="H54" i="17" s="1"/>
  <c r="K54" i="17" s="1"/>
  <c r="N54" i="17" s="1"/>
  <c r="E53" i="17"/>
  <c r="H53" i="17" s="1"/>
  <c r="K53" i="17" s="1"/>
  <c r="N53" i="17" s="1"/>
  <c r="E52" i="17"/>
  <c r="H52" i="17" s="1"/>
  <c r="K52" i="17" s="1"/>
  <c r="N52" i="17" s="1"/>
  <c r="E51" i="17"/>
  <c r="H51" i="17" s="1"/>
  <c r="K51" i="17" s="1"/>
  <c r="N51" i="17" s="1"/>
  <c r="E50" i="17"/>
  <c r="H50" i="17" s="1"/>
  <c r="K50" i="17" s="1"/>
  <c r="N50" i="17" s="1"/>
  <c r="D49" i="17"/>
  <c r="E49" i="17" s="1"/>
  <c r="H49" i="17" s="1"/>
  <c r="K49" i="17" s="1"/>
  <c r="N49" i="17" s="1"/>
  <c r="E48" i="17"/>
  <c r="H48" i="17" s="1"/>
  <c r="K48" i="17" s="1"/>
  <c r="N48" i="17" s="1"/>
  <c r="E47" i="17"/>
  <c r="H47" i="17" s="1"/>
  <c r="K47" i="17" s="1"/>
  <c r="N47" i="17" s="1"/>
  <c r="E46" i="17"/>
  <c r="H46" i="17" s="1"/>
  <c r="K46" i="17" s="1"/>
  <c r="N46" i="17" s="1"/>
  <c r="E44" i="17"/>
  <c r="H44" i="17" s="1"/>
  <c r="K44" i="17" s="1"/>
  <c r="N44" i="17" s="1"/>
  <c r="E43" i="17"/>
  <c r="H43" i="17" s="1"/>
  <c r="K43" i="17" s="1"/>
  <c r="N43" i="17" s="1"/>
  <c r="E42" i="17"/>
  <c r="H42" i="17" s="1"/>
  <c r="K42" i="17" s="1"/>
  <c r="N42" i="17" s="1"/>
  <c r="E41" i="17"/>
  <c r="H41" i="17" s="1"/>
  <c r="K41" i="17" s="1"/>
  <c r="N41" i="17" s="1"/>
  <c r="E40" i="17"/>
  <c r="H40" i="17" s="1"/>
  <c r="K40" i="17" s="1"/>
  <c r="N40" i="17" s="1"/>
  <c r="E39" i="17"/>
  <c r="H39" i="17" s="1"/>
  <c r="K39" i="17" s="1"/>
  <c r="N39" i="17" s="1"/>
  <c r="D38" i="17"/>
  <c r="E37" i="17"/>
  <c r="H37" i="17" s="1"/>
  <c r="K37" i="17" s="1"/>
  <c r="N37" i="17" s="1"/>
  <c r="E36" i="17"/>
  <c r="H36" i="17" s="1"/>
  <c r="K36" i="17" s="1"/>
  <c r="N36" i="17" s="1"/>
  <c r="E35" i="17"/>
  <c r="H35" i="17" s="1"/>
  <c r="K35" i="17" s="1"/>
  <c r="N35" i="17" s="1"/>
  <c r="D34" i="17"/>
  <c r="E33" i="17"/>
  <c r="H33" i="17" s="1"/>
  <c r="K33" i="17" s="1"/>
  <c r="N33" i="17" s="1"/>
  <c r="E32" i="17"/>
  <c r="H32" i="17" s="1"/>
  <c r="K32" i="17" s="1"/>
  <c r="N32" i="17" s="1"/>
  <c r="D31" i="17"/>
  <c r="E31" i="17" s="1"/>
  <c r="H31" i="17" s="1"/>
  <c r="K31" i="17" s="1"/>
  <c r="N31" i="17" s="1"/>
  <c r="E29" i="17"/>
  <c r="H29" i="17" s="1"/>
  <c r="K29" i="17" s="1"/>
  <c r="N29" i="17" s="1"/>
  <c r="E28" i="17"/>
  <c r="H28" i="17" s="1"/>
  <c r="K28" i="17" s="1"/>
  <c r="N28" i="17" s="1"/>
  <c r="E27" i="17"/>
  <c r="H27" i="17" s="1"/>
  <c r="K27" i="17" s="1"/>
  <c r="N27" i="17" s="1"/>
  <c r="D26" i="17"/>
  <c r="E24" i="17"/>
  <c r="H24" i="17" s="1"/>
  <c r="K24" i="17" s="1"/>
  <c r="N24" i="17" s="1"/>
  <c r="E23" i="17"/>
  <c r="H23" i="17" s="1"/>
  <c r="K23" i="17" s="1"/>
  <c r="N23" i="17" s="1"/>
  <c r="D22" i="17"/>
  <c r="E21" i="17"/>
  <c r="H21" i="17" s="1"/>
  <c r="K21" i="17" s="1"/>
  <c r="N21" i="17" s="1"/>
  <c r="E20" i="17"/>
  <c r="H20" i="17" s="1"/>
  <c r="K20" i="17" s="1"/>
  <c r="N20" i="17" s="1"/>
  <c r="E19" i="17"/>
  <c r="H19" i="17" s="1"/>
  <c r="K19" i="17" s="1"/>
  <c r="N19" i="17" s="1"/>
  <c r="E18" i="17"/>
  <c r="H18" i="17" s="1"/>
  <c r="K18" i="17" s="1"/>
  <c r="N18" i="17" s="1"/>
  <c r="E17" i="17"/>
  <c r="H17" i="17" s="1"/>
  <c r="K17" i="17" s="1"/>
  <c r="N17" i="17" s="1"/>
  <c r="E16" i="17"/>
  <c r="H16" i="17" s="1"/>
  <c r="K16" i="17" s="1"/>
  <c r="N16" i="17" s="1"/>
  <c r="E15" i="17"/>
  <c r="H15" i="17" s="1"/>
  <c r="K15" i="17" s="1"/>
  <c r="N15" i="17" s="1"/>
  <c r="E14" i="17"/>
  <c r="H14" i="17" s="1"/>
  <c r="K14" i="17" s="1"/>
  <c r="N14" i="17" s="1"/>
  <c r="E13" i="17"/>
  <c r="H13" i="17" s="1"/>
  <c r="K13" i="17" s="1"/>
  <c r="N13" i="17" s="1"/>
  <c r="E12" i="17"/>
  <c r="H12" i="17" s="1"/>
  <c r="K12" i="17" s="1"/>
  <c r="N12" i="17" s="1"/>
  <c r="E11" i="17"/>
  <c r="H11" i="17" s="1"/>
  <c r="K11" i="17" s="1"/>
  <c r="N11" i="17" s="1"/>
  <c r="D10" i="17"/>
  <c r="D9" i="17" s="1"/>
  <c r="E9" i="17" s="1"/>
  <c r="H9" i="17" s="1"/>
  <c r="K9" i="17" s="1"/>
  <c r="N9" i="17" s="1"/>
  <c r="E150" i="16"/>
  <c r="E149" i="16"/>
  <c r="E148" i="16"/>
  <c r="E147" i="16"/>
  <c r="E145" i="16"/>
  <c r="E144" i="16"/>
  <c r="D143" i="16"/>
  <c r="C143" i="16"/>
  <c r="E141" i="16"/>
  <c r="E140" i="16"/>
  <c r="E139" i="16"/>
  <c r="E138" i="16"/>
  <c r="E137" i="16"/>
  <c r="E136" i="16"/>
  <c r="E135" i="16"/>
  <c r="D134" i="16"/>
  <c r="D128" i="16" s="1"/>
  <c r="C134" i="16"/>
  <c r="E133" i="16"/>
  <c r="E132" i="16"/>
  <c r="E131" i="16"/>
  <c r="E130" i="16"/>
  <c r="E129" i="16"/>
  <c r="E127" i="16"/>
  <c r="E126" i="16"/>
  <c r="E125" i="16"/>
  <c r="E124" i="16"/>
  <c r="D123" i="16"/>
  <c r="C123" i="16"/>
  <c r="E122" i="16"/>
  <c r="E121" i="16"/>
  <c r="E120" i="16"/>
  <c r="E119" i="16"/>
  <c r="E118" i="16"/>
  <c r="E117" i="16"/>
  <c r="E116" i="16"/>
  <c r="E115" i="16"/>
  <c r="D114" i="16"/>
  <c r="C114" i="16"/>
  <c r="E113" i="16"/>
  <c r="E112" i="16"/>
  <c r="D111" i="16"/>
  <c r="E110" i="16"/>
  <c r="E109" i="16"/>
  <c r="E108" i="16"/>
  <c r="E107" i="16"/>
  <c r="E106" i="16"/>
  <c r="D105" i="16"/>
  <c r="C105" i="16"/>
  <c r="E104" i="16"/>
  <c r="E103" i="16"/>
  <c r="E102" i="16"/>
  <c r="D101" i="16"/>
  <c r="C101" i="16"/>
  <c r="E100" i="16"/>
  <c r="E99" i="16"/>
  <c r="E98" i="16"/>
  <c r="E97" i="16"/>
  <c r="E96" i="16"/>
  <c r="E95" i="16"/>
  <c r="E94" i="16"/>
  <c r="E93" i="16"/>
  <c r="E92" i="16"/>
  <c r="E90" i="16"/>
  <c r="D89" i="16"/>
  <c r="D88" i="16" s="1"/>
  <c r="C89" i="16"/>
  <c r="E84" i="16"/>
  <c r="E83" i="16"/>
  <c r="E81" i="16"/>
  <c r="E80" i="16"/>
  <c r="D79" i="16"/>
  <c r="C79" i="16"/>
  <c r="C75" i="16" s="1"/>
  <c r="E78" i="16"/>
  <c r="E77" i="16"/>
  <c r="E76" i="16"/>
  <c r="E71" i="16"/>
  <c r="D70" i="16"/>
  <c r="C70" i="16"/>
  <c r="E69" i="16"/>
  <c r="E68" i="16"/>
  <c r="D67" i="16"/>
  <c r="C67" i="16"/>
  <c r="E66" i="16"/>
  <c r="E65" i="16"/>
  <c r="E64" i="16"/>
  <c r="E63" i="16"/>
  <c r="E62" i="16"/>
  <c r="D61" i="16"/>
  <c r="C61" i="16"/>
  <c r="E60" i="16"/>
  <c r="E59" i="16"/>
  <c r="E58" i="16"/>
  <c r="E57" i="16"/>
  <c r="E56" i="16"/>
  <c r="E55" i="16"/>
  <c r="E54" i="16"/>
  <c r="E53" i="16"/>
  <c r="E52" i="16"/>
  <c r="E51" i="16"/>
  <c r="E50" i="16"/>
  <c r="D49" i="16"/>
  <c r="D45" i="16" s="1"/>
  <c r="C49" i="16"/>
  <c r="E48" i="16"/>
  <c r="E47" i="16"/>
  <c r="E46" i="16"/>
  <c r="E44" i="16"/>
  <c r="E43" i="16"/>
  <c r="E42" i="16"/>
  <c r="E41" i="16"/>
  <c r="E40" i="16"/>
  <c r="E39" i="16"/>
  <c r="D38" i="16"/>
  <c r="C38" i="16"/>
  <c r="E37" i="16"/>
  <c r="E36" i="16"/>
  <c r="E35" i="16"/>
  <c r="D34" i="16"/>
  <c r="C34" i="16"/>
  <c r="E33" i="16"/>
  <c r="E32" i="16"/>
  <c r="D31" i="16"/>
  <c r="D30" i="16" s="1"/>
  <c r="C31" i="16"/>
  <c r="C30" i="16" s="1"/>
  <c r="E29" i="16"/>
  <c r="E28" i="16"/>
  <c r="E27" i="16"/>
  <c r="D26" i="16"/>
  <c r="C26" i="16"/>
  <c r="E24" i="16"/>
  <c r="E23" i="16"/>
  <c r="D22" i="16"/>
  <c r="C22" i="16"/>
  <c r="E21" i="16"/>
  <c r="E20" i="16"/>
  <c r="E19" i="16"/>
  <c r="E18" i="16"/>
  <c r="E17" i="16"/>
  <c r="E16" i="16"/>
  <c r="E15" i="16"/>
  <c r="E14" i="16"/>
  <c r="E13" i="16"/>
  <c r="E12" i="16"/>
  <c r="E11" i="16"/>
  <c r="D10" i="16"/>
  <c r="D9" i="16" s="1"/>
  <c r="C10" i="16"/>
  <c r="C9" i="16" s="1"/>
  <c r="E150" i="15"/>
  <c r="E149" i="15"/>
  <c r="E148" i="15"/>
  <c r="E147" i="15"/>
  <c r="E145" i="15"/>
  <c r="E144" i="15"/>
  <c r="D143" i="15"/>
  <c r="C143" i="15"/>
  <c r="E141" i="15"/>
  <c r="E140" i="15"/>
  <c r="E139" i="15"/>
  <c r="E138" i="15"/>
  <c r="E137" i="15"/>
  <c r="E136" i="15"/>
  <c r="E135" i="15"/>
  <c r="D134" i="15"/>
  <c r="D128" i="15" s="1"/>
  <c r="C134" i="15"/>
  <c r="E133" i="15"/>
  <c r="E132" i="15"/>
  <c r="E131" i="15"/>
  <c r="E130" i="15"/>
  <c r="E129" i="15"/>
  <c r="C128" i="15"/>
  <c r="E127" i="15"/>
  <c r="E126" i="15"/>
  <c r="E125" i="15"/>
  <c r="E124" i="15"/>
  <c r="D123" i="15"/>
  <c r="C123" i="15"/>
  <c r="E122" i="15"/>
  <c r="E121" i="15"/>
  <c r="E120" i="15"/>
  <c r="E119" i="15"/>
  <c r="E118" i="15"/>
  <c r="E117" i="15"/>
  <c r="E116" i="15"/>
  <c r="E115" i="15"/>
  <c r="D114" i="15"/>
  <c r="C114" i="15"/>
  <c r="E113" i="15"/>
  <c r="E112" i="15"/>
  <c r="D111" i="15"/>
  <c r="E110" i="15"/>
  <c r="E109" i="15"/>
  <c r="E108" i="15"/>
  <c r="E107" i="15"/>
  <c r="E106" i="15"/>
  <c r="D105" i="15"/>
  <c r="C105" i="15"/>
  <c r="E104" i="15"/>
  <c r="E103" i="15"/>
  <c r="E102" i="15"/>
  <c r="D101" i="15"/>
  <c r="C101" i="15"/>
  <c r="E100" i="15"/>
  <c r="E99" i="15"/>
  <c r="E98" i="15"/>
  <c r="E97" i="15"/>
  <c r="E96" i="15"/>
  <c r="E95" i="15"/>
  <c r="E94" i="15"/>
  <c r="E93" i="15"/>
  <c r="E92" i="15"/>
  <c r="E90" i="15"/>
  <c r="D89" i="15"/>
  <c r="D88" i="15" s="1"/>
  <c r="C89" i="15"/>
  <c r="E84" i="15"/>
  <c r="E83" i="15"/>
  <c r="E81" i="15"/>
  <c r="E80" i="15"/>
  <c r="D79" i="15"/>
  <c r="C79" i="15"/>
  <c r="E78" i="15"/>
  <c r="E77" i="15"/>
  <c r="E76" i="15"/>
  <c r="E71" i="15"/>
  <c r="D70" i="15"/>
  <c r="C70" i="15"/>
  <c r="E69" i="15"/>
  <c r="E68" i="15"/>
  <c r="D67" i="15"/>
  <c r="C67" i="15"/>
  <c r="E66" i="15"/>
  <c r="E65" i="15"/>
  <c r="E64" i="15"/>
  <c r="E63" i="15"/>
  <c r="E62" i="15"/>
  <c r="D61" i="15"/>
  <c r="C61" i="15"/>
  <c r="E60" i="15"/>
  <c r="E59" i="15"/>
  <c r="E58" i="15"/>
  <c r="E57" i="15"/>
  <c r="E56" i="15"/>
  <c r="E55" i="15"/>
  <c r="E54" i="15"/>
  <c r="E53" i="15"/>
  <c r="E52" i="15"/>
  <c r="E51" i="15"/>
  <c r="E50" i="15"/>
  <c r="D49" i="15"/>
  <c r="D45" i="15" s="1"/>
  <c r="C49" i="15"/>
  <c r="E48" i="15"/>
  <c r="E47" i="15"/>
  <c r="E46" i="15"/>
  <c r="E44" i="15"/>
  <c r="E43" i="15"/>
  <c r="E42" i="15"/>
  <c r="E41" i="15"/>
  <c r="E40" i="15"/>
  <c r="E39" i="15"/>
  <c r="D38" i="15"/>
  <c r="C38" i="15"/>
  <c r="E37" i="15"/>
  <c r="E36" i="15"/>
  <c r="E35" i="15"/>
  <c r="D34" i="15"/>
  <c r="C34" i="15"/>
  <c r="E33" i="15"/>
  <c r="E32" i="15"/>
  <c r="D31" i="15"/>
  <c r="D30" i="15" s="1"/>
  <c r="C31" i="15"/>
  <c r="C30" i="15" s="1"/>
  <c r="E29" i="15"/>
  <c r="E28" i="15"/>
  <c r="E27" i="15"/>
  <c r="D26" i="15"/>
  <c r="C26" i="15"/>
  <c r="E24" i="15"/>
  <c r="E23" i="15"/>
  <c r="D22" i="15"/>
  <c r="C22" i="15"/>
  <c r="E21" i="15"/>
  <c r="E20" i="15"/>
  <c r="E19" i="15"/>
  <c r="E18" i="15"/>
  <c r="E17" i="15"/>
  <c r="E16" i="15"/>
  <c r="E15" i="15"/>
  <c r="E14" i="15"/>
  <c r="E13" i="15"/>
  <c r="E12" i="15"/>
  <c r="E11" i="15"/>
  <c r="D10" i="15"/>
  <c r="D9" i="15" s="1"/>
  <c r="C10" i="15"/>
  <c r="C9" i="15" s="1"/>
  <c r="E150" i="14"/>
  <c r="E149" i="14"/>
  <c r="E148" i="14"/>
  <c r="E147" i="14"/>
  <c r="E145" i="14"/>
  <c r="E144" i="14"/>
  <c r="D143" i="14"/>
  <c r="C143" i="14"/>
  <c r="E141" i="14"/>
  <c r="E140" i="14"/>
  <c r="E139" i="14"/>
  <c r="E138" i="14"/>
  <c r="E137" i="14"/>
  <c r="E136" i="14"/>
  <c r="E135" i="14"/>
  <c r="D134" i="14"/>
  <c r="D128" i="14" s="1"/>
  <c r="C134" i="14"/>
  <c r="E133" i="14"/>
  <c r="E132" i="14"/>
  <c r="E131" i="14"/>
  <c r="E130" i="14"/>
  <c r="E129" i="14"/>
  <c r="C128" i="14"/>
  <c r="E127" i="14"/>
  <c r="E126" i="14"/>
  <c r="E125" i="14"/>
  <c r="E124" i="14"/>
  <c r="D123" i="14"/>
  <c r="C123" i="14"/>
  <c r="E122" i="14"/>
  <c r="E121" i="14"/>
  <c r="E120" i="14"/>
  <c r="E119" i="14"/>
  <c r="E118" i="14"/>
  <c r="E117" i="14"/>
  <c r="E116" i="14"/>
  <c r="E115" i="14"/>
  <c r="D114" i="14"/>
  <c r="C114" i="14"/>
  <c r="E113" i="14"/>
  <c r="E112" i="14"/>
  <c r="D111" i="14"/>
  <c r="E110" i="14"/>
  <c r="E109" i="14"/>
  <c r="E108" i="14"/>
  <c r="E107" i="14"/>
  <c r="E106" i="14"/>
  <c r="D105" i="14"/>
  <c r="C105" i="14"/>
  <c r="E104" i="14"/>
  <c r="E103" i="14"/>
  <c r="E102" i="14"/>
  <c r="D101" i="14"/>
  <c r="C101" i="14"/>
  <c r="E100" i="14"/>
  <c r="E99" i="14"/>
  <c r="E98" i="14"/>
  <c r="E97" i="14"/>
  <c r="E96" i="14"/>
  <c r="E95" i="14"/>
  <c r="E94" i="14"/>
  <c r="E93" i="14"/>
  <c r="E92" i="14"/>
  <c r="E90" i="14"/>
  <c r="D89" i="14"/>
  <c r="D88" i="14" s="1"/>
  <c r="C89" i="14"/>
  <c r="E84" i="14"/>
  <c r="E83" i="14"/>
  <c r="E81" i="14"/>
  <c r="E80" i="14"/>
  <c r="D79" i="14"/>
  <c r="C79" i="14"/>
  <c r="E78" i="14"/>
  <c r="E77" i="14"/>
  <c r="E76" i="14"/>
  <c r="E71" i="14"/>
  <c r="D70" i="14"/>
  <c r="C70" i="14"/>
  <c r="E69" i="14"/>
  <c r="E68" i="14"/>
  <c r="D67" i="14"/>
  <c r="C67" i="14"/>
  <c r="E66" i="14"/>
  <c r="E65" i="14"/>
  <c r="E64" i="14"/>
  <c r="E63" i="14"/>
  <c r="E62" i="14"/>
  <c r="D61" i="14"/>
  <c r="C61" i="14"/>
  <c r="E60" i="14"/>
  <c r="E59" i="14"/>
  <c r="E58" i="14"/>
  <c r="E57" i="14"/>
  <c r="E56" i="14"/>
  <c r="E55" i="14"/>
  <c r="E54" i="14"/>
  <c r="E53" i="14"/>
  <c r="E52" i="14"/>
  <c r="E51" i="14"/>
  <c r="E50" i="14"/>
  <c r="D49" i="14"/>
  <c r="D45" i="14" s="1"/>
  <c r="C49" i="14"/>
  <c r="E48" i="14"/>
  <c r="E47" i="14"/>
  <c r="E46" i="14"/>
  <c r="E44" i="14"/>
  <c r="E43" i="14"/>
  <c r="E42" i="14"/>
  <c r="E41" i="14"/>
  <c r="E40" i="14"/>
  <c r="E39" i="14"/>
  <c r="D38" i="14"/>
  <c r="C38" i="14"/>
  <c r="E37" i="14"/>
  <c r="E36" i="14"/>
  <c r="E35" i="14"/>
  <c r="D34" i="14"/>
  <c r="C34" i="14"/>
  <c r="E33" i="14"/>
  <c r="E32" i="14"/>
  <c r="D31" i="14"/>
  <c r="D30" i="14" s="1"/>
  <c r="C31" i="14"/>
  <c r="C30" i="14" s="1"/>
  <c r="E29" i="14"/>
  <c r="E28" i="14"/>
  <c r="E27" i="14"/>
  <c r="D26" i="14"/>
  <c r="C26" i="14"/>
  <c r="E24" i="14"/>
  <c r="E23" i="14"/>
  <c r="D22" i="14"/>
  <c r="C22" i="14"/>
  <c r="E21" i="14"/>
  <c r="E20" i="14"/>
  <c r="E19" i="14"/>
  <c r="E18" i="14"/>
  <c r="E17" i="14"/>
  <c r="E16" i="14"/>
  <c r="E15" i="14"/>
  <c r="E14" i="14"/>
  <c r="E13" i="14"/>
  <c r="E12" i="14"/>
  <c r="E11" i="14"/>
  <c r="D10" i="14"/>
  <c r="D9" i="14" s="1"/>
  <c r="C10" i="14"/>
  <c r="E150" i="13"/>
  <c r="E149" i="13"/>
  <c r="E148" i="13"/>
  <c r="E147" i="13"/>
  <c r="E145" i="13"/>
  <c r="E144" i="13"/>
  <c r="D143" i="13"/>
  <c r="C143" i="13"/>
  <c r="E141" i="13"/>
  <c r="E140" i="13"/>
  <c r="E139" i="13"/>
  <c r="E138" i="13"/>
  <c r="E137" i="13"/>
  <c r="E136" i="13"/>
  <c r="E135" i="13"/>
  <c r="D134" i="13"/>
  <c r="D128" i="13" s="1"/>
  <c r="C134" i="13"/>
  <c r="E133" i="13"/>
  <c r="E132" i="13"/>
  <c r="E131" i="13"/>
  <c r="E130" i="13"/>
  <c r="E129" i="13"/>
  <c r="C128" i="13"/>
  <c r="E127" i="13"/>
  <c r="E126" i="13"/>
  <c r="E125" i="13"/>
  <c r="E124" i="13"/>
  <c r="D123" i="13"/>
  <c r="C123" i="13"/>
  <c r="E122" i="13"/>
  <c r="E121" i="13"/>
  <c r="E120" i="13"/>
  <c r="E119" i="13"/>
  <c r="E118" i="13"/>
  <c r="E117" i="13"/>
  <c r="E116" i="13"/>
  <c r="E115" i="13"/>
  <c r="D114" i="13"/>
  <c r="C114" i="13"/>
  <c r="E113" i="13"/>
  <c r="E112" i="13"/>
  <c r="D111" i="13"/>
  <c r="E110" i="13"/>
  <c r="E109" i="13"/>
  <c r="E108" i="13"/>
  <c r="E107" i="13"/>
  <c r="E106" i="13"/>
  <c r="D105" i="13"/>
  <c r="C105" i="13"/>
  <c r="E104" i="13"/>
  <c r="E103" i="13"/>
  <c r="E102" i="13"/>
  <c r="D101" i="13"/>
  <c r="C101" i="13"/>
  <c r="E100" i="13"/>
  <c r="E99" i="13"/>
  <c r="E98" i="13"/>
  <c r="E97" i="13"/>
  <c r="E96" i="13"/>
  <c r="E95" i="13"/>
  <c r="E94" i="13"/>
  <c r="E93" i="13"/>
  <c r="E92" i="13"/>
  <c r="E90" i="13"/>
  <c r="D89" i="13"/>
  <c r="D88" i="13" s="1"/>
  <c r="C89" i="13"/>
  <c r="E84" i="13"/>
  <c r="E83" i="13"/>
  <c r="E81" i="13"/>
  <c r="E80" i="13"/>
  <c r="D79" i="13"/>
  <c r="D75" i="13" s="1"/>
  <c r="D74" i="13" s="1"/>
  <c r="C79" i="13"/>
  <c r="E78" i="13"/>
  <c r="E77" i="13"/>
  <c r="E76" i="13"/>
  <c r="E71" i="13"/>
  <c r="D70" i="13"/>
  <c r="C70" i="13"/>
  <c r="E69" i="13"/>
  <c r="E68" i="13"/>
  <c r="D67" i="13"/>
  <c r="C67" i="13"/>
  <c r="E66" i="13"/>
  <c r="E65" i="13"/>
  <c r="E64" i="13"/>
  <c r="E63" i="13"/>
  <c r="E62" i="13"/>
  <c r="D61" i="13"/>
  <c r="C61" i="13"/>
  <c r="E60" i="13"/>
  <c r="E59" i="13"/>
  <c r="E58" i="13"/>
  <c r="E57" i="13"/>
  <c r="E56" i="13"/>
  <c r="E55" i="13"/>
  <c r="E54" i="13"/>
  <c r="E53" i="13"/>
  <c r="E52" i="13"/>
  <c r="E51" i="13"/>
  <c r="E50" i="13"/>
  <c r="D49" i="13"/>
  <c r="D45" i="13" s="1"/>
  <c r="C49" i="13"/>
  <c r="E48" i="13"/>
  <c r="E47" i="13"/>
  <c r="E46" i="13"/>
  <c r="C45" i="13"/>
  <c r="E44" i="13"/>
  <c r="E43" i="13"/>
  <c r="E42" i="13"/>
  <c r="E41" i="13"/>
  <c r="E40" i="13"/>
  <c r="E39" i="13"/>
  <c r="D38" i="13"/>
  <c r="C38" i="13"/>
  <c r="E37" i="13"/>
  <c r="E36" i="13"/>
  <c r="E35" i="13"/>
  <c r="D34" i="13"/>
  <c r="C34" i="13"/>
  <c r="E33" i="13"/>
  <c r="E32" i="13"/>
  <c r="D31" i="13"/>
  <c r="D30" i="13" s="1"/>
  <c r="C31" i="13"/>
  <c r="E29" i="13"/>
  <c r="E28" i="13"/>
  <c r="E27" i="13"/>
  <c r="D26" i="13"/>
  <c r="C26" i="13"/>
  <c r="E24" i="13"/>
  <c r="E23" i="13"/>
  <c r="D22" i="13"/>
  <c r="C22" i="13"/>
  <c r="E21" i="13"/>
  <c r="E20" i="13"/>
  <c r="E19" i="13"/>
  <c r="E18" i="13"/>
  <c r="E17" i="13"/>
  <c r="E16" i="13"/>
  <c r="E15" i="13"/>
  <c r="E14" i="13"/>
  <c r="E13" i="13"/>
  <c r="E12" i="13"/>
  <c r="E11" i="13"/>
  <c r="D10" i="13"/>
  <c r="C10" i="13"/>
  <c r="C9" i="13" s="1"/>
  <c r="E150" i="12"/>
  <c r="E149" i="12"/>
  <c r="E148" i="12"/>
  <c r="E147" i="12"/>
  <c r="E145" i="12"/>
  <c r="E144" i="12"/>
  <c r="D143" i="12"/>
  <c r="C143" i="12"/>
  <c r="E141" i="12"/>
  <c r="E140" i="12"/>
  <c r="E139" i="12"/>
  <c r="E138" i="12"/>
  <c r="E137" i="12"/>
  <c r="E136" i="12"/>
  <c r="E135" i="12"/>
  <c r="D134" i="12"/>
  <c r="D128" i="12" s="1"/>
  <c r="C134" i="12"/>
  <c r="E133" i="12"/>
  <c r="E132" i="12"/>
  <c r="E131" i="12"/>
  <c r="E130" i="12"/>
  <c r="E129" i="12"/>
  <c r="E127" i="12"/>
  <c r="E126" i="12"/>
  <c r="E125" i="12"/>
  <c r="E124" i="12"/>
  <c r="D123" i="12"/>
  <c r="C123" i="12"/>
  <c r="E122" i="12"/>
  <c r="E121" i="12"/>
  <c r="E120" i="12"/>
  <c r="E119" i="12"/>
  <c r="E118" i="12"/>
  <c r="E117" i="12"/>
  <c r="E116" i="12"/>
  <c r="E115" i="12"/>
  <c r="D114" i="12"/>
  <c r="C114" i="12"/>
  <c r="E113" i="12"/>
  <c r="E112" i="12"/>
  <c r="D111" i="12"/>
  <c r="E110" i="12"/>
  <c r="E109" i="12"/>
  <c r="E108" i="12"/>
  <c r="E107" i="12"/>
  <c r="E106" i="12"/>
  <c r="D105" i="12"/>
  <c r="C105" i="12"/>
  <c r="E104" i="12"/>
  <c r="E103" i="12"/>
  <c r="E102" i="12"/>
  <c r="D101" i="12"/>
  <c r="C101" i="12"/>
  <c r="E100" i="12"/>
  <c r="E99" i="12"/>
  <c r="E98" i="12"/>
  <c r="E97" i="12"/>
  <c r="E96" i="12"/>
  <c r="E95" i="12"/>
  <c r="E94" i="12"/>
  <c r="E93" i="12"/>
  <c r="E92" i="12"/>
  <c r="E90" i="12"/>
  <c r="D89" i="12"/>
  <c r="D88" i="12" s="1"/>
  <c r="C89" i="12"/>
  <c r="E84" i="12"/>
  <c r="E83" i="12"/>
  <c r="E81" i="12"/>
  <c r="E80" i="12"/>
  <c r="D79" i="12"/>
  <c r="C79" i="12"/>
  <c r="E78" i="12"/>
  <c r="E77" i="12"/>
  <c r="E76" i="12"/>
  <c r="E71" i="12"/>
  <c r="D70" i="12"/>
  <c r="C70" i="12"/>
  <c r="E69" i="12"/>
  <c r="E68" i="12"/>
  <c r="D67" i="12"/>
  <c r="C67" i="12"/>
  <c r="E66" i="12"/>
  <c r="E65" i="12"/>
  <c r="E64" i="12"/>
  <c r="E63" i="12"/>
  <c r="E62" i="12"/>
  <c r="D61" i="12"/>
  <c r="C61" i="12"/>
  <c r="E60" i="12"/>
  <c r="E59" i="12"/>
  <c r="E58" i="12"/>
  <c r="E57" i="12"/>
  <c r="E56" i="12"/>
  <c r="E55" i="12"/>
  <c r="E54" i="12"/>
  <c r="E53" i="12"/>
  <c r="E52" i="12"/>
  <c r="E51" i="12"/>
  <c r="E50" i="12"/>
  <c r="D49" i="12"/>
  <c r="D45" i="12" s="1"/>
  <c r="C49" i="12"/>
  <c r="E48" i="12"/>
  <c r="E47" i="12"/>
  <c r="E46" i="12"/>
  <c r="C45" i="12"/>
  <c r="E44" i="12"/>
  <c r="E43" i="12"/>
  <c r="E42" i="12"/>
  <c r="E41" i="12"/>
  <c r="E40" i="12"/>
  <c r="E39" i="12"/>
  <c r="D38" i="12"/>
  <c r="C38" i="12"/>
  <c r="E37" i="12"/>
  <c r="E36" i="12"/>
  <c r="E35" i="12"/>
  <c r="D34" i="12"/>
  <c r="C34" i="12"/>
  <c r="E33" i="12"/>
  <c r="E32" i="12"/>
  <c r="D31" i="12"/>
  <c r="D30" i="12" s="1"/>
  <c r="C31" i="12"/>
  <c r="E29" i="12"/>
  <c r="E28" i="12"/>
  <c r="E27" i="12"/>
  <c r="D26" i="12"/>
  <c r="C26" i="12"/>
  <c r="E24" i="12"/>
  <c r="E23" i="12"/>
  <c r="D22" i="12"/>
  <c r="C22" i="12"/>
  <c r="E21" i="12"/>
  <c r="E20" i="12"/>
  <c r="E19" i="12"/>
  <c r="E18" i="12"/>
  <c r="E17" i="12"/>
  <c r="E16" i="12"/>
  <c r="E15" i="12"/>
  <c r="E14" i="12"/>
  <c r="E13" i="12"/>
  <c r="E12" i="12"/>
  <c r="E11" i="12"/>
  <c r="D10" i="12"/>
  <c r="D9" i="12" s="1"/>
  <c r="C10" i="12"/>
  <c r="E150" i="11"/>
  <c r="E149" i="11"/>
  <c r="E148" i="11"/>
  <c r="E147" i="11"/>
  <c r="E145" i="11"/>
  <c r="E144" i="11"/>
  <c r="D143" i="11"/>
  <c r="C143" i="11"/>
  <c r="E141" i="11"/>
  <c r="E140" i="11"/>
  <c r="E139" i="11"/>
  <c r="E138" i="11"/>
  <c r="E137" i="11"/>
  <c r="E136" i="11"/>
  <c r="E135" i="11"/>
  <c r="D134" i="11"/>
  <c r="D128" i="11" s="1"/>
  <c r="C134" i="11"/>
  <c r="E133" i="11"/>
  <c r="E132" i="11"/>
  <c r="E131" i="11"/>
  <c r="E130" i="11"/>
  <c r="E129" i="11"/>
  <c r="E127" i="11"/>
  <c r="E126" i="11"/>
  <c r="E125" i="11"/>
  <c r="E124" i="11"/>
  <c r="D123" i="11"/>
  <c r="C123" i="11"/>
  <c r="E122" i="11"/>
  <c r="E121" i="11"/>
  <c r="E120" i="11"/>
  <c r="E119" i="11"/>
  <c r="E118" i="11"/>
  <c r="E117" i="11"/>
  <c r="E116" i="11"/>
  <c r="E115" i="11"/>
  <c r="D114" i="11"/>
  <c r="C114" i="11"/>
  <c r="E113" i="11"/>
  <c r="E112" i="11"/>
  <c r="D111" i="11"/>
  <c r="E110" i="11"/>
  <c r="E109" i="11"/>
  <c r="E108" i="11"/>
  <c r="E107" i="11"/>
  <c r="E106" i="11"/>
  <c r="D105" i="11"/>
  <c r="C105" i="11"/>
  <c r="E104" i="11"/>
  <c r="E103" i="11"/>
  <c r="E102" i="11"/>
  <c r="D101" i="11"/>
  <c r="C101" i="11"/>
  <c r="E100" i="11"/>
  <c r="E99" i="11"/>
  <c r="E98" i="11"/>
  <c r="E97" i="11"/>
  <c r="E96" i="11"/>
  <c r="E95" i="11"/>
  <c r="E94" i="11"/>
  <c r="E93" i="11"/>
  <c r="E92" i="11"/>
  <c r="E90" i="11"/>
  <c r="D89" i="11"/>
  <c r="D88" i="11" s="1"/>
  <c r="C89" i="11"/>
  <c r="E84" i="11"/>
  <c r="E83" i="11"/>
  <c r="E81" i="11"/>
  <c r="E80" i="11"/>
  <c r="D79" i="11"/>
  <c r="C79" i="11"/>
  <c r="E78" i="11"/>
  <c r="E77" i="11"/>
  <c r="E76" i="11"/>
  <c r="E71" i="11"/>
  <c r="D70" i="11"/>
  <c r="C70" i="11"/>
  <c r="E69" i="11"/>
  <c r="E68" i="11"/>
  <c r="D67" i="11"/>
  <c r="C67" i="11"/>
  <c r="E66" i="11"/>
  <c r="E65" i="11"/>
  <c r="E64" i="11"/>
  <c r="E63" i="11"/>
  <c r="E62" i="11"/>
  <c r="D61" i="11"/>
  <c r="C61" i="11"/>
  <c r="E60" i="11"/>
  <c r="E59" i="11"/>
  <c r="E58" i="11"/>
  <c r="E57" i="11"/>
  <c r="E56" i="11"/>
  <c r="E55" i="11"/>
  <c r="E54" i="11"/>
  <c r="E53" i="11"/>
  <c r="E52" i="11"/>
  <c r="E51" i="11"/>
  <c r="E50" i="11"/>
  <c r="D49" i="11"/>
  <c r="D45" i="11" s="1"/>
  <c r="C49" i="11"/>
  <c r="E48" i="11"/>
  <c r="E47" i="11"/>
  <c r="E46" i="11"/>
  <c r="E44" i="11"/>
  <c r="E43" i="11"/>
  <c r="E42" i="11"/>
  <c r="E41" i="11"/>
  <c r="E40" i="11"/>
  <c r="E39" i="11"/>
  <c r="D38" i="11"/>
  <c r="C38" i="11"/>
  <c r="E37" i="11"/>
  <c r="E36" i="11"/>
  <c r="E35" i="11"/>
  <c r="D34" i="11"/>
  <c r="C34" i="11"/>
  <c r="E33" i="11"/>
  <c r="E32" i="11"/>
  <c r="D31" i="11"/>
  <c r="D30" i="11" s="1"/>
  <c r="C31" i="11"/>
  <c r="C30" i="11" s="1"/>
  <c r="E29" i="11"/>
  <c r="E28" i="11"/>
  <c r="E27" i="11"/>
  <c r="D26" i="11"/>
  <c r="C26" i="11"/>
  <c r="E24" i="11"/>
  <c r="E23" i="11"/>
  <c r="D22" i="11"/>
  <c r="C22" i="11"/>
  <c r="E21" i="11"/>
  <c r="E20" i="11"/>
  <c r="E19" i="11"/>
  <c r="E18" i="11"/>
  <c r="E17" i="11"/>
  <c r="E16" i="11"/>
  <c r="E15" i="11"/>
  <c r="E14" i="11"/>
  <c r="E13" i="11"/>
  <c r="E12" i="11"/>
  <c r="E11" i="11"/>
  <c r="D10" i="11"/>
  <c r="D9" i="11" s="1"/>
  <c r="C10" i="11"/>
  <c r="E150" i="10"/>
  <c r="E149" i="10"/>
  <c r="E148" i="10"/>
  <c r="E147" i="10"/>
  <c r="E145" i="10"/>
  <c r="E144" i="10"/>
  <c r="D143" i="10"/>
  <c r="C143" i="10"/>
  <c r="E141" i="10"/>
  <c r="E140" i="10"/>
  <c r="E139" i="10"/>
  <c r="E138" i="10"/>
  <c r="E137" i="10"/>
  <c r="E136" i="10"/>
  <c r="E135" i="10"/>
  <c r="D134" i="10"/>
  <c r="D128" i="10" s="1"/>
  <c r="C134" i="10"/>
  <c r="E133" i="10"/>
  <c r="E132" i="10"/>
  <c r="E131" i="10"/>
  <c r="E130" i="10"/>
  <c r="E129" i="10"/>
  <c r="E127" i="10"/>
  <c r="E126" i="10"/>
  <c r="E125" i="10"/>
  <c r="E124" i="10"/>
  <c r="D123" i="10"/>
  <c r="C123" i="10"/>
  <c r="E122" i="10"/>
  <c r="E121" i="10"/>
  <c r="E120" i="10"/>
  <c r="E119" i="10"/>
  <c r="E118" i="10"/>
  <c r="E117" i="10"/>
  <c r="E116" i="10"/>
  <c r="E115" i="10"/>
  <c r="D114" i="10"/>
  <c r="C114" i="10"/>
  <c r="E113" i="10"/>
  <c r="E112" i="10"/>
  <c r="D111" i="10"/>
  <c r="E110" i="10"/>
  <c r="E109" i="10"/>
  <c r="E108" i="10"/>
  <c r="E107" i="10"/>
  <c r="E106" i="10"/>
  <c r="D105" i="10"/>
  <c r="C105" i="10"/>
  <c r="E104" i="10"/>
  <c r="E103" i="10"/>
  <c r="E102" i="10"/>
  <c r="D101" i="10"/>
  <c r="C101" i="10"/>
  <c r="E100" i="10"/>
  <c r="E99" i="10"/>
  <c r="E98" i="10"/>
  <c r="E97" i="10"/>
  <c r="E96" i="10"/>
  <c r="E95" i="10"/>
  <c r="E94" i="10"/>
  <c r="E93" i="10"/>
  <c r="E90" i="10"/>
  <c r="D89" i="10"/>
  <c r="C89" i="10"/>
  <c r="E84" i="10"/>
  <c r="E83" i="10"/>
  <c r="E81" i="10"/>
  <c r="E80" i="10"/>
  <c r="D79" i="10"/>
  <c r="C79" i="10"/>
  <c r="E78" i="10"/>
  <c r="E77" i="10"/>
  <c r="E76" i="10"/>
  <c r="E71" i="10"/>
  <c r="D70" i="10"/>
  <c r="C70" i="10"/>
  <c r="E69" i="10"/>
  <c r="E68" i="10"/>
  <c r="D67" i="10"/>
  <c r="C67" i="10"/>
  <c r="E66" i="10"/>
  <c r="E65" i="10"/>
  <c r="E64" i="10"/>
  <c r="E63" i="10"/>
  <c r="E62" i="10"/>
  <c r="D61" i="10"/>
  <c r="C61" i="10"/>
  <c r="E60" i="10"/>
  <c r="E59" i="10"/>
  <c r="E58" i="10"/>
  <c r="E57" i="10"/>
  <c r="E56" i="10"/>
  <c r="E55" i="10"/>
  <c r="E54" i="10"/>
  <c r="E53" i="10"/>
  <c r="E52" i="10"/>
  <c r="E51" i="10"/>
  <c r="E50" i="10"/>
  <c r="D49" i="10"/>
  <c r="D45" i="10" s="1"/>
  <c r="C49" i="10"/>
  <c r="E48" i="10"/>
  <c r="E47" i="10"/>
  <c r="E46" i="10"/>
  <c r="E44" i="10"/>
  <c r="E43" i="10"/>
  <c r="E42" i="10"/>
  <c r="E41" i="10"/>
  <c r="E40" i="10"/>
  <c r="E39" i="10"/>
  <c r="D38" i="10"/>
  <c r="C38" i="10"/>
  <c r="E37" i="10"/>
  <c r="E36" i="10"/>
  <c r="E35" i="10"/>
  <c r="D34" i="10"/>
  <c r="C34" i="10"/>
  <c r="E33" i="10"/>
  <c r="E32" i="10"/>
  <c r="D31" i="10"/>
  <c r="D30" i="10" s="1"/>
  <c r="C31" i="10"/>
  <c r="C30" i="10" s="1"/>
  <c r="E29" i="10"/>
  <c r="E28" i="10"/>
  <c r="E27" i="10"/>
  <c r="D26" i="10"/>
  <c r="C26" i="10"/>
  <c r="E24" i="10"/>
  <c r="E23" i="10"/>
  <c r="D22" i="10"/>
  <c r="C22" i="10"/>
  <c r="E21" i="10"/>
  <c r="E20" i="10"/>
  <c r="E19" i="10"/>
  <c r="E18" i="10"/>
  <c r="E17" i="10"/>
  <c r="E16" i="10"/>
  <c r="E15" i="10"/>
  <c r="E14" i="10"/>
  <c r="E13" i="10"/>
  <c r="E12" i="10"/>
  <c r="E11" i="10"/>
  <c r="D10" i="10"/>
  <c r="D9" i="10" s="1"/>
  <c r="C10" i="10"/>
  <c r="E150" i="9"/>
  <c r="E149" i="9"/>
  <c r="E148" i="9"/>
  <c r="E147" i="9"/>
  <c r="E145" i="9"/>
  <c r="E144" i="9"/>
  <c r="D143" i="9"/>
  <c r="C143" i="9"/>
  <c r="E141" i="9"/>
  <c r="E140" i="9"/>
  <c r="E139" i="9"/>
  <c r="E138" i="9"/>
  <c r="E137" i="9"/>
  <c r="E136" i="9"/>
  <c r="E135" i="9"/>
  <c r="D134" i="9"/>
  <c r="D128" i="9" s="1"/>
  <c r="C134" i="9"/>
  <c r="C128" i="9" s="1"/>
  <c r="E133" i="9"/>
  <c r="E132" i="9"/>
  <c r="E131" i="9"/>
  <c r="E130" i="9"/>
  <c r="E129" i="9"/>
  <c r="E127" i="9"/>
  <c r="E126" i="9"/>
  <c r="E125" i="9"/>
  <c r="E124" i="9"/>
  <c r="D123" i="9"/>
  <c r="C123" i="9"/>
  <c r="E122" i="9"/>
  <c r="E121" i="9"/>
  <c r="E120" i="9"/>
  <c r="E119" i="9"/>
  <c r="E118" i="9"/>
  <c r="E117" i="9"/>
  <c r="E116" i="9"/>
  <c r="E115" i="9"/>
  <c r="D114" i="9"/>
  <c r="C114" i="9"/>
  <c r="E113" i="9"/>
  <c r="E112" i="9"/>
  <c r="D111" i="9"/>
  <c r="E110" i="9"/>
  <c r="E109" i="9"/>
  <c r="E108" i="9"/>
  <c r="E107" i="9"/>
  <c r="E106" i="9"/>
  <c r="D105" i="9"/>
  <c r="C105" i="9"/>
  <c r="E104" i="9"/>
  <c r="E103" i="9"/>
  <c r="E102" i="9"/>
  <c r="D101" i="9"/>
  <c r="C101" i="9"/>
  <c r="E100" i="9"/>
  <c r="E99" i="9"/>
  <c r="E98" i="9"/>
  <c r="E97" i="9"/>
  <c r="E96" i="9"/>
  <c r="E95" i="9"/>
  <c r="E94" i="9"/>
  <c r="E93" i="9"/>
  <c r="E92" i="9"/>
  <c r="E90" i="9"/>
  <c r="D89" i="9"/>
  <c r="D88" i="9" s="1"/>
  <c r="C89" i="9"/>
  <c r="E84" i="9"/>
  <c r="E83" i="9"/>
  <c r="E81" i="9"/>
  <c r="E80" i="9"/>
  <c r="D79" i="9"/>
  <c r="C79" i="9"/>
  <c r="E78" i="9"/>
  <c r="E77" i="9"/>
  <c r="E76" i="9"/>
  <c r="E71" i="9"/>
  <c r="D70" i="9"/>
  <c r="C70" i="9"/>
  <c r="E69" i="9"/>
  <c r="E68" i="9"/>
  <c r="D67" i="9"/>
  <c r="C67" i="9"/>
  <c r="E66" i="9"/>
  <c r="E65" i="9"/>
  <c r="E64" i="9"/>
  <c r="E63" i="9"/>
  <c r="E62" i="9"/>
  <c r="D61" i="9"/>
  <c r="C61" i="9"/>
  <c r="E60" i="9"/>
  <c r="E59" i="9"/>
  <c r="E58" i="9"/>
  <c r="E57" i="9"/>
  <c r="E56" i="9"/>
  <c r="E55" i="9"/>
  <c r="E54" i="9"/>
  <c r="E53" i="9"/>
  <c r="E52" i="9"/>
  <c r="E51" i="9"/>
  <c r="E50" i="9"/>
  <c r="D49" i="9"/>
  <c r="D45" i="9" s="1"/>
  <c r="C49" i="9"/>
  <c r="E48" i="9"/>
  <c r="E47" i="9"/>
  <c r="E46" i="9"/>
  <c r="E44" i="9"/>
  <c r="E43" i="9"/>
  <c r="E42" i="9"/>
  <c r="E41" i="9"/>
  <c r="E40" i="9"/>
  <c r="E39" i="9"/>
  <c r="D38" i="9"/>
  <c r="C38" i="9"/>
  <c r="E37" i="9"/>
  <c r="E36" i="9"/>
  <c r="E35" i="9"/>
  <c r="D34" i="9"/>
  <c r="C34" i="9"/>
  <c r="E33" i="9"/>
  <c r="E32" i="9"/>
  <c r="D31" i="9"/>
  <c r="C31" i="9"/>
  <c r="C30" i="9" s="1"/>
  <c r="E29" i="9"/>
  <c r="E28" i="9"/>
  <c r="E27" i="9"/>
  <c r="D26" i="9"/>
  <c r="C26" i="9"/>
  <c r="E24" i="9"/>
  <c r="E23" i="9"/>
  <c r="D22" i="9"/>
  <c r="C22" i="9"/>
  <c r="E21" i="9"/>
  <c r="E20" i="9"/>
  <c r="E19" i="9"/>
  <c r="E18" i="9"/>
  <c r="E17" i="9"/>
  <c r="E16" i="9"/>
  <c r="E15" i="9"/>
  <c r="E14" i="9"/>
  <c r="E13" i="9"/>
  <c r="E12" i="9"/>
  <c r="E11" i="9"/>
  <c r="D10" i="9"/>
  <c r="D9" i="9" s="1"/>
  <c r="C10" i="9"/>
  <c r="C9" i="9" s="1"/>
  <c r="E150" i="8"/>
  <c r="E149" i="8"/>
  <c r="E148" i="8"/>
  <c r="E147" i="8"/>
  <c r="E145" i="8"/>
  <c r="E144" i="8"/>
  <c r="D143" i="8"/>
  <c r="C143" i="8"/>
  <c r="E141" i="8"/>
  <c r="E140" i="8"/>
  <c r="E139" i="8"/>
  <c r="E138" i="8"/>
  <c r="E137" i="8"/>
  <c r="E136" i="8"/>
  <c r="E135" i="8"/>
  <c r="D134" i="8"/>
  <c r="C134" i="8"/>
  <c r="E133" i="8"/>
  <c r="E132" i="8"/>
  <c r="E131" i="8"/>
  <c r="E130" i="8"/>
  <c r="E129" i="8"/>
  <c r="E127" i="8"/>
  <c r="E126" i="8"/>
  <c r="E125" i="8"/>
  <c r="E124" i="8"/>
  <c r="D123" i="8"/>
  <c r="C123" i="8"/>
  <c r="E122" i="8"/>
  <c r="E121" i="8"/>
  <c r="E120" i="8"/>
  <c r="E119" i="8"/>
  <c r="E118" i="8"/>
  <c r="E117" i="8"/>
  <c r="E116" i="8"/>
  <c r="E115" i="8"/>
  <c r="D114" i="8"/>
  <c r="C114" i="8"/>
  <c r="E113" i="8"/>
  <c r="E112" i="8"/>
  <c r="E110" i="8"/>
  <c r="E109" i="8"/>
  <c r="E108" i="8"/>
  <c r="E107" i="8"/>
  <c r="E106" i="8"/>
  <c r="D105" i="8"/>
  <c r="C105" i="8"/>
  <c r="E104" i="8"/>
  <c r="E103" i="8"/>
  <c r="E102" i="8"/>
  <c r="D101" i="8"/>
  <c r="C101" i="8"/>
  <c r="E100" i="8"/>
  <c r="E99" i="8"/>
  <c r="E98" i="8"/>
  <c r="E97" i="8"/>
  <c r="E96" i="8"/>
  <c r="E95" i="8"/>
  <c r="E94" i="8"/>
  <c r="E93" i="8"/>
  <c r="E92" i="8"/>
  <c r="E90" i="8"/>
  <c r="D89" i="8"/>
  <c r="C89" i="8"/>
  <c r="E84" i="8"/>
  <c r="E83" i="8"/>
  <c r="E81" i="8"/>
  <c r="E80" i="8"/>
  <c r="D79" i="8"/>
  <c r="C79" i="8"/>
  <c r="E78" i="8"/>
  <c r="E77" i="8"/>
  <c r="E76" i="8"/>
  <c r="E71" i="8"/>
  <c r="D70" i="8"/>
  <c r="C70" i="8"/>
  <c r="E69" i="8"/>
  <c r="E68" i="8"/>
  <c r="D67" i="8"/>
  <c r="C67" i="8"/>
  <c r="E66" i="8"/>
  <c r="E65" i="8"/>
  <c r="E64" i="8"/>
  <c r="E63" i="8"/>
  <c r="E62" i="8"/>
  <c r="D61" i="8"/>
  <c r="C61" i="8"/>
  <c r="E60" i="8"/>
  <c r="E59" i="8"/>
  <c r="E58" i="8"/>
  <c r="E57" i="8"/>
  <c r="E56" i="8"/>
  <c r="E55" i="8"/>
  <c r="E54" i="8"/>
  <c r="E53" i="8"/>
  <c r="E52" i="8"/>
  <c r="E51" i="8"/>
  <c r="E50" i="8"/>
  <c r="D49" i="8"/>
  <c r="C49" i="8"/>
  <c r="E48" i="8"/>
  <c r="E47" i="8"/>
  <c r="E46" i="8"/>
  <c r="E44" i="8"/>
  <c r="E43" i="8"/>
  <c r="E42" i="8"/>
  <c r="E41" i="8"/>
  <c r="E40" i="8"/>
  <c r="E39" i="8"/>
  <c r="D38" i="8"/>
  <c r="C38" i="8"/>
  <c r="E37" i="8"/>
  <c r="E36" i="8"/>
  <c r="E35" i="8"/>
  <c r="D34" i="8"/>
  <c r="C34" i="8"/>
  <c r="E33" i="8"/>
  <c r="E32" i="8"/>
  <c r="D31" i="8"/>
  <c r="C31" i="8"/>
  <c r="E29" i="8"/>
  <c r="E28" i="8"/>
  <c r="E27" i="8"/>
  <c r="D26" i="8"/>
  <c r="C26" i="8"/>
  <c r="E24" i="8"/>
  <c r="E23" i="8"/>
  <c r="D22" i="8"/>
  <c r="C22" i="8"/>
  <c r="E21" i="8"/>
  <c r="E20" i="8"/>
  <c r="E19" i="8"/>
  <c r="E18" i="8"/>
  <c r="E17" i="8"/>
  <c r="E16" i="8"/>
  <c r="E15" i="8"/>
  <c r="E14" i="8"/>
  <c r="E13" i="8"/>
  <c r="E12" i="8"/>
  <c r="E11" i="8"/>
  <c r="D10" i="8"/>
  <c r="C10" i="8"/>
  <c r="E149" i="7"/>
  <c r="E148" i="7"/>
  <c r="E147" i="7"/>
  <c r="E145" i="7"/>
  <c r="E144" i="7"/>
  <c r="E141" i="7"/>
  <c r="E140" i="7"/>
  <c r="E139" i="7"/>
  <c r="E138" i="7"/>
  <c r="E137" i="7"/>
  <c r="E136" i="7"/>
  <c r="E135" i="7"/>
  <c r="E133" i="7"/>
  <c r="E132" i="7"/>
  <c r="E131" i="7"/>
  <c r="E130" i="7"/>
  <c r="E129" i="7"/>
  <c r="E127" i="7"/>
  <c r="E126" i="7"/>
  <c r="E125" i="7"/>
  <c r="E122" i="7"/>
  <c r="E121" i="7"/>
  <c r="E120" i="7"/>
  <c r="E119" i="7"/>
  <c r="E118" i="7"/>
  <c r="E117" i="7"/>
  <c r="E116" i="7"/>
  <c r="E115" i="7"/>
  <c r="E113" i="7"/>
  <c r="E112" i="7"/>
  <c r="E110" i="7"/>
  <c r="E109" i="7"/>
  <c r="E108" i="7"/>
  <c r="E107" i="7"/>
  <c r="E106" i="7"/>
  <c r="E104" i="7"/>
  <c r="E103" i="7"/>
  <c r="E102" i="7"/>
  <c r="E100" i="7"/>
  <c r="E99" i="7"/>
  <c r="E98" i="7"/>
  <c r="E97" i="7"/>
  <c r="E96" i="7"/>
  <c r="E95" i="7"/>
  <c r="E94" i="7"/>
  <c r="E93" i="7"/>
  <c r="E92" i="7"/>
  <c r="E90" i="7"/>
  <c r="E84" i="7"/>
  <c r="E83" i="7"/>
  <c r="E81" i="7"/>
  <c r="E80" i="7"/>
  <c r="E78" i="7"/>
  <c r="E77" i="7"/>
  <c r="E76" i="7"/>
  <c r="E71" i="7"/>
  <c r="E69" i="7"/>
  <c r="E68" i="7"/>
  <c r="E66" i="7"/>
  <c r="E65" i="7"/>
  <c r="E64" i="7"/>
  <c r="E63" i="7"/>
  <c r="E62" i="7"/>
  <c r="E60" i="7"/>
  <c r="E59" i="7"/>
  <c r="E58" i="7"/>
  <c r="E57" i="7"/>
  <c r="E56" i="7"/>
  <c r="E55" i="7"/>
  <c r="E54" i="7"/>
  <c r="E53" i="7"/>
  <c r="E52" i="7"/>
  <c r="E51" i="7"/>
  <c r="E50" i="7"/>
  <c r="E48" i="7"/>
  <c r="E47" i="7"/>
  <c r="E46" i="7"/>
  <c r="E44" i="7"/>
  <c r="E43" i="7"/>
  <c r="E42" i="7"/>
  <c r="E41" i="7"/>
  <c r="E40" i="7"/>
  <c r="E39" i="7"/>
  <c r="E37" i="7"/>
  <c r="E36" i="7"/>
  <c r="E35" i="7"/>
  <c r="E33" i="7"/>
  <c r="E32" i="7"/>
  <c r="E29" i="7"/>
  <c r="E28" i="7"/>
  <c r="E27" i="7"/>
  <c r="E24" i="7"/>
  <c r="E23" i="7"/>
  <c r="E21" i="7"/>
  <c r="E20" i="7"/>
  <c r="E19" i="7"/>
  <c r="E18" i="7"/>
  <c r="E17" i="7"/>
  <c r="E16" i="7"/>
  <c r="E15" i="7"/>
  <c r="E14" i="7"/>
  <c r="E13" i="7"/>
  <c r="E12" i="7"/>
  <c r="E11" i="7"/>
  <c r="E11" i="4"/>
  <c r="E12" i="4"/>
  <c r="E13" i="4"/>
  <c r="E14" i="4"/>
  <c r="E15" i="4"/>
  <c r="E16" i="4"/>
  <c r="E17" i="4"/>
  <c r="E18" i="4"/>
  <c r="E19" i="4"/>
  <c r="E20" i="4"/>
  <c r="E21" i="4"/>
  <c r="E23" i="4"/>
  <c r="E24" i="4"/>
  <c r="E27" i="4"/>
  <c r="E28" i="4"/>
  <c r="E29" i="4"/>
  <c r="E32" i="4"/>
  <c r="E33" i="4"/>
  <c r="E35" i="4"/>
  <c r="E36" i="4"/>
  <c r="E37" i="4"/>
  <c r="E39" i="4"/>
  <c r="E40" i="4"/>
  <c r="E41" i="4"/>
  <c r="E42" i="4"/>
  <c r="E43" i="4"/>
  <c r="E44" i="4"/>
  <c r="E46" i="4"/>
  <c r="E47" i="4"/>
  <c r="E48" i="4"/>
  <c r="E50" i="4"/>
  <c r="E51" i="4"/>
  <c r="E52" i="4"/>
  <c r="E53" i="4"/>
  <c r="E54" i="4"/>
  <c r="E55" i="4"/>
  <c r="E56" i="4"/>
  <c r="E57" i="4"/>
  <c r="E58" i="4"/>
  <c r="E59" i="4"/>
  <c r="E60" i="4"/>
  <c r="E62" i="4"/>
  <c r="E63" i="4"/>
  <c r="E64" i="4"/>
  <c r="E65" i="4"/>
  <c r="E66" i="4"/>
  <c r="E68" i="4"/>
  <c r="E69" i="4"/>
  <c r="E71" i="4"/>
  <c r="E76" i="4"/>
  <c r="E77" i="4"/>
  <c r="E78" i="4"/>
  <c r="E80" i="4"/>
  <c r="E81" i="4"/>
  <c r="E83" i="4"/>
  <c r="E84" i="4"/>
  <c r="E90" i="4"/>
  <c r="E92" i="4"/>
  <c r="E93" i="4"/>
  <c r="E94" i="4"/>
  <c r="E95" i="4"/>
  <c r="E96" i="4"/>
  <c r="E97" i="4"/>
  <c r="E98" i="4"/>
  <c r="E99" i="4"/>
  <c r="E100" i="4"/>
  <c r="E102" i="4"/>
  <c r="E103" i="4"/>
  <c r="E104" i="4"/>
  <c r="E106" i="4"/>
  <c r="E107" i="4"/>
  <c r="E108" i="4"/>
  <c r="E109" i="4"/>
  <c r="E110" i="4"/>
  <c r="E112" i="4"/>
  <c r="E113" i="4"/>
  <c r="E115" i="4"/>
  <c r="E116" i="4"/>
  <c r="E117" i="4"/>
  <c r="E118" i="4"/>
  <c r="E119" i="4"/>
  <c r="E120" i="4"/>
  <c r="E121" i="4"/>
  <c r="E122" i="4"/>
  <c r="E124" i="4"/>
  <c r="E125" i="4"/>
  <c r="E126" i="4"/>
  <c r="E127" i="4"/>
  <c r="E129" i="4"/>
  <c r="E130" i="4"/>
  <c r="E131" i="4"/>
  <c r="E132" i="4"/>
  <c r="E133" i="4"/>
  <c r="E135" i="4"/>
  <c r="E136" i="4"/>
  <c r="E137" i="4"/>
  <c r="E138" i="4"/>
  <c r="E139" i="4"/>
  <c r="E140" i="4"/>
  <c r="E141" i="4"/>
  <c r="E144" i="4"/>
  <c r="E145" i="4"/>
  <c r="E147" i="4"/>
  <c r="E148" i="4"/>
  <c r="E149" i="4"/>
  <c r="E150" i="4"/>
  <c r="E153" i="37" l="1"/>
  <c r="E137" i="6"/>
  <c r="E138" i="6"/>
  <c r="E90" i="5"/>
  <c r="C114" i="5"/>
  <c r="C114" i="4" s="1"/>
  <c r="E115" i="5"/>
  <c r="E117" i="5"/>
  <c r="E119" i="5"/>
  <c r="E121" i="5"/>
  <c r="E126" i="5"/>
  <c r="C128" i="5"/>
  <c r="C128" i="4" s="1"/>
  <c r="E130" i="5"/>
  <c r="E132" i="5"/>
  <c r="C134" i="5"/>
  <c r="C134" i="4" s="1"/>
  <c r="E135" i="5"/>
  <c r="E137" i="5"/>
  <c r="E139" i="5"/>
  <c r="E141" i="5"/>
  <c r="D143" i="5"/>
  <c r="D143" i="4" s="1"/>
  <c r="E145" i="5"/>
  <c r="E148" i="5"/>
  <c r="E150" i="5"/>
  <c r="E113" i="5"/>
  <c r="E116" i="5"/>
  <c r="E118" i="5"/>
  <c r="E120" i="5"/>
  <c r="E122" i="5"/>
  <c r="D123" i="5"/>
  <c r="D123" i="4" s="1"/>
  <c r="E125" i="5"/>
  <c r="E127" i="5"/>
  <c r="E129" i="5"/>
  <c r="E131" i="5"/>
  <c r="E133" i="5"/>
  <c r="E136" i="5"/>
  <c r="E138" i="5"/>
  <c r="E140" i="5"/>
  <c r="C143" i="5"/>
  <c r="C143" i="4" s="1"/>
  <c r="E144" i="5"/>
  <c r="E147" i="5"/>
  <c r="E149" i="5"/>
  <c r="E153" i="35"/>
  <c r="E153" i="36"/>
  <c r="E153" i="27"/>
  <c r="E153" i="28"/>
  <c r="E153" i="31"/>
  <c r="E153" i="32"/>
  <c r="D10" i="7"/>
  <c r="AB10" i="4" s="1"/>
  <c r="C22" i="7"/>
  <c r="AA22" i="4" s="1"/>
  <c r="C26" i="7"/>
  <c r="AA26" i="4" s="1"/>
  <c r="D31" i="7"/>
  <c r="AB31" i="4" s="1"/>
  <c r="D34" i="7"/>
  <c r="C38" i="7"/>
  <c r="AA38" i="4" s="1"/>
  <c r="D49" i="7"/>
  <c r="AB49" i="4" s="1"/>
  <c r="D67" i="7"/>
  <c r="D70" i="7"/>
  <c r="AB70" i="4" s="1"/>
  <c r="AN70" i="4" s="1"/>
  <c r="D79" i="7"/>
  <c r="AB79" i="4" s="1"/>
  <c r="D89" i="7"/>
  <c r="AB89" i="4" s="1"/>
  <c r="D101" i="7"/>
  <c r="AB101" i="4" s="1"/>
  <c r="D114" i="7"/>
  <c r="D123" i="7"/>
  <c r="AB123" i="4" s="1"/>
  <c r="C134" i="7"/>
  <c r="AA134" i="4" s="1"/>
  <c r="D143" i="7"/>
  <c r="AB143" i="4" s="1"/>
  <c r="D22" i="7"/>
  <c r="AB22" i="4" s="1"/>
  <c r="D26" i="7"/>
  <c r="AB26" i="4" s="1"/>
  <c r="C31" i="7"/>
  <c r="AA31" i="4" s="1"/>
  <c r="C34" i="7"/>
  <c r="AA34" i="4" s="1"/>
  <c r="D38" i="7"/>
  <c r="AB38" i="4" s="1"/>
  <c r="C49" i="7"/>
  <c r="AA49" i="4" s="1"/>
  <c r="AM49" i="4" s="1"/>
  <c r="D61" i="7"/>
  <c r="AB61" i="4" s="1"/>
  <c r="AN61" i="4" s="1"/>
  <c r="C67" i="7"/>
  <c r="AA67" i="4" s="1"/>
  <c r="AM67" i="4" s="1"/>
  <c r="C70" i="7"/>
  <c r="AA70" i="4" s="1"/>
  <c r="AM70" i="4" s="1"/>
  <c r="C79" i="7"/>
  <c r="AA79" i="4" s="1"/>
  <c r="C89" i="7"/>
  <c r="AA89" i="4" s="1"/>
  <c r="AM89" i="4" s="1"/>
  <c r="C101" i="7"/>
  <c r="AA101" i="4" s="1"/>
  <c r="D105" i="7"/>
  <c r="AB105" i="4" s="1"/>
  <c r="D134" i="7"/>
  <c r="AB134" i="4" s="1"/>
  <c r="C143" i="7"/>
  <c r="AA143" i="4" s="1"/>
  <c r="C10" i="7"/>
  <c r="AA10" i="4" s="1"/>
  <c r="C61" i="7"/>
  <c r="C114" i="7"/>
  <c r="AA114" i="4" s="1"/>
  <c r="C123" i="7"/>
  <c r="AA123" i="4" s="1"/>
  <c r="C105" i="7"/>
  <c r="AA105" i="4" s="1"/>
  <c r="D30" i="9"/>
  <c r="D25" i="9" s="1"/>
  <c r="D73" i="9" s="1"/>
  <c r="AO81" i="4"/>
  <c r="AO78" i="4"/>
  <c r="AO76" i="4"/>
  <c r="AO69" i="4"/>
  <c r="AO66" i="4"/>
  <c r="AO64" i="4"/>
  <c r="G32" i="60" s="1"/>
  <c r="AO62" i="4"/>
  <c r="AO59" i="4"/>
  <c r="AO57" i="4"/>
  <c r="AO55" i="4"/>
  <c r="AO53" i="4"/>
  <c r="AO51" i="4"/>
  <c r="AO48" i="4"/>
  <c r="AO46" i="4"/>
  <c r="AO43" i="4"/>
  <c r="AO41" i="4"/>
  <c r="AO39" i="4"/>
  <c r="AO36" i="4"/>
  <c r="AO33" i="4"/>
  <c r="AO29" i="4"/>
  <c r="AO27" i="4"/>
  <c r="AO23" i="4"/>
  <c r="AO20" i="4"/>
  <c r="AO18" i="4"/>
  <c r="AO16" i="4"/>
  <c r="AO14" i="4"/>
  <c r="AO12" i="4"/>
  <c r="AB114" i="4"/>
  <c r="C10" i="5"/>
  <c r="C10" i="4" s="1"/>
  <c r="E11" i="5"/>
  <c r="E13" i="5"/>
  <c r="E15" i="5"/>
  <c r="E17" i="5"/>
  <c r="E19" i="5"/>
  <c r="E21" i="5"/>
  <c r="D22" i="5"/>
  <c r="D22" i="4" s="1"/>
  <c r="E24" i="5"/>
  <c r="D26" i="5"/>
  <c r="D26" i="4" s="1"/>
  <c r="E28" i="5"/>
  <c r="E32" i="5"/>
  <c r="C34" i="5"/>
  <c r="C34" i="4" s="1"/>
  <c r="E35" i="5"/>
  <c r="E37" i="5"/>
  <c r="D38" i="5"/>
  <c r="D38" i="4" s="1"/>
  <c r="E40" i="5"/>
  <c r="E42" i="5"/>
  <c r="E44" i="5"/>
  <c r="E70" i="4"/>
  <c r="E93" i="5"/>
  <c r="E95" i="5"/>
  <c r="E97" i="5"/>
  <c r="E99" i="5"/>
  <c r="C101" i="5"/>
  <c r="C101" i="4" s="1"/>
  <c r="E102" i="5"/>
  <c r="E104" i="5"/>
  <c r="D105" i="5"/>
  <c r="D105" i="4" s="1"/>
  <c r="E107" i="5"/>
  <c r="E109" i="5"/>
  <c r="E93" i="6"/>
  <c r="E95" i="6"/>
  <c r="E97" i="6"/>
  <c r="E99" i="6"/>
  <c r="C101" i="6"/>
  <c r="O101" i="4" s="1"/>
  <c r="E102" i="6"/>
  <c r="E104" i="6"/>
  <c r="D105" i="6"/>
  <c r="P105" i="4" s="1"/>
  <c r="E107" i="6"/>
  <c r="E109" i="6"/>
  <c r="AO83" i="4"/>
  <c r="AO84" i="4" s="1"/>
  <c r="AO80" i="4"/>
  <c r="AO77" i="4"/>
  <c r="AO71" i="4"/>
  <c r="AO68" i="4"/>
  <c r="AO65" i="4"/>
  <c r="AO63" i="4"/>
  <c r="G31" i="60" s="1"/>
  <c r="G30" i="60" s="1"/>
  <c r="AO60" i="4"/>
  <c r="AO58" i="4"/>
  <c r="AO56" i="4"/>
  <c r="AO54" i="4"/>
  <c r="AO52" i="4"/>
  <c r="AO50" i="4"/>
  <c r="AO47" i="4"/>
  <c r="AO44" i="4"/>
  <c r="AO42" i="4"/>
  <c r="AO40" i="4"/>
  <c r="AO37" i="4"/>
  <c r="AO35" i="4"/>
  <c r="AO32" i="4"/>
  <c r="AO28" i="4"/>
  <c r="AO24" i="4"/>
  <c r="AO21" i="4"/>
  <c r="AO19" i="4"/>
  <c r="AO17" i="4"/>
  <c r="AO15" i="4"/>
  <c r="AO13" i="4"/>
  <c r="AO11" i="4"/>
  <c r="E9" i="9"/>
  <c r="D30" i="17"/>
  <c r="D25" i="17" s="1"/>
  <c r="D9" i="5"/>
  <c r="D9" i="4" s="1"/>
  <c r="D10" i="5"/>
  <c r="D10" i="4" s="1"/>
  <c r="E12" i="5"/>
  <c r="E14" i="5"/>
  <c r="E16" i="5"/>
  <c r="E18" i="5"/>
  <c r="E20" i="5"/>
  <c r="C22" i="5"/>
  <c r="C22" i="4" s="1"/>
  <c r="E23" i="5"/>
  <c r="C26" i="5"/>
  <c r="C26" i="4" s="1"/>
  <c r="E27" i="5"/>
  <c r="E29" i="5"/>
  <c r="D31" i="5"/>
  <c r="D31" i="4" s="1"/>
  <c r="E33" i="5"/>
  <c r="D34" i="5"/>
  <c r="D34" i="4" s="1"/>
  <c r="E36" i="5"/>
  <c r="C38" i="5"/>
  <c r="C38" i="4" s="1"/>
  <c r="E39" i="5"/>
  <c r="E41" i="5"/>
  <c r="E43" i="5"/>
  <c r="E94" i="5"/>
  <c r="E96" i="5"/>
  <c r="E98" i="5"/>
  <c r="E100" i="5"/>
  <c r="D101" i="5"/>
  <c r="D101" i="4" s="1"/>
  <c r="E103" i="5"/>
  <c r="C105" i="5"/>
  <c r="C105" i="4" s="1"/>
  <c r="E106" i="5"/>
  <c r="E108" i="5"/>
  <c r="E110" i="5"/>
  <c r="E94" i="6"/>
  <c r="E96" i="6"/>
  <c r="E98" i="6"/>
  <c r="E100" i="6"/>
  <c r="D101" i="6"/>
  <c r="P101" i="4" s="1"/>
  <c r="E103" i="6"/>
  <c r="C105" i="6"/>
  <c r="O105" i="4" s="1"/>
  <c r="E106" i="6"/>
  <c r="E108" i="6"/>
  <c r="E110" i="6"/>
  <c r="E143" i="21"/>
  <c r="D45" i="19"/>
  <c r="D45" i="5" s="1"/>
  <c r="D45" i="4" s="1"/>
  <c r="D49" i="5"/>
  <c r="D49" i="4" s="1"/>
  <c r="E49" i="4" s="1"/>
  <c r="D75" i="19"/>
  <c r="D79" i="5"/>
  <c r="D79" i="4" s="1"/>
  <c r="E79" i="4" s="1"/>
  <c r="D88" i="19"/>
  <c r="D89" i="5"/>
  <c r="D89" i="4" s="1"/>
  <c r="D111" i="19"/>
  <c r="D111" i="5" s="1"/>
  <c r="D111" i="4" s="1"/>
  <c r="D114" i="5"/>
  <c r="D114" i="4" s="1"/>
  <c r="D128" i="19"/>
  <c r="D128" i="5" s="1"/>
  <c r="D128" i="4" s="1"/>
  <c r="D134" i="5"/>
  <c r="D134" i="4" s="1"/>
  <c r="AO149" i="4"/>
  <c r="AO148" i="4"/>
  <c r="AO147" i="4"/>
  <c r="AO145" i="4"/>
  <c r="AO144" i="4"/>
  <c r="AO141" i="4"/>
  <c r="AO140" i="4"/>
  <c r="AO139" i="4"/>
  <c r="AO138" i="4"/>
  <c r="AO137" i="4"/>
  <c r="AO136" i="4"/>
  <c r="AO135" i="4"/>
  <c r="AO133" i="4"/>
  <c r="AO132" i="4"/>
  <c r="AO131" i="4"/>
  <c r="AO130" i="4"/>
  <c r="AO129" i="4"/>
  <c r="AO127" i="4"/>
  <c r="AO126" i="4"/>
  <c r="AO125" i="4"/>
  <c r="AO121" i="4"/>
  <c r="AO120" i="4"/>
  <c r="AO119" i="4"/>
  <c r="AO117" i="4"/>
  <c r="AO116" i="4"/>
  <c r="AO115" i="4"/>
  <c r="AO112" i="4"/>
  <c r="AO110" i="4"/>
  <c r="AO109" i="4"/>
  <c r="AO108" i="4"/>
  <c r="AO107" i="4"/>
  <c r="AO106" i="4"/>
  <c r="AO104" i="4"/>
  <c r="AO103" i="4"/>
  <c r="AO102" i="4"/>
  <c r="AO100" i="4"/>
  <c r="AO99" i="4"/>
  <c r="AO98" i="4"/>
  <c r="AO97" i="4"/>
  <c r="AO96" i="4"/>
  <c r="AO95" i="4"/>
  <c r="AO94" i="4"/>
  <c r="AO93" i="4"/>
  <c r="AO92" i="4"/>
  <c r="AO90" i="4"/>
  <c r="C30" i="19"/>
  <c r="C25" i="19" s="1"/>
  <c r="C31" i="5"/>
  <c r="C31" i="4" s="1"/>
  <c r="E112" i="5"/>
  <c r="AO124" i="4"/>
  <c r="C123" i="5"/>
  <c r="C123" i="4" s="1"/>
  <c r="E124" i="5"/>
  <c r="AO113" i="4"/>
  <c r="AO118" i="4"/>
  <c r="AO122" i="4"/>
  <c r="E151" i="26"/>
  <c r="E153" i="26" s="1"/>
  <c r="C9" i="22"/>
  <c r="C9" i="6" s="1"/>
  <c r="O9" i="4" s="1"/>
  <c r="C10" i="6"/>
  <c r="O10" i="4" s="1"/>
  <c r="C30" i="22"/>
  <c r="C30" i="6" s="1"/>
  <c r="O30" i="4" s="1"/>
  <c r="C31" i="6"/>
  <c r="C75" i="22"/>
  <c r="C75" i="6" s="1"/>
  <c r="O75" i="4" s="1"/>
  <c r="C79" i="6"/>
  <c r="D128" i="22"/>
  <c r="D128" i="6" s="1"/>
  <c r="D134" i="6"/>
  <c r="D9" i="22"/>
  <c r="D9" i="6" s="1"/>
  <c r="P9" i="4" s="1"/>
  <c r="D10" i="6"/>
  <c r="P10" i="4" s="1"/>
  <c r="D45" i="22"/>
  <c r="D45" i="6" s="1"/>
  <c r="P45" i="4" s="1"/>
  <c r="D49" i="6"/>
  <c r="D88" i="10"/>
  <c r="D142" i="10" s="1"/>
  <c r="D151" i="10" s="1"/>
  <c r="E134" i="10"/>
  <c r="E134" i="11"/>
  <c r="E61" i="12"/>
  <c r="E143" i="14"/>
  <c r="C75" i="8"/>
  <c r="D128" i="8"/>
  <c r="E128" i="9"/>
  <c r="C111" i="19"/>
  <c r="E151" i="30"/>
  <c r="E153" i="30" s="1"/>
  <c r="E150" i="7"/>
  <c r="D9" i="8"/>
  <c r="D30" i="8"/>
  <c r="D45" i="8"/>
  <c r="D88" i="8"/>
  <c r="C128" i="8"/>
  <c r="E10" i="10"/>
  <c r="E67" i="10"/>
  <c r="E70" i="10"/>
  <c r="E10" i="12"/>
  <c r="E22" i="12"/>
  <c r="E26" i="12"/>
  <c r="E134" i="12"/>
  <c r="E61" i="13"/>
  <c r="E143" i="13"/>
  <c r="E10" i="14"/>
  <c r="E49" i="14"/>
  <c r="E67" i="14"/>
  <c r="E70" i="14"/>
  <c r="E101" i="14"/>
  <c r="E105" i="14"/>
  <c r="E114" i="14"/>
  <c r="E143" i="15"/>
  <c r="E61" i="16"/>
  <c r="E89" i="16"/>
  <c r="E10" i="18"/>
  <c r="E61" i="18"/>
  <c r="D88" i="18"/>
  <c r="D142" i="18" s="1"/>
  <c r="D151" i="18" s="1"/>
  <c r="E67" i="22"/>
  <c r="E143" i="22"/>
  <c r="E101" i="21"/>
  <c r="E105" i="21"/>
  <c r="E114" i="21"/>
  <c r="E45" i="12"/>
  <c r="E128" i="14"/>
  <c r="E128" i="21"/>
  <c r="E10" i="9"/>
  <c r="E49" i="9"/>
  <c r="E67" i="9"/>
  <c r="E101" i="9"/>
  <c r="E105" i="9"/>
  <c r="E114" i="9"/>
  <c r="E143" i="9"/>
  <c r="C9" i="10"/>
  <c r="E9" i="10" s="1"/>
  <c r="E101" i="10"/>
  <c r="E105" i="10"/>
  <c r="E114" i="10"/>
  <c r="E123" i="10"/>
  <c r="C128" i="10"/>
  <c r="E128" i="10" s="1"/>
  <c r="E10" i="11"/>
  <c r="E49" i="11"/>
  <c r="E67" i="11"/>
  <c r="E101" i="11"/>
  <c r="E105" i="11"/>
  <c r="E114" i="11"/>
  <c r="C128" i="11"/>
  <c r="E128" i="11" s="1"/>
  <c r="E143" i="11"/>
  <c r="C9" i="12"/>
  <c r="E9" i="12" s="1"/>
  <c r="E114" i="12"/>
  <c r="C128" i="12"/>
  <c r="E143" i="12"/>
  <c r="D25" i="13"/>
  <c r="E34" i="13"/>
  <c r="E38" i="13"/>
  <c r="E45" i="13"/>
  <c r="E49" i="13"/>
  <c r="E10" i="15"/>
  <c r="E49" i="15"/>
  <c r="E67" i="15"/>
  <c r="E70" i="15"/>
  <c r="E101" i="15"/>
  <c r="E105" i="15"/>
  <c r="E114" i="15"/>
  <c r="E123" i="15"/>
  <c r="E134" i="16"/>
  <c r="E101" i="19"/>
  <c r="E143" i="19"/>
  <c r="C9" i="18"/>
  <c r="E9" i="18" s="1"/>
  <c r="E123" i="18"/>
  <c r="E134" i="21"/>
  <c r="Q123" i="4"/>
  <c r="E67" i="8"/>
  <c r="D111" i="8"/>
  <c r="E143" i="8"/>
  <c r="E105" i="8"/>
  <c r="E123" i="8"/>
  <c r="E61" i="8"/>
  <c r="D75" i="8"/>
  <c r="E61" i="9"/>
  <c r="D75" i="9"/>
  <c r="D74" i="9" s="1"/>
  <c r="E134" i="9"/>
  <c r="E79" i="10"/>
  <c r="C75" i="10"/>
  <c r="E79" i="11"/>
  <c r="C75" i="11"/>
  <c r="E67" i="12"/>
  <c r="E79" i="12"/>
  <c r="C75" i="12"/>
  <c r="E101" i="12"/>
  <c r="E105" i="12"/>
  <c r="E79" i="13"/>
  <c r="C75" i="13"/>
  <c r="E101" i="13"/>
  <c r="E105" i="13"/>
  <c r="E114" i="13"/>
  <c r="E123" i="13"/>
  <c r="E79" i="14"/>
  <c r="C75" i="14"/>
  <c r="E61" i="15"/>
  <c r="D75" i="15"/>
  <c r="D74" i="15" s="1"/>
  <c r="E134" i="15"/>
  <c r="E34" i="16"/>
  <c r="D75" i="17"/>
  <c r="D74" i="17" s="1"/>
  <c r="E74" i="17" s="1"/>
  <c r="H74" i="17" s="1"/>
  <c r="K74" i="17" s="1"/>
  <c r="N74" i="17" s="1"/>
  <c r="E79" i="19"/>
  <c r="C75" i="19"/>
  <c r="E67" i="18"/>
  <c r="E79" i="18"/>
  <c r="C75" i="18"/>
  <c r="C74" i="18" s="1"/>
  <c r="E74" i="18" s="1"/>
  <c r="E128" i="18"/>
  <c r="E67" i="21"/>
  <c r="D75" i="21"/>
  <c r="D74" i="21" s="1"/>
  <c r="E67" i="4"/>
  <c r="E10" i="8"/>
  <c r="E134" i="8"/>
  <c r="E79" i="9"/>
  <c r="C75" i="9"/>
  <c r="E61" i="10"/>
  <c r="D75" i="10"/>
  <c r="E143" i="10"/>
  <c r="C9" i="11"/>
  <c r="E61" i="11"/>
  <c r="D75" i="11"/>
  <c r="D74" i="11" s="1"/>
  <c r="D75" i="12"/>
  <c r="D74" i="12" s="1"/>
  <c r="E123" i="12"/>
  <c r="D142" i="13"/>
  <c r="D151" i="13" s="1"/>
  <c r="C9" i="14"/>
  <c r="E9" i="14" s="1"/>
  <c r="E61" i="14"/>
  <c r="D75" i="14"/>
  <c r="D74" i="14" s="1"/>
  <c r="E134" i="14"/>
  <c r="E79" i="15"/>
  <c r="C75" i="15"/>
  <c r="E128" i="15"/>
  <c r="D75" i="16"/>
  <c r="D74" i="16" s="1"/>
  <c r="E123" i="16"/>
  <c r="D128" i="17"/>
  <c r="E128" i="17" s="1"/>
  <c r="E10" i="19"/>
  <c r="E22" i="19"/>
  <c r="E123" i="19"/>
  <c r="E22" i="18"/>
  <c r="E26" i="18"/>
  <c r="E134" i="18"/>
  <c r="D75" i="22"/>
  <c r="Q34" i="4"/>
  <c r="Q143" i="4"/>
  <c r="Q26" i="4"/>
  <c r="Q22" i="4"/>
  <c r="E61" i="4"/>
  <c r="Q70" i="4"/>
  <c r="Q61" i="4"/>
  <c r="Q67" i="4"/>
  <c r="E10" i="16"/>
  <c r="E67" i="16"/>
  <c r="C128" i="16"/>
  <c r="E22" i="16"/>
  <c r="E26" i="16"/>
  <c r="E22" i="22"/>
  <c r="E26" i="22"/>
  <c r="E31" i="22"/>
  <c r="E38" i="22"/>
  <c r="E61" i="22"/>
  <c r="D88" i="22"/>
  <c r="E111" i="22"/>
  <c r="E114" i="22"/>
  <c r="E123" i="22"/>
  <c r="E89" i="18"/>
  <c r="C9" i="8"/>
  <c r="E49" i="8"/>
  <c r="E79" i="8"/>
  <c r="E89" i="8"/>
  <c r="E22" i="9"/>
  <c r="E26" i="9"/>
  <c r="E34" i="9"/>
  <c r="E38" i="9"/>
  <c r="E89" i="9"/>
  <c r="E123" i="9"/>
  <c r="D142" i="9"/>
  <c r="D151" i="9" s="1"/>
  <c r="E22" i="10"/>
  <c r="E26" i="10"/>
  <c r="E34" i="10"/>
  <c r="E38" i="10"/>
  <c r="E31" i="9"/>
  <c r="E70" i="9"/>
  <c r="E31" i="10"/>
  <c r="E49" i="10"/>
  <c r="E31" i="11"/>
  <c r="E70" i="11"/>
  <c r="E31" i="12"/>
  <c r="E34" i="12"/>
  <c r="E38" i="12"/>
  <c r="E49" i="12"/>
  <c r="E70" i="12"/>
  <c r="E10" i="13"/>
  <c r="E22" i="13"/>
  <c r="E26" i="13"/>
  <c r="E31" i="13"/>
  <c r="E67" i="13"/>
  <c r="E70" i="13"/>
  <c r="E89" i="13"/>
  <c r="E134" i="13"/>
  <c r="E22" i="14"/>
  <c r="E26" i="14"/>
  <c r="E34" i="14"/>
  <c r="E38" i="14"/>
  <c r="E89" i="14"/>
  <c r="E123" i="14"/>
  <c r="D142" i="14"/>
  <c r="D151" i="14" s="1"/>
  <c r="E22" i="15"/>
  <c r="E26" i="15"/>
  <c r="E34" i="15"/>
  <c r="E38" i="15"/>
  <c r="E89" i="15"/>
  <c r="D142" i="15"/>
  <c r="D151" i="15" s="1"/>
  <c r="E38" i="16"/>
  <c r="D142" i="16"/>
  <c r="E10" i="17"/>
  <c r="H10" i="17" s="1"/>
  <c r="K10" i="17" s="1"/>
  <c r="N10" i="17" s="1"/>
  <c r="E22" i="17"/>
  <c r="H22" i="17" s="1"/>
  <c r="K22" i="17" s="1"/>
  <c r="N22" i="17" s="1"/>
  <c r="E26" i="17"/>
  <c r="H26" i="17" s="1"/>
  <c r="K26" i="17" s="1"/>
  <c r="N26" i="17" s="1"/>
  <c r="E34" i="17"/>
  <c r="H34" i="17" s="1"/>
  <c r="K34" i="17" s="1"/>
  <c r="N34" i="17" s="1"/>
  <c r="E101" i="22"/>
  <c r="E134" i="22"/>
  <c r="E31" i="21"/>
  <c r="E49" i="21"/>
  <c r="E61" i="21"/>
  <c r="E70" i="21"/>
  <c r="E79" i="21"/>
  <c r="E89" i="10"/>
  <c r="E22" i="11"/>
  <c r="E26" i="11"/>
  <c r="E34" i="11"/>
  <c r="E38" i="11"/>
  <c r="E89" i="11"/>
  <c r="E123" i="11"/>
  <c r="D142" i="11"/>
  <c r="D151" i="11" s="1"/>
  <c r="E89" i="12"/>
  <c r="D142" i="12"/>
  <c r="D151" i="12" s="1"/>
  <c r="E31" i="14"/>
  <c r="E31" i="15"/>
  <c r="E31" i="16"/>
  <c r="E49" i="16"/>
  <c r="E70" i="16"/>
  <c r="E79" i="16"/>
  <c r="E101" i="16"/>
  <c r="E105" i="16"/>
  <c r="E114" i="16"/>
  <c r="E143" i="16"/>
  <c r="E89" i="17"/>
  <c r="E105" i="17"/>
  <c r="E31" i="19"/>
  <c r="E38" i="19"/>
  <c r="E49" i="19"/>
  <c r="E61" i="19"/>
  <c r="E70" i="19"/>
  <c r="E105" i="18"/>
  <c r="E143" i="18"/>
  <c r="Q89" i="4"/>
  <c r="Q38" i="4"/>
  <c r="E85" i="33"/>
  <c r="E153" i="33" s="1"/>
  <c r="E73" i="34"/>
  <c r="C85" i="29"/>
  <c r="E85" i="29" s="1"/>
  <c r="E153" i="29" s="1"/>
  <c r="E73" i="29"/>
  <c r="E79" i="17"/>
  <c r="H79" i="17" s="1"/>
  <c r="K79" i="17" s="1"/>
  <c r="N79" i="17" s="1"/>
  <c r="E38" i="17"/>
  <c r="H38" i="17" s="1"/>
  <c r="K38" i="17" s="1"/>
  <c r="N38" i="17" s="1"/>
  <c r="E67" i="17"/>
  <c r="H67" i="17" s="1"/>
  <c r="K67" i="17" s="1"/>
  <c r="N67" i="17" s="1"/>
  <c r="E61" i="17"/>
  <c r="H61" i="17" s="1"/>
  <c r="K61" i="17" s="1"/>
  <c r="N61" i="17" s="1"/>
  <c r="E101" i="17"/>
  <c r="E114" i="17"/>
  <c r="E34" i="8"/>
  <c r="E31" i="8"/>
  <c r="E101" i="8"/>
  <c r="E22" i="8"/>
  <c r="E26" i="8"/>
  <c r="E38" i="8"/>
  <c r="C30" i="8"/>
  <c r="E70" i="8"/>
  <c r="E114" i="8"/>
  <c r="E10" i="21"/>
  <c r="E34" i="21"/>
  <c r="E89" i="21"/>
  <c r="D142" i="21"/>
  <c r="D151" i="21" s="1"/>
  <c r="E22" i="21"/>
  <c r="E26" i="21"/>
  <c r="E38" i="21"/>
  <c r="E123" i="21"/>
  <c r="E34" i="22"/>
  <c r="E70" i="22"/>
  <c r="E89" i="22"/>
  <c r="E89" i="6" s="1"/>
  <c r="E49" i="22"/>
  <c r="E79" i="22"/>
  <c r="E105" i="22"/>
  <c r="E10" i="22"/>
  <c r="E10" i="6" s="1"/>
  <c r="E38" i="18"/>
  <c r="E49" i="18"/>
  <c r="E114" i="18"/>
  <c r="E31" i="18"/>
  <c r="E34" i="18"/>
  <c r="E70" i="18"/>
  <c r="E101" i="18"/>
  <c r="E45" i="18"/>
  <c r="E34" i="19"/>
  <c r="E34" i="5" s="1"/>
  <c r="E89" i="19"/>
  <c r="E114" i="19"/>
  <c r="E114" i="5" s="1"/>
  <c r="E134" i="19"/>
  <c r="E105" i="19"/>
  <c r="E26" i="19"/>
  <c r="E67" i="19"/>
  <c r="C88" i="19"/>
  <c r="Q114" i="4"/>
  <c r="E9" i="21"/>
  <c r="C25" i="21"/>
  <c r="E30" i="21"/>
  <c r="D25" i="21"/>
  <c r="D73" i="21" s="1"/>
  <c r="C111" i="21"/>
  <c r="E111" i="21" s="1"/>
  <c r="C88" i="21"/>
  <c r="E88" i="21" s="1"/>
  <c r="C45" i="21"/>
  <c r="E45" i="21" s="1"/>
  <c r="D30" i="22"/>
  <c r="C88" i="22"/>
  <c r="C45" i="22"/>
  <c r="D25" i="18"/>
  <c r="D73" i="18" s="1"/>
  <c r="D85" i="18" s="1"/>
  <c r="C30" i="18"/>
  <c r="C111" i="18"/>
  <c r="C88" i="18"/>
  <c r="C9" i="19"/>
  <c r="D30" i="19"/>
  <c r="C45" i="19"/>
  <c r="D45" i="17"/>
  <c r="D111" i="17"/>
  <c r="D88" i="17"/>
  <c r="E88" i="17" s="1"/>
  <c r="E9" i="16"/>
  <c r="C25" i="16"/>
  <c r="E30" i="16"/>
  <c r="D25" i="16"/>
  <c r="D73" i="16" s="1"/>
  <c r="C111" i="16"/>
  <c r="E111" i="16" s="1"/>
  <c r="C88" i="16"/>
  <c r="E88" i="16" s="1"/>
  <c r="C45" i="16"/>
  <c r="E45" i="16" s="1"/>
  <c r="E9" i="15"/>
  <c r="C25" i="15"/>
  <c r="E30" i="15"/>
  <c r="D25" i="15"/>
  <c r="D73" i="15" s="1"/>
  <c r="C111" i="15"/>
  <c r="E111" i="15" s="1"/>
  <c r="C88" i="15"/>
  <c r="E88" i="15" s="1"/>
  <c r="C45" i="15"/>
  <c r="E45" i="15" s="1"/>
  <c r="C25" i="14"/>
  <c r="E30" i="14"/>
  <c r="D25" i="14"/>
  <c r="D73" i="14" s="1"/>
  <c r="C111" i="14"/>
  <c r="E111" i="14" s="1"/>
  <c r="C88" i="14"/>
  <c r="E88" i="14" s="1"/>
  <c r="C45" i="14"/>
  <c r="E45" i="14" s="1"/>
  <c r="C30" i="13"/>
  <c r="C111" i="13"/>
  <c r="E128" i="13"/>
  <c r="D9" i="13"/>
  <c r="C88" i="13"/>
  <c r="E88" i="13" s="1"/>
  <c r="D25" i="12"/>
  <c r="D73" i="12" s="1"/>
  <c r="C30" i="12"/>
  <c r="C111" i="12"/>
  <c r="E111" i="12" s="1"/>
  <c r="C88" i="12"/>
  <c r="E88" i="12" s="1"/>
  <c r="C25" i="11"/>
  <c r="E30" i="11"/>
  <c r="D25" i="11"/>
  <c r="D73" i="11" s="1"/>
  <c r="C111" i="11"/>
  <c r="E111" i="11" s="1"/>
  <c r="C88" i="11"/>
  <c r="E88" i="11" s="1"/>
  <c r="C45" i="11"/>
  <c r="E45" i="11" s="1"/>
  <c r="C25" i="10"/>
  <c r="E30" i="10"/>
  <c r="D25" i="10"/>
  <c r="D73" i="10" s="1"/>
  <c r="C111" i="10"/>
  <c r="E111" i="10" s="1"/>
  <c r="C88" i="10"/>
  <c r="C45" i="10"/>
  <c r="E45" i="10" s="1"/>
  <c r="C25" i="9"/>
  <c r="C111" i="9"/>
  <c r="E111" i="9" s="1"/>
  <c r="C88" i="9"/>
  <c r="E88" i="9" s="1"/>
  <c r="C45" i="9"/>
  <c r="E45" i="9" s="1"/>
  <c r="C111" i="8"/>
  <c r="C88" i="8"/>
  <c r="C45" i="8"/>
  <c r="AM134" i="4" l="1"/>
  <c r="E143" i="4"/>
  <c r="E114" i="4"/>
  <c r="AN143" i="4"/>
  <c r="E88" i="18"/>
  <c r="P128" i="4"/>
  <c r="Q128" i="4" s="1"/>
  <c r="P49" i="4"/>
  <c r="Q49" i="4" s="1"/>
  <c r="P134" i="4"/>
  <c r="Q134" i="4" s="1"/>
  <c r="O79" i="4"/>
  <c r="Q79" i="4" s="1"/>
  <c r="O31" i="4"/>
  <c r="Q31" i="4" s="1"/>
  <c r="C73" i="11"/>
  <c r="E73" i="11" s="1"/>
  <c r="E134" i="4"/>
  <c r="E128" i="4"/>
  <c r="AM114" i="4"/>
  <c r="AM143" i="4"/>
  <c r="E123" i="4"/>
  <c r="AN123" i="4"/>
  <c r="G22" i="60"/>
  <c r="G26" i="60"/>
  <c r="G25" i="60"/>
  <c r="G43" i="60"/>
  <c r="G17" i="60"/>
  <c r="G24" i="60"/>
  <c r="G14" i="60"/>
  <c r="G39" i="60"/>
  <c r="G38" i="60"/>
  <c r="E30" i="9"/>
  <c r="D30" i="7"/>
  <c r="AB30" i="4" s="1"/>
  <c r="Q105" i="4"/>
  <c r="E105" i="4"/>
  <c r="E38" i="4"/>
  <c r="C25" i="22"/>
  <c r="C25" i="6" s="1"/>
  <c r="O25" i="4" s="1"/>
  <c r="D128" i="7"/>
  <c r="AB128" i="4" s="1"/>
  <c r="C45" i="7"/>
  <c r="AA45" i="4" s="1"/>
  <c r="C30" i="7"/>
  <c r="D111" i="7"/>
  <c r="AB111" i="4" s="1"/>
  <c r="AN111" i="4" s="1"/>
  <c r="D88" i="7"/>
  <c r="AB88" i="4" s="1"/>
  <c r="D45" i="7"/>
  <c r="AB45" i="4" s="1"/>
  <c r="AN45" i="4" s="1"/>
  <c r="C75" i="7"/>
  <c r="AA75" i="4" s="1"/>
  <c r="D74" i="8"/>
  <c r="D75" i="7"/>
  <c r="AB75" i="4" s="1"/>
  <c r="D9" i="7"/>
  <c r="AB9" i="4" s="1"/>
  <c r="AN9" i="4" s="1"/>
  <c r="E9" i="11"/>
  <c r="C9" i="7"/>
  <c r="AA9" i="4" s="1"/>
  <c r="E128" i="16"/>
  <c r="C128" i="7"/>
  <c r="AA128" i="4" s="1"/>
  <c r="D151" i="16"/>
  <c r="C88" i="7"/>
  <c r="AA88" i="4" s="1"/>
  <c r="E111" i="13"/>
  <c r="C111" i="7"/>
  <c r="AA111" i="4" s="1"/>
  <c r="AN89" i="4"/>
  <c r="AC10" i="4"/>
  <c r="AN114" i="4"/>
  <c r="E89" i="4"/>
  <c r="E143" i="6"/>
  <c r="AN26" i="4"/>
  <c r="C74" i="22"/>
  <c r="E9" i="22"/>
  <c r="E9" i="6" s="1"/>
  <c r="E26" i="5"/>
  <c r="AN38" i="4"/>
  <c r="AN22" i="4"/>
  <c r="E31" i="4"/>
  <c r="E26" i="4"/>
  <c r="E22" i="4"/>
  <c r="AN105" i="4"/>
  <c r="E88" i="10"/>
  <c r="C9" i="5"/>
  <c r="C9" i="4" s="1"/>
  <c r="E9" i="4" s="1"/>
  <c r="E105" i="5"/>
  <c r="AC38" i="4"/>
  <c r="AO38" i="4" s="1"/>
  <c r="AC89" i="4"/>
  <c r="E105" i="7"/>
  <c r="AC31" i="4"/>
  <c r="AM123" i="4"/>
  <c r="Q101" i="4"/>
  <c r="E101" i="4"/>
  <c r="E34" i="4"/>
  <c r="Q10" i="4"/>
  <c r="E89" i="5"/>
  <c r="AC143" i="4"/>
  <c r="E101" i="6"/>
  <c r="E89" i="7"/>
  <c r="E10" i="4"/>
  <c r="E128" i="19"/>
  <c r="E128" i="5" s="1"/>
  <c r="AC134" i="4"/>
  <c r="E134" i="5"/>
  <c r="E79" i="6"/>
  <c r="AC105" i="4"/>
  <c r="E61" i="5"/>
  <c r="E114" i="6"/>
  <c r="E22" i="7"/>
  <c r="E134" i="7"/>
  <c r="E114" i="7"/>
  <c r="E101" i="7"/>
  <c r="AM22" i="4"/>
  <c r="AC79" i="4"/>
  <c r="AM34" i="4"/>
  <c r="AM101" i="4"/>
  <c r="AN101" i="4"/>
  <c r="AM105" i="4"/>
  <c r="E67" i="5"/>
  <c r="E70" i="7"/>
  <c r="E134" i="6"/>
  <c r="AC49" i="4"/>
  <c r="AC123" i="4"/>
  <c r="AC26" i="4"/>
  <c r="AC101" i="4"/>
  <c r="AC70" i="4"/>
  <c r="AO70" i="4" s="1"/>
  <c r="AM38" i="4"/>
  <c r="AN31" i="4"/>
  <c r="Q9" i="4"/>
  <c r="D73" i="17"/>
  <c r="D85" i="17" s="1"/>
  <c r="D142" i="19"/>
  <c r="D142" i="5" s="1"/>
  <c r="D142" i="4" s="1"/>
  <c r="AC114" i="4"/>
  <c r="AO114" i="4" s="1"/>
  <c r="E105" i="6"/>
  <c r="E49" i="6"/>
  <c r="E70" i="6"/>
  <c r="E49" i="7"/>
  <c r="AC22" i="4"/>
  <c r="E128" i="22"/>
  <c r="E128" i="6" s="1"/>
  <c r="E10" i="5"/>
  <c r="E26" i="7"/>
  <c r="E10" i="7"/>
  <c r="E79" i="7"/>
  <c r="AM26" i="4"/>
  <c r="E111" i="19"/>
  <c r="AN10" i="4"/>
  <c r="AM79" i="4"/>
  <c r="AM10" i="4"/>
  <c r="E45" i="19"/>
  <c r="E45" i="5" s="1"/>
  <c r="C45" i="5"/>
  <c r="C45" i="4" s="1"/>
  <c r="D25" i="19"/>
  <c r="E25" i="19" s="1"/>
  <c r="D30" i="5"/>
  <c r="D30" i="4" s="1"/>
  <c r="C142" i="19"/>
  <c r="C151" i="19" s="1"/>
  <c r="C88" i="5"/>
  <c r="C88" i="4" s="1"/>
  <c r="E70" i="5"/>
  <c r="E49" i="5"/>
  <c r="E31" i="5"/>
  <c r="E61" i="6"/>
  <c r="E31" i="6"/>
  <c r="E22" i="6"/>
  <c r="C74" i="19"/>
  <c r="C75" i="5"/>
  <c r="C75" i="4" s="1"/>
  <c r="E101" i="5"/>
  <c r="E61" i="7"/>
  <c r="AA61" i="4"/>
  <c r="E34" i="7"/>
  <c r="AB34" i="4"/>
  <c r="AN79" i="4"/>
  <c r="E34" i="6"/>
  <c r="E38" i="5"/>
  <c r="E38" i="6"/>
  <c r="E26" i="6"/>
  <c r="E22" i="5"/>
  <c r="E79" i="5"/>
  <c r="E143" i="5"/>
  <c r="E67" i="6"/>
  <c r="E67" i="7"/>
  <c r="AB67" i="4"/>
  <c r="C30" i="5"/>
  <c r="C30" i="4" s="1"/>
  <c r="D88" i="5"/>
  <c r="D88" i="4" s="1"/>
  <c r="D74" i="19"/>
  <c r="D74" i="5" s="1"/>
  <c r="D74" i="4" s="1"/>
  <c r="D75" i="5"/>
  <c r="D75" i="4" s="1"/>
  <c r="AN49" i="4"/>
  <c r="E128" i="12"/>
  <c r="E123" i="5"/>
  <c r="E123" i="6"/>
  <c r="C111" i="6"/>
  <c r="E111" i="6"/>
  <c r="E111" i="18"/>
  <c r="C111" i="5"/>
  <c r="C111" i="4" s="1"/>
  <c r="E111" i="4" s="1"/>
  <c r="E45" i="22"/>
  <c r="E45" i="6" s="1"/>
  <c r="C45" i="6"/>
  <c r="E88" i="22"/>
  <c r="E88" i="6" s="1"/>
  <c r="C88" i="6"/>
  <c r="O88" i="4" s="1"/>
  <c r="D25" i="22"/>
  <c r="D25" i="6" s="1"/>
  <c r="P25" i="4" s="1"/>
  <c r="D30" i="6"/>
  <c r="D142" i="22"/>
  <c r="D88" i="6"/>
  <c r="P88" i="4" s="1"/>
  <c r="D74" i="22"/>
  <c r="D74" i="6" s="1"/>
  <c r="P74" i="4" s="1"/>
  <c r="D75" i="6"/>
  <c r="E38" i="7"/>
  <c r="E75" i="17"/>
  <c r="H75" i="17" s="1"/>
  <c r="K75" i="17" s="1"/>
  <c r="N75" i="17" s="1"/>
  <c r="E75" i="19"/>
  <c r="E31" i="7"/>
  <c r="E143" i="7"/>
  <c r="E123" i="7"/>
  <c r="E45" i="8"/>
  <c r="E111" i="8"/>
  <c r="E30" i="8"/>
  <c r="D142" i="8"/>
  <c r="E88" i="8"/>
  <c r="D25" i="8"/>
  <c r="D25" i="7" s="1"/>
  <c r="E9" i="8"/>
  <c r="E128" i="8"/>
  <c r="D74" i="10"/>
  <c r="C25" i="8"/>
  <c r="D73" i="13"/>
  <c r="D85" i="13" s="1"/>
  <c r="D85" i="15"/>
  <c r="E88" i="19"/>
  <c r="E75" i="18"/>
  <c r="D85" i="11"/>
  <c r="D85" i="12"/>
  <c r="D85" i="9"/>
  <c r="D85" i="14"/>
  <c r="D85" i="16"/>
  <c r="D85" i="21"/>
  <c r="E9" i="13"/>
  <c r="E25" i="16"/>
  <c r="E30" i="19"/>
  <c r="C73" i="21"/>
  <c r="E25" i="21"/>
  <c r="C74" i="21"/>
  <c r="E74" i="21" s="1"/>
  <c r="E75" i="21"/>
  <c r="C142" i="21"/>
  <c r="C142" i="22"/>
  <c r="E75" i="22"/>
  <c r="E30" i="22"/>
  <c r="E30" i="6" s="1"/>
  <c r="C25" i="18"/>
  <c r="C25" i="5" s="1"/>
  <c r="C25" i="4" s="1"/>
  <c r="E30" i="18"/>
  <c r="C142" i="18"/>
  <c r="E9" i="19"/>
  <c r="E9" i="5" s="1"/>
  <c r="C73" i="19"/>
  <c r="E30" i="17"/>
  <c r="H30" i="17" s="1"/>
  <c r="K30" i="17" s="1"/>
  <c r="N30" i="17" s="1"/>
  <c r="D142" i="17"/>
  <c r="E111" i="17"/>
  <c r="E45" i="17"/>
  <c r="H45" i="17" s="1"/>
  <c r="K45" i="17" s="1"/>
  <c r="N45" i="17" s="1"/>
  <c r="C73" i="16"/>
  <c r="C142" i="16"/>
  <c r="C74" i="16"/>
  <c r="E74" i="16" s="1"/>
  <c r="E75" i="16"/>
  <c r="C73" i="15"/>
  <c r="E25" i="15"/>
  <c r="C74" i="15"/>
  <c r="E74" i="15" s="1"/>
  <c r="E75" i="15"/>
  <c r="C142" i="15"/>
  <c r="C73" i="14"/>
  <c r="E25" i="14"/>
  <c r="C74" i="14"/>
  <c r="E74" i="14" s="1"/>
  <c r="E75" i="14"/>
  <c r="C142" i="14"/>
  <c r="C25" i="13"/>
  <c r="E30" i="13"/>
  <c r="C74" i="13"/>
  <c r="E74" i="13" s="1"/>
  <c r="E75" i="13"/>
  <c r="C142" i="13"/>
  <c r="C142" i="12"/>
  <c r="C25" i="12"/>
  <c r="E30" i="12"/>
  <c r="C74" i="12"/>
  <c r="E74" i="12" s="1"/>
  <c r="E75" i="12"/>
  <c r="E25" i="11"/>
  <c r="C74" i="11"/>
  <c r="E74" i="11" s="1"/>
  <c r="E75" i="11"/>
  <c r="C142" i="11"/>
  <c r="C73" i="10"/>
  <c r="E25" i="10"/>
  <c r="C74" i="10"/>
  <c r="E75" i="10"/>
  <c r="C142" i="10"/>
  <c r="C73" i="9"/>
  <c r="E25" i="9"/>
  <c r="C74" i="9"/>
  <c r="E74" i="9" s="1"/>
  <c r="E75" i="9"/>
  <c r="C142" i="9"/>
  <c r="C74" i="8"/>
  <c r="E75" i="8"/>
  <c r="C142" i="8"/>
  <c r="AO143" i="4" l="1"/>
  <c r="AM31" i="4"/>
  <c r="AN134" i="4"/>
  <c r="AN128" i="4"/>
  <c r="AO49" i="4"/>
  <c r="AO79" i="4"/>
  <c r="G52" i="60" s="1"/>
  <c r="G55" i="60" s="1"/>
  <c r="AO134" i="4"/>
  <c r="O111" i="4"/>
  <c r="Q111" i="4" s="1"/>
  <c r="P75" i="4"/>
  <c r="Q75" i="4" s="1"/>
  <c r="P30" i="4"/>
  <c r="Q30" i="4" s="1"/>
  <c r="O45" i="4"/>
  <c r="Q45" i="4" s="1"/>
  <c r="AO123" i="4"/>
  <c r="G27" i="60"/>
  <c r="G44" i="60"/>
  <c r="G35" i="60"/>
  <c r="C73" i="22"/>
  <c r="C73" i="6" s="1"/>
  <c r="O73" i="4" s="1"/>
  <c r="AO105" i="4"/>
  <c r="Q88" i="4"/>
  <c r="AC45" i="4"/>
  <c r="AO22" i="4"/>
  <c r="G34" i="60" s="1"/>
  <c r="D142" i="7"/>
  <c r="AB142" i="4" s="1"/>
  <c r="E74" i="8"/>
  <c r="C74" i="7"/>
  <c r="E25" i="8"/>
  <c r="C25" i="7"/>
  <c r="AA25" i="4" s="1"/>
  <c r="D74" i="7"/>
  <c r="AB74" i="4" s="1"/>
  <c r="AN74" i="4" s="1"/>
  <c r="C142" i="7"/>
  <c r="AA142" i="4" s="1"/>
  <c r="AO89" i="4"/>
  <c r="AO31" i="4"/>
  <c r="D151" i="19"/>
  <c r="D151" i="5" s="1"/>
  <c r="D151" i="4" s="1"/>
  <c r="AO26" i="4"/>
  <c r="AO10" i="4"/>
  <c r="AO101" i="4"/>
  <c r="E75" i="6"/>
  <c r="E74" i="22"/>
  <c r="E74" i="6" s="1"/>
  <c r="E142" i="19"/>
  <c r="E88" i="5"/>
  <c r="AM9" i="4"/>
  <c r="C142" i="5"/>
  <c r="C142" i="4" s="1"/>
  <c r="E142" i="4" s="1"/>
  <c r="D73" i="22"/>
  <c r="D85" i="22" s="1"/>
  <c r="D85" i="6" s="1"/>
  <c r="P85" i="4" s="1"/>
  <c r="E75" i="4"/>
  <c r="E88" i="4"/>
  <c r="E111" i="5"/>
  <c r="E30" i="5"/>
  <c r="E30" i="7"/>
  <c r="AA30" i="4"/>
  <c r="AC30" i="4" s="1"/>
  <c r="E75" i="5"/>
  <c r="AM88" i="4"/>
  <c r="AN75" i="4"/>
  <c r="AN67" i="4"/>
  <c r="AC67" i="4"/>
  <c r="AO67" i="4" s="1"/>
  <c r="G16" i="60" s="1"/>
  <c r="C74" i="6"/>
  <c r="AN34" i="4"/>
  <c r="AC34" i="4"/>
  <c r="AO34" i="4" s="1"/>
  <c r="AM61" i="4"/>
  <c r="AC61" i="4"/>
  <c r="AO61" i="4" s="1"/>
  <c r="AN88" i="4"/>
  <c r="AM75" i="4"/>
  <c r="D73" i="19"/>
  <c r="E73" i="19" s="1"/>
  <c r="D25" i="5"/>
  <c r="D25" i="4" s="1"/>
  <c r="E25" i="4" s="1"/>
  <c r="AC75" i="4"/>
  <c r="AC9" i="4"/>
  <c r="AO9" i="4" s="1"/>
  <c r="E30" i="4"/>
  <c r="E74" i="19"/>
  <c r="E74" i="5" s="1"/>
  <c r="C74" i="5"/>
  <c r="C74" i="4" s="1"/>
  <c r="E45" i="4"/>
  <c r="AM128" i="4"/>
  <c r="AC128" i="4"/>
  <c r="AO128" i="4" s="1"/>
  <c r="C142" i="6"/>
  <c r="O142" i="4" s="1"/>
  <c r="AC88" i="4"/>
  <c r="E88" i="7"/>
  <c r="AC111" i="4"/>
  <c r="E25" i="22"/>
  <c r="E25" i="6" s="1"/>
  <c r="D151" i="22"/>
  <c r="D151" i="6" s="1"/>
  <c r="P151" i="4" s="1"/>
  <c r="D142" i="6"/>
  <c r="P142" i="4" s="1"/>
  <c r="E75" i="7"/>
  <c r="E9" i="7"/>
  <c r="E45" i="7"/>
  <c r="E128" i="7"/>
  <c r="E111" i="7"/>
  <c r="C73" i="8"/>
  <c r="C85" i="8" s="1"/>
  <c r="D73" i="8"/>
  <c r="D73" i="7" s="1"/>
  <c r="AB73" i="4" s="1"/>
  <c r="AB25" i="4"/>
  <c r="D151" i="8"/>
  <c r="E74" i="10"/>
  <c r="D85" i="10"/>
  <c r="Q25" i="4"/>
  <c r="E142" i="21"/>
  <c r="C151" i="21"/>
  <c r="E151" i="21" s="1"/>
  <c r="C85" i="21"/>
  <c r="E85" i="21" s="1"/>
  <c r="E73" i="21"/>
  <c r="E142" i="22"/>
  <c r="C151" i="22"/>
  <c r="E142" i="18"/>
  <c r="C151" i="18"/>
  <c r="E25" i="18"/>
  <c r="E25" i="5" s="1"/>
  <c r="C73" i="18"/>
  <c r="C73" i="5" s="1"/>
  <c r="C73" i="4" s="1"/>
  <c r="C85" i="19"/>
  <c r="D151" i="17"/>
  <c r="E151" i="17" s="1"/>
  <c r="E142" i="17"/>
  <c r="E25" i="17"/>
  <c r="H25" i="17" s="1"/>
  <c r="K25" i="17" s="1"/>
  <c r="N25" i="17" s="1"/>
  <c r="E142" i="16"/>
  <c r="C151" i="16"/>
  <c r="E151" i="16" s="1"/>
  <c r="C85" i="16"/>
  <c r="E85" i="16" s="1"/>
  <c r="E73" i="16"/>
  <c r="E142" i="15"/>
  <c r="C151" i="15"/>
  <c r="E151" i="15" s="1"/>
  <c r="C85" i="15"/>
  <c r="E85" i="15" s="1"/>
  <c r="E73" i="15"/>
  <c r="E142" i="14"/>
  <c r="C151" i="14"/>
  <c r="E151" i="14" s="1"/>
  <c r="C85" i="14"/>
  <c r="E85" i="14" s="1"/>
  <c r="E73" i="14"/>
  <c r="E142" i="13"/>
  <c r="C151" i="13"/>
  <c r="E25" i="13"/>
  <c r="C73" i="13"/>
  <c r="E25" i="12"/>
  <c r="C73" i="12"/>
  <c r="E142" i="12"/>
  <c r="C151" i="12"/>
  <c r="E151" i="12" s="1"/>
  <c r="E142" i="11"/>
  <c r="C151" i="11"/>
  <c r="E151" i="11" s="1"/>
  <c r="C85" i="11"/>
  <c r="E142" i="10"/>
  <c r="C151" i="10"/>
  <c r="E151" i="10" s="1"/>
  <c r="C85" i="10"/>
  <c r="E73" i="10"/>
  <c r="E142" i="9"/>
  <c r="C151" i="9"/>
  <c r="E151" i="9" s="1"/>
  <c r="C85" i="9"/>
  <c r="E85" i="9" s="1"/>
  <c r="E73" i="9"/>
  <c r="E142" i="8"/>
  <c r="C151" i="8"/>
  <c r="AM45" i="4" l="1"/>
  <c r="AN30" i="4"/>
  <c r="AM111" i="4"/>
  <c r="AO111" i="4"/>
  <c r="G21" i="60" s="1"/>
  <c r="O74" i="4"/>
  <c r="Q74" i="4" s="1"/>
  <c r="AO75" i="4"/>
  <c r="E153" i="16"/>
  <c r="E153" i="15"/>
  <c r="E153" i="14"/>
  <c r="E153" i="9"/>
  <c r="E153" i="21"/>
  <c r="G13" i="60"/>
  <c r="G20" i="60"/>
  <c r="G37" i="60"/>
  <c r="C85" i="22"/>
  <c r="C85" i="6" s="1"/>
  <c r="O85" i="4" s="1"/>
  <c r="AO45" i="4"/>
  <c r="E142" i="6"/>
  <c r="E73" i="22"/>
  <c r="E73" i="6" s="1"/>
  <c r="AO88" i="4"/>
  <c r="D151" i="7"/>
  <c r="AB151" i="4" s="1"/>
  <c r="C73" i="7"/>
  <c r="AA73" i="4" s="1"/>
  <c r="AM73" i="4" s="1"/>
  <c r="E85" i="11"/>
  <c r="E153" i="11" s="1"/>
  <c r="E151" i="13"/>
  <c r="C151" i="7"/>
  <c r="AA151" i="4" s="1"/>
  <c r="E151" i="19"/>
  <c r="E73" i="8"/>
  <c r="E142" i="5"/>
  <c r="D73" i="6"/>
  <c r="AO30" i="4"/>
  <c r="AM30" i="4"/>
  <c r="E74" i="7"/>
  <c r="AA74" i="4"/>
  <c r="AC74" i="4" s="1"/>
  <c r="Q142" i="4"/>
  <c r="E74" i="4"/>
  <c r="AN142" i="4"/>
  <c r="AN25" i="4"/>
  <c r="AC25" i="4"/>
  <c r="AO25" i="4" s="1"/>
  <c r="D85" i="19"/>
  <c r="D73" i="5"/>
  <c r="D73" i="4" s="1"/>
  <c r="E73" i="4" s="1"/>
  <c r="AM25" i="4"/>
  <c r="AM142" i="4"/>
  <c r="AC142" i="4"/>
  <c r="E151" i="18"/>
  <c r="C151" i="5"/>
  <c r="C151" i="4" s="1"/>
  <c r="E85" i="22"/>
  <c r="E151" i="22"/>
  <c r="E151" i="6" s="1"/>
  <c r="C151" i="6"/>
  <c r="O151" i="4" s="1"/>
  <c r="E142" i="7"/>
  <c r="E25" i="7"/>
  <c r="E151" i="8"/>
  <c r="D85" i="8"/>
  <c r="E85" i="10"/>
  <c r="E153" i="10" s="1"/>
  <c r="C85" i="18"/>
  <c r="E85" i="18" s="1"/>
  <c r="E73" i="18"/>
  <c r="E73" i="5" s="1"/>
  <c r="E85" i="17"/>
  <c r="E73" i="17"/>
  <c r="H73" i="17" s="1"/>
  <c r="K73" i="17" s="1"/>
  <c r="N73" i="17" s="1"/>
  <c r="C85" i="13"/>
  <c r="E85" i="13" s="1"/>
  <c r="E73" i="13"/>
  <c r="C85" i="12"/>
  <c r="E85" i="12" s="1"/>
  <c r="E153" i="12" s="1"/>
  <c r="E73" i="12"/>
  <c r="P73" i="4" l="1"/>
  <c r="Q73" i="4" s="1"/>
  <c r="AC73" i="4"/>
  <c r="E153" i="17"/>
  <c r="H85" i="17"/>
  <c r="E153" i="13"/>
  <c r="E85" i="6"/>
  <c r="E153" i="22"/>
  <c r="AM151" i="4"/>
  <c r="E153" i="18"/>
  <c r="E153" i="6"/>
  <c r="Q85" i="4"/>
  <c r="G12" i="60"/>
  <c r="G19" i="60"/>
  <c r="G11" i="60"/>
  <c r="C85" i="7"/>
  <c r="AA85" i="4" s="1"/>
  <c r="E85" i="8"/>
  <c r="D85" i="7"/>
  <c r="AB85" i="4" s="1"/>
  <c r="Q151" i="4"/>
  <c r="E151" i="4"/>
  <c r="AN151" i="4"/>
  <c r="D85" i="5"/>
  <c r="D153" i="5" s="1"/>
  <c r="E151" i="5"/>
  <c r="AO142" i="4"/>
  <c r="AO74" i="4"/>
  <c r="AM74" i="4"/>
  <c r="C85" i="5"/>
  <c r="E73" i="7"/>
  <c r="E85" i="19"/>
  <c r="AC151" i="4"/>
  <c r="E151" i="7"/>
  <c r="D20" i="2"/>
  <c r="H153" i="17" l="1"/>
  <c r="K85" i="17"/>
  <c r="AO73" i="4"/>
  <c r="AN73" i="4"/>
  <c r="E153" i="8"/>
  <c r="H86" i="8"/>
  <c r="AO151" i="4"/>
  <c r="D85" i="4"/>
  <c r="AN85" i="4" s="1"/>
  <c r="AN152" i="4" s="1"/>
  <c r="G28" i="60"/>
  <c r="G48" i="60" s="1"/>
  <c r="G63" i="60" s="1"/>
  <c r="G18" i="60"/>
  <c r="G46" i="60" s="1"/>
  <c r="E85" i="5"/>
  <c r="E153" i="19"/>
  <c r="C85" i="4"/>
  <c r="AM85" i="4" s="1"/>
  <c r="C153" i="5"/>
  <c r="AC85" i="4"/>
  <c r="D24" i="2"/>
  <c r="E85" i="7"/>
  <c r="K153" i="17" l="1"/>
  <c r="N85" i="17"/>
  <c r="N153" i="17" s="1"/>
  <c r="E153" i="5"/>
  <c r="E153" i="7"/>
  <c r="H86" i="7"/>
  <c r="AC152" i="4"/>
  <c r="G62" i="60"/>
  <c r="AM152" i="4"/>
  <c r="E85" i="4"/>
  <c r="AO85" i="4" l="1"/>
  <c r="AO152" i="4" l="1"/>
</calcChain>
</file>

<file path=xl/sharedStrings.xml><?xml version="1.0" encoding="utf-8"?>
<sst xmlns="http://schemas.openxmlformats.org/spreadsheetml/2006/main" count="14125" uniqueCount="1222">
  <si>
    <t>Harkány Város Önkormányzatának címrendje</t>
  </si>
  <si>
    <t>Cím-szám</t>
  </si>
  <si>
    <t>Cím megnevezése</t>
  </si>
  <si>
    <t>I.</t>
  </si>
  <si>
    <t>Harkány Város Önkormányzata</t>
  </si>
  <si>
    <t>II.</t>
  </si>
  <si>
    <t>Harkányi Közös Önkormányzati Hivatal</t>
  </si>
  <si>
    <t>III.</t>
  </si>
  <si>
    <t>Harkány Városi Könyvtár, Kulturális és Sportközpont</t>
  </si>
  <si>
    <t>Cím száma</t>
  </si>
  <si>
    <t>Harkány Város Önkormányzata kormányzati funkció</t>
  </si>
  <si>
    <t>Parkoló, garázs üzemeltetése, fenntartása</t>
  </si>
  <si>
    <t>Piac üzemeltetése</t>
  </si>
  <si>
    <t>Család és nővédelmi egészségügyi gondozás</t>
  </si>
  <si>
    <t>Város-, községgazdálkodási egyéb szolgáltatások</t>
  </si>
  <si>
    <t>Művelődési Ház</t>
  </si>
  <si>
    <t>Könyvtár</t>
  </si>
  <si>
    <t>Sportcsarnok</t>
  </si>
  <si>
    <t>Összesen</t>
  </si>
  <si>
    <t>Harkány Város Önkormányzatának 2019. évi létszámkerete</t>
  </si>
  <si>
    <t xml:space="preserve">2. </t>
  </si>
  <si>
    <t>Eredeti előirányzat</t>
  </si>
  <si>
    <t>Létszám (fő)</t>
  </si>
  <si>
    <t>Kiemelt előirányzatok</t>
  </si>
  <si>
    <t>Működési célú támogatások ÁH-on belülről</t>
  </si>
  <si>
    <t>Közhatalmi bevételek</t>
  </si>
  <si>
    <t>Működési bevételek</t>
  </si>
  <si>
    <t>Felhalmozási célú támogatások ÁH-on belülről</t>
  </si>
  <si>
    <t>Felhalmozási bevételek</t>
  </si>
  <si>
    <t>Működési pénzmaradvány</t>
  </si>
  <si>
    <t>Fejlesztési pénzmaradvány</t>
  </si>
  <si>
    <t>Finanszírozási felhalmozási bevételek összesen</t>
  </si>
  <si>
    <t>Kötelező feladatok</t>
  </si>
  <si>
    <t>Önként vállalt feladatok</t>
  </si>
  <si>
    <t>Személyi juttatások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</si>
  <si>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</si>
  <si>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</si>
  <si>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</si>
  <si>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</si>
  <si>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</si>
  <si>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</si>
  <si>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3.</t>
  </si>
  <si>
    <t>Rovat-szám</t>
  </si>
  <si>
    <t>B1</t>
  </si>
  <si>
    <t>Működési célú támogatások államháztartáson belülről</t>
  </si>
  <si>
    <t>B11</t>
  </si>
  <si>
    <t>Önkormányzatok működési támogatásai</t>
  </si>
  <si>
    <t>B111</t>
  </si>
  <si>
    <t>Helyi önkormányzatok működésének általános támogatása</t>
  </si>
  <si>
    <t>B112</t>
  </si>
  <si>
    <t>Települési önkormányzatok egyes köznevelési feladatainak támogatása</t>
  </si>
  <si>
    <t>B113</t>
  </si>
  <si>
    <t>Települési önkormányzatok szociális, gyermekjóléti feladatainak támogatása</t>
  </si>
  <si>
    <t>B114</t>
  </si>
  <si>
    <t>Települési önkormányzatok kulturális feladatainak támogatása</t>
  </si>
  <si>
    <t>B115</t>
  </si>
  <si>
    <t>Működési célú költségvetési támogatások és kiegészítő támogatások</t>
  </si>
  <si>
    <t>B116</t>
  </si>
  <si>
    <t>Elszámolásból származó bevételek</t>
  </si>
  <si>
    <t>B12</t>
  </si>
  <si>
    <t>Elvonások és befizetések bevételei</t>
  </si>
  <si>
    <t>B13</t>
  </si>
  <si>
    <t>Működési célú garancia- és kezességvállalásból származó megtérülések ÁH-on belülről</t>
  </si>
  <si>
    <t>B15</t>
  </si>
  <si>
    <t>Működési célú visszatérítendő támogatások, kölcsönök igénybevétele ÁH-on belülről</t>
  </si>
  <si>
    <t>B16</t>
  </si>
  <si>
    <t>Egyéb működési célú támogatások bevételei államháztartáson belülről</t>
  </si>
  <si>
    <t>B2</t>
  </si>
  <si>
    <t>B3</t>
  </si>
  <si>
    <t>B34</t>
  </si>
  <si>
    <t>Vagyoni tipusú adók</t>
  </si>
  <si>
    <t>Építményadó</t>
  </si>
  <si>
    <t>Magánszemélyek kommunális adója</t>
  </si>
  <si>
    <t>Telekadó</t>
  </si>
  <si>
    <t>B35</t>
  </si>
  <si>
    <t>Termékek és szolgáltatások adói</t>
  </si>
  <si>
    <t>B351</t>
  </si>
  <si>
    <t>Értékesítési és forgalmi adók</t>
  </si>
  <si>
    <t>Állandó jeleggel végzett iparűzési tevékenység után fizetett helyi iparűzési adó</t>
  </si>
  <si>
    <t>B354</t>
  </si>
  <si>
    <t>Gépjárműadók</t>
  </si>
  <si>
    <t>B355</t>
  </si>
  <si>
    <t>Egyéb áruhasználati és szolgáltatási adók</t>
  </si>
  <si>
    <t>Tartózkodás után fizetett idegenforgalmi adó</t>
  </si>
  <si>
    <t>Talajterhelési díj</t>
  </si>
  <si>
    <t>Korábbi évek megszünt adónemei áthúzódó fizetéseiből befolyt bevételek</t>
  </si>
  <si>
    <t>B36</t>
  </si>
  <si>
    <t>Egyéb közhatalmi bevételek</t>
  </si>
  <si>
    <t>Igazgatási szolgáltatási díjak</t>
  </si>
  <si>
    <t>Építésügyi bírság</t>
  </si>
  <si>
    <t>Környezetvédelmi bírság</t>
  </si>
  <si>
    <t>Helyszíni bírság és közigazgatási bírság</t>
  </si>
  <si>
    <t>Egyéb bírság (adó)</t>
  </si>
  <si>
    <t>Késedelmi és önellenőrzési pótlék</t>
  </si>
  <si>
    <t>B4</t>
  </si>
  <si>
    <t>B401</t>
  </si>
  <si>
    <t>Készletértékesítés ellenértéke</t>
  </si>
  <si>
    <t>B402</t>
  </si>
  <si>
    <t>Szolgáltatások ellenértéke</t>
  </si>
  <si>
    <t>B403</t>
  </si>
  <si>
    <t>Közvetített szolgáltatás ellenértéke</t>
  </si>
  <si>
    <t>B404</t>
  </si>
  <si>
    <t>Tulajdonosi bevételek</t>
  </si>
  <si>
    <t>Tárgyi eszközök vagyonkezeléséből, értékesítéséből származó bevétel (haszonbérlet)</t>
  </si>
  <si>
    <t>Önkormányzati vagyon üzemeltetéséből, hasznosításából származó bevétel</t>
  </si>
  <si>
    <t>Önkormányzati vagyon vagyonkezelésbe adásából származó bevétel</t>
  </si>
  <si>
    <t>Osztalékok</t>
  </si>
  <si>
    <t>B405</t>
  </si>
  <si>
    <t>Ellátási díjak</t>
  </si>
  <si>
    <t>B406</t>
  </si>
  <si>
    <t>Kiszámlázott általános forgalmi adó</t>
  </si>
  <si>
    <t>B407</t>
  </si>
  <si>
    <t>Általános forgalmi adó visszatérítése</t>
  </si>
  <si>
    <t>B408</t>
  </si>
  <si>
    <t>Kamatbevételek</t>
  </si>
  <si>
    <t>B409</t>
  </si>
  <si>
    <t>Egyéb pénzügyi műveletek bevételei</t>
  </si>
  <si>
    <t>B410</t>
  </si>
  <si>
    <t>Biztosító által fizetett kártérítés</t>
  </si>
  <si>
    <t>B411</t>
  </si>
  <si>
    <t>Egyéb működési bevételek</t>
  </si>
  <si>
    <t>B5</t>
  </si>
  <si>
    <t>B51</t>
  </si>
  <si>
    <t>Immateriális javak értékesítése</t>
  </si>
  <si>
    <t>B52</t>
  </si>
  <si>
    <t>Ingatlanok értékesítése</t>
  </si>
  <si>
    <t>B53</t>
  </si>
  <si>
    <t>Egyéb tárgyi eszközök értékesítése</t>
  </si>
  <si>
    <t>B54</t>
  </si>
  <si>
    <t>Részesedések értékesítése</t>
  </si>
  <si>
    <t>B55</t>
  </si>
  <si>
    <t>Részesedések megszűnéséhez kapcsolódó bevételek</t>
  </si>
  <si>
    <t>B6</t>
  </si>
  <si>
    <t>Működési célú átvett pénzeszközök</t>
  </si>
  <si>
    <t>B64</t>
  </si>
  <si>
    <t xml:space="preserve">Működési célú visszatérítendő támogatások, kölcsönök visszatérülése ÁH-on kívülről </t>
  </si>
  <si>
    <t>B65</t>
  </si>
  <si>
    <t>Egyéb működési célú átvett pénzeszközök</t>
  </si>
  <si>
    <t>B7</t>
  </si>
  <si>
    <t>Felhalmozási célú átvett pénzeszközök</t>
  </si>
  <si>
    <t>Egyéb felhalmozási célú pénzeszközök ÁH-on kívülről</t>
  </si>
  <si>
    <t>B1-B7</t>
  </si>
  <si>
    <t>Költségvetési bevételek</t>
  </si>
  <si>
    <t>B8</t>
  </si>
  <si>
    <t>Finanszírozási bevételek</t>
  </si>
  <si>
    <t>B81</t>
  </si>
  <si>
    <t>Belföldi finanszírozás bevételei</t>
  </si>
  <si>
    <t>B8111</t>
  </si>
  <si>
    <t>Hosszú lejáratú hitelek, kölcsönök felvétele pénzügyi vállalkozástól</t>
  </si>
  <si>
    <t>B8112</t>
  </si>
  <si>
    <t>Likviditási célú hitelek, kölcsönök felvétele pénzügyi vállalkozástól</t>
  </si>
  <si>
    <t>B812</t>
  </si>
  <si>
    <t>Belföldi értékpapírok bevételei</t>
  </si>
  <si>
    <t>B8131</t>
  </si>
  <si>
    <t>Előző év költségvetési maradványának igénybevétele</t>
  </si>
  <si>
    <t>B816</t>
  </si>
  <si>
    <t>Központi, irányító szervi támogatás</t>
  </si>
  <si>
    <t xml:space="preserve"> </t>
  </si>
  <si>
    <t>Központi irányítású támogatás halmozódás miatt mínusz</t>
  </si>
  <si>
    <t>Bevételek összesen</t>
  </si>
  <si>
    <t>K1</t>
  </si>
  <si>
    <t>K11</t>
  </si>
  <si>
    <t>Foglalkoztatottak személyi juttatásai</t>
  </si>
  <si>
    <t>K1101</t>
  </si>
  <si>
    <t>Törvény szerinti illetmények, munkabérek</t>
  </si>
  <si>
    <t>K1103</t>
  </si>
  <si>
    <t>Céljuttatás, projektprémium</t>
  </si>
  <si>
    <t>K1104</t>
  </si>
  <si>
    <t>Készenléti, ügyeleti, helyettesítési díj, túlóra, túlszolgálat</t>
  </si>
  <si>
    <t>K1105</t>
  </si>
  <si>
    <t>Végkielégítés</t>
  </si>
  <si>
    <t>K1106</t>
  </si>
  <si>
    <t>Jubileumi jutalom</t>
  </si>
  <si>
    <t>K1107</t>
  </si>
  <si>
    <t>Béren kívüli juttatások</t>
  </si>
  <si>
    <t>K1109</t>
  </si>
  <si>
    <t>Közlekedési költségtérítés</t>
  </si>
  <si>
    <t>K1110</t>
  </si>
  <si>
    <t>Egyéb költségtérítések</t>
  </si>
  <si>
    <t>K1112</t>
  </si>
  <si>
    <t>Szociális támogatás</t>
  </si>
  <si>
    <t>K1113</t>
  </si>
  <si>
    <t>Foglalkoztatottak egyéb szemályi juttatásai</t>
  </si>
  <si>
    <t>K12</t>
  </si>
  <si>
    <t>Külső személyi juttatások</t>
  </si>
  <si>
    <t>K121</t>
  </si>
  <si>
    <t>Választott tisztségviselők juttatásai</t>
  </si>
  <si>
    <t>K122</t>
  </si>
  <si>
    <t>Munkavégzésre irányuló egyéb jogviszonyban nem saját fogl. fizetett juttatások</t>
  </si>
  <si>
    <t>K123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</si>
  <si>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</si>
  <si>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</si>
  <si>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</si>
  <si>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</si>
  <si>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</si>
  <si>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Egészségügyi hozzájárulás</t>
  </si>
  <si>
    <t>Táppénz hozzájárulás</t>
  </si>
  <si>
    <t>Munkáltatót terhelő személyi jövedelemadó</t>
  </si>
  <si>
    <t>K3</t>
  </si>
  <si>
    <t>K31</t>
  </si>
  <si>
    <t>Készletbeszerzés</t>
  </si>
  <si>
    <t>K32</t>
  </si>
  <si>
    <t>Kommunikációs szolgáltatások</t>
  </si>
  <si>
    <t>K33</t>
  </si>
  <si>
    <t>Szolgáltatási kiadások</t>
  </si>
  <si>
    <t>K331</t>
  </si>
  <si>
    <t>Közüzemi díjak</t>
  </si>
  <si>
    <t>K332</t>
  </si>
  <si>
    <t>Vásárolt élelmezés</t>
  </si>
  <si>
    <t>K333</t>
  </si>
  <si>
    <t>Bérleti és lízing díjak</t>
  </si>
  <si>
    <t>K334</t>
  </si>
  <si>
    <t>Karbantartási, kisjavítási szolgáltatások</t>
  </si>
  <si>
    <t>K335</t>
  </si>
  <si>
    <t>Közvetített szolgáltatások</t>
  </si>
  <si>
    <t>K336</t>
  </si>
  <si>
    <t>Szakmai tevékenységet segítő szolgáltatások</t>
  </si>
  <si>
    <t>K337</t>
  </si>
  <si>
    <t>Egyéb szolgáltatások</t>
  </si>
  <si>
    <t>K34</t>
  </si>
  <si>
    <t>Kiküldetések, reklám- és propagandakiadások</t>
  </si>
  <si>
    <t>K35</t>
  </si>
  <si>
    <t>Különféle befizetések és egyéb dologi kiadások</t>
  </si>
  <si>
    <t>Előzetesen felszámított és fizetendő általános forgalmi adó</t>
  </si>
  <si>
    <t>Kamatkiadások</t>
  </si>
  <si>
    <t>K355</t>
  </si>
  <si>
    <t>Egyéb dologi kiadások</t>
  </si>
  <si>
    <t>K4</t>
  </si>
  <si>
    <t>K5</t>
  </si>
  <si>
    <t>K502</t>
  </si>
  <si>
    <t>Elvonások és befizetések</t>
  </si>
  <si>
    <t>K506</t>
  </si>
  <si>
    <t>Egyéb működési célú támogatások államháztartáson belülre</t>
  </si>
  <si>
    <t>K508</t>
  </si>
  <si>
    <t>Működési célú visszatérítendő támogatások, kölcsönök nyújtása ÁH-on kívülre</t>
  </si>
  <si>
    <t>K512</t>
  </si>
  <si>
    <t>Egyéb működési célú támogatások államháztartáson kívülre</t>
  </si>
  <si>
    <t>K513</t>
  </si>
  <si>
    <t>Tartalékok</t>
  </si>
  <si>
    <t>Általános tartalék</t>
  </si>
  <si>
    <t>Céltartalék</t>
  </si>
  <si>
    <t>K6</t>
  </si>
  <si>
    <t>K67</t>
  </si>
  <si>
    <t>Beruházási célú előzetesen felszámított általános forgalmi adó</t>
  </si>
  <si>
    <t>K7</t>
  </si>
  <si>
    <t>K74</t>
  </si>
  <si>
    <t>Felújítási célú előzetesen felszámított általános forgalmi adó</t>
  </si>
  <si>
    <t>K8</t>
  </si>
  <si>
    <t>K1-K8</t>
  </si>
  <si>
    <t>Költségvetési kiadások</t>
  </si>
  <si>
    <t>K9</t>
  </si>
  <si>
    <t>Finanszírozási kiadások</t>
  </si>
  <si>
    <t>K9111</t>
  </si>
  <si>
    <t>Hosszú lejáratú hitelek, kölcsönök törlesztése pénzügyi vállalkozásnak</t>
  </si>
  <si>
    <t>K9113</t>
  </si>
  <si>
    <t>Rövid lejáratú hitelek, kölcsönök törlesztése pénzügyi vállalkozásnak</t>
  </si>
  <si>
    <t>K915</t>
  </si>
  <si>
    <t>Központi, irányító szervi támogatások folyósítása</t>
  </si>
  <si>
    <t>K916</t>
  </si>
  <si>
    <t>Pénzeszközök lekötött bankbetétként elhelyezése</t>
  </si>
  <si>
    <t>K917</t>
  </si>
  <si>
    <t>Pénzügyi lízing kiadásai</t>
  </si>
  <si>
    <t>Irányító szervi támogatás halmozódás miatt minusz</t>
  </si>
  <si>
    <t>Kiadások összesen</t>
  </si>
  <si>
    <t>B1-B7+B8</t>
  </si>
  <si>
    <t>K1-K8+K9</t>
  </si>
  <si>
    <t>B14</t>
  </si>
  <si>
    <t>Működési célú visszatérítendő támogatások, kölcsönök visszatérülése ÁH-on belülről</t>
  </si>
  <si>
    <t>Felhalmozási vélú önkormányzati támogatások</t>
  </si>
  <si>
    <t>Egyéb felhalmozási célú támogatások bevételei Áht-n belülről</t>
  </si>
  <si>
    <t>Kormányzati funkció:</t>
  </si>
  <si>
    <t>2019.</t>
  </si>
  <si>
    <t>Harkány Városi Könyvtár , Kulturális és Sportközpont kormányzati funkció szerinti bevételei és kiadásai</t>
  </si>
  <si>
    <t>Önkormányzat</t>
  </si>
  <si>
    <t>Harkány Város Önkormányzatának funkcionális szerinti bevételei és kiadásai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</si>
  <si>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</si>
  <si>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</si>
  <si>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</si>
  <si>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</si>
  <si>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</si>
  <si>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</si>
  <si>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</si>
  <si>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</si>
  <si>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</si>
  <si>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</si>
  <si>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</si>
  <si>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</si>
  <si>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1.</t>
  </si>
  <si>
    <t>2.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</si>
  <si>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</si>
  <si>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</si>
  <si>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</si>
  <si>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</si>
  <si>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</si>
  <si>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</si>
  <si>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</si>
  <si>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</si>
  <si>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</si>
  <si>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</si>
  <si>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</si>
  <si>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</si>
  <si>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</si>
  <si>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</si>
  <si>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</si>
  <si>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</si>
  <si>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</si>
  <si>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</si>
  <si>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</si>
  <si>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</si>
  <si>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</si>
  <si>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</si>
  <si>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</si>
  <si>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</si>
  <si>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</si>
  <si>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</si>
  <si>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</si>
  <si>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</si>
  <si>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eFt</t>
  </si>
  <si>
    <t>Sorszám</t>
  </si>
  <si>
    <t>Megnevezés</t>
  </si>
  <si>
    <t>MŰKÖDÉSI BEVÉTELEK ÉS KIADÁSOK</t>
  </si>
  <si>
    <t xml:space="preserve">1. </t>
  </si>
  <si>
    <t xml:space="preserve">3. </t>
  </si>
  <si>
    <t xml:space="preserve">4. 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</si>
  <si>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</si>
  <si>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</si>
  <si>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</si>
  <si>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</si>
  <si>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</si>
  <si>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</si>
  <si>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</si>
  <si>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</si>
  <si>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</si>
  <si>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</si>
  <si>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</si>
  <si>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</si>
  <si>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</si>
  <si>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Államháztartáson belüli megelőlegezések</t>
  </si>
  <si>
    <t>011130</t>
  </si>
  <si>
    <t>Önk-ok és onk-i hivatalok jogalkotó ás ált.igazgatási tevékenysége</t>
  </si>
  <si>
    <t>Köztemető-fenntartás és működtetés</t>
  </si>
  <si>
    <t>013320</t>
  </si>
  <si>
    <t>013350</t>
  </si>
  <si>
    <t>Az önk.-i vagyonnal való gazdálkodással kapcs. Feladatok</t>
  </si>
  <si>
    <t>018010</t>
  </si>
  <si>
    <t>Önkormányzatok elszámolásai a központi költségvetéssel</t>
  </si>
  <si>
    <t>018030</t>
  </si>
  <si>
    <t>Támogatási célú finanszírozási műveletek</t>
  </si>
  <si>
    <t>Közutak, hidak, alagutak üzemeltetése, fenntartása</t>
  </si>
  <si>
    <t>047120</t>
  </si>
  <si>
    <t>047320</t>
  </si>
  <si>
    <t>Turizmusfjlesztési támogatások és tevékenységek</t>
  </si>
  <si>
    <t>051030</t>
  </si>
  <si>
    <t>Nem veszélyes hulladék vegyes begyűjtése, szállítása, átrakása</t>
  </si>
  <si>
    <t>052080</t>
  </si>
  <si>
    <t>Szennyvízcsatorna építése, fenntartása, üzemeltetése</t>
  </si>
  <si>
    <t>063080</t>
  </si>
  <si>
    <t>Vízellátással kapcsolatos közmű építése, fenntartáse, üzemeltetése</t>
  </si>
  <si>
    <t>Közvilágítás</t>
  </si>
  <si>
    <t>066010</t>
  </si>
  <si>
    <t>Zöldterület-kezelés</t>
  </si>
  <si>
    <t>066020</t>
  </si>
  <si>
    <t>Város-, községgazdálkodási egyéb szolg.</t>
  </si>
  <si>
    <t>072111</t>
  </si>
  <si>
    <t>Háziorvosi ellátás</t>
  </si>
  <si>
    <t>072112</t>
  </si>
  <si>
    <t>Háziorvosi ügyeleti ellátás</t>
  </si>
  <si>
    <t>072210</t>
  </si>
  <si>
    <t>Járóbetegek gyógyító szakellátása</t>
  </si>
  <si>
    <t>074031</t>
  </si>
  <si>
    <t>074032</t>
  </si>
  <si>
    <t>Ifjúság-egészségügyi gondozás</t>
  </si>
  <si>
    <t>081041</t>
  </si>
  <si>
    <t>Versenysport- és utánpótlás-nevelési tevékenység és támogatása</t>
  </si>
  <si>
    <t>081043</t>
  </si>
  <si>
    <t>Iskolai, diáksport-tevékenység támogatása</t>
  </si>
  <si>
    <t>sorszám</t>
  </si>
  <si>
    <t>Bevételi jogcím</t>
  </si>
  <si>
    <t>Kedvezmény nélkül
elérhető bevétel</t>
  </si>
  <si>
    <t>Kedvezmények
összege</t>
  </si>
  <si>
    <t>Ellátottak térítési díjának csökkentése, elengedése</t>
  </si>
  <si>
    <t>Ellátottak kártérítésének csökkentése, elengedése</t>
  </si>
  <si>
    <t>Lakosság részére lakásépítéshez, lakásvásárláshoz nyújtott kölcsön elengedése</t>
  </si>
  <si>
    <t>Lakosság részére lakásfelújításhoz nyújtott kölcsön elengedése</t>
  </si>
  <si>
    <t>Építményadóból biztosított kedvezmény, mentesség</t>
  </si>
  <si>
    <t>Telekadóból biztosított kedvezmény, mentesség</t>
  </si>
  <si>
    <t>Iparűzésiadóból biztosított kedvezmény, mentesség</t>
  </si>
  <si>
    <t>Gépjárműadóból, egyéb helyi adóból biztosított kedvezmény, mentesség</t>
  </si>
  <si>
    <t>Helyiségek hasznosítása utáni kedvezmény, mentesség</t>
  </si>
  <si>
    <t>Eszközök hasznosítása utáni kedvezmény, mentesség</t>
  </si>
  <si>
    <t>Egyéb kölcsön elengedése</t>
  </si>
  <si>
    <t>Harkány Város Önkormányzat</t>
  </si>
  <si>
    <t>Ft</t>
  </si>
  <si>
    <t>Felújítás
megnevezése</t>
  </si>
  <si>
    <t>Teljes költség</t>
  </si>
  <si>
    <t>Kivitelezés kezdési
és befejezési éve</t>
  </si>
  <si>
    <t>Felhasználás
2017.12.31.-ig</t>
  </si>
  <si>
    <t>TOP.2.1.2-15-BAI  "Az élhetőbb jövő - Harkány Zöld belváros"</t>
  </si>
  <si>
    <t>TOP-1.1.3 -16-BAI-2017-00003 Piac fejlesztés</t>
  </si>
  <si>
    <t>TOP 1.4.1.-16 Bölcsöde pályázat</t>
  </si>
  <si>
    <t>Pályázatos projektekösszesen:</t>
  </si>
  <si>
    <t>Szennyvízközmű felújítás EHD-ből</t>
  </si>
  <si>
    <t>Vízközmű felújítás EHD-ből</t>
  </si>
  <si>
    <t>Hegyi utak javítása</t>
  </si>
  <si>
    <t>Járda-útépítési-javítási munkák</t>
  </si>
  <si>
    <t>Autó felújítás</t>
  </si>
  <si>
    <t>Művelődési Ház közpark létrehozása</t>
  </si>
  <si>
    <t>Szociális lakások felújítása</t>
  </si>
  <si>
    <t>Temető kerítés, ravatalozó felújítása</t>
  </si>
  <si>
    <t>Saját felújítások:</t>
  </si>
  <si>
    <t>Összesen:</t>
  </si>
  <si>
    <t>-</t>
  </si>
  <si>
    <t>Beruházás
megnevezése</t>
  </si>
  <si>
    <t>Pályázatok:</t>
  </si>
  <si>
    <t>2018.</t>
  </si>
  <si>
    <t>TOP-3.1.1-15-BA1-2001 Közlekedésbiztonsági fejlesztésHarkány belvárosában</t>
  </si>
  <si>
    <t>EFOP-4.1.7-16-2017-00038 Tanulást segítő infrastr.fejl.eszközbeszerzései</t>
  </si>
  <si>
    <t>EFOP-1.5.3-16 Humán szolgáltatás fejlesztés térségi szemléletben</t>
  </si>
  <si>
    <t xml:space="preserve">EFOp 1 2 11  Esélyotthon </t>
  </si>
  <si>
    <t>EFOP-1.8.2 Eü alapellátás fejlesztése</t>
  </si>
  <si>
    <t>TOP 1.1.1-16-BAI-2017-00005 Harkány iparterület fejlesztése</t>
  </si>
  <si>
    <t>TOP-1.1.3 -16-BAI-2017-00003 Piac fejlesztése</t>
  </si>
  <si>
    <t>2018-</t>
  </si>
  <si>
    <t>Pályázati támogatásból megvalósítandó beruházások összesen:</t>
  </si>
  <si>
    <t>MLSZ pályázat (mobil lelátó) önereje</t>
  </si>
  <si>
    <t xml:space="preserve">Játszótér </t>
  </si>
  <si>
    <t>HPC előtti területen új járda építése</t>
  </si>
  <si>
    <t>Immeteriális javak beszerzése (tanulmányok, tervek)</t>
  </si>
  <si>
    <t>Önkormányzat eszközbeszerzési keret:</t>
  </si>
  <si>
    <t>Saját beruházások:</t>
  </si>
  <si>
    <t xml:space="preserve">   Önkormányzat Összesen:</t>
  </si>
  <si>
    <t>Harkányi Közös Önkormányzati Hivatal beszerzései:</t>
  </si>
  <si>
    <t xml:space="preserve">   informatikai eszközök(Szerver, iratmegsemmisítő,egyébegyéb)</t>
  </si>
  <si>
    <t>Sportcsarnokba sporteszközök beszerzése</t>
  </si>
  <si>
    <t>Befektetett pénzügyi eszközök:</t>
  </si>
  <si>
    <t>Támogatott szervezet neve</t>
  </si>
  <si>
    <t>Támogatás célja</t>
  </si>
  <si>
    <t>Harkányi Körzeti Óvodai Társulás</t>
  </si>
  <si>
    <t>Villányi  Mikrotérségi Szociális és Gyermekjóléti Társulás</t>
  </si>
  <si>
    <t>2018.  évi céljellegű támogatás</t>
  </si>
  <si>
    <t>Városgazdálkodási Zrt.</t>
  </si>
  <si>
    <t>Harkányi Turisztikai Egyesület</t>
  </si>
  <si>
    <t>Harkány SE: -működési támogatás</t>
  </si>
  <si>
    <t xml:space="preserve">               - Nemzetk. Asztalit. JOOLA kupa</t>
  </si>
  <si>
    <t xml:space="preserve">               - Markovics János emlékverseny</t>
  </si>
  <si>
    <t xml:space="preserve">               -H. Sprint Nemzetk. úszóverseny</t>
  </si>
  <si>
    <t>Harkányi Diáksport Egyesület</t>
  </si>
  <si>
    <t xml:space="preserve">               - HDSE sakk utánpótlás nev.</t>
  </si>
  <si>
    <t>Baranya-Sakk Utánpótlásnevelő és Versenyszervező Egyesület</t>
  </si>
  <si>
    <t>Harkányi Kulturális Egyesület</t>
  </si>
  <si>
    <t>Harkányi Szabadegyetem E.</t>
  </si>
  <si>
    <t>Harkányi Római Katolikus Plébánia</t>
  </si>
  <si>
    <t>Református Társegyházközség</t>
  </si>
  <si>
    <t>Pécs-Harkány futóverseny</t>
  </si>
  <si>
    <t>Kanizsai Dorottya Fúvószenekar</t>
  </si>
  <si>
    <t>Harkányi Tigrisek Sportegyesület</t>
  </si>
  <si>
    <t>támogatás célja</t>
  </si>
  <si>
    <t>Harkány SE</t>
  </si>
  <si>
    <t>eszközfejlesztés</t>
  </si>
  <si>
    <t xml:space="preserve">2019.  évi működési és fejlesztési célú célú támogatás </t>
  </si>
  <si>
    <t>Többéves kihatással járó döntésekből származó kötelezettségei célok szerint, évenkénti bontásban</t>
  </si>
  <si>
    <t>sor-szám</t>
  </si>
  <si>
    <t>Kötelezettség jogcíme</t>
  </si>
  <si>
    <t>Köt. váll. éve</t>
  </si>
  <si>
    <t>Érvényesség</t>
  </si>
  <si>
    <t>Szerződő partner</t>
  </si>
  <si>
    <t>Összesen (6+7+8+9)</t>
  </si>
  <si>
    <t>Európai Uniós támogatással megvalósuló támogatói okirattal rendelkező projektek</t>
  </si>
  <si>
    <t>EU-s projekt neve, azonosítója:</t>
  </si>
  <si>
    <t>Források</t>
  </si>
  <si>
    <t>Saját erő</t>
  </si>
  <si>
    <t xml:space="preserve">     - saját erőből központi támogatás</t>
  </si>
  <si>
    <t>EU-s forrás</t>
  </si>
  <si>
    <t>Társfinanszírozás</t>
  </si>
  <si>
    <t>Hitel</t>
  </si>
  <si>
    <t>Egyéb forrás</t>
  </si>
  <si>
    <t>Források összesen</t>
  </si>
  <si>
    <t>Kiadások, költségek</t>
  </si>
  <si>
    <t>Személyi jellegű</t>
  </si>
  <si>
    <t>Dologi jellegű</t>
  </si>
  <si>
    <t>Egyéb</t>
  </si>
  <si>
    <t>TOP-2.1.2-15-BA1-2016-00004</t>
  </si>
  <si>
    <t>TOP-3.1.1-15-BA1-2016-00008</t>
  </si>
  <si>
    <t>TOP-1.1.1-16-BA1-2017-00005</t>
  </si>
  <si>
    <t>EFOP-3.3.2-16-2016-00204</t>
  </si>
  <si>
    <t>Harkány Város kulturális értékeinek erősítése az oktatásban</t>
  </si>
  <si>
    <t>EFOP-1.8.2-17-2017-00015</t>
  </si>
  <si>
    <t>Az alapellátás és népegészségügy rendszerének átfofó fejlesztése Harkány térségében</t>
  </si>
  <si>
    <t>EFOP-1.5.3-16-2017-00049</t>
  </si>
  <si>
    <t>Tegyünk együtt a jövőnkért ! - Humán szolgáltatásfejlesztés térségi szemléletben</t>
  </si>
  <si>
    <t>EFOP-1.2.11-16-2017-00035</t>
  </si>
  <si>
    <t>Harkányban élni Jó!  - Esély Otthon, Harkányban</t>
  </si>
  <si>
    <t>EFOP-4.1.7-16-2017-00038</t>
  </si>
  <si>
    <t>Harkány Város Klubhelységeinek átalakítása és eszközbeszerzései</t>
  </si>
  <si>
    <t>TOP-1.1.3-16-BA1-2017-00003</t>
  </si>
  <si>
    <t>Helyi gazdaságfejlesztés Őstermelői piac kialakítása és piacfejlesztés Harkányban</t>
  </si>
  <si>
    <t>TOP-1.4.1-16-BA1-2017-00021</t>
  </si>
  <si>
    <t>Bölcsőde kialakítása és az óvoda minőségi fejlesztése Harkányban</t>
  </si>
  <si>
    <t>TOP-3.1.1-15-BA1-2016-00008   Közlekedésbiztonsági fejlesztés Harkány belvárosában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</si>
  <si>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</si>
  <si>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</si>
  <si>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</si>
  <si>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</si>
  <si>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</si>
  <si>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</si>
  <si>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</si>
  <si>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</si>
  <si>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</si>
  <si>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</si>
  <si>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</si>
  <si>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</si>
  <si>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</si>
  <si>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26</t>
  </si>
  <si>
    <t>27</t>
  </si>
  <si>
    <t>28</t>
  </si>
  <si>
    <t>30</t>
  </si>
  <si>
    <t>31</t>
  </si>
  <si>
    <t>32</t>
  </si>
  <si>
    <t>33</t>
  </si>
  <si>
    <t>35</t>
  </si>
  <si>
    <t>36</t>
  </si>
  <si>
    <t>39</t>
  </si>
  <si>
    <t>43</t>
  </si>
  <si>
    <t>44</t>
  </si>
  <si>
    <t>2018 várható</t>
  </si>
  <si>
    <t>2019. évi felújítási kiadásainak előirányzata célonként</t>
  </si>
  <si>
    <t>2019. évi beruházási kiadásainak előirányzata feladatonként</t>
  </si>
  <si>
    <t>Hakányi Közös Önkorm. Hivatalnak EFOP</t>
  </si>
  <si>
    <t>H.Városi Könyvtár, Kult.-és Sprtkp. EFOP</t>
  </si>
  <si>
    <t xml:space="preserve">  - "Fontos Vagy Nekünk" Egyesület</t>
  </si>
  <si>
    <t xml:space="preserve">  - Sopiane Technikai Sportegyesület</t>
  </si>
  <si>
    <t>2019 évi terv</t>
  </si>
  <si>
    <t>2019.  évi fejlesztési célú támogatás:</t>
  </si>
  <si>
    <t>K1102</t>
  </si>
  <si>
    <t>Normatív jutalmak</t>
  </si>
  <si>
    <t>081030</t>
  </si>
  <si>
    <t>Sportlétesítmények, edzőtáborok működtetése és fejlesztése</t>
  </si>
  <si>
    <t>082092</t>
  </si>
  <si>
    <t>Közművelődés- hagyományos közösségi kulturális értékek gondozása</t>
  </si>
  <si>
    <t>083030</t>
  </si>
  <si>
    <t>Egyéb kiadói tevékenység</t>
  </si>
  <si>
    <t>K914</t>
  </si>
  <si>
    <t>Államháztartáson belüli megelőlegezések visszafizetése</t>
  </si>
  <si>
    <t>B814</t>
  </si>
  <si>
    <t>107060</t>
  </si>
  <si>
    <t>Egyéb szociális és természetbeni ellátások, támogatások</t>
  </si>
  <si>
    <t>900020</t>
  </si>
  <si>
    <t>önkomrányzatok funkcióra nem sorolható bevételei áht-n kívülről</t>
  </si>
  <si>
    <t>K504</t>
  </si>
  <si>
    <t>Működési célú visszatérítendő támogatások, kölcsönök nyújtása ÁH-on belülre</t>
  </si>
  <si>
    <t>Felhalmozási célú önkormányzati támogatások</t>
  </si>
  <si>
    <t>046020</t>
  </si>
  <si>
    <t>Vezetékes műsorelosztás, városi és kábeltelevíziós rendszerek</t>
  </si>
  <si>
    <t>Sportlétesítmények, edzőtáborok működtetése ls fejlesztése</t>
  </si>
  <si>
    <t>091140</t>
  </si>
  <si>
    <t>082091</t>
  </si>
  <si>
    <t>045160</t>
  </si>
  <si>
    <t>045170</t>
  </si>
  <si>
    <t>064010</t>
  </si>
  <si>
    <t>107051</t>
  </si>
  <si>
    <t>Szociális étkeztetés</t>
  </si>
  <si>
    <t>Közművelődés- hagyományos kulturális értékek gondozása</t>
  </si>
  <si>
    <t>Közművelődés - közösségi és társadalmi részvétel fejlesztése</t>
  </si>
  <si>
    <t>104037</t>
  </si>
  <si>
    <t>Intézményen kívüli gyermekétkeztetés</t>
  </si>
  <si>
    <t>Óvodai bevelés, ellátás működtetési feladatai</t>
  </si>
  <si>
    <t>082042</t>
  </si>
  <si>
    <t>Könyvtári állomány gyarapítása, nyilvántartása</t>
  </si>
  <si>
    <t>5050</t>
  </si>
  <si>
    <t xml:space="preserve">  - Batthyány-Than Alapítvány</t>
  </si>
  <si>
    <t>Szabad felhaszálású polgármesteri keret</t>
  </si>
  <si>
    <t>Harkány SE összesen:</t>
  </si>
  <si>
    <t>K1108</t>
  </si>
  <si>
    <t>működési, felhalmozási, finanszírozási  bevételeinek, kiadásainak mérlegszerű bemutatása</t>
  </si>
  <si>
    <t>Önkormányzat működési támogatása</t>
  </si>
  <si>
    <t>Egyéb működési célú támogatások  bevételei ÁHT-n belülről</t>
  </si>
  <si>
    <t xml:space="preserve">   ebből:   Projekt   bevételei ÁHT-n belülről (uniós társfin.)</t>
  </si>
  <si>
    <t>Működési célú visszatérítendő támogatások</t>
  </si>
  <si>
    <t>Működési bevételek összesen (1.+..+7.)</t>
  </si>
  <si>
    <t>Munkaadókat terhelő járulékok és szoc hozzájárulási adó</t>
  </si>
  <si>
    <t xml:space="preserve">Dologi kiadások </t>
  </si>
  <si>
    <t>Ellátottak pénzbeli juttatása</t>
  </si>
  <si>
    <t>Működési kiadások összesen (9.+..+16.)</t>
  </si>
  <si>
    <t>FELHALMOZÁSI BEVÉTELEK ÉS KIADÁSOK</t>
  </si>
  <si>
    <t xml:space="preserve">Felhalmozási bevételek </t>
  </si>
  <si>
    <t xml:space="preserve"> -ebből ingatlanok értékesítése</t>
  </si>
  <si>
    <t xml:space="preserve"> -ebből egyéb tárgyi eszköz értékesítése</t>
  </si>
  <si>
    <t xml:space="preserve"> -ebből részesedések értékesítése</t>
  </si>
  <si>
    <t>Egyéb felhalm. célú tám. Bev. ÁHT-n belülről (Projekt tám. Uniós társfin.)</t>
  </si>
  <si>
    <t>Egyéb felhalmozási célú átvett pénzeszköz</t>
  </si>
  <si>
    <t>Felhalmozási célú visszatértendő kölcsönök ÁHT-n kivűlről</t>
  </si>
  <si>
    <t>Felhalmozási bevételek összesen (18.+..+ 24.)</t>
  </si>
  <si>
    <t xml:space="preserve">Befektetési kiad:Városgazdálkodás </t>
  </si>
  <si>
    <t>Egyéb felhalmozási célú támogatások államháztartáson belülre</t>
  </si>
  <si>
    <t>Felhalmozási célú visszatértendő kölcsönök ÁHT-n kívülre</t>
  </si>
  <si>
    <t>Egyéb felhalmozási célú támogatások államháztartáson kívülre</t>
  </si>
  <si>
    <r>
      <t>Felhalmozási kiadások összesen (26.</t>
    </r>
    <r>
      <rPr>
        <b/>
        <i/>
        <sz val="10"/>
        <rFont val="Cambria"/>
        <family val="1"/>
        <charset val="238"/>
      </rPr>
      <t>+ ..</t>
    </r>
    <r>
      <rPr>
        <b/>
        <sz val="10"/>
        <rFont val="Cambria"/>
        <family val="1"/>
        <charset val="238"/>
      </rPr>
      <t>+31.)</t>
    </r>
  </si>
  <si>
    <t>Költségvetési bevételek ( 8.+25.)</t>
  </si>
  <si>
    <t>Költségvetési kiadások ( 17.+32.)</t>
  </si>
  <si>
    <t>FINANSZÍROZÁSI BEVÉTELEK ÉS KIADÁSOK</t>
  </si>
  <si>
    <t>Hitel, kölcsönfelvétel államháztartáson kívülről</t>
  </si>
  <si>
    <t>Belföldi értékpapír bevételei</t>
  </si>
  <si>
    <t>Maradvány igénybe vételele</t>
  </si>
  <si>
    <t xml:space="preserve">Állami támogatás megelőlegezés </t>
  </si>
  <si>
    <t>Irányító szervi támogatások</t>
  </si>
  <si>
    <t>Finanszírozási bevételek összesen(35+..+38.)</t>
  </si>
  <si>
    <t>Hitel, kölcsöntörlesztés államháztartáson kívülre</t>
  </si>
  <si>
    <t>Belföldi értékpapír kiadásai</t>
  </si>
  <si>
    <t>Írányító szervi támogatások folyósítása</t>
  </si>
  <si>
    <t>Állami támogatás megelőlegezés visszafizetés</t>
  </si>
  <si>
    <t>Finanszírozási kiadások összesen ( 40.+..+42. )</t>
  </si>
  <si>
    <t>BEVÉTELEK ÖSSZESEN ( 33.+39. )</t>
  </si>
  <si>
    <t>47.</t>
  </si>
  <si>
    <t>KIADÁSOK ÖSSZESEN ( 34.+43. )</t>
  </si>
  <si>
    <t>Terv 2019</t>
  </si>
  <si>
    <t>Alapfokú Művészetoktatásért Alapítvány</t>
  </si>
  <si>
    <t>1</t>
  </si>
  <si>
    <t>14</t>
  </si>
  <si>
    <t>42</t>
  </si>
  <si>
    <t>1837/2018 korm határozat Fürdőfejlesztés</t>
  </si>
  <si>
    <t>2019 terv</t>
  </si>
  <si>
    <t>1818/2016 (XII.22) , 1493/2018 (X.27) Korm.hat Fürdőfejlesztés</t>
  </si>
  <si>
    <t>TOP-3.2.1. Önkormányzati épületek energetikai korszerűsítése</t>
  </si>
  <si>
    <t>045120</t>
  </si>
  <si>
    <t>Út, autópálya építése</t>
  </si>
  <si>
    <t>LEADER VP-6-19.3.1-17 " Testvérek a gyermekekért"</t>
  </si>
  <si>
    <t>Működési célú átvett pénteszközök</t>
  </si>
  <si>
    <t>Felhalmozási célú támogatások</t>
  </si>
  <si>
    <t>011220</t>
  </si>
  <si>
    <t>Adó-, vám- és jövedéki igazgatás</t>
  </si>
  <si>
    <t>Harkányi Közös Önkormányzati Hivatal kormányzati funkció szerinti bevételei és kiadásai</t>
  </si>
  <si>
    <t xml:space="preserve">Harkányi Közös Önkormányzati Hivatal kormányzati funkció szerinti bevételei és kiadásai </t>
  </si>
  <si>
    <t>Harkány Város Önkormányzatának , valamint intézményeinek funkcionális szerinti bevételei és kiadásai összesen</t>
  </si>
  <si>
    <t>Bursa Hungarica</t>
  </si>
  <si>
    <t xml:space="preserve">  Ösztöndíjak</t>
  </si>
  <si>
    <t>EFOP 1.2.11 Esélyotthon pályázat</t>
  </si>
  <si>
    <t>TAO pályázat: belső és külső parkoló építés, világítás korszerűsítés</t>
  </si>
  <si>
    <t>2018. évi módosított előirányzat</t>
  </si>
  <si>
    <t>2018. évi tény</t>
  </si>
  <si>
    <t>2019.terv</t>
  </si>
  <si>
    <t>EFOP- 1.2.11  Esély otthon, Harkányban - támogatásból:</t>
  </si>
  <si>
    <t>EFOP- 1.2.11  Esély otthon, Harkányban - fűtés korszerűsítés saját erőből</t>
  </si>
  <si>
    <t>Arany János utcában Egészségház melletti árok  lefedése szilárd burkolattal</t>
  </si>
  <si>
    <t>Művelődési Ház akadálymentesítése</t>
  </si>
  <si>
    <t>Sportcsarnok tető felújítása:</t>
  </si>
  <si>
    <t>Sportcsarnok akadálymentesítése:</t>
  </si>
  <si>
    <t>Hivatal felújítás: -ablakcserék</t>
  </si>
  <si>
    <t xml:space="preserve">                                  - tetőtér felújítás:</t>
  </si>
  <si>
    <t>Szökőkutak felújítása:  - Harka Centenáriumi Szökőkút:</t>
  </si>
  <si>
    <t xml:space="preserve">                                                - Országalma-kút</t>
  </si>
  <si>
    <t>Kresz park felújítása</t>
  </si>
  <si>
    <t>Sportcsarnok női fitness padló felújítás</t>
  </si>
  <si>
    <t>Sportcsarnok öltözők felújítása. (5 öltöző+wc szellőzés)</t>
  </si>
  <si>
    <t xml:space="preserve"> Harkányi Művelődési Ház Könyvtár és Sportcsarnok Összesen:</t>
  </si>
  <si>
    <t>Önerőből felújítás Összesen:</t>
  </si>
  <si>
    <t>Óvoda csoportszobához mosdó felújítás</t>
  </si>
  <si>
    <t>Kőrösi u. Iskola melletti árok lefedése szilárd burkolattal</t>
  </si>
  <si>
    <t>1818/2016(XII.22.) Korm.határozat eredeti támogatásból:</t>
  </si>
  <si>
    <t xml:space="preserve">   többlet támogatás: 1493/2018. Korm.hat. Fürdőfejl. (ford. áfás)</t>
  </si>
  <si>
    <t xml:space="preserve">1837/2018 Korm. Hat. Fürdőfejl.- 1.3 a.) pontja: </t>
  </si>
  <si>
    <t xml:space="preserve">   - 1.10.. pontja alapján nagy értékű tanulmányok, tervek készítésére</t>
  </si>
  <si>
    <t>TOP.2.1.2-15-BAI  "Az élhetőbb jövő - Harkány Zöld belváros" saját erő:</t>
  </si>
  <si>
    <t>LEADER VP-6-19.3.1-17. "Testvérek a gyermekekért" c. pályázat</t>
  </si>
  <si>
    <t>Zöldvároshoz Zsigmondy sétányon végzett ivóvíz vezeték rekonstrukció:</t>
  </si>
  <si>
    <t>Ady Endre utcai rész aszfaltozás</t>
  </si>
  <si>
    <t>Terehegyi utca 13 támfal és kerítés építés</t>
  </si>
  <si>
    <t>Szemétgyűjtő vásárlás</t>
  </si>
  <si>
    <t>Parkolóiroda eszközbeszerzései:</t>
  </si>
  <si>
    <t>Egyéb tárgyi eszközök vásárlása ( berendezési, felszerelési tárgyak)</t>
  </si>
  <si>
    <t>Kisértékű tárgyieszköz beszerzések:</t>
  </si>
  <si>
    <t>Harkány belterületén utcanév táblák cseréje</t>
  </si>
  <si>
    <t xml:space="preserve">   - beléptető rendszer, riasztók</t>
  </si>
  <si>
    <t>Művelődési Ház népművelőiroda átlakítása oktatóteremmé</t>
  </si>
  <si>
    <t>Művelődési Ház  rendezvényekhez tárgyieszköz beszerzései:</t>
  </si>
  <si>
    <t xml:space="preserve"> Egyéb kisértékűeszközbesz.</t>
  </si>
  <si>
    <t>Beruházás önerőből:</t>
  </si>
  <si>
    <t>1818/2016(XII.22.) Korm.határozat saját erő</t>
  </si>
  <si>
    <t>Művelődési Ház és Bolgármúzeum klimatizálás</t>
  </si>
  <si>
    <t xml:space="preserve">                   egyéb tárgyieszköz beszerzések (berendezési, felszerelési tárgyak)</t>
  </si>
  <si>
    <t xml:space="preserve">                   kisértékű tárgyieszközök (berendezési, felszerelési tárgyak)</t>
  </si>
  <si>
    <t xml:space="preserve">Harkány belterületén közlekedési táblák cseréje </t>
  </si>
  <si>
    <t>Harkányi Művelődési Ház Könyvtár és Sportcsarnok Összesen:</t>
  </si>
  <si>
    <t>Az élhető jövő - Harkányi Zöld Belváros</t>
  </si>
  <si>
    <t xml:space="preserve">Beruházások, </t>
  </si>
  <si>
    <t>Közlekedésbiztonsági fejlesztés Harkány belvárosában</t>
  </si>
  <si>
    <t>Ipari parkok, iparterületek fejlesztése -  Harkányi iparterület fejlesztése</t>
  </si>
  <si>
    <t>EFOP-3.7.3-16-2017-00233</t>
  </si>
  <si>
    <t>Az egész életen át tartó tanuláshoz hozzáférés biztosítása - Élethosszig tartó tanulás Harkány városában</t>
  </si>
  <si>
    <t>01</t>
  </si>
  <si>
    <t>Helyi adók (építményadó, telekadó, ipa,ifa)</t>
  </si>
  <si>
    <t>02</t>
  </si>
  <si>
    <t>03</t>
  </si>
  <si>
    <t>Díjak, pótlékok, bírságok</t>
  </si>
  <si>
    <t>04</t>
  </si>
  <si>
    <t>05</t>
  </si>
  <si>
    <t>Részesedések értékesítése és részvények megszüntetéséhez kapcsolódó bevételek</t>
  </si>
  <si>
    <t>06</t>
  </si>
  <si>
    <t>Privatizációból származó bevételek</t>
  </si>
  <si>
    <t>07</t>
  </si>
  <si>
    <t>Garancia és kezességvállalással kapcsolatos megtérülés</t>
  </si>
  <si>
    <t>08</t>
  </si>
  <si>
    <t>Saját bevételek összesen (01+…+07)</t>
  </si>
  <si>
    <t>09</t>
  </si>
  <si>
    <t>Saját bevételek 50%-a</t>
  </si>
  <si>
    <t>Előző év(ek)ben keletkezett, tárgyévet terhelő fizetési kötelezettség (11+…+17)</t>
  </si>
  <si>
    <t>Felvett, átvállalt hitel és annak tőketartozása</t>
  </si>
  <si>
    <t>Felvett, átvállalt kölcsön és annak tőketartozása</t>
  </si>
  <si>
    <t>Hitelviszonyt megtestesítő értékpapír</t>
  </si>
  <si>
    <t>Adott váltó</t>
  </si>
  <si>
    <t>Pénzügyi lízing</t>
  </si>
  <si>
    <t>Halasztott fizetés</t>
  </si>
  <si>
    <t>Kezességvállalás:</t>
  </si>
  <si>
    <t>Tárgyévben keletkezett (keletkező) fizetési kötelezettség összesen (19+…+25)</t>
  </si>
  <si>
    <t>24</t>
  </si>
  <si>
    <t>25</t>
  </si>
  <si>
    <t>Kezességvállalás(éven belüli folyószámlahitel)</t>
  </si>
  <si>
    <t>Fizetési kötelezettség összesen (10+18)</t>
  </si>
  <si>
    <t>Fizetési kötelezettséggel csökkentett saját bevétel (09-26)</t>
  </si>
  <si>
    <t>Immateriális javak,ingatlanok, egyéb tárgyi eszközök értékesítése</t>
  </si>
  <si>
    <t>Zöldterület kezelés</t>
  </si>
  <si>
    <t>5.1</t>
  </si>
  <si>
    <t>5.2</t>
  </si>
  <si>
    <t>5.3</t>
  </si>
  <si>
    <t>II. Harkányi Közös Önkormányzati Hivatal kormányzati funkció szerinti bevételei és kiadásai összesen</t>
  </si>
  <si>
    <t>6.1</t>
  </si>
  <si>
    <t>6.2</t>
  </si>
  <si>
    <t>6.3</t>
  </si>
  <si>
    <t>6.4</t>
  </si>
  <si>
    <t>6.5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</si>
  <si>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</si>
  <si>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</si>
  <si>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</si>
  <si>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</si>
  <si>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</si>
  <si>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</si>
  <si>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</si>
  <si>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</si>
  <si>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</si>
  <si>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</si>
  <si>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</si>
  <si>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</si>
  <si>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</si>
  <si>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</si>
  <si>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</si>
  <si>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</si>
  <si>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</si>
  <si>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</si>
  <si>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</si>
  <si>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</si>
  <si>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</si>
  <si>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</si>
  <si>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</si>
  <si>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</si>
  <si>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</si>
  <si>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</si>
  <si>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</si>
  <si>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</si>
  <si>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</si>
  <si>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</si>
  <si>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</si>
  <si>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</si>
  <si>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</si>
  <si>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2019. évi közvetett támogatások (kedvezmények) bemutatása</t>
  </si>
  <si>
    <t>Kommunális adóból biztosított kedvezmény, mentesség</t>
  </si>
  <si>
    <t>Pótlékból biztosított kedvezmény, mentesség (méltányosság)</t>
  </si>
  <si>
    <t>Mulasztási bírságból biztosított kedvezmény, mentesség</t>
  </si>
  <si>
    <t xml:space="preserve">Talajterhelési díjból biztosított kedvezmény, mentesség </t>
  </si>
  <si>
    <t>A fenti sorszámból:</t>
  </si>
  <si>
    <t xml:space="preserve">   - helyi adókról szóló 31/2015.(XI.30.) rendelet 6§(1),5§(1)dszerinti kedvezmény  </t>
  </si>
  <si>
    <t xml:space="preserve">  -  a Talajterhelési díjról szóló rendelet 4.§. (a). alapján adott kedvezmény </t>
  </si>
  <si>
    <t xml:space="preserve">  -  a Talajterhelési díjról szóló rendelet 4.§. (c). alapján adott kedvezmény </t>
  </si>
  <si>
    <t>1991. évi LXXXII. törvény a gépjárműadóról 5§ (a) - Adóalany költségvetési szervt (1 adózó)</t>
  </si>
  <si>
    <t>42 e Ft</t>
  </si>
  <si>
    <t xml:space="preserve"> - Htv. 3.§ szerinti mentesség</t>
  </si>
  <si>
    <t>1991. évi LXXXII. törvény a gépjárműadóról 5§ (f) (13 adózó)</t>
  </si>
  <si>
    <t>Egyéb kedvezmény / ingyenes parkolóbérlet</t>
  </si>
  <si>
    <t>Múzeum-Várkert Kft</t>
  </si>
  <si>
    <t>2018.12.31-ig teljesült</t>
  </si>
  <si>
    <t>A fizető parkolóhelyek működtetéséről szóló önk-i rend. 7.§ (4b) pontja</t>
  </si>
  <si>
    <t>Pályázatok keretében foglalkoztatottak</t>
  </si>
  <si>
    <t>Mérleg</t>
  </si>
  <si>
    <t>Bevételek</t>
  </si>
  <si>
    <t>Kiadások</t>
  </si>
  <si>
    <t>Munkaadót terhelő járulékok</t>
  </si>
  <si>
    <t>Műkdési célú átvett pénzeszközök</t>
  </si>
  <si>
    <t>Költségvetési működési bevételek összesen</t>
  </si>
  <si>
    <t>Felhalmozási célú átvett pénzeszköz</t>
  </si>
  <si>
    <t xml:space="preserve">          Egyéb működési célú támogatások ÁH-n belülre</t>
  </si>
  <si>
    <t xml:space="preserve">          Egyéb működési célú támogatások ÁH-n kívülre</t>
  </si>
  <si>
    <t>Költségvetési felhalmozási bevételek összesen</t>
  </si>
  <si>
    <t xml:space="preserve">          Tartalék</t>
  </si>
  <si>
    <t>Költségvetési bevételek összesen</t>
  </si>
  <si>
    <t>Költségvetési működési kiadások összesen</t>
  </si>
  <si>
    <t>Finanszírozási működési bevételek összesen</t>
  </si>
  <si>
    <t>Költségvetési felhalmozási kiadások összesen</t>
  </si>
  <si>
    <t>Költségvetési kiadások összesen</t>
  </si>
  <si>
    <t>Finanszírozási bevételek összesen</t>
  </si>
  <si>
    <t>Működési bevételek mindösszesen</t>
  </si>
  <si>
    <t xml:space="preserve">          ÁH-on belüli megelőlegezések visszafizetése</t>
  </si>
  <si>
    <t>Felhalmozási bevételek mindösszesen</t>
  </si>
  <si>
    <t>Finanszírozási kiadások összesen</t>
  </si>
  <si>
    <t>Bevétel együtt</t>
  </si>
  <si>
    <t>Kiadások együtt</t>
  </si>
  <si>
    <t>Harkány Város Önkormányzata 2019. évi bevételeiről és kiadásairól</t>
  </si>
  <si>
    <t>7.0</t>
  </si>
  <si>
    <t>K1108-1110</t>
  </si>
  <si>
    <t xml:space="preserve">Egyéb költségtérítések </t>
  </si>
  <si>
    <t>3.1</t>
  </si>
  <si>
    <t>5.0</t>
  </si>
  <si>
    <t>6.0</t>
  </si>
  <si>
    <t>III. Harkány Városi Könyvtár , Kulturális és Sportközpont kormányzati funkció szerinti bevételei és kiadásai összesen</t>
  </si>
  <si>
    <t>I. Harkány Város Önkormányzatának funkcionális szerinti bevételei és kiadásai összesen</t>
  </si>
  <si>
    <t>EFOP-1.2.11  Esélyotthon Harkányban! - rendezvényszervezés</t>
  </si>
  <si>
    <t>MJ Kanizsa Consulting Kft.</t>
  </si>
  <si>
    <t xml:space="preserve">  -  az Art. 201. §-a alapján adott kedvezmény </t>
  </si>
  <si>
    <t>A Stabilitási tv. 3. § (1) bekezdése szerinti adósságot keletkeztető ügyletek és a kezességvállalásokból fennálló kötelezettségek a 2019-2022. közötti időszakban</t>
  </si>
  <si>
    <t>Enerin Sümeg Energetikai Kft.</t>
  </si>
  <si>
    <t>Közvilágítási eszközök bérlése és üzemeltetése</t>
  </si>
  <si>
    <t>Pályázat - EFOP-1.5.3</t>
  </si>
  <si>
    <t>intézmény finansz</t>
  </si>
  <si>
    <t>2015</t>
  </si>
  <si>
    <t xml:space="preserve">               - Sakk szakosztály</t>
  </si>
  <si>
    <t>2019 módosított</t>
  </si>
  <si>
    <t>EFOP 1.5.3 Tegyünk együtt a jövőnkért! - tanulmányi ösztöndíjak</t>
  </si>
  <si>
    <t>Módosított 2019</t>
  </si>
  <si>
    <t>Módosított előirányzat</t>
  </si>
  <si>
    <t>Módosított  előirányzat</t>
  </si>
  <si>
    <t>5.4</t>
  </si>
  <si>
    <t>016060</t>
  </si>
  <si>
    <t>Országgyűlési, önkormányzati és európai parlamenti képviselőválasztásokhoz kapcsolódó tevékenységek</t>
  </si>
  <si>
    <t>Harkányi Katolikus Temetőben I. Világháborús hadisírok felújítása</t>
  </si>
  <si>
    <t xml:space="preserve">Felhalmozási célú visszatérítendő támogatások, kölcsönök visszatérülése ÁH-on kívülről </t>
  </si>
  <si>
    <t>TOP-1.1.3 -16-BAI-2017-00003 Piac fejlesztése - önerő</t>
  </si>
  <si>
    <t>EFOP-3.7.3-16-2017-00233 Élethosszig tartó tanulás Harkány Városában</t>
  </si>
  <si>
    <t>Zöldvároshoz Ivókút diszítőelemek</t>
  </si>
  <si>
    <t>Iskola játszótér</t>
  </si>
  <si>
    <t>Dankó P. úti telephely bontás utáni kerítés építése</t>
  </si>
  <si>
    <t>Harkányi temetőben urnafalak építése</t>
  </si>
  <si>
    <t>Sportcsarnok mellett parkoló kialakítása</t>
  </si>
  <si>
    <t>Térkő vásárlás</t>
  </si>
  <si>
    <t xml:space="preserve">    ebből: - TON-TE DO Shotokan karate        Club SE</t>
  </si>
  <si>
    <t>Eredeti ei</t>
  </si>
  <si>
    <t>Módosított ei</t>
  </si>
  <si>
    <t xml:space="preserve">      - Vajdasági Magyar Diákszövetség</t>
  </si>
  <si>
    <t xml:space="preserve">  - Harkányi Római Katolikus Plébánia</t>
  </si>
  <si>
    <t xml:space="preserve">  - Szebb Jövő Alapítvány</t>
  </si>
  <si>
    <t xml:space="preserve">  - TON-TE DO Shotokan karate Club SE</t>
  </si>
  <si>
    <t xml:space="preserve">     - Harkány SE - pályázati támogatás </t>
  </si>
  <si>
    <t>2019 módosított II</t>
  </si>
  <si>
    <t>EFOP-4.1.7-16-2017-00038                                                                    Harkány Város klubhelységeinek átalakítása és eszközbeszerzése</t>
  </si>
  <si>
    <t xml:space="preserve">  EFOP 1.5.3-16-2017-00049                                                                                  Tegyünk együtt a jövőnkért! - Humán szolgáltatásfejlesztés térségi szemléletben</t>
  </si>
  <si>
    <t>TOP-1.4.1-16-BA1-2017-00021                                                      Bölcsőde kialakítása és az óvoda minőségi fejlesztése Harkányban</t>
  </si>
  <si>
    <t xml:space="preserve">TOP-1.1.1-16-BA1-2017-00005                                                             Ipari parkok, iparterületek fejlesztése Harkányi iparterület fejlesztése </t>
  </si>
  <si>
    <t>TOP-1.1.3-16-BA1-2017-00003                                                                           Helyi gazdaságfejlesztés Őstermelői piac kialakítása és piacfejlesztés Harkányban</t>
  </si>
  <si>
    <t>TOP-2.1.2-15-BA1-2016-0004                                                     Harkányi Zöld belváros</t>
  </si>
  <si>
    <t>EFOP-3.3.2-16-2016-00204                                                                  Harkány Város kulturális értékeinek erősítése az oktatásban</t>
  </si>
  <si>
    <t>EFOP-3.7.3-16-2017-00233                                                              Élethosszig tartó tanulás</t>
  </si>
  <si>
    <t xml:space="preserve">EFOP-1.2.11-16-2017-00035                                                   Harkányban élni Jó ! - Esély Otthon, Harkányban </t>
  </si>
  <si>
    <t xml:space="preserve">EFOP-1.8.2-17-2017-00015                                                                          Az alapellátás és népegészségügy rendszerének átfogó fejlesztése Harkány térségében </t>
  </si>
  <si>
    <t>Magyar Falu program</t>
  </si>
  <si>
    <t>Módosított 2019 II</t>
  </si>
  <si>
    <t>Módosított ei II</t>
  </si>
  <si>
    <t xml:space="preserve">          Működési célú visszatérítendő tám. ÁH-on belülre, kívülre</t>
  </si>
  <si>
    <t>ebből: Elvonások és befizetések</t>
  </si>
  <si>
    <t>Módosított előirányzat II</t>
  </si>
  <si>
    <t xml:space="preserve">  - Harkány SE </t>
  </si>
  <si>
    <t>1.1</t>
  </si>
  <si>
    <t>1.2</t>
  </si>
  <si>
    <t>1.3</t>
  </si>
  <si>
    <t>1.4</t>
  </si>
  <si>
    <t>1.5</t>
  </si>
  <si>
    <t>1.6</t>
  </si>
  <si>
    <t>1837/2018(XII.27) korm.rendelethez kapcsolódó project menedzsment</t>
  </si>
  <si>
    <t>1837/2018(XII.27) korm.rendelethez kapcsolódó kivitelezés</t>
  </si>
  <si>
    <t>felmondásig</t>
  </si>
  <si>
    <t>webhosting szolgáltatás</t>
  </si>
  <si>
    <t>Harkányi Gyógyfürdő Zrt</t>
  </si>
  <si>
    <t>Viva Palazzo Zrt</t>
  </si>
  <si>
    <t>Upsolution Kft</t>
  </si>
  <si>
    <t>Magyar Falu Program</t>
  </si>
  <si>
    <t>Térkövezés  - HPC előtt</t>
  </si>
  <si>
    <t>2459 hrsz aszfaltozása</t>
  </si>
  <si>
    <t>Bajcsy - Ady E útfejújítás</t>
  </si>
  <si>
    <t>Parkolóautomata</t>
  </si>
  <si>
    <t>Faszobor felújítás (Zsigmondy Sétány)</t>
  </si>
  <si>
    <t>Faluház fűtésrendszer</t>
  </si>
  <si>
    <t>Talpasház</t>
  </si>
  <si>
    <t>Harkány Város vízellátó rendszer fejlesztésének műszaki tanulmányterve</t>
  </si>
  <si>
    <t>Művelődési Ház iroda felújítás</t>
  </si>
  <si>
    <t>EHD szennyvízközmű</t>
  </si>
  <si>
    <t>EHD víz</t>
  </si>
  <si>
    <t>Futópálya és felnőtt játszótér (Kresz Park)</t>
  </si>
  <si>
    <t>Berek utcai sportpark tereprendezés - önerő</t>
  </si>
  <si>
    <t>258 e Ft</t>
  </si>
  <si>
    <t>983 e Ft</t>
  </si>
  <si>
    <t>21 000 e Ft</t>
  </si>
  <si>
    <t>1 867 e Ft</t>
  </si>
  <si>
    <t>366 e Ft</t>
  </si>
  <si>
    <t xml:space="preserve">  -  a Talajterhelési díjról szóló rendelet 4.§. (b). alapján adott kedvezmény </t>
  </si>
  <si>
    <t xml:space="preserve">  -  a Talajterhelési díjról szóló rendelet 4.§. (d). alapján adott kedvezmény </t>
  </si>
  <si>
    <t>979 e Ft</t>
  </si>
  <si>
    <t>1 231 e Ft</t>
  </si>
  <si>
    <t>1 051 e Ft</t>
  </si>
  <si>
    <t>194 e Ft</t>
  </si>
  <si>
    <t>6 716 e Ft</t>
  </si>
  <si>
    <t xml:space="preserve">   - Harkányi Kulturális Egyesület</t>
  </si>
  <si>
    <t xml:space="preserve">    - Kis Mancsok Nagy Szívek Állatvédő E.</t>
  </si>
  <si>
    <t>Képviselői keret(700 000,-Ft képviselőnként) ebből:</t>
  </si>
  <si>
    <t>Tény</t>
  </si>
  <si>
    <t>tény</t>
  </si>
  <si>
    <t>063020</t>
  </si>
  <si>
    <t>013330</t>
  </si>
  <si>
    <t>096015</t>
  </si>
  <si>
    <t>Rovat</t>
  </si>
  <si>
    <t>Harkányi Kulturális és Sportközpont</t>
  </si>
  <si>
    <t>Munkaadókat terhelő járulékok é szociális hozzájárulási adó</t>
  </si>
  <si>
    <t>Kiadások összesen:</t>
  </si>
  <si>
    <t>Működési célú visszatérítendő támogatások, kölcsönök visszatérülése áht-n belülről</t>
  </si>
  <si>
    <t>Működési célú támogatások áht-n belülről</t>
  </si>
  <si>
    <t>Felhalmozási célú támogatások áht-n belülről</t>
  </si>
  <si>
    <t>Finanszírozás bevétel</t>
  </si>
  <si>
    <t>Bevételek összesen:</t>
  </si>
  <si>
    <t>Pályázat -EFOP-1.5.3 és EFOP 4.1.7</t>
  </si>
  <si>
    <t>573 e Ft</t>
  </si>
  <si>
    <t>2019 Tény</t>
  </si>
  <si>
    <t>A/I Immateriális javak (=A/I/1+A/I/2+A/I/3)</t>
  </si>
  <si>
    <t>A/II Tárgyi eszközök  (=A/II/1+...+A/II/5)</t>
  </si>
  <si>
    <t>A/III Befektetett pénzügyi eszközök (=A/III/1+A/III/2+A/III/3)</t>
  </si>
  <si>
    <t>A) NEMZETI VAGYONBA TARTOZÓ BEFEKTETETT ESZKÖZÖK (=A/I+A/II+A/III+A/IV)</t>
  </si>
  <si>
    <t>C/II Pénztárak, csekkek, betétkönyvek (=C/II/1+C/II/2+C/II/3)</t>
  </si>
  <si>
    <t>C/III-IV. Forintszámlák és Devizaszámlák (=C/III/1+C/III/2+CIV/1+C/IV/2)</t>
  </si>
  <si>
    <t>C) PÉNZESZKÖZÖK (=C/I+…+C/IV)</t>
  </si>
  <si>
    <t>D/I Költségvetési évben esedékes követelések (=D/I/1+…+D/I/8)</t>
  </si>
  <si>
    <t>D/II Költségvetési évet követően esedékes követelések (=D/II/1+…+D/II/8)</t>
  </si>
  <si>
    <t>D/III Követelés jellegű sajátos elszámolások (=D/III/1+…+D/III/9)</t>
  </si>
  <si>
    <t>D) KÖVETELÉSEK  (=D/I+D/II+D/III)</t>
  </si>
  <si>
    <t>E) EGYÉB SAJÁTOS ELSZÁMOLÁSOK (=E/I+…+E/II)</t>
  </si>
  <si>
    <t>ESZKÖZÖK ÖSSZESEN (=A+B+C+D+E+F)</t>
  </si>
  <si>
    <t>G/I-III Nemzeti vagyon és egyéb eszközök induláskori értéke és változásai</t>
  </si>
  <si>
    <t>G/IV Felhalmozott eredmény</t>
  </si>
  <si>
    <t>G/VI Mérleg szerinti eredmény</t>
  </si>
  <si>
    <t>G/ SAJÁT TŐKE  (= G/I+…+G/VI)</t>
  </si>
  <si>
    <t>H/I Költségvetési évben esedékes kötelezettségek (=H/I/1+…+H/I/9)</t>
  </si>
  <si>
    <t>H/II Költségvetési évet követően esedékes kötelezettségek (=H/II/1+…+H/II/9)</t>
  </si>
  <si>
    <t>H/III Kötelezettség jellegű sajátos elszámolások (=H/III/1+…+H/III/10)</t>
  </si>
  <si>
    <t>H) KÖTELEZETTSÉGEK (=H/I+H/II+H/III)</t>
  </si>
  <si>
    <t>J) PASSZÍV IDŐBELI ELHATÁROLÁSOK (=J/1+J/2+J/3)</t>
  </si>
  <si>
    <t>FORRÁSOK ÖSSZESEN (=G+H+I+J)</t>
  </si>
  <si>
    <t>Előző időszak</t>
  </si>
  <si>
    <t>Módosítások (+/-)</t>
  </si>
  <si>
    <t>Tárgyi időszak</t>
  </si>
  <si>
    <t>2019/2018</t>
  </si>
  <si>
    <t>Harkány Városi Könyvtár, Kulturális- és Sportközpont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</si>
  <si>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</si>
  <si>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</si>
  <si>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</si>
  <si>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</si>
  <si>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</si>
  <si>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</si>
  <si>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</si>
  <si>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</si>
  <si>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</si>
  <si>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</si>
  <si>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</si>
  <si>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12 Eladott áruk beszerzési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</si>
  <si>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</si>
  <si>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</si>
  <si>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</si>
  <si>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</si>
  <si>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</si>
  <si>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</si>
  <si>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</si>
  <si>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</si>
  <si>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</si>
  <si>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19 Befektetett pénzügyi eszközökből származó eredményszemléletű bevételek, árfolyamnyereségek</t>
  </si>
  <si>
    <t>20 Egyéb kapott (járó) kamatok és kamatjellegű eredményszemléletű bevételek</t>
  </si>
  <si>
    <t>VIII Pénzügyi műveletek eredményszemléletű bevételei (=17+18+19+20+21)</t>
  </si>
  <si>
    <t>22 Részesedésekből származó ráfordítások, árfolyamveszteségek</t>
  </si>
  <si>
    <t>24 Fizetendő kamatok és kamatjellegű ráfordítások</t>
  </si>
  <si>
    <t>25 Részesedések, értékpapírok, pénzeszközök értékvesztése (&gt;=25a+25b)</t>
  </si>
  <si>
    <t>26 Pénzügyi műveletek egyéb ráfordításai (&gt;=26a+26b)</t>
  </si>
  <si>
    <t>IX Pénzügyi műveletek ráfordításai (=22+23+24+25+26)</t>
  </si>
  <si>
    <t>B)  PÉNZÜGYI MŰVELETEK EREDMÉNYE (=VIII-IX)</t>
  </si>
  <si>
    <t>C)  MÉRLEG SZERINTI EREDMÉNY (=±A±B)</t>
  </si>
  <si>
    <t>Eredménykimutatás</t>
  </si>
  <si>
    <t xml:space="preserve">Harkány Város Önkormányzat </t>
  </si>
  <si>
    <t>Közös Önkormányzati Hivatal és Harkányi Kulturális és Sportközpont</t>
  </si>
  <si>
    <t>01        Alaptevékenység költségvetési bevételei</t>
  </si>
  <si>
    <t>02        Alaptevékenység költségvetési kiadásai</t>
  </si>
  <si>
    <t>I          Alaptevékenység költségvetési egyenlege (=01-02)</t>
  </si>
  <si>
    <t>03        Alaptevékenység finanszírozási bevételei</t>
  </si>
  <si>
    <t>04        Alaptevékenység finanszírozási kiadásai</t>
  </si>
  <si>
    <t>II         Alaptevékenység finanszírozási egyenlege (=03-04)</t>
  </si>
  <si>
    <t>A)        Alaptevékenység maradványa (=±I±II)</t>
  </si>
  <si>
    <t>05        Vállalkozási tevékenység költségvetési bevételei</t>
  </si>
  <si>
    <t>06        Vállalkozási tevékenység költségvetési kiadásai</t>
  </si>
  <si>
    <t>III        Vállalkozási tevékenység költségvetési egyenlege (=05-06)</t>
  </si>
  <si>
    <t>07        Vállalkozási tevékenység finanszírozási bevételei</t>
  </si>
  <si>
    <t>08        Vállalkozási tevékenység finanszírozási kiadásai</t>
  </si>
  <si>
    <t>IV        Vállalkozási tevékenység finanszírozási egyenlege (=07-08)</t>
  </si>
  <si>
    <t>B)        Vállalkozási tevékenység maradványa (=±III±IV)</t>
  </si>
  <si>
    <t>C)        Összes maradvány (=A+B)</t>
  </si>
  <si>
    <t>D)        Alaptevékenység kötelezettségvállalással terhelt maradványa</t>
  </si>
  <si>
    <t>E)        Alaptevékenység szabad maradványa (=A-D)</t>
  </si>
  <si>
    <t>F)        Vállalkozási tevékenységet terhelő befizetési kötelezettség (=B*0,09)</t>
  </si>
  <si>
    <t>G)        Vállalkozási tevékenység felhasználható maradványa (=B-F)</t>
  </si>
  <si>
    <t>Előző év</t>
  </si>
  <si>
    <t>Tárgyév</t>
  </si>
  <si>
    <t>Index (%)</t>
  </si>
  <si>
    <t>ESZKÖZÖK</t>
  </si>
  <si>
    <t>A/ NEMZETI VAGYONBA TARTOZÓ BEFEKTETETT ESZKÖZÖK</t>
  </si>
  <si>
    <t>A</t>
  </si>
  <si>
    <t>I. IMMATERIÁLIS JAVAK</t>
  </si>
  <si>
    <t>A/I</t>
  </si>
  <si>
    <t>1. Vagyoni értékű jogok</t>
  </si>
  <si>
    <t>A/I/1</t>
  </si>
  <si>
    <t>a) Forgalomképtelen törzsvagyon</t>
  </si>
  <si>
    <t>A/I/1/a</t>
  </si>
  <si>
    <t>b) Nemzetgazdasági szempontból kiemelt jelentőségű törzsvagyon</t>
  </si>
  <si>
    <t>A/I/1/b</t>
  </si>
  <si>
    <t>c) Korlátozottan forgalomképes vagyon</t>
  </si>
  <si>
    <t>A/I/1/c</t>
  </si>
  <si>
    <t>d) Üzleti vagyon</t>
  </si>
  <si>
    <t>A/I/1/d</t>
  </si>
  <si>
    <t>2. Szellemi termékek</t>
  </si>
  <si>
    <t>A/I/2</t>
  </si>
  <si>
    <t>A/I/2/a</t>
  </si>
  <si>
    <t>A/I/2/b</t>
  </si>
  <si>
    <t>A/I/2/c</t>
  </si>
  <si>
    <t>A/I/2/d</t>
  </si>
  <si>
    <t>3. Immateriális javak értékhelyesbítése</t>
  </si>
  <si>
    <t>A/I/3</t>
  </si>
  <si>
    <t>A/I/3/a</t>
  </si>
  <si>
    <t>A/I/3/b</t>
  </si>
  <si>
    <t>A/I/3/c</t>
  </si>
  <si>
    <t>A/I/3/d</t>
  </si>
  <si>
    <t>II. TÁRGYI ESZKÖZÖK</t>
  </si>
  <si>
    <t>A/II</t>
  </si>
  <si>
    <t>1. Ingatlanok és kapcsolódó vagyoni értékű jogok</t>
  </si>
  <si>
    <t>A/II/1</t>
  </si>
  <si>
    <t>A/II/1/a</t>
  </si>
  <si>
    <t>A/II/1/b</t>
  </si>
  <si>
    <t>A/II/1/c</t>
  </si>
  <si>
    <t>A/II/1/d</t>
  </si>
  <si>
    <t>2. Gépek, berendezések, felszerelések, járművek</t>
  </si>
  <si>
    <t>A/II/2</t>
  </si>
  <si>
    <t>A/II/2/a</t>
  </si>
  <si>
    <t>A/II/2/b</t>
  </si>
  <si>
    <t>A/II/2/c</t>
  </si>
  <si>
    <t>A/II/2/d</t>
  </si>
  <si>
    <t>3. Tenyészállatok</t>
  </si>
  <si>
    <t>A/II/3</t>
  </si>
  <si>
    <t>A/II/3/a</t>
  </si>
  <si>
    <t>A/II/3/b</t>
  </si>
  <si>
    <t>A/II/3/c</t>
  </si>
  <si>
    <t>A/II/3/d</t>
  </si>
  <si>
    <t>4. Beruházások, felújítások</t>
  </si>
  <si>
    <t>A/II/4</t>
  </si>
  <si>
    <t>A/II/4/a</t>
  </si>
  <si>
    <t>A/II/4/b</t>
  </si>
  <si>
    <t>A/II/4/c</t>
  </si>
  <si>
    <t>A/II/4/d</t>
  </si>
  <si>
    <t>5. Tárgyi eszközök értékhelyesbítése</t>
  </si>
  <si>
    <t>A/II/5</t>
  </si>
  <si>
    <t>A/II/5/a</t>
  </si>
  <si>
    <t>A/II/5/b</t>
  </si>
  <si>
    <t>A/II/5/c</t>
  </si>
  <si>
    <t>A/II/5/d</t>
  </si>
  <si>
    <t>III. BEFEKTETETT PÉNZÜGYI ESZKÖZÖK</t>
  </si>
  <si>
    <t>A/III</t>
  </si>
  <si>
    <t>1. Tartós részesedések</t>
  </si>
  <si>
    <t>A/III/1</t>
  </si>
  <si>
    <t>A/III/1/a</t>
  </si>
  <si>
    <t>A/III/1/b</t>
  </si>
  <si>
    <t>A/III/1/c</t>
  </si>
  <si>
    <t>A/III/1/d</t>
  </si>
  <si>
    <t>2. Tartós hitelviszonyt megtestesítő értékpapírok</t>
  </si>
  <si>
    <t>A/III/2</t>
  </si>
  <si>
    <t>A/III/2/a</t>
  </si>
  <si>
    <t>A/III/2/b</t>
  </si>
  <si>
    <t>A/III/2/c</t>
  </si>
  <si>
    <t>A/III/2/d</t>
  </si>
  <si>
    <t>3. Befektetett pénzügyi eszközök értékhelyesbítése</t>
  </si>
  <si>
    <t>A/III/3</t>
  </si>
  <si>
    <t>A/III/3/a</t>
  </si>
  <si>
    <t>A/III/3/b</t>
  </si>
  <si>
    <t>A/III/3/c</t>
  </si>
  <si>
    <t>A/III/3/d</t>
  </si>
  <si>
    <t>IV. KONCESSZIÓBA, VAGYONKEZELÉSBE ADOTT ESZKÖZÖK</t>
  </si>
  <si>
    <t>A/IV</t>
  </si>
  <si>
    <t>1.Koncesszióba, vagyonkezelésbe adott eszközök</t>
  </si>
  <si>
    <t>A/IV/1</t>
  </si>
  <si>
    <t>A/IV/1/a</t>
  </si>
  <si>
    <t>A/IV/1/b</t>
  </si>
  <si>
    <t>A/IV/1/c</t>
  </si>
  <si>
    <t>A/IV/1/d</t>
  </si>
  <si>
    <t>2. Koncesszióba, vagyonkezelésbe adott eszközök értékhelyesbítése</t>
  </si>
  <si>
    <t>A/IV/2</t>
  </si>
  <si>
    <t>A/IV/2/a</t>
  </si>
  <si>
    <t>A/IV/2/b</t>
  </si>
  <si>
    <t>A/IV/2/c</t>
  </si>
  <si>
    <t>A/IV/2/d</t>
  </si>
  <si>
    <t>B/ NEMZETI VAGYONBA TARTOZÓ FORGÓESZKÖZÖK</t>
  </si>
  <si>
    <t>B</t>
  </si>
  <si>
    <t>I. Készletek</t>
  </si>
  <si>
    <t>B/I</t>
  </si>
  <si>
    <t>II. Értékpapírok</t>
  </si>
  <si>
    <t>B/II</t>
  </si>
  <si>
    <t>C/ PÉNZESZKÖZÖK</t>
  </si>
  <si>
    <t>C</t>
  </si>
  <si>
    <t>I. Lekötött bankbetétek</t>
  </si>
  <si>
    <t>C/I</t>
  </si>
  <si>
    <t>II. Pénztárak, csekkek, betétkönyvek</t>
  </si>
  <si>
    <t>C/II</t>
  </si>
  <si>
    <t>III. Forintszámlák</t>
  </si>
  <si>
    <t>C/III</t>
  </si>
  <si>
    <t>IV. Devizaszámlák</t>
  </si>
  <si>
    <t>C/IV</t>
  </si>
  <si>
    <t>D/ KÖVETELÉSEK</t>
  </si>
  <si>
    <t>D</t>
  </si>
  <si>
    <t>I. Költségvetési évben esedékes követelések</t>
  </si>
  <si>
    <t>D/I</t>
  </si>
  <si>
    <t>II. Költségvetési évet követően esedékes követelések</t>
  </si>
  <si>
    <t>D/II</t>
  </si>
  <si>
    <t>III. Követelés jellegű sajátos elszámolások</t>
  </si>
  <si>
    <t>D/III</t>
  </si>
  <si>
    <t>E/ EGYÉB SAJÁTOS ESZKÖZOLDALI ELSZÁMOLÁSOK</t>
  </si>
  <si>
    <t>E</t>
  </si>
  <si>
    <t>F/ AKTÍV IDŐBELI ELHATÁROLÁSOK</t>
  </si>
  <si>
    <t>F</t>
  </si>
  <si>
    <t>ESZKÖZÖK ÖSSZESEN</t>
  </si>
  <si>
    <t>A+..+F</t>
  </si>
  <si>
    <t>FORRÁSOK</t>
  </si>
  <si>
    <t>G/ SAJÁT TŐKE</t>
  </si>
  <si>
    <t>G</t>
  </si>
  <si>
    <t>I. Nemzeti vagyon induláskori értéke</t>
  </si>
  <si>
    <t>G/I</t>
  </si>
  <si>
    <t>II. Nemzeti vagyon változásai</t>
  </si>
  <si>
    <t>G/II</t>
  </si>
  <si>
    <t>III. Egyéb eszközök induláskori értéke és változásai</t>
  </si>
  <si>
    <t>G/III</t>
  </si>
  <si>
    <t>IV. Felhalmozott eredmény</t>
  </si>
  <si>
    <t>G/IV</t>
  </si>
  <si>
    <t>V. Eszközök értékhelyesbítésének forrása</t>
  </si>
  <si>
    <t>G/V</t>
  </si>
  <si>
    <t>VI. Mérleg szerinti eredmény</t>
  </si>
  <si>
    <t>G/VI</t>
  </si>
  <si>
    <t>H/ KÖTELEZETTSÉGEK</t>
  </si>
  <si>
    <t>H</t>
  </si>
  <si>
    <t>I. Költségvetési évben esedékes kötelezettségek</t>
  </si>
  <si>
    <t>H/I</t>
  </si>
  <si>
    <t>II. Költségvetési évet követően esedékes kötelezettségek</t>
  </si>
  <si>
    <t>H/II</t>
  </si>
  <si>
    <t>III. Kötelezettség jellegű sajátos elszámolások</t>
  </si>
  <si>
    <t>H/III</t>
  </si>
  <si>
    <t>I/ KINCSTÁRI SZÁMLAVEZETÉSSEL KAPCSOLATOS ELSZÁMOLÁSOK</t>
  </si>
  <si>
    <t>I</t>
  </si>
  <si>
    <t>J/ PASSZÍV IDŐBELI ELHATÁROLÁSOK (=K/1+K/2+K/3)</t>
  </si>
  <si>
    <t>J</t>
  </si>
  <si>
    <t>FORRÁSOK ÖSSZESEN</t>
  </si>
  <si>
    <t>G+...+J</t>
  </si>
  <si>
    <t>MÉRLEGEN KÍVÜLI TÉTELEK</t>
  </si>
  <si>
    <t>L</t>
  </si>
  <si>
    <t>"0"-ra írt eszközök</t>
  </si>
  <si>
    <t>L/1</t>
  </si>
  <si>
    <t>Használatban lévő kisértékű immateriális javak, tárgyi eszközök</t>
  </si>
  <si>
    <t>L/2</t>
  </si>
  <si>
    <t>Használatban lévő készletek</t>
  </si>
  <si>
    <t>L/3</t>
  </si>
  <si>
    <t>01-02. számlacsoportban nyilvántartott eszközök (Áht-n belüli vagyonkezelésbe adott, bérbevett, letétbe, bizományba, üzemeltetésre átvett, stb.)</t>
  </si>
  <si>
    <t>L/4</t>
  </si>
  <si>
    <t>A nemzeti vagyonról szóló 2011. évi CXCVI. törvény 1. § (2) bekezdés g) és h) pontja szerinti kulturális javak és régészeti leletek (bekerülési érték nélküli)</t>
  </si>
  <si>
    <t>L/5</t>
  </si>
  <si>
    <t>Függő követelések</t>
  </si>
  <si>
    <t>L/6</t>
  </si>
  <si>
    <t>Függő kötelezettségek</t>
  </si>
  <si>
    <t>L/7</t>
  </si>
  <si>
    <t>Biztos (jövőbeni) követelések</t>
  </si>
  <si>
    <t>L/8</t>
  </si>
  <si>
    <t>Harkány Önkormányzat</t>
  </si>
  <si>
    <t>Harkányi Közös Önkormányzati Hivatal és Harkányi Kulturális és Sportközpont</t>
  </si>
  <si>
    <t xml:space="preserve">Vagyonkimutatás </t>
  </si>
  <si>
    <t>a könyvviteli mérlegben értékkel szereplő eszközökről 2019 év</t>
  </si>
  <si>
    <t>EFOP-3.3.2 Harkány Város Kulturális értékeinek erősítése az  oktatásban -</t>
  </si>
  <si>
    <t>Építészkör Kft.</t>
  </si>
  <si>
    <t>Horváth és Tsa Kft</t>
  </si>
  <si>
    <t>Bogell Trans Kft</t>
  </si>
  <si>
    <t>Harkány-Márfa Református Társegyházközség</t>
  </si>
  <si>
    <t>terhegyi templom felújítás</t>
  </si>
  <si>
    <t>Adósságállomány alakulása lejárat szerinti bontásban</t>
  </si>
  <si>
    <t>Lejárat</t>
  </si>
  <si>
    <t>Hitel,kölcsön állománya december 31-én</t>
  </si>
  <si>
    <t>Működési célű kötelezettségek</t>
  </si>
  <si>
    <t>Felhalmozási célú kötelezettségek</t>
  </si>
  <si>
    <t>Beruházás célonként</t>
  </si>
  <si>
    <t>--------------</t>
  </si>
  <si>
    <t>Felújítás feladatonként</t>
  </si>
  <si>
    <t>------------------</t>
  </si>
  <si>
    <t>ÖSSZESEN</t>
  </si>
  <si>
    <t>2019 tény</t>
  </si>
  <si>
    <t>Felhasználás
2018.12.31.-ig</t>
  </si>
  <si>
    <t>9.sz</t>
  </si>
  <si>
    <t xml:space="preserve">     - Harkány SE </t>
  </si>
  <si>
    <t>Harkány Város Önkormányzatának pénzeszközváltozása</t>
  </si>
  <si>
    <t>Részesedések</t>
  </si>
  <si>
    <t>2019. év</t>
  </si>
  <si>
    <t>ezer Ft-ban</t>
  </si>
  <si>
    <t>Részesedés megnevezése</t>
  </si>
  <si>
    <t>Mérleg szerinti érték</t>
  </si>
  <si>
    <t>Névérték</t>
  </si>
  <si>
    <t>Részesedés aránya %-ban</t>
  </si>
  <si>
    <t>Tulajdonrész %-ban</t>
  </si>
  <si>
    <t>Zsolnay Porcelánmanufaktúra Zrt</t>
  </si>
  <si>
    <t xml:space="preserve">           &lt;1%</t>
  </si>
  <si>
    <t>Harkányi Városgazdálkodási Zrt</t>
  </si>
  <si>
    <t>Harkányi Szociális Szövetkezet</t>
  </si>
  <si>
    <t>Baranyavíz Zrt</t>
  </si>
  <si>
    <t>1.7</t>
  </si>
  <si>
    <t>1.8</t>
  </si>
  <si>
    <t>1.9</t>
  </si>
  <si>
    <t xml:space="preserve"> 12 / 2020. (VI.15) sz rendelet</t>
  </si>
  <si>
    <t xml:space="preserve"> melléklet az 12/2020. (VI.15.) rendelethez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</si>
</sst>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-* #,##0.00\ _F_t_-;\-* #,##0.00\ _F_t_-;_-* &quot;-&quot;??\ _F_t_-;_-@_-"/>
    <numFmt numFmtId="165" formatCode="#,##0.0"/>
    <numFmt numFmtId="166" formatCode="_-* #,##0\ _F_t_-;\-* #,##0\ _F_t_-;_-* &quot;-&quot;\ _F_t_-;_-@_-"/>
    <numFmt numFmtId="167" formatCode="0.0000%"/>
    <numFmt numFmtId="168" formatCode="0.000%"/>
  </numFmts>
  <fonts count="73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24"/>
      <name val="Arial"/>
      <family val="2"/>
      <charset val="238"/>
    </font>
    <font>
      <sz val="12"/>
      <name val="Times New Roman"/>
      <family val="1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6"/>
      <name val="Cambria"/>
      <family val="1"/>
      <charset val="238"/>
    </font>
    <font>
      <sz val="10"/>
      <name val="Cambria"/>
      <family val="1"/>
      <charset val="238"/>
    </font>
    <font>
      <b/>
      <sz val="10"/>
      <name val="Cambria"/>
      <family val="1"/>
      <charset val="238"/>
    </font>
    <font>
      <b/>
      <sz val="11"/>
      <name val="Cambria"/>
      <family val="1"/>
      <charset val="238"/>
    </font>
    <font>
      <b/>
      <i/>
      <sz val="11"/>
      <name val="Cambria"/>
      <family val="1"/>
      <charset val="238"/>
    </font>
    <font>
      <i/>
      <sz val="11"/>
      <name val="Cambria"/>
      <family val="1"/>
      <charset val="238"/>
    </font>
    <font>
      <sz val="11"/>
      <name val="Cambria"/>
      <family val="1"/>
      <charset val="238"/>
    </font>
    <font>
      <b/>
      <sz val="14"/>
      <name val="Cambria"/>
      <family val="1"/>
      <charset val="238"/>
    </font>
    <font>
      <b/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b/>
      <sz val="10"/>
      <color indexed="10"/>
      <name val="Cambria"/>
      <family val="1"/>
      <charset val="238"/>
    </font>
    <font>
      <b/>
      <sz val="12"/>
      <name val="Cambria"/>
      <family val="1"/>
      <charset val="238"/>
    </font>
    <font>
      <b/>
      <i/>
      <sz val="10"/>
      <name val="Cambria"/>
      <family val="1"/>
      <charset val="238"/>
    </font>
    <font>
      <b/>
      <i/>
      <sz val="10"/>
      <name val="Arial CE"/>
      <charset val="238"/>
    </font>
    <font>
      <i/>
      <sz val="10"/>
      <name val="Cambria"/>
      <family val="1"/>
      <charset val="238"/>
    </font>
    <font>
      <sz val="10"/>
      <name val="MS Sans Serif"/>
      <family val="2"/>
      <charset val="238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mbria"/>
      <family val="1"/>
      <charset val="238"/>
    </font>
    <font>
      <b/>
      <sz val="1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b/>
      <sz val="10"/>
      <name val="Arial CE"/>
      <charset val="238"/>
    </font>
    <font>
      <b/>
      <sz val="11"/>
      <color indexed="8"/>
      <name val="Cambria"/>
      <family val="1"/>
      <charset val="238"/>
    </font>
    <font>
      <b/>
      <i/>
      <sz val="11"/>
      <color indexed="8"/>
      <name val="Cambria"/>
      <family val="1"/>
      <charset val="238"/>
    </font>
    <font>
      <sz val="10"/>
      <color rgb="FFFF0000"/>
      <name val="Arial CE"/>
      <charset val="238"/>
    </font>
    <font>
      <sz val="10"/>
      <color indexed="8"/>
      <name val="Arial"/>
      <family val="2"/>
      <charset val="238"/>
    </font>
    <font>
      <b/>
      <sz val="14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8"/>
      <color indexed="8"/>
      <name val="Times New Roman"/>
      <family val="1"/>
      <charset val="238"/>
    </font>
    <font>
      <sz val="11"/>
      <name val="Arial CE"/>
      <charset val="238"/>
    </font>
    <font>
      <sz val="10"/>
      <color theme="1"/>
      <name val="Cambria"/>
      <family val="1"/>
      <charset val="238"/>
    </font>
    <font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rgb="FFFF0000"/>
      <name val="Times New Roman"/>
      <family val="1"/>
      <charset val="238"/>
    </font>
    <font>
      <sz val="11"/>
      <name val="Arial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12"/>
      <name val="Calibri"/>
      <family val="2"/>
      <charset val="238"/>
      <scheme val="minor"/>
    </font>
    <font>
      <sz val="10"/>
      <color theme="1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lightHorizontal">
        <bgColor indexed="29"/>
      </patternFill>
    </fill>
    <fill>
      <patternFill patternType="lightHorizontal"/>
    </fill>
    <fill>
      <patternFill patternType="solid">
        <fgColor rgb="FFFF808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9" fillId="0" borderId="0"/>
    <xf numFmtId="3" fontId="10" fillId="0" borderId="0" applyFont="0" applyFill="0" applyBorder="0" applyAlignment="0">
      <protection locked="0"/>
    </xf>
    <xf numFmtId="164" fontId="11" fillId="0" borderId="0" applyFont="0" applyFill="0" applyBorder="0" applyAlignment="0" applyProtection="0"/>
    <xf numFmtId="0" fontId="12" fillId="0" borderId="0"/>
    <xf numFmtId="0" fontId="17" fillId="0" borderId="0"/>
    <xf numFmtId="0" fontId="17" fillId="0" borderId="0"/>
    <xf numFmtId="0" fontId="12" fillId="0" borderId="0"/>
    <xf numFmtId="164" fontId="12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3" fillId="0" borderId="0"/>
    <xf numFmtId="0" fontId="33" fillId="0" borderId="0"/>
    <xf numFmtId="0" fontId="17" fillId="0" borderId="0"/>
    <xf numFmtId="0" fontId="47" fillId="0" borderId="0"/>
    <xf numFmtId="0" fontId="9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</cellStyleXfs>
  <cellXfs count="100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/>
    </xf>
    <xf numFmtId="0" fontId="2" fillId="0" borderId="20" xfId="0" applyFont="1" applyFill="1" applyBorder="1" applyAlignment="1">
      <alignment vertical="center"/>
    </xf>
    <xf numFmtId="0" fontId="0" fillId="0" borderId="17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3" fillId="0" borderId="17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2" fillId="0" borderId="42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47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/>
    </xf>
    <xf numFmtId="0" fontId="2" fillId="0" borderId="55" xfId="0" applyFont="1" applyFill="1" applyBorder="1" applyAlignment="1">
      <alignment horizontal="left" vertical="center"/>
    </xf>
    <xf numFmtId="0" fontId="2" fillId="0" borderId="55" xfId="0" applyFont="1" applyFill="1" applyBorder="1" applyAlignment="1">
      <alignment vertical="center"/>
    </xf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vertical="center"/>
    </xf>
    <xf numFmtId="0" fontId="2" fillId="0" borderId="4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2" fillId="0" borderId="42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47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/>
    </xf>
    <xf numFmtId="49" fontId="1" fillId="0" borderId="0" xfId="0" applyNumberFormat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3" fillId="0" borderId="16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left" vertical="center"/>
    </xf>
    <xf numFmtId="0" fontId="2" fillId="0" borderId="55" xfId="0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0" fillId="0" borderId="54" xfId="0" applyBorder="1"/>
    <xf numFmtId="0" fontId="7" fillId="0" borderId="0" xfId="0" applyFont="1"/>
    <xf numFmtId="0" fontId="1" fillId="0" borderId="0" xfId="0" applyFont="1" applyAlignment="1">
      <alignment horizontal="center"/>
    </xf>
    <xf numFmtId="0" fontId="8" fillId="0" borderId="0" xfId="0" applyFont="1"/>
    <xf numFmtId="0" fontId="1" fillId="0" borderId="0" xfId="0" applyFont="1" applyAlignment="1"/>
    <xf numFmtId="0" fontId="13" fillId="0" borderId="0" xfId="1" applyFont="1" applyFill="1"/>
    <xf numFmtId="3" fontId="13" fillId="0" borderId="0" xfId="1" applyNumberFormat="1" applyFont="1" applyFill="1" applyBorder="1"/>
    <xf numFmtId="3" fontId="13" fillId="0" borderId="0" xfId="1" applyNumberFormat="1" applyFont="1" applyFill="1"/>
    <xf numFmtId="3" fontId="13" fillId="0" borderId="0" xfId="1" applyNumberFormat="1" applyFont="1" applyFill="1" applyAlignment="1">
      <alignment shrinkToFit="1"/>
    </xf>
    <xf numFmtId="0" fontId="13" fillId="0" borderId="0" xfId="1" applyFont="1" applyFill="1" applyAlignment="1">
      <alignment wrapText="1"/>
    </xf>
    <xf numFmtId="0" fontId="13" fillId="0" borderId="0" xfId="1" applyFont="1" applyFill="1" applyBorder="1" applyAlignment="1">
      <alignment wrapText="1"/>
    </xf>
    <xf numFmtId="49" fontId="7" fillId="0" borderId="0" xfId="0" applyNumberFormat="1" applyFont="1"/>
    <xf numFmtId="49" fontId="7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right"/>
    </xf>
    <xf numFmtId="0" fontId="22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3" fillId="0" borderId="48" xfId="0" applyFont="1" applyBorder="1" applyAlignment="1">
      <alignment horizontal="center" vertical="center" wrapText="1"/>
    </xf>
    <xf numFmtId="0" fontId="24" fillId="0" borderId="48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3" fontId="24" fillId="0" borderId="24" xfId="0" applyNumberFormat="1" applyFont="1" applyBorder="1" applyAlignment="1">
      <alignment vertical="center" wrapText="1"/>
    </xf>
    <xf numFmtId="0" fontId="24" fillId="0" borderId="51" xfId="0" applyFont="1" applyBorder="1" applyAlignment="1">
      <alignment vertical="center" wrapText="1"/>
    </xf>
    <xf numFmtId="3" fontId="24" fillId="0" borderId="51" xfId="0" applyNumberFormat="1" applyFont="1" applyBorder="1" applyAlignment="1">
      <alignment vertical="center" wrapText="1"/>
    </xf>
    <xf numFmtId="0" fontId="25" fillId="0" borderId="0" xfId="4" applyFont="1" applyAlignment="1">
      <alignment vertical="center" wrapText="1"/>
    </xf>
    <xf numFmtId="0" fontId="21" fillId="2" borderId="23" xfId="4" applyFont="1" applyFill="1" applyBorder="1" applyAlignment="1">
      <alignment horizontal="center" vertical="center" wrapText="1"/>
    </xf>
    <xf numFmtId="0" fontId="21" fillId="2" borderId="65" xfId="4" applyFont="1" applyFill="1" applyBorder="1" applyAlignment="1">
      <alignment horizontal="center" vertical="center" wrapText="1"/>
    </xf>
    <xf numFmtId="0" fontId="21" fillId="2" borderId="34" xfId="4" applyFont="1" applyFill="1" applyBorder="1" applyAlignment="1">
      <alignment horizontal="center" vertical="center" wrapText="1"/>
    </xf>
    <xf numFmtId="0" fontId="21" fillId="2" borderId="26" xfId="4" applyFont="1" applyFill="1" applyBorder="1" applyAlignment="1">
      <alignment horizontal="center" vertical="center" wrapText="1"/>
    </xf>
    <xf numFmtId="0" fontId="22" fillId="4" borderId="18" xfId="4" applyFont="1" applyFill="1" applyBorder="1" applyAlignment="1">
      <alignment horizontal="center" vertical="center" wrapText="1"/>
    </xf>
    <xf numFmtId="3" fontId="24" fillId="4" borderId="18" xfId="4" applyNumberFormat="1" applyFont="1" applyFill="1" applyBorder="1" applyAlignment="1">
      <alignment horizontal="right" vertical="center" wrapText="1"/>
    </xf>
    <xf numFmtId="0" fontId="24" fillId="4" borderId="18" xfId="4" applyFont="1" applyFill="1" applyBorder="1" applyAlignment="1">
      <alignment horizontal="center" vertical="center" wrapText="1"/>
    </xf>
    <xf numFmtId="3" fontId="24" fillId="0" borderId="18" xfId="4" applyNumberFormat="1" applyFont="1" applyFill="1" applyBorder="1" applyAlignment="1">
      <alignment horizontal="right" vertical="center" wrapText="1"/>
    </xf>
    <xf numFmtId="3" fontId="21" fillId="4" borderId="18" xfId="4" applyNumberFormat="1" applyFont="1" applyFill="1" applyBorder="1" applyAlignment="1">
      <alignment horizontal="right" vertical="center" wrapText="1"/>
    </xf>
    <xf numFmtId="0" fontId="21" fillId="4" borderId="18" xfId="4" applyFont="1" applyFill="1" applyBorder="1" applyAlignment="1">
      <alignment horizontal="center" vertical="center" wrapText="1"/>
    </xf>
    <xf numFmtId="3" fontId="24" fillId="0" borderId="18" xfId="4" applyNumberFormat="1" applyFont="1" applyFill="1" applyBorder="1" applyAlignment="1">
      <alignment horizontal="center" vertical="center" wrapText="1"/>
    </xf>
    <xf numFmtId="3" fontId="24" fillId="0" borderId="18" xfId="4" applyNumberFormat="1" applyFont="1" applyFill="1" applyBorder="1" applyAlignment="1">
      <alignment vertical="center" wrapText="1"/>
    </xf>
    <xf numFmtId="3" fontId="24" fillId="0" borderId="18" xfId="4" applyNumberFormat="1" applyFont="1" applyBorder="1" applyAlignment="1">
      <alignment vertical="center" wrapText="1"/>
    </xf>
    <xf numFmtId="0" fontId="24" fillId="0" borderId="18" xfId="6" applyFont="1" applyBorder="1" applyAlignment="1">
      <alignment horizontal="left" vertical="center" wrapText="1"/>
    </xf>
    <xf numFmtId="0" fontId="24" fillId="0" borderId="18" xfId="6" applyFont="1" applyBorder="1" applyAlignment="1">
      <alignment vertical="center"/>
    </xf>
    <xf numFmtId="0" fontId="24" fillId="0" borderId="18" xfId="4" applyFont="1" applyBorder="1" applyAlignment="1">
      <alignment vertical="center" wrapText="1"/>
    </xf>
    <xf numFmtId="3" fontId="21" fillId="0" borderId="18" xfId="4" applyNumberFormat="1" applyFont="1" applyBorder="1" applyAlignment="1">
      <alignment vertical="center" wrapText="1"/>
    </xf>
    <xf numFmtId="0" fontId="22" fillId="3" borderId="18" xfId="4" applyFont="1" applyFill="1" applyBorder="1" applyAlignment="1">
      <alignment vertical="center" wrapText="1"/>
    </xf>
    <xf numFmtId="3" fontId="22" fillId="3" borderId="18" xfId="4" applyNumberFormat="1" applyFont="1" applyFill="1" applyBorder="1" applyAlignment="1">
      <alignment vertical="center" wrapText="1"/>
    </xf>
    <xf numFmtId="3" fontId="22" fillId="3" borderId="18" xfId="4" applyNumberFormat="1" applyFont="1" applyFill="1" applyBorder="1" applyAlignment="1">
      <alignment horizontal="center" vertical="center" wrapText="1"/>
    </xf>
    <xf numFmtId="0" fontId="25" fillId="0" borderId="0" xfId="4" applyFont="1" applyAlignment="1">
      <alignment horizontal="center" vertical="center" wrapText="1"/>
    </xf>
    <xf numFmtId="0" fontId="27" fillId="0" borderId="0" xfId="0" applyFont="1"/>
    <xf numFmtId="0" fontId="15" fillId="0" borderId="0" xfId="0" applyFont="1"/>
    <xf numFmtId="0" fontId="19" fillId="0" borderId="18" xfId="0" applyFont="1" applyBorder="1" applyAlignment="1">
      <alignment vertical="center" wrapText="1"/>
    </xf>
    <xf numFmtId="49" fontId="19" fillId="0" borderId="0" xfId="7" applyNumberFormat="1" applyFont="1"/>
    <xf numFmtId="0" fontId="28" fillId="0" borderId="0" xfId="7" applyFont="1"/>
    <xf numFmtId="0" fontId="19" fillId="0" borderId="0" xfId="7" applyFont="1"/>
    <xf numFmtId="0" fontId="24" fillId="0" borderId="0" xfId="7" applyFont="1" applyAlignment="1">
      <alignment horizontal="right"/>
    </xf>
    <xf numFmtId="49" fontId="18" fillId="0" borderId="0" xfId="7" applyNumberFormat="1" applyFont="1" applyAlignment="1">
      <alignment vertical="center"/>
    </xf>
    <xf numFmtId="0" fontId="18" fillId="0" borderId="0" xfId="7" applyFont="1" applyAlignment="1">
      <alignment vertical="center"/>
    </xf>
    <xf numFmtId="0" fontId="20" fillId="0" borderId="0" xfId="7" applyFont="1" applyAlignment="1">
      <alignment horizontal="right"/>
    </xf>
    <xf numFmtId="0" fontId="12" fillId="0" borderId="0" xfId="7"/>
    <xf numFmtId="0" fontId="31" fillId="0" borderId="0" xfId="7" applyFont="1"/>
    <xf numFmtId="0" fontId="19" fillId="0" borderId="0" xfId="7" applyFont="1" applyBorder="1" applyAlignment="1">
      <alignment vertical="center" wrapText="1"/>
    </xf>
    <xf numFmtId="14" fontId="19" fillId="0" borderId="0" xfId="7" applyNumberFormat="1" applyFont="1" applyBorder="1" applyAlignment="1">
      <alignment vertical="center" wrapText="1"/>
    </xf>
    <xf numFmtId="3" fontId="19" fillId="0" borderId="0" xfId="7" applyNumberFormat="1" applyFont="1" applyBorder="1" applyAlignment="1">
      <alignment vertical="center" wrapText="1"/>
    </xf>
    <xf numFmtId="0" fontId="30" fillId="6" borderId="21" xfId="7" applyFont="1" applyFill="1" applyBorder="1" applyAlignment="1">
      <alignment vertical="center" wrapText="1"/>
    </xf>
    <xf numFmtId="0" fontId="30" fillId="0" borderId="21" xfId="7" applyFont="1" applyBorder="1" applyAlignment="1">
      <alignment vertical="center" wrapText="1"/>
    </xf>
    <xf numFmtId="3" fontId="30" fillId="0" borderId="21" xfId="8" applyNumberFormat="1" applyFont="1" applyBorder="1" applyAlignment="1">
      <alignment horizontal="right" vertical="center" wrapText="1"/>
    </xf>
    <xf numFmtId="3" fontId="30" fillId="0" borderId="46" xfId="8" applyNumberFormat="1" applyFont="1" applyBorder="1" applyAlignment="1">
      <alignment horizontal="right" vertical="center" wrapText="1"/>
    </xf>
    <xf numFmtId="0" fontId="19" fillId="0" borderId="18" xfId="0" applyFont="1" applyBorder="1"/>
    <xf numFmtId="3" fontId="19" fillId="0" borderId="18" xfId="0" applyNumberFormat="1" applyFont="1" applyFill="1" applyBorder="1"/>
    <xf numFmtId="3" fontId="19" fillId="0" borderId="18" xfId="0" applyNumberFormat="1" applyFont="1" applyBorder="1"/>
    <xf numFmtId="3" fontId="19" fillId="0" borderId="18" xfId="0" applyNumberFormat="1" applyFont="1" applyBorder="1" applyAlignment="1"/>
    <xf numFmtId="0" fontId="0" fillId="0" borderId="0" xfId="0" applyFill="1"/>
    <xf numFmtId="3" fontId="0" fillId="0" borderId="0" xfId="0" applyNumberFormat="1"/>
    <xf numFmtId="0" fontId="21" fillId="0" borderId="0" xfId="7" applyFont="1" applyAlignment="1">
      <alignment vertical="center" wrapText="1"/>
    </xf>
    <xf numFmtId="0" fontId="24" fillId="0" borderId="0" xfId="7" applyFont="1" applyAlignment="1">
      <alignment vertical="center" wrapText="1"/>
    </xf>
    <xf numFmtId="0" fontId="21" fillId="0" borderId="0" xfId="7" applyFont="1" applyAlignment="1">
      <alignment horizontal="right" vertical="center" wrapText="1"/>
    </xf>
    <xf numFmtId="0" fontId="22" fillId="2" borderId="1" xfId="7" applyFont="1" applyFill="1" applyBorder="1" applyAlignment="1">
      <alignment vertical="center" wrapText="1"/>
    </xf>
    <xf numFmtId="0" fontId="22" fillId="2" borderId="28" xfId="7" applyFont="1" applyFill="1" applyBorder="1" applyAlignment="1">
      <alignment horizontal="center" vertical="center" wrapText="1"/>
    </xf>
    <xf numFmtId="0" fontId="22" fillId="2" borderId="16" xfId="7" applyFont="1" applyFill="1" applyBorder="1" applyAlignment="1">
      <alignment horizontal="center" vertical="center" wrapText="1"/>
    </xf>
    <xf numFmtId="0" fontId="24" fillId="0" borderId="47" xfId="7" applyFont="1" applyBorder="1" applyAlignment="1">
      <alignment vertical="center" wrapText="1"/>
    </xf>
    <xf numFmtId="0" fontId="24" fillId="0" borderId="69" xfId="7" applyFont="1" applyBorder="1" applyAlignment="1">
      <alignment vertical="center" wrapText="1"/>
    </xf>
    <xf numFmtId="3" fontId="24" fillId="0" borderId="21" xfId="7" applyNumberFormat="1" applyFont="1" applyBorder="1" applyAlignment="1">
      <alignment vertical="center" wrapText="1"/>
    </xf>
    <xf numFmtId="3" fontId="24" fillId="0" borderId="46" xfId="7" applyNumberFormat="1" applyFont="1" applyBorder="1" applyAlignment="1">
      <alignment vertical="center" wrapText="1"/>
    </xf>
    <xf numFmtId="0" fontId="24" fillId="0" borderId="13" xfId="7" applyFont="1" applyBorder="1" applyAlignment="1">
      <alignment vertical="center" wrapText="1"/>
    </xf>
    <xf numFmtId="3" fontId="24" fillId="0" borderId="66" xfId="7" applyNumberFormat="1" applyFont="1" applyBorder="1" applyAlignment="1">
      <alignment vertical="center" wrapText="1"/>
    </xf>
    <xf numFmtId="3" fontId="24" fillId="0" borderId="18" xfId="7" applyNumberFormat="1" applyFont="1" applyBorder="1" applyAlignment="1">
      <alignment vertical="center" wrapText="1"/>
    </xf>
    <xf numFmtId="0" fontId="24" fillId="0" borderId="42" xfId="7" applyFont="1" applyBorder="1" applyAlignment="1">
      <alignment vertical="center" wrapText="1"/>
    </xf>
    <xf numFmtId="3" fontId="24" fillId="0" borderId="70" xfId="7" applyNumberFormat="1" applyFont="1" applyBorder="1" applyAlignment="1">
      <alignment vertical="center" wrapText="1"/>
    </xf>
    <xf numFmtId="3" fontId="24" fillId="0" borderId="22" xfId="7" applyNumberFormat="1" applyFont="1" applyBorder="1" applyAlignment="1">
      <alignment vertical="center" wrapText="1"/>
    </xf>
    <xf numFmtId="0" fontId="22" fillId="3" borderId="1" xfId="7" applyFont="1" applyFill="1" applyBorder="1" applyAlignment="1">
      <alignment vertical="center" wrapText="1"/>
    </xf>
    <xf numFmtId="3" fontId="22" fillId="3" borderId="28" xfId="7" applyNumberFormat="1" applyFont="1" applyFill="1" applyBorder="1" applyAlignment="1">
      <alignment vertical="center" wrapText="1"/>
    </xf>
    <xf numFmtId="3" fontId="22" fillId="3" borderId="16" xfId="7" applyNumberFormat="1" applyFont="1" applyFill="1" applyBorder="1" applyAlignment="1">
      <alignment vertical="center" wrapText="1"/>
    </xf>
    <xf numFmtId="0" fontId="24" fillId="0" borderId="39" xfId="7" applyFont="1" applyBorder="1" applyAlignment="1">
      <alignment vertical="center" wrapText="1"/>
    </xf>
    <xf numFmtId="3" fontId="24" fillId="0" borderId="44" xfId="7" applyNumberFormat="1" applyFont="1" applyBorder="1" applyAlignment="1">
      <alignment vertical="center" wrapText="1"/>
    </xf>
    <xf numFmtId="1" fontId="22" fillId="2" borderId="28" xfId="7" applyNumberFormat="1" applyFont="1" applyFill="1" applyBorder="1" applyAlignment="1">
      <alignment horizontal="center" vertical="center" wrapText="1"/>
    </xf>
    <xf numFmtId="3" fontId="22" fillId="2" borderId="16" xfId="7" applyNumberFormat="1" applyFont="1" applyFill="1" applyBorder="1" applyAlignment="1">
      <alignment horizontal="center" vertical="center" wrapText="1"/>
    </xf>
    <xf numFmtId="3" fontId="24" fillId="0" borderId="69" xfId="7" applyNumberFormat="1" applyFont="1" applyBorder="1" applyAlignment="1">
      <alignment vertical="center" wrapText="1"/>
    </xf>
    <xf numFmtId="3" fontId="24" fillId="0" borderId="0" xfId="7" applyNumberFormat="1" applyFont="1" applyAlignment="1">
      <alignment vertical="center" wrapText="1"/>
    </xf>
    <xf numFmtId="3" fontId="21" fillId="0" borderId="0" xfId="7" applyNumberFormat="1" applyFont="1" applyAlignment="1">
      <alignment horizontal="right" vertic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14" fillId="0" borderId="0" xfId="4" applyFont="1" applyAlignment="1">
      <alignment horizontal="center" vertical="center" wrapText="1"/>
    </xf>
    <xf numFmtId="0" fontId="0" fillId="0" borderId="0" xfId="0"/>
    <xf numFmtId="0" fontId="2" fillId="0" borderId="19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42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47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/>
    </xf>
    <xf numFmtId="0" fontId="3" fillId="0" borderId="1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vertical="center"/>
    </xf>
    <xf numFmtId="0" fontId="3" fillId="0" borderId="54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vertical="center"/>
    </xf>
    <xf numFmtId="0" fontId="2" fillId="0" borderId="55" xfId="0" applyFont="1" applyFill="1" applyBorder="1" applyAlignment="1">
      <alignment horizontal="left" vertical="center"/>
    </xf>
    <xf numFmtId="0" fontId="2" fillId="0" borderId="55" xfId="0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vertical="center" wrapText="1"/>
    </xf>
    <xf numFmtId="3" fontId="15" fillId="0" borderId="18" xfId="0" applyNumberFormat="1" applyFont="1" applyBorder="1"/>
    <xf numFmtId="0" fontId="15" fillId="0" borderId="39" xfId="0" applyFont="1" applyFill="1" applyBorder="1" applyAlignment="1">
      <alignment horizontal="center" vertical="center" wrapText="1"/>
    </xf>
    <xf numFmtId="0" fontId="15" fillId="3" borderId="63" xfId="0" applyFont="1" applyFill="1" applyBorder="1" applyAlignment="1">
      <alignment vertical="center" wrapText="1"/>
    </xf>
    <xf numFmtId="0" fontId="15" fillId="5" borderId="62" xfId="0" applyFont="1" applyFill="1" applyBorder="1" applyAlignment="1">
      <alignment vertical="center" wrapText="1"/>
    </xf>
    <xf numFmtId="0" fontId="15" fillId="5" borderId="63" xfId="0" applyFont="1" applyFill="1" applyBorder="1" applyAlignment="1">
      <alignment vertical="center" wrapText="1"/>
    </xf>
    <xf numFmtId="3" fontId="15" fillId="3" borderId="63" xfId="0" applyNumberFormat="1" applyFont="1" applyFill="1" applyBorder="1" applyAlignment="1">
      <alignment vertical="center" wrapText="1"/>
    </xf>
    <xf numFmtId="0" fontId="15" fillId="2" borderId="6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49" fontId="15" fillId="0" borderId="18" xfId="0" applyNumberFormat="1" applyFont="1" applyFill="1" applyBorder="1"/>
    <xf numFmtId="0" fontId="15" fillId="0" borderId="18" xfId="0" applyFont="1" applyFill="1" applyBorder="1"/>
    <xf numFmtId="49" fontId="15" fillId="0" borderId="18" xfId="0" applyNumberFormat="1" applyFont="1" applyFill="1" applyBorder="1" applyAlignment="1">
      <alignment vertical="center" wrapText="1"/>
    </xf>
    <xf numFmtId="0" fontId="15" fillId="0" borderId="18" xfId="0" applyFont="1" applyFill="1" applyBorder="1" applyAlignment="1">
      <alignment vertical="center" wrapText="1"/>
    </xf>
    <xf numFmtId="49" fontId="15" fillId="0" borderId="18" xfId="0" applyNumberFormat="1" applyFont="1" applyFill="1" applyBorder="1" applyAlignment="1">
      <alignment horizontal="left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60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44" xfId="0" applyFont="1" applyFill="1" applyBorder="1" applyAlignment="1">
      <alignment horizontal="left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5" xfId="0" applyFont="1" applyBorder="1" applyAlignment="1">
      <alignment vertical="center" wrapText="1"/>
    </xf>
    <xf numFmtId="0" fontId="15" fillId="0" borderId="24" xfId="0" applyFont="1" applyBorder="1" applyAlignment="1">
      <alignment vertical="center" wrapText="1"/>
    </xf>
    <xf numFmtId="0" fontId="15" fillId="5" borderId="17" xfId="0" applyFont="1" applyFill="1" applyBorder="1" applyAlignment="1">
      <alignment vertical="center" wrapText="1"/>
    </xf>
    <xf numFmtId="3" fontId="15" fillId="3" borderId="61" xfId="0" applyNumberFormat="1" applyFont="1" applyFill="1" applyBorder="1" applyAlignment="1">
      <alignment vertical="center" wrapText="1"/>
    </xf>
    <xf numFmtId="0" fontId="29" fillId="0" borderId="0" xfId="7" applyFont="1" applyAlignment="1">
      <alignment horizontal="center" vertical="center"/>
    </xf>
    <xf numFmtId="49" fontId="0" fillId="0" borderId="0" xfId="0" applyNumberFormat="1" applyAlignment="1">
      <alignment horizontal="right"/>
    </xf>
    <xf numFmtId="3" fontId="0" fillId="0" borderId="21" xfId="0" applyNumberFormat="1" applyBorder="1"/>
    <xf numFmtId="3" fontId="0" fillId="0" borderId="46" xfId="0" applyNumberFormat="1" applyBorder="1"/>
    <xf numFmtId="3" fontId="0" fillId="0" borderId="18" xfId="0" applyNumberFormat="1" applyBorder="1"/>
    <xf numFmtId="3" fontId="0" fillId="0" borderId="14" xfId="0" applyNumberFormat="1" applyBorder="1"/>
    <xf numFmtId="3" fontId="0" fillId="0" borderId="40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3" fontId="0" fillId="0" borderId="16" xfId="0" applyNumberFormat="1" applyBorder="1"/>
    <xf numFmtId="3" fontId="0" fillId="0" borderId="55" xfId="0" applyNumberFormat="1" applyBorder="1"/>
    <xf numFmtId="3" fontId="0" fillId="0" borderId="26" xfId="0" applyNumberFormat="1" applyBorder="1"/>
    <xf numFmtId="3" fontId="0" fillId="0" borderId="41" xfId="0" applyNumberFormat="1" applyBorder="1"/>
    <xf numFmtId="3" fontId="0" fillId="0" borderId="12" xfId="0" applyNumberFormat="1" applyBorder="1"/>
    <xf numFmtId="3" fontId="0" fillId="0" borderId="22" xfId="0" applyNumberFormat="1" applyBorder="1"/>
    <xf numFmtId="3" fontId="0" fillId="0" borderId="50" xfId="0" applyNumberFormat="1" applyBorder="1"/>
    <xf numFmtId="3" fontId="0" fillId="0" borderId="49" xfId="0" applyNumberFormat="1" applyBorder="1"/>
    <xf numFmtId="0" fontId="1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29" xfId="0" applyFont="1" applyFill="1" applyBorder="1" applyAlignment="1">
      <alignment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vertical="center"/>
    </xf>
    <xf numFmtId="0" fontId="1" fillId="0" borderId="18" xfId="0" applyFont="1" applyFill="1" applyBorder="1" applyAlignment="1">
      <alignment horizontal="left" vertical="center"/>
    </xf>
    <xf numFmtId="0" fontId="7" fillId="0" borderId="18" xfId="0" applyFont="1" applyFill="1" applyBorder="1" applyAlignment="1">
      <alignment vertical="center"/>
    </xf>
    <xf numFmtId="0" fontId="1" fillId="0" borderId="40" xfId="0" applyFont="1" applyFill="1" applyBorder="1" applyAlignment="1">
      <alignment horizontal="left" vertical="center"/>
    </xf>
    <xf numFmtId="0" fontId="7" fillId="0" borderId="40" xfId="0" applyFont="1" applyFill="1" applyBorder="1" applyAlignment="1">
      <alignment vertical="center"/>
    </xf>
    <xf numFmtId="0" fontId="1" fillId="0" borderId="47" xfId="0" applyFont="1" applyFill="1" applyBorder="1" applyAlignment="1">
      <alignment horizontal="left" vertical="center"/>
    </xf>
    <xf numFmtId="0" fontId="1" fillId="0" borderId="3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3" fontId="8" fillId="0" borderId="18" xfId="0" applyNumberFormat="1" applyFont="1" applyBorder="1"/>
    <xf numFmtId="3" fontId="8" fillId="0" borderId="14" xfId="0" applyNumberFormat="1" applyFont="1" applyBorder="1"/>
    <xf numFmtId="0" fontId="1" fillId="0" borderId="54" xfId="0" applyFont="1" applyFill="1" applyBorder="1" applyAlignment="1">
      <alignment horizontal="left" vertical="center"/>
    </xf>
    <xf numFmtId="0" fontId="1" fillId="0" borderId="54" xfId="0" applyFont="1" applyFill="1" applyBorder="1" applyAlignment="1">
      <alignment vertical="center"/>
    </xf>
    <xf numFmtId="0" fontId="7" fillId="0" borderId="55" xfId="0" applyFont="1" applyFill="1" applyBorder="1" applyAlignment="1">
      <alignment horizontal="left" vertical="center"/>
    </xf>
    <xf numFmtId="0" fontId="7" fillId="0" borderId="55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0" fontId="7" fillId="0" borderId="42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47" xfId="0" applyFont="1" applyFill="1" applyBorder="1" applyAlignment="1">
      <alignment vertical="center"/>
    </xf>
    <xf numFmtId="0" fontId="8" fillId="0" borderId="54" xfId="0" applyFont="1" applyBorder="1"/>
    <xf numFmtId="3" fontId="8" fillId="0" borderId="21" xfId="0" applyNumberFormat="1" applyFont="1" applyBorder="1"/>
    <xf numFmtId="3" fontId="8" fillId="0" borderId="46" xfId="0" applyNumberFormat="1" applyFont="1" applyBorder="1"/>
    <xf numFmtId="3" fontId="8" fillId="0" borderId="40" xfId="0" applyNumberFormat="1" applyFont="1" applyBorder="1"/>
    <xf numFmtId="3" fontId="8" fillId="0" borderId="27" xfId="0" applyNumberFormat="1" applyFont="1" applyBorder="1"/>
    <xf numFmtId="3" fontId="8" fillId="0" borderId="28" xfId="0" applyNumberFormat="1" applyFont="1" applyBorder="1"/>
    <xf numFmtId="3" fontId="8" fillId="0" borderId="16" xfId="0" applyNumberFormat="1" applyFont="1" applyBorder="1"/>
    <xf numFmtId="3" fontId="8" fillId="0" borderId="0" xfId="0" applyNumberFormat="1" applyFont="1"/>
    <xf numFmtId="3" fontId="8" fillId="0" borderId="55" xfId="0" applyNumberFormat="1" applyFont="1" applyBorder="1"/>
    <xf numFmtId="3" fontId="8" fillId="0" borderId="26" xfId="0" applyNumberFormat="1" applyFont="1" applyBorder="1"/>
    <xf numFmtId="3" fontId="8" fillId="0" borderId="41" xfId="0" applyNumberFormat="1" applyFont="1" applyBorder="1"/>
    <xf numFmtId="3" fontId="8" fillId="0" borderId="12" xfId="0" applyNumberFormat="1" applyFont="1" applyBorder="1"/>
    <xf numFmtId="3" fontId="8" fillId="0" borderId="22" xfId="0" applyNumberFormat="1" applyFont="1" applyBorder="1"/>
    <xf numFmtId="3" fontId="8" fillId="0" borderId="50" xfId="0" applyNumberFormat="1" applyFont="1" applyBorder="1"/>
    <xf numFmtId="3" fontId="8" fillId="0" borderId="49" xfId="0" applyNumberFormat="1" applyFont="1" applyBorder="1"/>
    <xf numFmtId="3" fontId="7" fillId="0" borderId="0" xfId="0" applyNumberFormat="1" applyFont="1"/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17" xfId="0" applyNumberFormat="1" applyFont="1" applyFill="1" applyBorder="1" applyAlignment="1">
      <alignment horizontal="center" vertical="center" wrapText="1"/>
    </xf>
    <xf numFmtId="3" fontId="0" fillId="0" borderId="54" xfId="0" applyNumberFormat="1" applyBorder="1"/>
    <xf numFmtId="49" fontId="0" fillId="0" borderId="0" xfId="0" applyNumberFormat="1"/>
    <xf numFmtId="0" fontId="4" fillId="0" borderId="1" xfId="0" applyFont="1" applyFill="1" applyBorder="1" applyAlignment="1">
      <alignment horizontal="left" vertical="center"/>
    </xf>
    <xf numFmtId="0" fontId="34" fillId="0" borderId="0" xfId="0" applyFont="1"/>
    <xf numFmtId="3" fontId="0" fillId="0" borderId="0" xfId="0" applyNumberFormat="1" applyBorder="1"/>
    <xf numFmtId="0" fontId="2" fillId="0" borderId="0" xfId="0" applyFont="1" applyFill="1" applyBorder="1" applyAlignment="1">
      <alignment vertical="center"/>
    </xf>
    <xf numFmtId="3" fontId="0" fillId="0" borderId="18" xfId="0" applyNumberFormat="1" applyFill="1" applyBorder="1"/>
    <xf numFmtId="3" fontId="0" fillId="0" borderId="40" xfId="0" applyNumberFormat="1" applyFill="1" applyBorder="1"/>
    <xf numFmtId="3" fontId="27" fillId="0" borderId="0" xfId="0" applyNumberFormat="1" applyFont="1"/>
    <xf numFmtId="3" fontId="15" fillId="2" borderId="17" xfId="0" applyNumberFormat="1" applyFont="1" applyFill="1" applyBorder="1" applyAlignment="1">
      <alignment horizontal="center" vertical="center" wrapText="1"/>
    </xf>
    <xf numFmtId="3" fontId="27" fillId="0" borderId="18" xfId="0" applyNumberFormat="1" applyFont="1" applyBorder="1"/>
    <xf numFmtId="3" fontId="15" fillId="2" borderId="60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 wrapText="1"/>
    </xf>
    <xf numFmtId="3" fontId="27" fillId="0" borderId="63" xfId="0" applyNumberFormat="1" applyFont="1" applyBorder="1"/>
    <xf numFmtId="3" fontId="27" fillId="0" borderId="18" xfId="0" applyNumberFormat="1" applyFont="1" applyFill="1" applyBorder="1"/>
    <xf numFmtId="3" fontId="3" fillId="0" borderId="11" xfId="0" applyNumberFormat="1" applyFont="1" applyFill="1" applyBorder="1" applyAlignment="1">
      <alignment horizontal="center" vertical="center" wrapText="1"/>
    </xf>
    <xf numFmtId="3" fontId="3" fillId="0" borderId="71" xfId="0" applyNumberFormat="1" applyFont="1" applyFill="1" applyBorder="1" applyAlignment="1">
      <alignment horizontal="center" vertical="center" wrapText="1"/>
    </xf>
    <xf numFmtId="3" fontId="3" fillId="0" borderId="63" xfId="0" applyNumberFormat="1" applyFont="1" applyFill="1" applyBorder="1" applyAlignment="1">
      <alignment horizontal="center" vertical="center" wrapText="1"/>
    </xf>
    <xf numFmtId="3" fontId="0" fillId="0" borderId="4" xfId="0" applyNumberFormat="1" applyBorder="1"/>
    <xf numFmtId="3" fontId="0" fillId="0" borderId="34" xfId="0" applyNumberFormat="1" applyBorder="1"/>
    <xf numFmtId="3" fontId="0" fillId="0" borderId="11" xfId="0" applyNumberFormat="1" applyBorder="1"/>
    <xf numFmtId="3" fontId="0" fillId="0" borderId="44" xfId="0" applyNumberFormat="1" applyBorder="1"/>
    <xf numFmtId="3" fontId="0" fillId="0" borderId="13" xfId="0" applyNumberFormat="1" applyBorder="1"/>
    <xf numFmtId="0" fontId="17" fillId="0" borderId="0" xfId="9" applyFill="1"/>
    <xf numFmtId="3" fontId="34" fillId="0" borderId="28" xfId="0" applyNumberFormat="1" applyFont="1" applyFill="1" applyBorder="1"/>
    <xf numFmtId="3" fontId="34" fillId="0" borderId="21" xfId="0" applyNumberFormat="1" applyFont="1" applyFill="1" applyBorder="1"/>
    <xf numFmtId="3" fontId="34" fillId="0" borderId="18" xfId="0" applyNumberFormat="1" applyFont="1" applyFill="1" applyBorder="1"/>
    <xf numFmtId="3" fontId="34" fillId="0" borderId="40" xfId="0" applyNumberFormat="1" applyFont="1" applyFill="1" applyBorder="1"/>
    <xf numFmtId="3" fontId="34" fillId="0" borderId="50" xfId="0" applyNumberFormat="1" applyFont="1" applyFill="1" applyBorder="1"/>
    <xf numFmtId="3" fontId="34" fillId="0" borderId="22" xfId="0" applyNumberFormat="1" applyFont="1" applyFill="1" applyBorder="1"/>
    <xf numFmtId="3" fontId="4" fillId="0" borderId="0" xfId="0" applyNumberFormat="1" applyFont="1" applyFill="1" applyBorder="1" applyAlignment="1">
      <alignment vertical="center"/>
    </xf>
    <xf numFmtId="3" fontId="34" fillId="0" borderId="0" xfId="0" applyNumberFormat="1" applyFont="1" applyFill="1" applyBorder="1"/>
    <xf numFmtId="3" fontId="34" fillId="0" borderId="55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4" fillId="0" borderId="41" xfId="0" applyNumberFormat="1" applyFont="1" applyFill="1" applyBorder="1"/>
    <xf numFmtId="3" fontId="27" fillId="0" borderId="23" xfId="0" applyNumberFormat="1" applyFont="1" applyBorder="1" applyAlignment="1">
      <alignment vertical="center"/>
    </xf>
    <xf numFmtId="0" fontId="19" fillId="0" borderId="0" xfId="0" applyFont="1" applyBorder="1"/>
    <xf numFmtId="0" fontId="19" fillId="0" borderId="18" xfId="0" applyFont="1" applyFill="1" applyBorder="1"/>
    <xf numFmtId="0" fontId="19" fillId="7" borderId="18" xfId="0" applyFont="1" applyFill="1" applyBorder="1"/>
    <xf numFmtId="3" fontId="19" fillId="7" borderId="18" xfId="0" applyNumberFormat="1" applyFont="1" applyFill="1" applyBorder="1"/>
    <xf numFmtId="3" fontId="15" fillId="3" borderId="7" xfId="0" applyNumberFormat="1" applyFont="1" applyFill="1" applyBorder="1" applyAlignment="1">
      <alignment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right" vertical="center" wrapText="1"/>
    </xf>
    <xf numFmtId="3" fontId="19" fillId="0" borderId="18" xfId="0" applyNumberFormat="1" applyFont="1" applyFill="1" applyBorder="1" applyAlignment="1">
      <alignment horizontal="right" vertical="center" wrapText="1"/>
    </xf>
    <xf numFmtId="0" fontId="20" fillId="2" borderId="18" xfId="0" applyFont="1" applyFill="1" applyBorder="1" applyAlignment="1">
      <alignment horizontal="center" vertical="center" wrapText="1"/>
    </xf>
    <xf numFmtId="3" fontId="20" fillId="8" borderId="18" xfId="0" applyNumberFormat="1" applyFont="1" applyFill="1" applyBorder="1" applyAlignment="1">
      <alignment horizontal="right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vertical="center" wrapText="1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0" borderId="18" xfId="0" applyNumberFormat="1" applyFont="1" applyBorder="1" applyAlignment="1">
      <alignment horizontal="right" vertical="center" wrapText="1"/>
    </xf>
    <xf numFmtId="3" fontId="20" fillId="0" borderId="18" xfId="0" applyNumberFormat="1" applyFont="1" applyFill="1" applyBorder="1" applyAlignment="1">
      <alignment horizontal="right" vertical="center" wrapText="1"/>
    </xf>
    <xf numFmtId="3" fontId="30" fillId="8" borderId="18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3" fontId="0" fillId="0" borderId="21" xfId="0" applyNumberFormat="1" applyFill="1" applyBorder="1"/>
    <xf numFmtId="3" fontId="34" fillId="0" borderId="18" xfId="0" applyNumberFormat="1" applyFont="1" applyBorder="1"/>
    <xf numFmtId="3" fontId="0" fillId="0" borderId="46" xfId="0" applyNumberFormat="1" applyFill="1" applyBorder="1"/>
    <xf numFmtId="0" fontId="2" fillId="0" borderId="0" xfId="0" applyFont="1" applyFill="1" applyAlignment="1">
      <alignment horizontal="left" vertical="center"/>
    </xf>
    <xf numFmtId="0" fontId="20" fillId="0" borderId="57" xfId="0" applyFont="1" applyBorder="1" applyAlignment="1">
      <alignment horizontal="center" vertical="center" wrapText="1"/>
    </xf>
    <xf numFmtId="3" fontId="34" fillId="0" borderId="30" xfId="0" applyNumberFormat="1" applyFont="1" applyFill="1" applyBorder="1"/>
    <xf numFmtId="3" fontId="34" fillId="0" borderId="19" xfId="0" applyNumberFormat="1" applyFont="1" applyFill="1" applyBorder="1"/>
    <xf numFmtId="3" fontId="34" fillId="0" borderId="46" xfId="0" applyNumberFormat="1" applyFont="1" applyFill="1" applyBorder="1"/>
    <xf numFmtId="3" fontId="34" fillId="0" borderId="7" xfId="0" applyNumberFormat="1" applyFont="1" applyFill="1" applyBorder="1"/>
    <xf numFmtId="3" fontId="34" fillId="0" borderId="27" xfId="0" applyNumberFormat="1" applyFont="1" applyFill="1" applyBorder="1"/>
    <xf numFmtId="3" fontId="4" fillId="0" borderId="16" xfId="0" applyNumberFormat="1" applyFont="1" applyFill="1" applyBorder="1" applyAlignment="1">
      <alignment horizontal="center" vertical="center"/>
    </xf>
    <xf numFmtId="3" fontId="34" fillId="0" borderId="34" xfId="0" applyNumberFormat="1" applyFont="1" applyFill="1" applyBorder="1"/>
    <xf numFmtId="0" fontId="2" fillId="0" borderId="38" xfId="0" applyFont="1" applyFill="1" applyBorder="1" applyAlignment="1">
      <alignment vertical="center"/>
    </xf>
    <xf numFmtId="0" fontId="3" fillId="0" borderId="71" xfId="0" applyFont="1" applyFill="1" applyBorder="1" applyAlignment="1">
      <alignment vertical="center"/>
    </xf>
    <xf numFmtId="3" fontId="34" fillId="0" borderId="16" xfId="0" applyNumberFormat="1" applyFont="1" applyFill="1" applyBorder="1"/>
    <xf numFmtId="0" fontId="3" fillId="0" borderId="11" xfId="0" applyFont="1" applyFill="1" applyBorder="1" applyAlignment="1">
      <alignment vertical="center"/>
    </xf>
    <xf numFmtId="0" fontId="2" fillId="0" borderId="67" xfId="0" applyFont="1" applyFill="1" applyBorder="1" applyAlignment="1">
      <alignment vertical="center"/>
    </xf>
    <xf numFmtId="3" fontId="34" fillId="0" borderId="49" xfId="0" applyNumberFormat="1" applyFont="1" applyFill="1" applyBorder="1"/>
    <xf numFmtId="3" fontId="34" fillId="0" borderId="12" xfId="0" applyNumberFormat="1" applyFont="1" applyFill="1" applyBorder="1"/>
    <xf numFmtId="3" fontId="34" fillId="0" borderId="4" xfId="0" applyNumberFormat="1" applyFont="1" applyFill="1" applyBorder="1"/>
    <xf numFmtId="3" fontId="34" fillId="0" borderId="26" xfId="0" applyNumberFormat="1" applyFont="1" applyFill="1" applyBorder="1"/>
    <xf numFmtId="0" fontId="35" fillId="0" borderId="0" xfId="0" applyFont="1"/>
    <xf numFmtId="0" fontId="20" fillId="0" borderId="0" xfId="0" applyFont="1" applyBorder="1" applyAlignment="1">
      <alignment horizontal="center" vertical="center" wrapText="1"/>
    </xf>
    <xf numFmtId="0" fontId="0" fillId="0" borderId="0" xfId="0" applyBorder="1"/>
    <xf numFmtId="3" fontId="34" fillId="0" borderId="46" xfId="0" applyNumberFormat="1" applyFont="1" applyBorder="1"/>
    <xf numFmtId="3" fontId="0" fillId="0" borderId="1" xfId="0" applyNumberFormat="1" applyBorder="1"/>
    <xf numFmtId="0" fontId="7" fillId="0" borderId="0" xfId="0" applyFont="1" applyBorder="1"/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55" xfId="0" applyBorder="1"/>
    <xf numFmtId="3" fontId="0" fillId="0" borderId="27" xfId="0" applyNumberFormat="1" applyFill="1" applyBorder="1"/>
    <xf numFmtId="3" fontId="7" fillId="0" borderId="21" xfId="0" applyNumberFormat="1" applyFont="1" applyBorder="1"/>
    <xf numFmtId="3" fontId="7" fillId="0" borderId="46" xfId="0" applyNumberFormat="1" applyFont="1" applyBorder="1"/>
    <xf numFmtId="3" fontId="7" fillId="0" borderId="18" xfId="0" applyNumberFormat="1" applyFont="1" applyBorder="1"/>
    <xf numFmtId="3" fontId="7" fillId="0" borderId="14" xfId="0" applyNumberFormat="1" applyFont="1" applyBorder="1"/>
    <xf numFmtId="3" fontId="7" fillId="0" borderId="40" xfId="0" applyNumberFormat="1" applyFont="1" applyBorder="1"/>
    <xf numFmtId="3" fontId="7" fillId="0" borderId="27" xfId="0" applyNumberFormat="1" applyFont="1" applyBorder="1"/>
    <xf numFmtId="3" fontId="7" fillId="0" borderId="28" xfId="0" applyNumberFormat="1" applyFont="1" applyBorder="1"/>
    <xf numFmtId="3" fontId="7" fillId="0" borderId="16" xfId="0" applyNumberFormat="1" applyFont="1" applyBorder="1"/>
    <xf numFmtId="3" fontId="7" fillId="0" borderId="55" xfId="0" applyNumberFormat="1" applyFont="1" applyBorder="1"/>
    <xf numFmtId="3" fontId="7" fillId="0" borderId="26" xfId="0" applyNumberFormat="1" applyFont="1" applyBorder="1"/>
    <xf numFmtId="3" fontId="7" fillId="0" borderId="18" xfId="0" applyNumberFormat="1" applyFont="1" applyFill="1" applyBorder="1"/>
    <xf numFmtId="3" fontId="7" fillId="0" borderId="41" xfId="0" applyNumberFormat="1" applyFont="1" applyBorder="1"/>
    <xf numFmtId="3" fontId="7" fillId="0" borderId="12" xfId="0" applyNumberFormat="1" applyFont="1" applyBorder="1"/>
    <xf numFmtId="3" fontId="7" fillId="0" borderId="22" xfId="0" applyNumberFormat="1" applyFont="1" applyBorder="1"/>
    <xf numFmtId="3" fontId="7" fillId="0" borderId="50" xfId="0" applyNumberFormat="1" applyFont="1" applyBorder="1"/>
    <xf numFmtId="3" fontId="7" fillId="0" borderId="49" xfId="0" applyNumberFormat="1" applyFont="1" applyBorder="1"/>
    <xf numFmtId="0" fontId="7" fillId="0" borderId="54" xfId="0" applyFont="1" applyBorder="1"/>
    <xf numFmtId="3" fontId="38" fillId="0" borderId="21" xfId="0" applyNumberFormat="1" applyFont="1" applyBorder="1"/>
    <xf numFmtId="3" fontId="38" fillId="0" borderId="46" xfId="0" applyNumberFormat="1" applyFont="1" applyBorder="1"/>
    <xf numFmtId="3" fontId="38" fillId="0" borderId="18" xfId="0" applyNumberFormat="1" applyFont="1" applyBorder="1"/>
    <xf numFmtId="3" fontId="38" fillId="0" borderId="14" xfId="0" applyNumberFormat="1" applyFont="1" applyBorder="1"/>
    <xf numFmtId="3" fontId="38" fillId="0" borderId="40" xfId="0" applyNumberFormat="1" applyFont="1" applyBorder="1"/>
    <xf numFmtId="3" fontId="38" fillId="0" borderId="27" xfId="0" applyNumberFormat="1" applyFont="1" applyBorder="1"/>
    <xf numFmtId="3" fontId="38" fillId="0" borderId="28" xfId="0" applyNumberFormat="1" applyFont="1" applyBorder="1"/>
    <xf numFmtId="3" fontId="38" fillId="0" borderId="16" xfId="0" applyNumberFormat="1" applyFont="1" applyBorder="1"/>
    <xf numFmtId="3" fontId="39" fillId="0" borderId="28" xfId="0" applyNumberFormat="1" applyFont="1" applyBorder="1"/>
    <xf numFmtId="3" fontId="39" fillId="0" borderId="16" xfId="0" applyNumberFormat="1" applyFont="1" applyBorder="1"/>
    <xf numFmtId="3" fontId="38" fillId="0" borderId="0" xfId="0" applyNumberFormat="1" applyFont="1"/>
    <xf numFmtId="3" fontId="38" fillId="0" borderId="55" xfId="0" applyNumberFormat="1" applyFont="1" applyBorder="1"/>
    <xf numFmtId="3" fontId="38" fillId="0" borderId="26" xfId="0" applyNumberFormat="1" applyFont="1" applyBorder="1"/>
    <xf numFmtId="3" fontId="38" fillId="0" borderId="41" xfId="0" applyNumberFormat="1" applyFont="1" applyBorder="1"/>
    <xf numFmtId="3" fontId="38" fillId="0" borderId="12" xfId="0" applyNumberFormat="1" applyFont="1" applyBorder="1"/>
    <xf numFmtId="3" fontId="38" fillId="0" borderId="22" xfId="0" applyNumberFormat="1" applyFont="1" applyBorder="1"/>
    <xf numFmtId="3" fontId="40" fillId="0" borderId="28" xfId="0" applyNumberFormat="1" applyFont="1" applyBorder="1"/>
    <xf numFmtId="3" fontId="40" fillId="0" borderId="50" xfId="0" applyNumberFormat="1" applyFont="1" applyBorder="1"/>
    <xf numFmtId="3" fontId="40" fillId="0" borderId="49" xfId="0" applyNumberFormat="1" applyFont="1" applyBorder="1"/>
    <xf numFmtId="3" fontId="37" fillId="0" borderId="28" xfId="0" applyNumberFormat="1" applyFont="1" applyFill="1" applyBorder="1"/>
    <xf numFmtId="3" fontId="37" fillId="0" borderId="17" xfId="0" applyNumberFormat="1" applyFont="1" applyFill="1" applyBorder="1"/>
    <xf numFmtId="0" fontId="35" fillId="0" borderId="0" xfId="0" applyFont="1" applyFill="1"/>
    <xf numFmtId="3" fontId="37" fillId="0" borderId="41" xfId="0" applyNumberFormat="1" applyFont="1" applyFill="1" applyBorder="1"/>
    <xf numFmtId="3" fontId="37" fillId="0" borderId="12" xfId="0" applyNumberFormat="1" applyFont="1" applyFill="1" applyBorder="1"/>
    <xf numFmtId="0" fontId="15" fillId="0" borderId="0" xfId="0" applyFont="1" applyBorder="1" applyAlignment="1">
      <alignment vertical="center" wrapText="1"/>
    </xf>
    <xf numFmtId="3" fontId="27" fillId="0" borderId="0" xfId="0" applyNumberFormat="1" applyFont="1" applyBorder="1"/>
    <xf numFmtId="3" fontId="19" fillId="0" borderId="72" xfId="0" applyNumberFormat="1" applyFont="1" applyBorder="1"/>
    <xf numFmtId="3" fontId="24" fillId="0" borderId="18" xfId="4" applyNumberFormat="1" applyFont="1" applyBorder="1" applyAlignment="1">
      <alignment horizontal="right" vertical="center" wrapText="1"/>
    </xf>
    <xf numFmtId="0" fontId="24" fillId="0" borderId="18" xfId="4" applyFont="1" applyBorder="1" applyAlignment="1">
      <alignment horizontal="center" vertical="center" wrapText="1"/>
    </xf>
    <xf numFmtId="3" fontId="24" fillId="0" borderId="18" xfId="4" applyNumberFormat="1" applyFont="1" applyBorder="1" applyAlignment="1">
      <alignment horizontal="center" vertical="center" wrapText="1"/>
    </xf>
    <xf numFmtId="3" fontId="24" fillId="0" borderId="18" xfId="6" applyNumberFormat="1" applyFont="1" applyBorder="1" applyAlignment="1">
      <alignment horizontal="right" vertical="center"/>
    </xf>
    <xf numFmtId="3" fontId="21" fillId="0" borderId="18" xfId="4" applyNumberFormat="1" applyFont="1" applyBorder="1" applyAlignment="1">
      <alignment horizontal="right" vertical="center" wrapText="1"/>
    </xf>
    <xf numFmtId="3" fontId="21" fillId="0" borderId="18" xfId="4" applyNumberFormat="1" applyFont="1" applyBorder="1" applyAlignment="1">
      <alignment horizontal="center" vertical="center" wrapText="1"/>
    </xf>
    <xf numFmtId="0" fontId="19" fillId="0" borderId="18" xfId="5" applyFont="1" applyBorder="1" applyAlignment="1">
      <alignment vertical="center" wrapText="1"/>
    </xf>
    <xf numFmtId="0" fontId="19" fillId="0" borderId="18" xfId="4" applyFont="1" applyBorder="1" applyAlignment="1">
      <alignment vertical="center" wrapText="1"/>
    </xf>
    <xf numFmtId="0" fontId="19" fillId="0" borderId="18" xfId="5" applyFont="1" applyBorder="1" applyAlignment="1">
      <alignment horizontal="left" wrapText="1"/>
    </xf>
    <xf numFmtId="0" fontId="20" fillId="0" borderId="18" xfId="5" applyFont="1" applyBorder="1" applyAlignment="1">
      <alignment horizontal="left" wrapText="1"/>
    </xf>
    <xf numFmtId="0" fontId="24" fillId="0" borderId="18" xfId="0" applyFont="1" applyBorder="1" applyAlignment="1">
      <alignment wrapText="1"/>
    </xf>
    <xf numFmtId="0" fontId="24" fillId="0" borderId="18" xfId="6" applyFont="1" applyFill="1" applyBorder="1"/>
    <xf numFmtId="0" fontId="24" fillId="0" borderId="18" xfId="0" applyFont="1" applyFill="1" applyBorder="1" applyAlignment="1">
      <alignment wrapText="1"/>
    </xf>
    <xf numFmtId="0" fontId="24" fillId="0" borderId="0" xfId="0" applyFont="1"/>
    <xf numFmtId="0" fontId="22" fillId="0" borderId="18" xfId="4" applyFont="1" applyBorder="1" applyAlignment="1">
      <alignment horizontal="left" vertical="center" wrapText="1"/>
    </xf>
    <xf numFmtId="0" fontId="17" fillId="0" borderId="0" xfId="0" applyFont="1"/>
    <xf numFmtId="0" fontId="21" fillId="2" borderId="18" xfId="4" applyFont="1" applyFill="1" applyBorder="1" applyAlignment="1">
      <alignment horizontal="center" vertical="center" wrapText="1"/>
    </xf>
    <xf numFmtId="0" fontId="44" fillId="0" borderId="18" xfId="5" applyFont="1" applyBorder="1" applyAlignment="1">
      <alignment horizontal="center"/>
    </xf>
    <xf numFmtId="3" fontId="24" fillId="0" borderId="18" xfId="4" applyNumberFormat="1" applyFont="1" applyBorder="1" applyAlignment="1">
      <alignment horizontal="left" vertical="center" wrapText="1"/>
    </xf>
    <xf numFmtId="0" fontId="24" fillId="0" borderId="18" xfId="5" applyFont="1" applyBorder="1" applyAlignment="1">
      <alignment vertical="center" wrapText="1"/>
    </xf>
    <xf numFmtId="0" fontId="24" fillId="0" borderId="66" xfId="5" applyFont="1" applyBorder="1" applyAlignment="1">
      <alignment vertical="center" wrapText="1"/>
    </xf>
    <xf numFmtId="0" fontId="24" fillId="0" borderId="66" xfId="5" applyFont="1" applyBorder="1" applyAlignment="1">
      <alignment horizontal="left" wrapText="1"/>
    </xf>
    <xf numFmtId="0" fontId="24" fillId="0" borderId="18" xfId="5" applyFont="1" applyBorder="1" applyAlignment="1">
      <alignment horizontal="left" wrapText="1"/>
    </xf>
    <xf numFmtId="0" fontId="21" fillId="0" borderId="18" xfId="5" applyFont="1" applyBorder="1" applyAlignment="1">
      <alignment horizontal="left" wrapText="1"/>
    </xf>
    <xf numFmtId="3" fontId="21" fillId="0" borderId="19" xfId="4" applyNumberFormat="1" applyFont="1" applyBorder="1" applyAlignment="1">
      <alignment horizontal="right" vertical="center" wrapText="1"/>
    </xf>
    <xf numFmtId="3" fontId="21" fillId="0" borderId="18" xfId="4" applyNumberFormat="1" applyFont="1" applyBorder="1" applyAlignment="1">
      <alignment horizontal="left" vertical="center" wrapText="1"/>
    </xf>
    <xf numFmtId="0" fontId="24" fillId="0" borderId="18" xfId="0" applyFont="1" applyBorder="1"/>
    <xf numFmtId="0" fontId="24" fillId="4" borderId="18" xfId="4" applyFont="1" applyFill="1" applyBorder="1" applyAlignment="1">
      <alignment horizontal="left" vertical="center" wrapText="1"/>
    </xf>
    <xf numFmtId="0" fontId="21" fillId="0" borderId="18" xfId="4" applyFont="1" applyBorder="1" applyAlignment="1">
      <alignment vertical="center" wrapText="1"/>
    </xf>
    <xf numFmtId="0" fontId="45" fillId="3" borderId="18" xfId="5" applyFont="1" applyFill="1" applyBorder="1" applyAlignment="1">
      <alignment horizontal="left"/>
    </xf>
    <xf numFmtId="3" fontId="21" fillId="3" borderId="18" xfId="4" applyNumberFormat="1" applyFont="1" applyFill="1" applyBorder="1" applyAlignment="1">
      <alignment horizontal="right" vertical="center" wrapText="1"/>
    </xf>
    <xf numFmtId="0" fontId="24" fillId="0" borderId="18" xfId="5" applyFont="1" applyBorder="1"/>
    <xf numFmtId="3" fontId="24" fillId="4" borderId="18" xfId="4" applyNumberFormat="1" applyFont="1" applyFill="1" applyBorder="1" applyAlignment="1">
      <alignment horizontal="center" vertical="center" wrapText="1"/>
    </xf>
    <xf numFmtId="3" fontId="22" fillId="3" borderId="18" xfId="4" applyNumberFormat="1" applyFont="1" applyFill="1" applyBorder="1" applyAlignment="1">
      <alignment horizontal="right" vertical="center" wrapText="1"/>
    </xf>
    <xf numFmtId="0" fontId="22" fillId="3" borderId="18" xfId="4" applyFont="1" applyFill="1" applyBorder="1" applyAlignment="1">
      <alignment horizontal="center" vertical="center" wrapText="1"/>
    </xf>
    <xf numFmtId="3" fontId="22" fillId="3" borderId="19" xfId="4" applyNumberFormat="1" applyFont="1" applyFill="1" applyBorder="1" applyAlignment="1">
      <alignment horizontal="right" vertical="center" wrapText="1"/>
    </xf>
    <xf numFmtId="3" fontId="22" fillId="0" borderId="18" xfId="4" applyNumberFormat="1" applyFont="1" applyBorder="1" applyAlignment="1">
      <alignment horizontal="right" vertical="center" wrapText="1"/>
    </xf>
    <xf numFmtId="0" fontId="22" fillId="0" borderId="18" xfId="4" applyFont="1" applyBorder="1" applyAlignment="1">
      <alignment horizontal="center" vertical="center" wrapText="1"/>
    </xf>
    <xf numFmtId="0" fontId="22" fillId="3" borderId="18" xfId="4" applyFont="1" applyFill="1" applyBorder="1" applyAlignment="1">
      <alignment horizontal="left" vertical="center" wrapText="1"/>
    </xf>
    <xf numFmtId="0" fontId="22" fillId="4" borderId="18" xfId="4" applyFont="1" applyFill="1" applyBorder="1" applyAlignment="1">
      <alignment horizontal="left" vertical="center" wrapText="1"/>
    </xf>
    <xf numFmtId="3" fontId="24" fillId="0" borderId="0" xfId="5" applyNumberFormat="1" applyFont="1" applyAlignment="1">
      <alignment vertical="center"/>
    </xf>
    <xf numFmtId="3" fontId="24" fillId="0" borderId="18" xfId="5" applyNumberFormat="1" applyFont="1" applyBorder="1" applyAlignment="1">
      <alignment vertical="center"/>
    </xf>
    <xf numFmtId="0" fontId="24" fillId="0" borderId="18" xfId="0" applyFont="1" applyBorder="1" applyAlignment="1">
      <alignment vertical="center"/>
    </xf>
    <xf numFmtId="0" fontId="24" fillId="0" borderId="18" xfId="5" applyFont="1" applyBorder="1" applyAlignment="1">
      <alignment vertical="center"/>
    </xf>
    <xf numFmtId="0" fontId="24" fillId="0" borderId="18" xfId="5" applyFont="1" applyFill="1" applyBorder="1" applyAlignment="1">
      <alignment vertical="center" wrapText="1"/>
    </xf>
    <xf numFmtId="3" fontId="24" fillId="0" borderId="18" xfId="4" applyNumberFormat="1" applyFont="1" applyFill="1" applyBorder="1" applyAlignment="1">
      <alignment horizontal="left" vertical="center" wrapText="1"/>
    </xf>
    <xf numFmtId="3" fontId="24" fillId="0" borderId="18" xfId="0" applyNumberFormat="1" applyFont="1" applyFill="1" applyBorder="1" applyAlignment="1">
      <alignment vertical="center"/>
    </xf>
    <xf numFmtId="1" fontId="22" fillId="2" borderId="2" xfId="7" applyNumberFormat="1" applyFont="1" applyFill="1" applyBorder="1" applyAlignment="1">
      <alignment horizontal="center" vertical="center" wrapText="1"/>
    </xf>
    <xf numFmtId="3" fontId="24" fillId="0" borderId="30" xfId="7" applyNumberFormat="1" applyFont="1" applyBorder="1" applyAlignment="1">
      <alignment vertical="center" wrapText="1"/>
    </xf>
    <xf numFmtId="3" fontId="24" fillId="0" borderId="20" xfId="7" applyNumberFormat="1" applyFont="1" applyBorder="1" applyAlignment="1">
      <alignment vertical="center" wrapText="1"/>
    </xf>
    <xf numFmtId="0" fontId="9" fillId="0" borderId="0" xfId="1"/>
    <xf numFmtId="3" fontId="9" fillId="0" borderId="0" xfId="1" applyNumberFormat="1"/>
    <xf numFmtId="3" fontId="46" fillId="0" borderId="0" xfId="7" applyNumberFormat="1" applyFont="1"/>
    <xf numFmtId="0" fontId="46" fillId="0" borderId="0" xfId="1" applyFont="1"/>
    <xf numFmtId="0" fontId="22" fillId="2" borderId="2" xfId="7" applyFont="1" applyFill="1" applyBorder="1" applyAlignment="1">
      <alignment horizontal="center" vertical="center" wrapText="1"/>
    </xf>
    <xf numFmtId="0" fontId="48" fillId="0" borderId="74" xfId="14" applyFont="1" applyBorder="1" applyAlignment="1">
      <alignment horizontal="center" vertical="top" wrapText="1"/>
    </xf>
    <xf numFmtId="0" fontId="50" fillId="0" borderId="73" xfId="14" applyFont="1" applyBorder="1" applyAlignment="1">
      <alignment horizontal="center" vertical="center" wrapText="1"/>
    </xf>
    <xf numFmtId="49" fontId="47" fillId="0" borderId="73" xfId="14" applyNumberFormat="1" applyBorder="1" applyAlignment="1">
      <alignment horizontal="center"/>
    </xf>
    <xf numFmtId="0" fontId="47" fillId="0" borderId="73" xfId="14" applyBorder="1" applyAlignment="1">
      <alignment wrapText="1"/>
    </xf>
    <xf numFmtId="3" fontId="47" fillId="0" borderId="73" xfId="14" applyNumberFormat="1" applyBorder="1"/>
    <xf numFmtId="0" fontId="50" fillId="2" borderId="73" xfId="14" applyFont="1" applyFill="1" applyBorder="1" applyAlignment="1">
      <alignment horizontal="center" vertical="center"/>
    </xf>
    <xf numFmtId="0" fontId="50" fillId="2" borderId="73" xfId="14" applyFont="1" applyFill="1" applyBorder="1" applyAlignment="1">
      <alignment vertical="center" wrapText="1"/>
    </xf>
    <xf numFmtId="3" fontId="50" fillId="2" borderId="73" xfId="14" applyNumberFormat="1" applyFont="1" applyFill="1" applyBorder="1" applyAlignment="1">
      <alignment vertical="center"/>
    </xf>
    <xf numFmtId="0" fontId="50" fillId="9" borderId="73" xfId="14" applyFont="1" applyFill="1" applyBorder="1" applyAlignment="1">
      <alignment horizontal="center" vertical="center"/>
    </xf>
    <xf numFmtId="0" fontId="50" fillId="9" borderId="73" xfId="14" applyFont="1" applyFill="1" applyBorder="1" applyAlignment="1">
      <alignment vertical="center" wrapText="1"/>
    </xf>
    <xf numFmtId="3" fontId="50" fillId="9" borderId="73" xfId="14" applyNumberFormat="1" applyFont="1" applyFill="1" applyBorder="1" applyAlignment="1">
      <alignment vertical="center"/>
    </xf>
    <xf numFmtId="0" fontId="51" fillId="10" borderId="73" xfId="14" applyFont="1" applyFill="1" applyBorder="1" applyAlignment="1">
      <alignment horizontal="center" vertical="center"/>
    </xf>
    <xf numFmtId="0" fontId="51" fillId="10" borderId="73" xfId="14" applyFont="1" applyFill="1" applyBorder="1" applyAlignment="1">
      <alignment vertical="center"/>
    </xf>
    <xf numFmtId="3" fontId="51" fillId="10" borderId="73" xfId="14" applyNumberFormat="1" applyFont="1" applyFill="1" applyBorder="1" applyAlignment="1">
      <alignment vertical="center"/>
    </xf>
    <xf numFmtId="0" fontId="47" fillId="0" borderId="0" xfId="14"/>
    <xf numFmtId="0" fontId="47" fillId="0" borderId="0" xfId="14" applyAlignment="1">
      <alignment wrapText="1"/>
    </xf>
    <xf numFmtId="3" fontId="47" fillId="0" borderId="0" xfId="14" applyNumberFormat="1"/>
    <xf numFmtId="0" fontId="1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/>
    </xf>
    <xf numFmtId="0" fontId="48" fillId="0" borderId="0" xfId="14" applyFont="1" applyAlignment="1">
      <alignment horizontal="center" vertical="top" wrapText="1"/>
    </xf>
    <xf numFmtId="3" fontId="6" fillId="0" borderId="55" xfId="1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49" fontId="2" fillId="0" borderId="0" xfId="0" applyNumberFormat="1" applyFont="1" applyAlignment="1">
      <alignment horizontal="right"/>
    </xf>
    <xf numFmtId="0" fontId="52" fillId="0" borderId="0" xfId="14" applyFont="1" applyAlignment="1">
      <alignment horizontal="right" vertical="center" wrapText="1"/>
    </xf>
    <xf numFmtId="0" fontId="0" fillId="0" borderId="0" xfId="0" applyAlignment="1">
      <alignment horizontal="right"/>
    </xf>
    <xf numFmtId="0" fontId="21" fillId="2" borderId="17" xfId="0" applyFont="1" applyFill="1" applyBorder="1" applyAlignment="1">
      <alignment horizontal="center" vertical="center" wrapText="1"/>
    </xf>
    <xf numFmtId="3" fontId="24" fillId="0" borderId="48" xfId="0" applyNumberFormat="1" applyFont="1" applyBorder="1" applyAlignment="1">
      <alignment vertical="center" wrapText="1"/>
    </xf>
    <xf numFmtId="3" fontId="24" fillId="0" borderId="24" xfId="0" applyNumberFormat="1" applyFont="1" applyBorder="1" applyAlignment="1">
      <alignment horizontal="center" vertical="center" wrapText="1"/>
    </xf>
    <xf numFmtId="0" fontId="22" fillId="3" borderId="17" xfId="0" applyFont="1" applyFill="1" applyBorder="1" applyAlignment="1">
      <alignment horizontal="center" vertical="center" wrapText="1"/>
    </xf>
    <xf numFmtId="0" fontId="22" fillId="3" borderId="17" xfId="0" applyFont="1" applyFill="1" applyBorder="1" applyAlignment="1">
      <alignment vertical="center" wrapText="1"/>
    </xf>
    <xf numFmtId="3" fontId="21" fillId="3" borderId="17" xfId="0" applyNumberFormat="1" applyFont="1" applyFill="1" applyBorder="1" applyAlignment="1">
      <alignment vertical="center" wrapText="1"/>
    </xf>
    <xf numFmtId="3" fontId="21" fillId="3" borderId="17" xfId="0" applyNumberFormat="1" applyFont="1" applyFill="1" applyBorder="1" applyAlignment="1">
      <alignment horizontal="center" vertical="center" wrapText="1"/>
    </xf>
    <xf numFmtId="0" fontId="53" fillId="0" borderId="0" xfId="0" applyFont="1"/>
    <xf numFmtId="0" fontId="19" fillId="0" borderId="57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center" wrapText="1"/>
    </xf>
    <xf numFmtId="0" fontId="19" fillId="0" borderId="76" xfId="0" applyFont="1" applyBorder="1"/>
    <xf numFmtId="0" fontId="19" fillId="0" borderId="57" xfId="0" applyFont="1" applyBorder="1"/>
    <xf numFmtId="0" fontId="19" fillId="0" borderId="57" xfId="0" applyFont="1" applyBorder="1" applyAlignment="1">
      <alignment wrapText="1"/>
    </xf>
    <xf numFmtId="0" fontId="5" fillId="0" borderId="0" xfId="4" applyFont="1" applyAlignment="1">
      <alignment horizontal="right" vertical="center" wrapText="1"/>
    </xf>
    <xf numFmtId="0" fontId="15" fillId="0" borderId="0" xfId="0" applyFont="1" applyAlignment="1">
      <alignment horizontal="right" vertical="center" wrapText="1"/>
    </xf>
    <xf numFmtId="0" fontId="19" fillId="0" borderId="0" xfId="7" applyFont="1" applyAlignment="1">
      <alignment horizontal="right" vertical="center"/>
    </xf>
    <xf numFmtId="0" fontId="19" fillId="0" borderId="70" xfId="0" applyFont="1" applyBorder="1" applyAlignment="1">
      <alignment horizontal="right"/>
    </xf>
    <xf numFmtId="0" fontId="19" fillId="0" borderId="72" xfId="0" applyFont="1" applyBorder="1" applyAlignment="1">
      <alignment horizontal="right"/>
    </xf>
    <xf numFmtId="0" fontId="19" fillId="0" borderId="69" xfId="0" applyFont="1" applyBorder="1" applyAlignment="1">
      <alignment horizontal="right"/>
    </xf>
    <xf numFmtId="49" fontId="19" fillId="0" borderId="70" xfId="0" applyNumberFormat="1" applyFont="1" applyBorder="1" applyAlignment="1">
      <alignment horizontal="right"/>
    </xf>
    <xf numFmtId="49" fontId="19" fillId="0" borderId="69" xfId="0" applyNumberFormat="1" applyFont="1" applyBorder="1" applyAlignment="1">
      <alignment horizontal="right"/>
    </xf>
    <xf numFmtId="0" fontId="19" fillId="0" borderId="64" xfId="0" applyFont="1" applyBorder="1"/>
    <xf numFmtId="0" fontId="13" fillId="0" borderId="0" xfId="0" applyFont="1" applyAlignment="1">
      <alignment horizontal="right" vertical="center" wrapText="1"/>
    </xf>
    <xf numFmtId="0" fontId="54" fillId="0" borderId="76" xfId="0" applyFont="1" applyBorder="1"/>
    <xf numFmtId="0" fontId="54" fillId="0" borderId="70" xfId="0" applyFont="1" applyBorder="1" applyAlignment="1">
      <alignment horizontal="right"/>
    </xf>
    <xf numFmtId="0" fontId="54" fillId="0" borderId="0" xfId="0" applyFont="1" applyBorder="1"/>
    <xf numFmtId="0" fontId="54" fillId="0" borderId="72" xfId="0" applyFont="1" applyBorder="1" applyAlignment="1">
      <alignment horizontal="right"/>
    </xf>
    <xf numFmtId="0" fontId="54" fillId="0" borderId="69" xfId="0" applyFont="1" applyBorder="1" applyAlignment="1">
      <alignment horizontal="right"/>
    </xf>
    <xf numFmtId="0" fontId="54" fillId="0" borderId="0" xfId="0" applyFont="1"/>
    <xf numFmtId="0" fontId="54" fillId="0" borderId="0" xfId="0" applyFont="1" applyAlignment="1">
      <alignment horizontal="right"/>
    </xf>
    <xf numFmtId="0" fontId="32" fillId="0" borderId="19" xfId="0" applyFont="1" applyBorder="1" applyAlignment="1">
      <alignment horizontal="center" vertical="center" wrapText="1"/>
    </xf>
    <xf numFmtId="0" fontId="54" fillId="0" borderId="64" xfId="0" applyFont="1" applyBorder="1"/>
    <xf numFmtId="0" fontId="54" fillId="0" borderId="66" xfId="0" applyFont="1" applyBorder="1" applyAlignment="1">
      <alignment horizontal="right"/>
    </xf>
    <xf numFmtId="0" fontId="54" fillId="0" borderId="0" xfId="0" applyFont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3" fillId="0" borderId="56" xfId="0" applyFont="1" applyFill="1" applyBorder="1" applyAlignment="1">
      <alignment vertical="center"/>
    </xf>
    <xf numFmtId="0" fontId="2" fillId="0" borderId="57" xfId="0" applyFont="1" applyFill="1" applyBorder="1" applyAlignment="1">
      <alignment vertical="center"/>
    </xf>
    <xf numFmtId="0" fontId="2" fillId="0" borderId="64" xfId="0" applyFont="1" applyFill="1" applyBorder="1" applyAlignment="1">
      <alignment vertical="center"/>
    </xf>
    <xf numFmtId="0" fontId="2" fillId="0" borderId="76" xfId="0" applyFont="1" applyFill="1" applyBorder="1" applyAlignment="1">
      <alignment vertical="center"/>
    </xf>
    <xf numFmtId="0" fontId="2" fillId="0" borderId="47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0" xfId="0" applyBorder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4" fillId="0" borderId="78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 wrapText="1"/>
    </xf>
    <xf numFmtId="0" fontId="5" fillId="0" borderId="35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5" fillId="0" borderId="38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4" fillId="0" borderId="39" xfId="0" applyFont="1" applyBorder="1" applyAlignment="1">
      <alignment vertical="center"/>
    </xf>
    <xf numFmtId="3" fontId="0" fillId="0" borderId="42" xfId="0" applyNumberFormat="1" applyBorder="1"/>
    <xf numFmtId="3" fontId="0" fillId="0" borderId="75" xfId="0" applyNumberFormat="1" applyBorder="1"/>
    <xf numFmtId="3" fontId="35" fillId="0" borderId="1" xfId="0" applyNumberFormat="1" applyFont="1" applyBorder="1"/>
    <xf numFmtId="3" fontId="35" fillId="0" borderId="28" xfId="0" applyNumberFormat="1" applyFont="1" applyBorder="1"/>
    <xf numFmtId="3" fontId="35" fillId="0" borderId="16" xfId="0" applyNumberFormat="1" applyFont="1" applyBorder="1"/>
    <xf numFmtId="3" fontId="35" fillId="0" borderId="11" xfId="0" applyNumberFormat="1" applyFont="1" applyBorder="1"/>
    <xf numFmtId="3" fontId="35" fillId="0" borderId="41" xfId="0" applyNumberFormat="1" applyFont="1" applyBorder="1"/>
    <xf numFmtId="3" fontId="35" fillId="0" borderId="12" xfId="0" applyNumberFormat="1" applyFont="1" applyBorder="1"/>
    <xf numFmtId="0" fontId="4" fillId="0" borderId="67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3" fontId="35" fillId="0" borderId="7" xfId="0" applyNumberFormat="1" applyFont="1" applyBorder="1"/>
    <xf numFmtId="3" fontId="35" fillId="0" borderId="40" xfId="0" applyNumberFormat="1" applyFont="1" applyBorder="1"/>
    <xf numFmtId="3" fontId="35" fillId="0" borderId="27" xfId="0" applyNumberFormat="1" applyFont="1" applyBorder="1"/>
    <xf numFmtId="49" fontId="2" fillId="0" borderId="0" xfId="0" applyNumberFormat="1" applyFont="1" applyAlignment="1">
      <alignment horizontal="right" vertical="center"/>
    </xf>
    <xf numFmtId="0" fontId="19" fillId="0" borderId="18" xfId="0" applyFont="1" applyBorder="1" applyAlignment="1">
      <alignment horizontal="center" vertical="center"/>
    </xf>
    <xf numFmtId="14" fontId="19" fillId="0" borderId="18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3" fontId="19" fillId="0" borderId="18" xfId="0" applyNumberFormat="1" applyFont="1" applyFill="1" applyBorder="1" applyAlignment="1">
      <alignment vertical="center"/>
    </xf>
    <xf numFmtId="3" fontId="19" fillId="0" borderId="18" xfId="0" applyNumberFormat="1" applyFont="1" applyBorder="1" applyAlignment="1">
      <alignment vertical="center"/>
    </xf>
    <xf numFmtId="0" fontId="0" fillId="0" borderId="0" xfId="0" applyAlignment="1"/>
    <xf numFmtId="0" fontId="15" fillId="0" borderId="0" xfId="0" applyFont="1" applyAlignment="1">
      <alignment horizontal="right"/>
    </xf>
    <xf numFmtId="0" fontId="27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29" fillId="0" borderId="0" xfId="7" applyFont="1" applyAlignment="1">
      <alignment horizontal="center" vertical="center"/>
    </xf>
    <xf numFmtId="3" fontId="7" fillId="0" borderId="21" xfId="0" applyNumberFormat="1" applyFont="1" applyFill="1" applyBorder="1"/>
    <xf numFmtId="0" fontId="2" fillId="0" borderId="0" xfId="0" applyFont="1" applyAlignment="1">
      <alignment horizontal="right" vertical="center"/>
    </xf>
    <xf numFmtId="3" fontId="30" fillId="0" borderId="27" xfId="8" applyNumberFormat="1" applyFont="1" applyBorder="1" applyAlignment="1">
      <alignment horizontal="right" vertical="center" wrapText="1"/>
    </xf>
    <xf numFmtId="0" fontId="30" fillId="0" borderId="69" xfId="7" applyFont="1" applyBorder="1" applyAlignment="1">
      <alignment vertical="center" wrapText="1"/>
    </xf>
    <xf numFmtId="0" fontId="19" fillId="0" borderId="66" xfId="0" applyFont="1" applyBorder="1" applyAlignment="1">
      <alignment wrapText="1"/>
    </xf>
    <xf numFmtId="0" fontId="19" fillId="0" borderId="66" xfId="0" applyFont="1" applyBorder="1" applyAlignment="1">
      <alignment vertical="center" wrapText="1"/>
    </xf>
    <xf numFmtId="49" fontId="30" fillId="0" borderId="23" xfId="7" applyNumberFormat="1" applyFont="1" applyBorder="1" applyAlignment="1">
      <alignment horizontal="center" vertical="center" wrapText="1"/>
    </xf>
    <xf numFmtId="49" fontId="19" fillId="0" borderId="24" xfId="7" applyNumberFormat="1" applyFont="1" applyFill="1" applyBorder="1" applyAlignment="1">
      <alignment horizontal="center" vertical="center" wrapText="1"/>
    </xf>
    <xf numFmtId="3" fontId="19" fillId="0" borderId="30" xfId="0" applyNumberFormat="1" applyFont="1" applyBorder="1" applyAlignment="1">
      <alignment vertical="center"/>
    </xf>
    <xf numFmtId="49" fontId="19" fillId="0" borderId="0" xfId="7" applyNumberFormat="1" applyFont="1" applyBorder="1" applyAlignment="1">
      <alignment horizontal="center" vertical="center" wrapText="1"/>
    </xf>
    <xf numFmtId="0" fontId="32" fillId="0" borderId="0" xfId="7" applyFont="1" applyBorder="1" applyAlignment="1">
      <alignment vertical="center" wrapText="1"/>
    </xf>
    <xf numFmtId="0" fontId="27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9" fontId="7" fillId="0" borderId="0" xfId="0" applyNumberFormat="1" applyFont="1" applyFill="1" applyAlignment="1">
      <alignment horizontal="left" vertical="center"/>
    </xf>
    <xf numFmtId="3" fontId="37" fillId="0" borderId="63" xfId="0" applyNumberFormat="1" applyFont="1" applyFill="1" applyBorder="1"/>
    <xf numFmtId="0" fontId="19" fillId="0" borderId="18" xfId="0" applyFont="1" applyFill="1" applyBorder="1" applyAlignment="1">
      <alignment wrapText="1"/>
    </xf>
    <xf numFmtId="0" fontId="1" fillId="0" borderId="0" xfId="0" applyFont="1" applyAlignment="1">
      <alignment horizontal="center"/>
    </xf>
    <xf numFmtId="0" fontId="38" fillId="0" borderId="0" xfId="0" applyFont="1"/>
    <xf numFmtId="3" fontId="2" fillId="0" borderId="0" xfId="0" applyNumberFormat="1" applyFont="1" applyFill="1" applyAlignment="1">
      <alignment vertical="center"/>
    </xf>
    <xf numFmtId="3" fontId="0" fillId="0" borderId="77" xfId="0" applyNumberFormat="1" applyBorder="1"/>
    <xf numFmtId="0" fontId="27" fillId="11" borderId="0" xfId="0" applyFont="1" applyFill="1"/>
    <xf numFmtId="0" fontId="2" fillId="0" borderId="15" xfId="0" applyFont="1" applyFill="1" applyBorder="1" applyAlignment="1">
      <alignment horizontal="left" vertical="center"/>
    </xf>
    <xf numFmtId="3" fontId="38" fillId="0" borderId="7" xfId="0" applyNumberFormat="1" applyFont="1" applyBorder="1"/>
    <xf numFmtId="3" fontId="38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3" fontId="2" fillId="0" borderId="0" xfId="0" applyNumberFormat="1" applyFont="1" applyFill="1" applyAlignment="1">
      <alignment horizontal="left" vertical="center"/>
    </xf>
    <xf numFmtId="0" fontId="42" fillId="0" borderId="0" xfId="0" applyFont="1" applyAlignment="1"/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left" vertical="center"/>
    </xf>
    <xf numFmtId="49" fontId="7" fillId="0" borderId="0" xfId="0" applyNumberFormat="1" applyFont="1" applyFill="1" applyAlignment="1">
      <alignment horizontal="left" vertical="center"/>
    </xf>
    <xf numFmtId="3" fontId="34" fillId="0" borderId="17" xfId="0" applyNumberFormat="1" applyFont="1" applyFill="1" applyBorder="1"/>
    <xf numFmtId="0" fontId="6" fillId="0" borderId="0" xfId="0" applyFont="1" applyAlignment="1">
      <alignment horizontal="center" vertical="center"/>
    </xf>
    <xf numFmtId="0" fontId="17" fillId="0" borderId="0" xfId="9" applyFill="1" applyBorder="1" applyAlignment="1">
      <alignment horizontal="center"/>
    </xf>
    <xf numFmtId="0" fontId="17" fillId="0" borderId="0" xfId="9" applyFill="1" applyAlignment="1">
      <alignment horizontal="center"/>
    </xf>
    <xf numFmtId="3" fontId="0" fillId="0" borderId="0" xfId="0" applyNumberFormat="1" applyFill="1"/>
    <xf numFmtId="3" fontId="0" fillId="0" borderId="26" xfId="0" applyNumberFormat="1" applyFill="1" applyBorder="1"/>
    <xf numFmtId="3" fontId="0" fillId="0" borderId="14" xfId="0" applyNumberFormat="1" applyFill="1" applyBorder="1"/>
    <xf numFmtId="0" fontId="48" fillId="0" borderId="0" xfId="14" applyFont="1" applyAlignment="1">
      <alignment horizontal="center" vertical="top" wrapText="1"/>
    </xf>
    <xf numFmtId="0" fontId="48" fillId="0" borderId="0" xfId="14" applyFont="1" applyBorder="1" applyAlignment="1">
      <alignment horizontal="center" vertical="top" wrapText="1"/>
    </xf>
    <xf numFmtId="3" fontId="47" fillId="0" borderId="73" xfId="14" applyNumberFormat="1" applyBorder="1" applyAlignment="1">
      <alignment wrapText="1"/>
    </xf>
    <xf numFmtId="3" fontId="50" fillId="2" borderId="73" xfId="14" applyNumberFormat="1" applyFont="1" applyFill="1" applyBorder="1" applyAlignment="1">
      <alignment vertical="center" wrapText="1"/>
    </xf>
    <xf numFmtId="49" fontId="19" fillId="0" borderId="22" xfId="7" applyNumberFormat="1" applyFont="1" applyFill="1" applyBorder="1" applyAlignment="1">
      <alignment horizontal="center" vertical="center" wrapText="1"/>
    </xf>
    <xf numFmtId="14" fontId="19" fillId="0" borderId="22" xfId="7" applyNumberFormat="1" applyFont="1" applyFill="1" applyBorder="1" applyAlignment="1">
      <alignment vertical="center" wrapText="1"/>
    </xf>
    <xf numFmtId="0" fontId="19" fillId="0" borderId="22" xfId="0" applyFont="1" applyBorder="1" applyAlignment="1">
      <alignment vertical="center" wrapText="1"/>
    </xf>
    <xf numFmtId="3" fontId="30" fillId="0" borderId="75" xfId="8" applyNumberFormat="1" applyFont="1" applyBorder="1" applyAlignment="1">
      <alignment horizontal="right" vertical="center" wrapText="1"/>
    </xf>
    <xf numFmtId="0" fontId="19" fillId="0" borderId="18" xfId="0" applyFont="1" applyBorder="1" applyAlignment="1">
      <alignment horizontal="center"/>
    </xf>
    <xf numFmtId="14" fontId="19" fillId="0" borderId="18" xfId="0" applyNumberFormat="1" applyFont="1" applyBorder="1"/>
    <xf numFmtId="0" fontId="54" fillId="0" borderId="18" xfId="0" applyFont="1" applyBorder="1" applyAlignment="1">
      <alignment horizontal="center"/>
    </xf>
    <xf numFmtId="14" fontId="54" fillId="0" borderId="18" xfId="0" applyNumberFormat="1" applyFont="1" applyBorder="1"/>
    <xf numFmtId="0" fontId="54" fillId="0" borderId="18" xfId="0" applyFont="1" applyBorder="1"/>
    <xf numFmtId="3" fontId="54" fillId="0" borderId="18" xfId="0" applyNumberFormat="1" applyFont="1" applyBorder="1"/>
    <xf numFmtId="0" fontId="54" fillId="0" borderId="7" xfId="0" applyFont="1" applyBorder="1"/>
    <xf numFmtId="0" fontId="54" fillId="0" borderId="40" xfId="0" applyFont="1" applyBorder="1" applyAlignment="1">
      <alignment horizontal="center"/>
    </xf>
    <xf numFmtId="0" fontId="54" fillId="0" borderId="40" xfId="0" applyFont="1" applyBorder="1" applyAlignment="1">
      <alignment horizontal="right"/>
    </xf>
    <xf numFmtId="0" fontId="54" fillId="0" borderId="40" xfId="0" applyFont="1" applyBorder="1"/>
    <xf numFmtId="3" fontId="54" fillId="0" borderId="40" xfId="0" applyNumberFormat="1" applyFont="1" applyBorder="1"/>
    <xf numFmtId="0" fontId="19" fillId="0" borderId="40" xfId="0" applyFont="1" applyBorder="1" applyAlignment="1">
      <alignment vertical="center"/>
    </xf>
    <xf numFmtId="0" fontId="14" fillId="0" borderId="0" xfId="4" applyFont="1" applyAlignment="1">
      <alignment horizontal="center"/>
    </xf>
    <xf numFmtId="0" fontId="14" fillId="0" borderId="0" xfId="4" applyFont="1" applyAlignment="1">
      <alignment horizontal="center" vertical="center" wrapText="1"/>
    </xf>
    <xf numFmtId="3" fontId="24" fillId="0" borderId="19" xfId="4" applyNumberFormat="1" applyFont="1" applyFill="1" applyBorder="1" applyAlignment="1">
      <alignment horizontal="right" vertical="center" wrapText="1"/>
    </xf>
    <xf numFmtId="3" fontId="0" fillId="0" borderId="34" xfId="0" applyNumberFormat="1" applyFill="1" applyBorder="1"/>
    <xf numFmtId="3" fontId="0" fillId="0" borderId="28" xfId="0" applyNumberFormat="1" applyFill="1" applyBorder="1"/>
    <xf numFmtId="49" fontId="0" fillId="0" borderId="0" xfId="0" applyNumberFormat="1" applyFill="1"/>
    <xf numFmtId="0" fontId="17" fillId="0" borderId="0" xfId="0" applyFont="1" applyFill="1"/>
    <xf numFmtId="3" fontId="7" fillId="0" borderId="0" xfId="0" applyNumberFormat="1" applyFont="1" applyFill="1"/>
    <xf numFmtId="0" fontId="7" fillId="0" borderId="0" xfId="0" applyFont="1" applyFill="1"/>
    <xf numFmtId="49" fontId="7" fillId="0" borderId="0" xfId="0" applyNumberFormat="1" applyFont="1" applyFill="1"/>
    <xf numFmtId="0" fontId="27" fillId="0" borderId="0" xfId="0" applyFont="1" applyFill="1"/>
    <xf numFmtId="0" fontId="57" fillId="0" borderId="0" xfId="0" applyFont="1" applyFill="1"/>
    <xf numFmtId="3" fontId="27" fillId="0" borderId="0" xfId="0" applyNumberFormat="1" applyFont="1" applyFill="1"/>
    <xf numFmtId="0" fontId="19" fillId="0" borderId="0" xfId="0" applyFont="1" applyFill="1"/>
    <xf numFmtId="3" fontId="19" fillId="0" borderId="0" xfId="0" applyNumberFormat="1" applyFont="1" applyFill="1"/>
    <xf numFmtId="0" fontId="27" fillId="0" borderId="0" xfId="0" applyFont="1" applyFill="1" applyBorder="1"/>
    <xf numFmtId="3" fontId="19" fillId="0" borderId="72" xfId="0" applyNumberFormat="1" applyFont="1" applyFill="1" applyBorder="1"/>
    <xf numFmtId="0" fontId="3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right"/>
    </xf>
    <xf numFmtId="49" fontId="0" fillId="0" borderId="0" xfId="0" applyNumberFormat="1" applyFill="1" applyBorder="1" applyAlignment="1">
      <alignment horizontal="center"/>
    </xf>
    <xf numFmtId="3" fontId="0" fillId="0" borderId="41" xfId="0" applyNumberFormat="1" applyFill="1" applyBorder="1"/>
    <xf numFmtId="165" fontId="0" fillId="0" borderId="0" xfId="0" applyNumberFormat="1" applyFill="1"/>
    <xf numFmtId="0" fontId="0" fillId="0" borderId="0" xfId="0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0" fillId="0" borderId="1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3" fontId="2" fillId="0" borderId="0" xfId="0" applyNumberFormat="1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9" fontId="7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49" fontId="0" fillId="0" borderId="55" xfId="0" applyNumberFormat="1" applyFill="1" applyBorder="1" applyAlignment="1">
      <alignment horizontal="center"/>
    </xf>
    <xf numFmtId="0" fontId="17" fillId="0" borderId="55" xfId="9" applyFill="1" applyBorder="1" applyAlignment="1">
      <alignment horizontal="center"/>
    </xf>
    <xf numFmtId="0" fontId="17" fillId="0" borderId="55" xfId="9" applyFont="1" applyFill="1" applyBorder="1" applyAlignment="1">
      <alignment horizontal="center"/>
    </xf>
    <xf numFmtId="3" fontId="4" fillId="0" borderId="28" xfId="0" applyNumberFormat="1" applyFont="1" applyFill="1" applyBorder="1" applyAlignment="1">
      <alignment horizontal="center" vertical="center"/>
    </xf>
    <xf numFmtId="3" fontId="4" fillId="0" borderId="28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right" vertical="center"/>
    </xf>
    <xf numFmtId="49" fontId="2" fillId="0" borderId="0" xfId="0" applyNumberFormat="1" applyFont="1" applyFill="1" applyAlignment="1">
      <alignment horizontal="right" vertical="center"/>
    </xf>
    <xf numFmtId="3" fontId="7" fillId="0" borderId="0" xfId="0" applyNumberFormat="1" applyFont="1" applyFill="1" applyAlignment="1">
      <alignment vertical="center"/>
    </xf>
    <xf numFmtId="0" fontId="49" fillId="0" borderId="74" xfId="14" applyFont="1" applyBorder="1" applyAlignment="1">
      <alignment horizontal="center" vertical="top" wrapText="1"/>
    </xf>
    <xf numFmtId="49" fontId="7" fillId="0" borderId="0" xfId="0" applyNumberFormat="1" applyFont="1" applyFill="1" applyAlignment="1">
      <alignment horizontal="left" vertical="center"/>
    </xf>
    <xf numFmtId="0" fontId="43" fillId="0" borderId="0" xfId="0" applyFont="1" applyAlignment="1">
      <alignment horizontal="center"/>
    </xf>
    <xf numFmtId="0" fontId="14" fillId="0" borderId="18" xfId="15" applyFont="1" applyBorder="1" applyAlignment="1" applyProtection="1">
      <alignment horizontal="center" vertical="center"/>
      <protection hidden="1"/>
    </xf>
    <xf numFmtId="0" fontId="6" fillId="0" borderId="0" xfId="0" applyFont="1"/>
    <xf numFmtId="0" fontId="14" fillId="0" borderId="18" xfId="15" applyFont="1" applyBorder="1" applyAlignment="1" applyProtection="1">
      <alignment horizontal="center" vertical="center" wrapText="1"/>
      <protection hidden="1"/>
    </xf>
    <xf numFmtId="0" fontId="15" fillId="0" borderId="18" xfId="15" applyFont="1" applyBorder="1" applyAlignment="1" applyProtection="1">
      <alignment vertical="center"/>
      <protection hidden="1"/>
    </xf>
    <xf numFmtId="3" fontId="15" fillId="0" borderId="18" xfId="15" applyNumberFormat="1" applyFont="1" applyBorder="1" applyAlignment="1" applyProtection="1">
      <alignment vertical="center"/>
      <protection hidden="1"/>
    </xf>
    <xf numFmtId="3" fontId="14" fillId="0" borderId="18" xfId="0" applyNumberFormat="1" applyFont="1" applyBorder="1"/>
    <xf numFmtId="3" fontId="14" fillId="7" borderId="18" xfId="15" applyNumberFormat="1" applyFont="1" applyFill="1" applyBorder="1" applyAlignment="1" applyProtection="1">
      <alignment vertical="center"/>
      <protection hidden="1"/>
    </xf>
    <xf numFmtId="0" fontId="15" fillId="0" borderId="18" xfId="15" applyFont="1" applyBorder="1" applyAlignment="1" applyProtection="1">
      <alignment horizontal="left" vertical="center"/>
      <protection hidden="1"/>
    </xf>
    <xf numFmtId="0" fontId="15" fillId="0" borderId="18" xfId="15" applyFont="1" applyBorder="1" applyAlignment="1" applyProtection="1">
      <alignment horizontal="left" vertical="center" wrapText="1"/>
      <protection hidden="1"/>
    </xf>
    <xf numFmtId="0" fontId="14" fillId="0" borderId="18" xfId="15" applyFont="1" applyBorder="1" applyAlignment="1" applyProtection="1">
      <alignment vertical="center"/>
      <protection hidden="1"/>
    </xf>
    <xf numFmtId="3" fontId="14" fillId="0" borderId="18" xfId="15" applyNumberFormat="1" applyFont="1" applyBorder="1" applyAlignment="1" applyProtection="1">
      <alignment vertical="center"/>
      <protection hidden="1"/>
    </xf>
    <xf numFmtId="0" fontId="14" fillId="0" borderId="0" xfId="0" applyFont="1"/>
    <xf numFmtId="0" fontId="16" fillId="7" borderId="18" xfId="15" applyFont="1" applyFill="1" applyBorder="1" applyAlignment="1" applyProtection="1">
      <alignment vertical="center"/>
      <protection hidden="1"/>
    </xf>
    <xf numFmtId="3" fontId="16" fillId="7" borderId="18" xfId="15" applyNumberFormat="1" applyFont="1" applyFill="1" applyBorder="1" applyAlignment="1" applyProtection="1">
      <alignment vertical="center"/>
      <protection hidden="1"/>
    </xf>
    <xf numFmtId="0" fontId="16" fillId="0" borderId="0" xfId="0" applyFont="1"/>
    <xf numFmtId="0" fontId="15" fillId="0" borderId="0" xfId="15" applyFont="1" applyAlignment="1" applyProtection="1">
      <alignment vertical="center"/>
      <protection hidden="1"/>
    </xf>
    <xf numFmtId="3" fontId="15" fillId="0" borderId="0" xfId="15" applyNumberFormat="1" applyFont="1" applyAlignment="1" applyProtection="1">
      <alignment vertical="center"/>
      <protection hidden="1"/>
    </xf>
    <xf numFmtId="0" fontId="15" fillId="0" borderId="18" xfId="15" applyFont="1" applyBorder="1" applyAlignment="1" applyProtection="1">
      <alignment vertical="center" wrapText="1"/>
      <protection hidden="1"/>
    </xf>
    <xf numFmtId="0" fontId="60" fillId="0" borderId="18" xfId="0" applyFont="1" applyBorder="1" applyAlignment="1">
      <alignment horizontal="center" vertical="top" wrapText="1"/>
    </xf>
    <xf numFmtId="0" fontId="60" fillId="0" borderId="18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center" vertical="top" wrapText="1"/>
    </xf>
    <xf numFmtId="3" fontId="60" fillId="0" borderId="18" xfId="0" applyNumberFormat="1" applyFont="1" applyBorder="1" applyAlignment="1">
      <alignment horizontal="right" vertical="top" wrapText="1"/>
    </xf>
    <xf numFmtId="3" fontId="35" fillId="0" borderId="18" xfId="0" applyNumberFormat="1" applyFont="1" applyBorder="1"/>
    <xf numFmtId="0" fontId="59" fillId="0" borderId="18" xfId="0" applyFont="1" applyBorder="1" applyAlignment="1">
      <alignment horizontal="center" vertical="top" wrapText="1"/>
    </xf>
    <xf numFmtId="0" fontId="59" fillId="0" borderId="18" xfId="0" applyFont="1" applyBorder="1" applyAlignment="1">
      <alignment horizontal="left" vertical="top" wrapText="1"/>
    </xf>
    <xf numFmtId="3" fontId="59" fillId="0" borderId="18" xfId="0" applyNumberFormat="1" applyFont="1" applyBorder="1" applyAlignment="1">
      <alignment horizontal="right" vertical="top" wrapText="1"/>
    </xf>
    <xf numFmtId="0" fontId="43" fillId="0" borderId="0" xfId="0" applyFont="1" applyAlignment="1">
      <alignment vertical="center"/>
    </xf>
    <xf numFmtId="0" fontId="43" fillId="0" borderId="0" xfId="0" applyFont="1" applyAlignment="1"/>
    <xf numFmtId="0" fontId="9" fillId="0" borderId="18" xfId="0" applyFont="1" applyBorder="1" applyAlignment="1">
      <alignment horizontal="center" vertical="top" wrapText="1"/>
    </xf>
    <xf numFmtId="0" fontId="9" fillId="0" borderId="18" xfId="0" applyFont="1" applyBorder="1" applyAlignment="1">
      <alignment horizontal="left" vertical="top" wrapText="1"/>
    </xf>
    <xf numFmtId="3" fontId="9" fillId="0" borderId="18" xfId="0" applyNumberFormat="1" applyFont="1" applyBorder="1" applyAlignment="1">
      <alignment horizontal="right" vertical="top" wrapText="1"/>
    </xf>
    <xf numFmtId="9" fontId="0" fillId="0" borderId="18" xfId="0" applyNumberFormat="1" applyBorder="1"/>
    <xf numFmtId="0" fontId="26" fillId="0" borderId="18" xfId="0" applyFont="1" applyBorder="1" applyAlignment="1">
      <alignment horizontal="center" vertical="top" wrapText="1"/>
    </xf>
    <xf numFmtId="0" fontId="26" fillId="0" borderId="18" xfId="0" applyFont="1" applyBorder="1" applyAlignment="1">
      <alignment horizontal="left" vertical="top" wrapText="1"/>
    </xf>
    <xf numFmtId="3" fontId="26" fillId="0" borderId="18" xfId="0" applyNumberFormat="1" applyFont="1" applyBorder="1" applyAlignment="1">
      <alignment horizontal="right" vertical="top" wrapText="1"/>
    </xf>
    <xf numFmtId="1" fontId="22" fillId="8" borderId="2" xfId="7" applyNumberFormat="1" applyFont="1" applyFill="1" applyBorder="1" applyAlignment="1">
      <alignment horizontal="center" vertical="center" wrapText="1"/>
    </xf>
    <xf numFmtId="0" fontId="55" fillId="8" borderId="18" xfId="0" applyFont="1" applyFill="1" applyBorder="1" applyAlignment="1">
      <alignment horizontal="center" vertical="top" wrapText="1"/>
    </xf>
    <xf numFmtId="0" fontId="58" fillId="8" borderId="18" xfId="17" applyFont="1" applyFill="1" applyBorder="1" applyAlignment="1">
      <alignment horizontal="center" vertical="top" wrapText="1"/>
    </xf>
    <xf numFmtId="0" fontId="60" fillId="8" borderId="18" xfId="0" applyFont="1" applyFill="1" applyBorder="1" applyAlignment="1">
      <alignment horizontal="center" vertical="top" wrapText="1"/>
    </xf>
    <xf numFmtId="0" fontId="61" fillId="8" borderId="18" xfId="0" applyFont="1" applyFill="1" applyBorder="1" applyAlignment="1">
      <alignment horizontal="center" vertical="top" wrapText="1"/>
    </xf>
    <xf numFmtId="0" fontId="62" fillId="0" borderId="18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left" vertical="center" wrapText="1"/>
    </xf>
    <xf numFmtId="3" fontId="62" fillId="0" borderId="18" xfId="0" applyNumberFormat="1" applyFont="1" applyBorder="1" applyAlignment="1">
      <alignment horizontal="right" vertical="center" wrapText="1"/>
    </xf>
    <xf numFmtId="3" fontId="63" fillId="0" borderId="18" xfId="0" applyNumberFormat="1" applyFont="1" applyBorder="1" applyAlignment="1">
      <alignment vertical="center"/>
    </xf>
    <xf numFmtId="0" fontId="64" fillId="0" borderId="18" xfId="0" applyFont="1" applyBorder="1" applyAlignment="1">
      <alignment horizontal="center" vertical="center" wrapText="1"/>
    </xf>
    <xf numFmtId="0" fontId="64" fillId="0" borderId="18" xfId="0" applyFont="1" applyBorder="1" applyAlignment="1">
      <alignment horizontal="left" vertical="center" wrapText="1"/>
    </xf>
    <xf numFmtId="3" fontId="64" fillId="0" borderId="18" xfId="0" applyNumberFormat="1" applyFont="1" applyBorder="1" applyAlignment="1">
      <alignment horizontal="right" vertical="center" wrapText="1"/>
    </xf>
    <xf numFmtId="0" fontId="65" fillId="8" borderId="18" xfId="0" applyFont="1" applyFill="1" applyBorder="1" applyAlignment="1">
      <alignment horizontal="center" vertical="center" wrapText="1"/>
    </xf>
    <xf numFmtId="0" fontId="69" fillId="0" borderId="0" xfId="0" applyFont="1" applyAlignment="1">
      <alignment wrapText="1"/>
    </xf>
    <xf numFmtId="0" fontId="68" fillId="0" borderId="0" xfId="0" applyFont="1" applyAlignment="1">
      <alignment wrapText="1"/>
    </xf>
    <xf numFmtId="3" fontId="68" fillId="0" borderId="0" xfId="0" applyNumberFormat="1" applyFont="1"/>
    <xf numFmtId="166" fontId="14" fillId="0" borderId="0" xfId="0" applyNumberFormat="1" applyFont="1" applyAlignment="1">
      <alignment vertical="center"/>
    </xf>
    <xf numFmtId="166" fontId="14" fillId="0" borderId="0" xfId="0" applyNumberFormat="1" applyFont="1"/>
    <xf numFmtId="166" fontId="14" fillId="0" borderId="0" xfId="0" applyNumberFormat="1" applyFont="1" applyAlignment="1">
      <alignment horizontal="center"/>
    </xf>
    <xf numFmtId="43" fontId="68" fillId="0" borderId="0" xfId="16" applyFont="1"/>
    <xf numFmtId="0" fontId="0" fillId="0" borderId="0" xfId="0" applyFont="1"/>
    <xf numFmtId="0" fontId="67" fillId="8" borderId="18" xfId="0" applyFont="1" applyFill="1" applyBorder="1" applyAlignment="1">
      <alignment horizontal="center" wrapText="1"/>
    </xf>
    <xf numFmtId="0" fontId="68" fillId="8" borderId="18" xfId="0" applyFont="1" applyFill="1" applyBorder="1" applyAlignment="1">
      <alignment horizontal="center"/>
    </xf>
    <xf numFmtId="0" fontId="69" fillId="0" borderId="18" xfId="0" applyFont="1" applyBorder="1" applyAlignment="1">
      <alignment wrapText="1"/>
    </xf>
    <xf numFmtId="0" fontId="68" fillId="0" borderId="18" xfId="0" applyFont="1" applyBorder="1" applyAlignment="1">
      <alignment wrapText="1"/>
    </xf>
    <xf numFmtId="0" fontId="67" fillId="0" borderId="18" xfId="0" applyFont="1" applyBorder="1" applyAlignment="1">
      <alignment wrapText="1"/>
    </xf>
    <xf numFmtId="3" fontId="68" fillId="0" borderId="18" xfId="0" applyNumberFormat="1" applyFont="1" applyBorder="1"/>
    <xf numFmtId="43" fontId="68" fillId="0" borderId="18" xfId="16" applyFont="1" applyBorder="1"/>
    <xf numFmtId="0" fontId="70" fillId="0" borderId="18" xfId="0" applyFont="1" applyBorder="1" applyAlignment="1">
      <alignment wrapText="1"/>
    </xf>
    <xf numFmtId="3" fontId="70" fillId="0" borderId="18" xfId="0" applyNumberFormat="1" applyFont="1" applyBorder="1"/>
    <xf numFmtId="43" fontId="70" fillId="0" borderId="18" xfId="16" applyFont="1" applyBorder="1"/>
    <xf numFmtId="0" fontId="68" fillId="0" borderId="18" xfId="0" applyFont="1" applyBorder="1" applyAlignment="1">
      <alignment horizontal="center" wrapText="1"/>
    </xf>
    <xf numFmtId="0" fontId="67" fillId="12" borderId="18" xfId="0" applyFont="1" applyFill="1" applyBorder="1" applyAlignment="1">
      <alignment wrapText="1"/>
    </xf>
    <xf numFmtId="0" fontId="70" fillId="12" borderId="18" xfId="0" applyFont="1" applyFill="1" applyBorder="1" applyAlignment="1">
      <alignment wrapText="1"/>
    </xf>
    <xf numFmtId="3" fontId="70" fillId="12" borderId="18" xfId="0" applyNumberFormat="1" applyFont="1" applyFill="1" applyBorder="1"/>
    <xf numFmtId="43" fontId="70" fillId="12" borderId="18" xfId="16" applyFont="1" applyFill="1" applyBorder="1"/>
    <xf numFmtId="14" fontId="54" fillId="0" borderId="22" xfId="0" applyNumberFormat="1" applyFont="1" applyBorder="1"/>
    <xf numFmtId="0" fontId="54" fillId="0" borderId="22" xfId="0" applyFont="1" applyBorder="1"/>
    <xf numFmtId="0" fontId="19" fillId="0" borderId="22" xfId="0" applyFont="1" applyBorder="1" applyAlignment="1">
      <alignment vertical="center"/>
    </xf>
    <xf numFmtId="3" fontId="54" fillId="0" borderId="22" xfId="0" applyNumberFormat="1" applyFont="1" applyBorder="1"/>
    <xf numFmtId="0" fontId="19" fillId="0" borderId="70" xfId="7" applyFont="1" applyFill="1" applyBorder="1" applyAlignment="1">
      <alignment vertical="center" wrapText="1"/>
    </xf>
    <xf numFmtId="3" fontId="19" fillId="0" borderId="22" xfId="7" applyNumberFormat="1" applyFont="1" applyFill="1" applyBorder="1" applyAlignment="1">
      <alignment horizontal="right" vertical="center" wrapText="1"/>
    </xf>
    <xf numFmtId="0" fontId="15" fillId="0" borderId="53" xfId="0" applyFont="1" applyBorder="1" applyAlignment="1">
      <alignment vertical="center" wrapText="1"/>
    </xf>
    <xf numFmtId="3" fontId="27" fillId="0" borderId="61" xfId="0" applyNumberFormat="1" applyFont="1" applyBorder="1"/>
    <xf numFmtId="3" fontId="15" fillId="0" borderId="18" xfId="0" applyNumberFormat="1" applyFont="1" applyFill="1" applyBorder="1"/>
    <xf numFmtId="3" fontId="27" fillId="0" borderId="23" xfId="0" applyNumberFormat="1" applyFont="1" applyFill="1" applyBorder="1" applyAlignment="1">
      <alignment vertical="center"/>
    </xf>
    <xf numFmtId="3" fontId="27" fillId="0" borderId="63" xfId="0" applyNumberFormat="1" applyFont="1" applyFill="1" applyBorder="1"/>
    <xf numFmtId="3" fontId="27" fillId="0" borderId="61" xfId="0" applyNumberFormat="1" applyFont="1" applyFill="1" applyBorder="1"/>
    <xf numFmtId="0" fontId="28" fillId="0" borderId="0" xfId="0" applyFont="1"/>
    <xf numFmtId="0" fontId="19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2" fillId="2" borderId="17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left" vertical="center" wrapText="1"/>
    </xf>
    <xf numFmtId="0" fontId="22" fillId="0" borderId="36" xfId="0" applyFont="1" applyBorder="1" applyAlignment="1">
      <alignment vertical="center" wrapText="1"/>
    </xf>
    <xf numFmtId="0" fontId="24" fillId="6" borderId="24" xfId="0" applyFont="1" applyFill="1" applyBorder="1" applyAlignment="1">
      <alignment vertical="center" wrapText="1"/>
    </xf>
    <xf numFmtId="3" fontId="21" fillId="0" borderId="24" xfId="0" applyNumberFormat="1" applyFont="1" applyBorder="1" applyAlignment="1">
      <alignment vertical="center" wrapText="1"/>
    </xf>
    <xf numFmtId="3" fontId="21" fillId="0" borderId="45" xfId="0" applyNumberFormat="1" applyFont="1" applyBorder="1" applyAlignment="1">
      <alignment vertical="center" wrapText="1"/>
    </xf>
    <xf numFmtId="0" fontId="24" fillId="0" borderId="24" xfId="0" applyFont="1" applyBorder="1" applyAlignment="1">
      <alignment horizontal="center" vertical="center" wrapText="1"/>
    </xf>
    <xf numFmtId="0" fontId="23" fillId="0" borderId="36" xfId="0" applyFont="1" applyBorder="1" applyAlignment="1">
      <alignment vertical="center" wrapText="1"/>
    </xf>
    <xf numFmtId="14" fontId="24" fillId="0" borderId="24" xfId="0" applyNumberFormat="1" applyFont="1" applyBorder="1" applyAlignment="1">
      <alignment vertical="center" wrapText="1"/>
    </xf>
    <xf numFmtId="0" fontId="19" fillId="0" borderId="44" xfId="0" applyFont="1" applyBorder="1"/>
    <xf numFmtId="0" fontId="19" fillId="0" borderId="24" xfId="0" applyFont="1" applyBorder="1"/>
    <xf numFmtId="3" fontId="24" fillId="0" borderId="45" xfId="0" applyNumberFormat="1" applyFont="1" applyBorder="1" applyAlignment="1">
      <alignment vertical="center" wrapText="1"/>
    </xf>
    <xf numFmtId="0" fontId="21" fillId="0" borderId="24" xfId="0" applyFont="1" applyBorder="1" applyAlignment="1">
      <alignment horizontal="left" vertical="center" wrapText="1"/>
    </xf>
    <xf numFmtId="0" fontId="23" fillId="0" borderId="36" xfId="0" quotePrefix="1" applyFont="1" applyBorder="1" applyAlignment="1">
      <alignment vertical="center" wrapText="1"/>
    </xf>
    <xf numFmtId="0" fontId="23" fillId="0" borderId="38" xfId="0" applyFont="1" applyBorder="1" applyAlignment="1">
      <alignment vertical="center" wrapText="1"/>
    </xf>
    <xf numFmtId="0" fontId="24" fillId="0" borderId="51" xfId="0" applyFont="1" applyBorder="1" applyAlignment="1">
      <alignment horizontal="right" vertical="center" wrapText="1"/>
    </xf>
    <xf numFmtId="3" fontId="24" fillId="0" borderId="52" xfId="0" applyNumberFormat="1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3" fontId="22" fillId="0" borderId="17" xfId="0" applyNumberFormat="1" applyFont="1" applyBorder="1" applyAlignment="1">
      <alignment vertical="center" wrapText="1"/>
    </xf>
    <xf numFmtId="3" fontId="22" fillId="0" borderId="3" xfId="0" applyNumberFormat="1" applyFont="1" applyBorder="1" applyAlignment="1">
      <alignment vertical="center" wrapText="1"/>
    </xf>
    <xf numFmtId="3" fontId="2" fillId="0" borderId="0" xfId="0" applyNumberFormat="1" applyFont="1" applyFill="1" applyAlignment="1">
      <alignment horizontal="left" vertical="center"/>
    </xf>
    <xf numFmtId="3" fontId="7" fillId="0" borderId="0" xfId="0" applyNumberFormat="1" applyFont="1" applyFill="1" applyAlignment="1">
      <alignment horizontal="left" vertical="center"/>
    </xf>
    <xf numFmtId="0" fontId="43" fillId="0" borderId="0" xfId="0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right" vertical="center"/>
    </xf>
    <xf numFmtId="166" fontId="13" fillId="0" borderId="0" xfId="0" applyNumberFormat="1" applyFont="1" applyAlignment="1">
      <alignment horizontal="right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7" fillId="0" borderId="0" xfId="0" applyNumberFormat="1" applyFont="1" applyFill="1" applyAlignment="1">
      <alignment vertical="center"/>
    </xf>
    <xf numFmtId="3" fontId="27" fillId="0" borderId="0" xfId="0" applyNumberFormat="1" applyFont="1" applyFill="1" applyBorder="1"/>
    <xf numFmtId="0" fontId="60" fillId="0" borderId="0" xfId="0" applyFont="1"/>
    <xf numFmtId="0" fontId="71" fillId="0" borderId="0" xfId="0" applyFont="1" applyAlignment="1">
      <alignment horizontal="center"/>
    </xf>
    <xf numFmtId="0" fontId="60" fillId="0" borderId="0" xfId="0" applyFont="1" applyAlignment="1">
      <alignment horizontal="right"/>
    </xf>
    <xf numFmtId="0" fontId="41" fillId="0" borderId="0" xfId="0" applyFont="1"/>
    <xf numFmtId="0" fontId="59" fillId="0" borderId="4" xfId="0" applyFont="1" applyBorder="1" applyAlignment="1">
      <alignment horizontal="center" vertical="center" wrapText="1"/>
    </xf>
    <xf numFmtId="0" fontId="59" fillId="0" borderId="34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0" fontId="60" fillId="0" borderId="13" xfId="0" applyFont="1" applyBorder="1"/>
    <xf numFmtId="3" fontId="60" fillId="0" borderId="18" xfId="0" applyNumberFormat="1" applyFont="1" applyBorder="1"/>
    <xf numFmtId="167" fontId="60" fillId="0" borderId="19" xfId="18" applyNumberFormat="1" applyFont="1" applyFill="1" applyBorder="1"/>
    <xf numFmtId="168" fontId="60" fillId="0" borderId="14" xfId="0" applyNumberFormat="1" applyFont="1" applyBorder="1"/>
    <xf numFmtId="0" fontId="60" fillId="0" borderId="42" xfId="0" applyFont="1" applyBorder="1"/>
    <xf numFmtId="3" fontId="60" fillId="0" borderId="22" xfId="0" applyNumberFormat="1" applyFont="1" applyBorder="1"/>
    <xf numFmtId="167" fontId="60" fillId="0" borderId="32" xfId="18" applyNumberFormat="1" applyFont="1" applyFill="1" applyBorder="1"/>
    <xf numFmtId="168" fontId="60" fillId="0" borderId="75" xfId="0" applyNumberFormat="1" applyFont="1" applyBorder="1"/>
    <xf numFmtId="0" fontId="59" fillId="0" borderId="7" xfId="0" applyFont="1" applyBorder="1" applyAlignment="1">
      <alignment vertical="center"/>
    </xf>
    <xf numFmtId="3" fontId="59" fillId="0" borderId="40" xfId="0" applyNumberFormat="1" applyFont="1" applyBorder="1" applyAlignment="1">
      <alignment vertical="center"/>
    </xf>
    <xf numFmtId="167" fontId="59" fillId="0" borderId="8" xfId="18" applyNumberFormat="1" applyFont="1" applyFill="1" applyBorder="1" applyAlignment="1">
      <alignment vertical="center"/>
    </xf>
    <xf numFmtId="168" fontId="60" fillId="0" borderId="27" xfId="0" applyNumberFormat="1" applyFont="1" applyBorder="1"/>
    <xf numFmtId="0" fontId="72" fillId="0" borderId="0" xfId="0" applyFont="1"/>
    <xf numFmtId="0" fontId="62" fillId="0" borderId="0" xfId="0" applyFont="1" applyAlignment="1">
      <alignment horizontal="center"/>
    </xf>
    <xf numFmtId="0" fontId="62" fillId="0" borderId="0" xfId="0" applyFont="1" applyAlignment="1">
      <alignment horizontal="right"/>
    </xf>
    <xf numFmtId="3" fontId="0" fillId="0" borderId="55" xfId="0" applyNumberFormat="1" applyFill="1" applyBorder="1"/>
    <xf numFmtId="3" fontId="47" fillId="0" borderId="73" xfId="14" applyNumberFormat="1" applyFill="1" applyBorder="1" applyAlignment="1">
      <alignment wrapText="1"/>
    </xf>
    <xf numFmtId="3" fontId="47" fillId="0" borderId="73" xfId="14" applyNumberFormat="1" applyFill="1" applyBorder="1"/>
    <xf numFmtId="3" fontId="54" fillId="0" borderId="22" xfId="0" applyNumberFormat="1" applyFont="1" applyFill="1" applyBorder="1"/>
    <xf numFmtId="0" fontId="19" fillId="0" borderId="66" xfId="0" applyFont="1" applyFill="1" applyBorder="1" applyAlignment="1">
      <alignment wrapText="1"/>
    </xf>
    <xf numFmtId="3" fontId="24" fillId="0" borderId="21" xfId="7" applyNumberFormat="1" applyFont="1" applyFill="1" applyBorder="1" applyAlignment="1">
      <alignment vertical="center" wrapText="1"/>
    </xf>
    <xf numFmtId="3" fontId="62" fillId="0" borderId="0" xfId="0" applyNumberFormat="1" applyFont="1" applyAlignment="1"/>
    <xf numFmtId="3" fontId="38" fillId="0" borderId="21" xfId="0" applyNumberFormat="1" applyFont="1" applyFill="1" applyBorder="1"/>
    <xf numFmtId="3" fontId="38" fillId="0" borderId="50" xfId="0" applyNumberFormat="1" applyFont="1" applyBorder="1"/>
    <xf numFmtId="3" fontId="38" fillId="0" borderId="49" xfId="0" applyNumberFormat="1" applyFont="1" applyBorder="1"/>
    <xf numFmtId="0" fontId="2" fillId="0" borderId="0" xfId="0" applyFont="1" applyFill="1" applyAlignment="1">
      <alignment horizontal="righ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4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1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left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8" borderId="18" xfId="0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9" fillId="0" borderId="18" xfId="0" applyFont="1" applyFill="1" applyBorder="1" applyAlignment="1">
      <alignment horizontal="left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64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30" fillId="0" borderId="18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center"/>
    </xf>
    <xf numFmtId="0" fontId="19" fillId="0" borderId="64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18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3" fontId="1" fillId="0" borderId="33" xfId="0" applyNumberFormat="1" applyFont="1" applyBorder="1" applyAlignment="1">
      <alignment horizontal="center"/>
    </xf>
    <xf numFmtId="3" fontId="1" fillId="0" borderId="56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left" vertical="center"/>
    </xf>
    <xf numFmtId="3" fontId="1" fillId="0" borderId="68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3" fontId="7" fillId="0" borderId="0" xfId="0" applyNumberFormat="1" applyFont="1" applyFill="1" applyAlignment="1">
      <alignment horizontal="left" vertical="center"/>
    </xf>
    <xf numFmtId="0" fontId="30" fillId="2" borderId="60" xfId="7" applyFont="1" applyFill="1" applyBorder="1" applyAlignment="1">
      <alignment horizontal="center" vertical="center" wrapText="1"/>
    </xf>
    <xf numFmtId="0" fontId="30" fillId="2" borderId="63" xfId="7" applyFont="1" applyFill="1" applyBorder="1" applyAlignment="1">
      <alignment horizontal="center" vertical="center" wrapText="1"/>
    </xf>
    <xf numFmtId="0" fontId="30" fillId="2" borderId="58" xfId="7" applyFont="1" applyFill="1" applyBorder="1" applyAlignment="1">
      <alignment horizontal="center" vertical="center" wrapText="1"/>
    </xf>
    <xf numFmtId="0" fontId="30" fillId="2" borderId="79" xfId="7" applyFont="1" applyFill="1" applyBorder="1" applyAlignment="1">
      <alignment horizontal="center" vertical="center" wrapText="1"/>
    </xf>
    <xf numFmtId="0" fontId="30" fillId="2" borderId="23" xfId="7" applyFont="1" applyFill="1" applyBorder="1" applyAlignment="1">
      <alignment horizontal="center" vertical="center" wrapText="1"/>
    </xf>
    <xf numFmtId="0" fontId="30" fillId="2" borderId="25" xfId="7" applyFont="1" applyFill="1" applyBorder="1" applyAlignment="1">
      <alignment horizontal="center" vertical="center" wrapText="1"/>
    </xf>
    <xf numFmtId="0" fontId="29" fillId="0" borderId="0" xfId="7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0" fillId="2" borderId="24" xfId="7" applyFont="1" applyFill="1" applyBorder="1" applyAlignment="1">
      <alignment horizontal="center" vertical="center" wrapText="1"/>
    </xf>
    <xf numFmtId="49" fontId="30" fillId="2" borderId="23" xfId="7" applyNumberFormat="1" applyFont="1" applyFill="1" applyBorder="1" applyAlignment="1">
      <alignment horizontal="center" vertical="center" wrapText="1"/>
    </xf>
    <xf numFmtId="49" fontId="30" fillId="2" borderId="51" xfId="7" applyNumberFormat="1" applyFont="1" applyFill="1" applyBorder="1" applyAlignment="1">
      <alignment horizontal="center" vertical="center" wrapText="1"/>
    </xf>
    <xf numFmtId="0" fontId="30" fillId="2" borderId="59" xfId="7" applyFont="1" applyFill="1" applyBorder="1" applyAlignment="1">
      <alignment horizontal="center" vertical="center" wrapText="1"/>
    </xf>
    <xf numFmtId="0" fontId="30" fillId="2" borderId="61" xfId="7" applyFont="1" applyFill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2" fillId="2" borderId="23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2" fillId="2" borderId="56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48" fillId="0" borderId="0" xfId="14" applyFont="1" applyAlignment="1">
      <alignment horizontal="center" vertical="top" wrapText="1"/>
    </xf>
    <xf numFmtId="0" fontId="14" fillId="0" borderId="0" xfId="4" applyFont="1" applyAlignment="1">
      <alignment horizontal="center"/>
    </xf>
    <xf numFmtId="0" fontId="14" fillId="0" borderId="0" xfId="4" applyFont="1" applyAlignment="1">
      <alignment horizontal="center" vertical="center" wrapText="1"/>
    </xf>
    <xf numFmtId="0" fontId="25" fillId="0" borderId="0" xfId="4" applyFont="1" applyAlignment="1">
      <alignment horizontal="center"/>
    </xf>
    <xf numFmtId="0" fontId="25" fillId="0" borderId="0" xfId="4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3" fontId="27" fillId="0" borderId="0" xfId="0" applyNumberFormat="1" applyFont="1" applyFill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32" fillId="0" borderId="32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23" fillId="0" borderId="35" xfId="0" applyFont="1" applyBorder="1" applyAlignment="1">
      <alignment horizontal="left" vertical="center" wrapText="1"/>
    </xf>
    <xf numFmtId="0" fontId="23" fillId="0" borderId="58" xfId="0" applyFont="1" applyBorder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1" fillId="8" borderId="22" xfId="0" applyFont="1" applyFill="1" applyBorder="1" applyAlignment="1">
      <alignment horizontal="center" vertical="top" wrapText="1"/>
    </xf>
    <xf numFmtId="0" fontId="41" fillId="8" borderId="21" xfId="0" applyFont="1" applyFill="1" applyBorder="1" applyAlignment="1">
      <alignment horizontal="center" vertical="top" wrapText="1"/>
    </xf>
    <xf numFmtId="0" fontId="59" fillId="8" borderId="18" xfId="0" applyFont="1" applyFill="1" applyBorder="1" applyAlignment="1">
      <alignment horizontal="center" vertical="center" wrapText="1"/>
    </xf>
    <xf numFmtId="0" fontId="35" fillId="8" borderId="18" xfId="0" applyFont="1" applyFill="1" applyBorder="1" applyAlignment="1">
      <alignment horizontal="center" vertical="center" wrapText="1"/>
    </xf>
    <xf numFmtId="0" fontId="35" fillId="8" borderId="18" xfId="0" applyFont="1" applyFill="1" applyBorder="1" applyAlignment="1">
      <alignment horizontal="center" vertical="center"/>
    </xf>
    <xf numFmtId="0" fontId="66" fillId="0" borderId="0" xfId="0" applyFont="1" applyAlignment="1">
      <alignment wrapText="1"/>
    </xf>
    <xf numFmtId="166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0" fontId="14" fillId="0" borderId="18" xfId="15" applyFont="1" applyBorder="1" applyAlignment="1" applyProtection="1">
      <alignment horizontal="center" vertical="center"/>
      <protection hidden="1"/>
    </xf>
    <xf numFmtId="3" fontId="24" fillId="0" borderId="55" xfId="7" applyNumberFormat="1" applyFont="1" applyBorder="1" applyAlignment="1">
      <alignment horizontal="left" vertical="center" wrapText="1"/>
    </xf>
    <xf numFmtId="3" fontId="19" fillId="0" borderId="0" xfId="7" applyNumberFormat="1" applyFont="1" applyAlignment="1">
      <alignment horizontal="center" vertical="center" wrapText="1"/>
    </xf>
    <xf numFmtId="3" fontId="24" fillId="0" borderId="0" xfId="7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3" fontId="19" fillId="0" borderId="0" xfId="7" applyNumberFormat="1" applyFont="1" applyFill="1" applyAlignment="1">
      <alignment horizontal="center" vertical="center" wrapText="1"/>
    </xf>
    <xf numFmtId="3" fontId="24" fillId="0" borderId="0" xfId="7" applyNumberFormat="1" applyFont="1" applyFill="1" applyAlignment="1">
      <alignment horizontal="center" vertical="center" wrapText="1"/>
    </xf>
    <xf numFmtId="0" fontId="24" fillId="0" borderId="55" xfId="7" applyFont="1" applyBorder="1" applyAlignment="1">
      <alignment horizontal="left" vertical="center" wrapText="1"/>
    </xf>
    <xf numFmtId="0" fontId="19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 vertical="center" wrapText="1"/>
    </xf>
    <xf numFmtId="49" fontId="0" fillId="0" borderId="55" xfId="0" applyNumberFormat="1" applyFill="1" applyBorder="1" applyAlignment="1">
      <alignment horizontal="center"/>
    </xf>
    <xf numFmtId="0" fontId="34" fillId="0" borderId="5" xfId="9" applyFont="1" applyFill="1" applyBorder="1" applyAlignment="1">
      <alignment horizontal="center" vertical="center" wrapText="1"/>
    </xf>
    <xf numFmtId="0" fontId="34" fillId="0" borderId="54" xfId="9" applyFont="1" applyFill="1" applyBorder="1" applyAlignment="1">
      <alignment horizontal="center" vertical="center" wrapText="1"/>
    </xf>
    <xf numFmtId="0" fontId="34" fillId="0" borderId="78" xfId="9" applyFont="1" applyFill="1" applyBorder="1" applyAlignment="1">
      <alignment horizontal="center" vertical="center" wrapText="1"/>
    </xf>
    <xf numFmtId="0" fontId="34" fillId="0" borderId="6" xfId="9" applyFont="1" applyFill="1" applyBorder="1" applyAlignment="1">
      <alignment horizontal="center" vertical="center" wrapText="1"/>
    </xf>
    <xf numFmtId="0" fontId="34" fillId="0" borderId="59" xfId="9" applyFont="1" applyFill="1" applyBorder="1" applyAlignment="1">
      <alignment horizontal="center" vertical="center" wrapText="1"/>
    </xf>
    <xf numFmtId="0" fontId="41" fillId="0" borderId="59" xfId="9" applyFont="1" applyFill="1" applyBorder="1" applyAlignment="1">
      <alignment horizontal="center" vertical="center" wrapText="1"/>
    </xf>
    <xf numFmtId="0" fontId="41" fillId="0" borderId="54" xfId="9" applyFont="1" applyFill="1" applyBorder="1" applyAlignment="1">
      <alignment horizontal="center" vertical="center" wrapText="1"/>
    </xf>
    <xf numFmtId="0" fontId="41" fillId="0" borderId="6" xfId="9" applyFont="1" applyFill="1" applyBorder="1" applyAlignment="1">
      <alignment horizontal="center" vertical="center" wrapText="1"/>
    </xf>
    <xf numFmtId="0" fontId="17" fillId="0" borderId="55" xfId="9" applyFill="1" applyBorder="1" applyAlignment="1">
      <alignment horizontal="center"/>
    </xf>
    <xf numFmtId="0" fontId="17" fillId="0" borderId="55" xfId="9" applyFont="1" applyFill="1" applyBorder="1" applyAlignment="1">
      <alignment horizontal="center"/>
    </xf>
    <xf numFmtId="0" fontId="0" fillId="0" borderId="59" xfId="9" applyFont="1" applyFill="1" applyBorder="1" applyAlignment="1">
      <alignment horizontal="center" wrapText="1"/>
    </xf>
    <xf numFmtId="0" fontId="0" fillId="0" borderId="54" xfId="9" applyFont="1" applyFill="1" applyBorder="1" applyAlignment="1">
      <alignment horizontal="center" wrapText="1"/>
    </xf>
    <xf numFmtId="0" fontId="0" fillId="0" borderId="6" xfId="9" applyFont="1" applyFill="1" applyBorder="1" applyAlignment="1">
      <alignment horizontal="center" wrapText="1"/>
    </xf>
    <xf numFmtId="0" fontId="0" fillId="0" borderId="78" xfId="9" applyFont="1" applyFill="1" applyBorder="1" applyAlignment="1">
      <alignment horizontal="center" wrapText="1"/>
    </xf>
    <xf numFmtId="0" fontId="0" fillId="0" borderId="5" xfId="9" applyFont="1" applyFill="1" applyBorder="1" applyAlignment="1">
      <alignment horizontal="center" wrapText="1"/>
    </xf>
    <xf numFmtId="0" fontId="0" fillId="0" borderId="5" xfId="9" applyFont="1" applyFill="1" applyBorder="1" applyAlignment="1">
      <alignment horizontal="center" vertical="center" wrapText="1"/>
    </xf>
    <xf numFmtId="0" fontId="0" fillId="0" borderId="54" xfId="9" applyFont="1" applyFill="1" applyBorder="1" applyAlignment="1">
      <alignment horizontal="center" vertical="center" wrapText="1"/>
    </xf>
    <xf numFmtId="0" fontId="0" fillId="0" borderId="78" xfId="9" applyFont="1" applyFill="1" applyBorder="1" applyAlignment="1">
      <alignment horizontal="center" vertical="center" wrapText="1"/>
    </xf>
    <xf numFmtId="0" fontId="17" fillId="0" borderId="5" xfId="9" applyFont="1" applyFill="1" applyBorder="1" applyAlignment="1">
      <alignment horizontal="center" wrapText="1"/>
    </xf>
    <xf numFmtId="0" fontId="17" fillId="0" borderId="54" xfId="9" applyFont="1" applyFill="1" applyBorder="1" applyAlignment="1">
      <alignment horizontal="center" wrapText="1"/>
    </xf>
    <xf numFmtId="0" fontId="17" fillId="0" borderId="78" xfId="9" applyFont="1" applyFill="1" applyBorder="1" applyAlignment="1">
      <alignment horizontal="center" wrapText="1"/>
    </xf>
    <xf numFmtId="0" fontId="17" fillId="0" borderId="5" xfId="9" applyFont="1" applyFill="1" applyBorder="1" applyAlignment="1">
      <alignment horizontal="center" vertical="center" wrapText="1"/>
    </xf>
    <xf numFmtId="0" fontId="17" fillId="0" borderId="78" xfId="9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</cellXfs>
  <cellStyles count="19">
    <cellStyle name="Comma0" xfId="2" xr:uid="{00000000-0005-0000-0000-000000000000}"/>
    <cellStyle name="Ezres" xfId="16" builtinId="3"/>
    <cellStyle name="Ezres 2" xfId="3" xr:uid="{00000000-0005-0000-0000-000001000000}"/>
    <cellStyle name="Ezres 4" xfId="8" xr:uid="{00000000-0005-0000-0000-000002000000}"/>
    <cellStyle name="Normál" xfId="0" builtinId="0"/>
    <cellStyle name="Normál 11" xfId="17" xr:uid="{7F260943-E087-4A2B-9FB9-0BA3EDD3DC45}"/>
    <cellStyle name="Normál 2" xfId="1" xr:uid="{00000000-0005-0000-0000-000004000000}"/>
    <cellStyle name="Normál 2 2" xfId="11" xr:uid="{00000000-0005-0000-0000-000005000000}"/>
    <cellStyle name="Normál 2 3" xfId="12" xr:uid="{00000000-0005-0000-0000-000006000000}"/>
    <cellStyle name="Normál 5" xfId="6" xr:uid="{00000000-0005-0000-0000-000007000000}"/>
    <cellStyle name="Normál 6" xfId="7" xr:uid="{00000000-0005-0000-0000-000008000000}"/>
    <cellStyle name="Normál 7" xfId="13" xr:uid="{00000000-0005-0000-0000-000009000000}"/>
    <cellStyle name="Normál 8" xfId="5" xr:uid="{00000000-0005-0000-0000-00000A000000}"/>
    <cellStyle name="Normál 9" xfId="9" xr:uid="{00000000-0005-0000-0000-00000B000000}"/>
    <cellStyle name="Normál_2014szerkesztett ktgvetés" xfId="14" xr:uid="{00000000-0005-0000-0000-00000D000000}"/>
    <cellStyle name="Normál_beruzásás_fejlesztés 2014 ktgvetés 2" xfId="4" xr:uid="{00000000-0005-0000-0000-00000E000000}"/>
    <cellStyle name="Normál_KVFORMÁTUM" xfId="15" xr:uid="{04124BD0-0DBB-4B3A-95FB-0D50BA132307}"/>
    <cellStyle name="Pénznem 4" xfId="10" xr:uid="{00000000-0005-0000-0000-000011000000}"/>
    <cellStyle name="Százalék" xfId="18" builtinId="5"/>
  </cellStyles>
  <dxfs count="0"/>
  <tableStyles count="0" defaultTableStyle="TableStyleMedium2" defaultPivotStyle="PivotStyleLight16"/>
  <colors>
    <mruColors>
      <color rgb="FFFF99CC"/>
      <color rgb="FFFF7DD4"/>
      <color rgb="FFFF66CC"/>
      <color rgb="FF33CCCC"/>
      <color rgb="FF66FFCC"/>
      <color rgb="FF01B7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TVCSOP1\00HITEL\00_1MOD\VEGLEG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00\02_24\INT2000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VCSOP1\00HITEL\00_1MOD\VEGLEG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TVCSOP1\00HITEL\00_1MOD\VEGLEG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TVCSOP1\99HITEL\INT992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uirvh\Asztal\K&#246;lts&#233;gvet&#233;s%202004\2003kv\munka0122\03KTVPM\03KTVIN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f%20penz\2019%20Besz&#225;mol&#243;\Hark&#225;ny%20z&#225;rsz&#225;mad&#225;s\vagyonkimutat&#225;s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>
        <row r="1">
          <cell r="J1" t="str">
            <v xml:space="preserve"> </v>
          </cell>
          <cell r="K1" t="str">
            <v xml:space="preserve"> </v>
          </cell>
          <cell r="M1" t="str">
            <v xml:space="preserve"> </v>
          </cell>
          <cell r="N1" t="str">
            <v xml:space="preserve"> </v>
          </cell>
          <cell r="T1" t="str">
            <v>PÉNZESZK.</v>
          </cell>
          <cell r="U1" t="str">
            <v>ÁTADÁSA</v>
          </cell>
          <cell r="V1" t="str">
            <v xml:space="preserve"> </v>
          </cell>
        </row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Vállalkozási</v>
          </cell>
          <cell r="G2" t="str">
            <v>Egyéb</v>
          </cell>
          <cell r="H2" t="str">
            <v>Felhalm.</v>
          </cell>
          <cell r="I2" t="str">
            <v>Intézm.</v>
          </cell>
          <cell r="J2" t="str">
            <v>Működési</v>
          </cell>
          <cell r="K2" t="str">
            <v>TB.alapok</v>
          </cell>
          <cell r="L2" t="str">
            <v>Előző évi</v>
          </cell>
          <cell r="M2" t="str">
            <v>Felhalm.</v>
          </cell>
          <cell r="N2" t="str">
            <v>E.évi</v>
          </cell>
          <cell r="O2" t="str">
            <v>E.évi váll.</v>
          </cell>
          <cell r="P2" t="str">
            <v>BEVÉTEL</v>
          </cell>
          <cell r="Q2" t="str">
            <v>Személyi</v>
          </cell>
          <cell r="R2" t="str">
            <v>TB.</v>
          </cell>
          <cell r="S2" t="str">
            <v xml:space="preserve">Dologi </v>
          </cell>
          <cell r="W2" t="str">
            <v>Ellátottak</v>
          </cell>
          <cell r="X2" t="str">
            <v>Felújitás+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bev.</v>
          </cell>
          <cell r="G3" t="str">
            <v>különf.bev.</v>
          </cell>
          <cell r="H3" t="str">
            <v>és tőkej.</v>
          </cell>
          <cell r="I3" t="str">
            <v>finansz.</v>
          </cell>
          <cell r="J3" t="str">
            <v>célra átv.</v>
          </cell>
          <cell r="K3" t="str">
            <v>támog.</v>
          </cell>
          <cell r="L3" t="str">
            <v>visszatérülések</v>
          </cell>
          <cell r="M3" t="str">
            <v>átvett pe.</v>
          </cell>
          <cell r="N3" t="str">
            <v>pénz marad.</v>
          </cell>
          <cell r="O3" t="str">
            <v>eredm.</v>
          </cell>
          <cell r="P3" t="str">
            <v>ÖSSZESEN</v>
          </cell>
          <cell r="Q3" t="str">
            <v>juttatás</v>
          </cell>
          <cell r="R3" t="str">
            <v>járulék</v>
          </cell>
          <cell r="S3" t="str">
            <v>kiadás</v>
          </cell>
          <cell r="T3" t="str">
            <v>Működés</v>
          </cell>
          <cell r="U3" t="str">
            <v>Feljesztés</v>
          </cell>
          <cell r="V3" t="str">
            <v>Egyéb támog.</v>
          </cell>
          <cell r="W3" t="str">
            <v>pénzb.jutt.</v>
          </cell>
          <cell r="X3" t="str">
            <v>Beruházás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>
            <v>1</v>
          </cell>
          <cell r="B4" t="str">
            <v>Kényszervágó Húsüzem</v>
          </cell>
          <cell r="C4">
            <v>1</v>
          </cell>
          <cell r="D4" t="str">
            <v>00előirányzat</v>
          </cell>
          <cell r="E4">
            <v>31087</v>
          </cell>
          <cell r="G4">
            <v>10170</v>
          </cell>
          <cell r="N4">
            <v>2258</v>
          </cell>
          <cell r="P4">
            <v>43515</v>
          </cell>
          <cell r="Q4">
            <v>8200</v>
          </cell>
          <cell r="R4">
            <v>4034</v>
          </cell>
          <cell r="S4">
            <v>29581</v>
          </cell>
          <cell r="X4">
            <v>1700</v>
          </cell>
          <cell r="Z4">
            <v>43515</v>
          </cell>
          <cell r="AA4">
            <v>0</v>
          </cell>
          <cell r="AB4">
            <v>43515</v>
          </cell>
        </row>
        <row r="5">
          <cell r="C5">
            <v>2</v>
          </cell>
          <cell r="D5" t="str">
            <v>jóváhagyott pénzmaradvány</v>
          </cell>
          <cell r="N5">
            <v>519</v>
          </cell>
          <cell r="P5">
            <v>519</v>
          </cell>
          <cell r="Y5">
            <v>519</v>
          </cell>
          <cell r="Z5">
            <v>519</v>
          </cell>
          <cell r="AA5">
            <v>0</v>
          </cell>
          <cell r="AB5">
            <v>519</v>
          </cell>
        </row>
        <row r="6">
          <cell r="D6" t="str">
            <v>sh1(12)</v>
          </cell>
          <cell r="E6">
            <v>2258</v>
          </cell>
          <cell r="N6">
            <v>-2258</v>
          </cell>
          <cell r="P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P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P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P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P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P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P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P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Összesen</v>
          </cell>
          <cell r="D14" t="str">
            <v>Kényszervágó Húsüzem</v>
          </cell>
          <cell r="E14">
            <v>33345</v>
          </cell>
          <cell r="F14">
            <v>0</v>
          </cell>
          <cell r="G14">
            <v>10170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519</v>
          </cell>
          <cell r="O14">
            <v>0</v>
          </cell>
          <cell r="P14">
            <v>44034</v>
          </cell>
          <cell r="Q14">
            <v>8200</v>
          </cell>
          <cell r="R14">
            <v>4034</v>
          </cell>
          <cell r="S14">
            <v>29581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1700</v>
          </cell>
          <cell r="Y14">
            <v>519</v>
          </cell>
          <cell r="Z14">
            <v>44034</v>
          </cell>
          <cell r="AA14">
            <v>0</v>
          </cell>
          <cell r="AB14">
            <v>44034</v>
          </cell>
        </row>
        <row r="15">
          <cell r="A15">
            <v>2</v>
          </cell>
          <cell r="B15" t="str">
            <v>Piac-és Vásárcsarnok</v>
          </cell>
          <cell r="C15">
            <v>1</v>
          </cell>
          <cell r="D15" t="str">
            <v>00előirányzat</v>
          </cell>
          <cell r="G15">
            <v>325000</v>
          </cell>
          <cell r="P15">
            <v>325000</v>
          </cell>
          <cell r="Q15">
            <v>47607</v>
          </cell>
          <cell r="R15">
            <v>19438</v>
          </cell>
          <cell r="S15">
            <v>111455</v>
          </cell>
          <cell r="T15">
            <v>141500</v>
          </cell>
          <cell r="X15">
            <v>5000</v>
          </cell>
          <cell r="Z15">
            <v>325000</v>
          </cell>
          <cell r="AA15">
            <v>0</v>
          </cell>
          <cell r="AB15">
            <v>325000</v>
          </cell>
        </row>
        <row r="16">
          <cell r="C16">
            <v>2</v>
          </cell>
          <cell r="D16" t="str">
            <v>jóváhagyott pénzmaradvány</v>
          </cell>
          <cell r="N16">
            <v>19317</v>
          </cell>
          <cell r="P16">
            <v>19317</v>
          </cell>
          <cell r="Y16">
            <v>19317</v>
          </cell>
          <cell r="Z16">
            <v>19317</v>
          </cell>
          <cell r="AA16">
            <v>0</v>
          </cell>
          <cell r="AB16">
            <v>19317</v>
          </cell>
        </row>
        <row r="17">
          <cell r="D17" t="str">
            <v>sh1(1)</v>
          </cell>
          <cell r="G17">
            <v>2708</v>
          </cell>
          <cell r="P17">
            <v>2708</v>
          </cell>
          <cell r="Q17">
            <v>1991</v>
          </cell>
          <cell r="R17">
            <v>717</v>
          </cell>
          <cell r="Z17">
            <v>2708</v>
          </cell>
          <cell r="AA17">
            <v>0</v>
          </cell>
          <cell r="AB17">
            <v>2708</v>
          </cell>
        </row>
        <row r="18">
          <cell r="P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P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P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P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P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P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P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Összesen</v>
          </cell>
          <cell r="D25" t="str">
            <v>Piac-és Vásárcsarnok</v>
          </cell>
          <cell r="E25">
            <v>0</v>
          </cell>
          <cell r="F25">
            <v>0</v>
          </cell>
          <cell r="G25">
            <v>327708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19317</v>
          </cell>
          <cell r="O25">
            <v>0</v>
          </cell>
          <cell r="P25">
            <v>347025</v>
          </cell>
          <cell r="Q25">
            <v>49598</v>
          </cell>
          <cell r="R25">
            <v>20155</v>
          </cell>
          <cell r="S25">
            <v>111455</v>
          </cell>
          <cell r="T25">
            <v>141500</v>
          </cell>
          <cell r="U25">
            <v>0</v>
          </cell>
          <cell r="V25">
            <v>0</v>
          </cell>
          <cell r="W25">
            <v>0</v>
          </cell>
          <cell r="X25">
            <v>5000</v>
          </cell>
          <cell r="Y25">
            <v>19317</v>
          </cell>
          <cell r="Z25">
            <v>347025</v>
          </cell>
          <cell r="AA25">
            <v>0</v>
          </cell>
          <cell r="AB25">
            <v>347025</v>
          </cell>
        </row>
        <row r="26">
          <cell r="A26">
            <v>3</v>
          </cell>
          <cell r="B26" t="str">
            <v>Egyesitett Eü.Int.Igazg.</v>
          </cell>
          <cell r="C26">
            <v>1</v>
          </cell>
          <cell r="D26" t="str">
            <v>00előirányzat</v>
          </cell>
          <cell r="E26">
            <v>26230</v>
          </cell>
          <cell r="G26">
            <v>16770</v>
          </cell>
          <cell r="I26">
            <v>979</v>
          </cell>
          <cell r="K26">
            <v>806000</v>
          </cell>
          <cell r="P26">
            <v>849979</v>
          </cell>
          <cell r="Q26">
            <v>447525</v>
          </cell>
          <cell r="R26">
            <v>161109</v>
          </cell>
          <cell r="S26">
            <v>241345</v>
          </cell>
          <cell r="Z26">
            <v>849979</v>
          </cell>
          <cell r="AA26">
            <v>0</v>
          </cell>
          <cell r="AB26">
            <v>849979</v>
          </cell>
        </row>
        <row r="27">
          <cell r="C27">
            <v>2</v>
          </cell>
          <cell r="D27" t="str">
            <v>jóváhagyott pénzmaradvány</v>
          </cell>
          <cell r="N27">
            <v>-17173</v>
          </cell>
          <cell r="P27">
            <v>-17173</v>
          </cell>
          <cell r="S27">
            <v>-17173</v>
          </cell>
          <cell r="Z27">
            <v>-17173</v>
          </cell>
          <cell r="AA27">
            <v>0</v>
          </cell>
          <cell r="AB27">
            <v>-17173</v>
          </cell>
        </row>
        <row r="28">
          <cell r="B28" t="str">
            <v>Működési támog.116/2000 Kgy.</v>
          </cell>
          <cell r="D28" t="str">
            <v>pót1(1)</v>
          </cell>
          <cell r="I28">
            <v>30000</v>
          </cell>
          <cell r="P28">
            <v>30000</v>
          </cell>
          <cell r="S28">
            <v>30000</v>
          </cell>
          <cell r="Z28">
            <v>30000</v>
          </cell>
          <cell r="AA28">
            <v>0</v>
          </cell>
          <cell r="AB28">
            <v>30000</v>
          </cell>
        </row>
        <row r="29">
          <cell r="D29" t="str">
            <v>sh1(2)</v>
          </cell>
          <cell r="E29">
            <v>-25453</v>
          </cell>
          <cell r="G29">
            <v>25453</v>
          </cell>
          <cell r="K29">
            <v>-2600</v>
          </cell>
          <cell r="P29">
            <v>-2600</v>
          </cell>
          <cell r="Q29">
            <v>-1216</v>
          </cell>
          <cell r="R29">
            <v>-578</v>
          </cell>
          <cell r="S29">
            <v>-806</v>
          </cell>
          <cell r="Z29">
            <v>-2600</v>
          </cell>
          <cell r="AA29">
            <v>0</v>
          </cell>
          <cell r="AB29">
            <v>-2600</v>
          </cell>
        </row>
        <row r="30">
          <cell r="B30" t="str">
            <v>221/2000 műk.tám.</v>
          </cell>
          <cell r="D30" t="str">
            <v>pót1(18)</v>
          </cell>
          <cell r="I30">
            <v>30000</v>
          </cell>
          <cell r="P30">
            <v>30000</v>
          </cell>
          <cell r="S30">
            <v>30000</v>
          </cell>
          <cell r="Z30">
            <v>30000</v>
          </cell>
          <cell r="AA30">
            <v>0</v>
          </cell>
          <cell r="AB30">
            <v>30000</v>
          </cell>
        </row>
        <row r="31">
          <cell r="P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P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P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P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P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P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P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P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P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P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P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P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P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P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P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Összesen</v>
          </cell>
          <cell r="D46" t="str">
            <v>Egyesitett Eü.Int.Igazg.</v>
          </cell>
          <cell r="E46">
            <v>777</v>
          </cell>
          <cell r="F46">
            <v>0</v>
          </cell>
          <cell r="G46">
            <v>42223</v>
          </cell>
          <cell r="H46">
            <v>0</v>
          </cell>
          <cell r="I46">
            <v>60979</v>
          </cell>
          <cell r="J46">
            <v>0</v>
          </cell>
          <cell r="K46">
            <v>803400</v>
          </cell>
          <cell r="L46">
            <v>0</v>
          </cell>
          <cell r="M46">
            <v>0</v>
          </cell>
          <cell r="N46">
            <v>-17173</v>
          </cell>
          <cell r="O46">
            <v>0</v>
          </cell>
          <cell r="P46">
            <v>890206</v>
          </cell>
          <cell r="Q46">
            <v>446309</v>
          </cell>
          <cell r="R46">
            <v>160531</v>
          </cell>
          <cell r="S46">
            <v>283366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890206</v>
          </cell>
          <cell r="AA46">
            <v>0</v>
          </cell>
          <cell r="AB46">
            <v>890206</v>
          </cell>
        </row>
        <row r="47">
          <cell r="A47">
            <v>4</v>
          </cell>
          <cell r="B47" t="str">
            <v>Kisgyermek Szoc.Int.Igazg.</v>
          </cell>
          <cell r="C47">
            <v>1</v>
          </cell>
          <cell r="D47" t="str">
            <v>00előirányzat</v>
          </cell>
          <cell r="E47">
            <v>17974</v>
          </cell>
          <cell r="G47">
            <v>22639</v>
          </cell>
          <cell r="I47">
            <v>229543</v>
          </cell>
          <cell r="P47">
            <v>270156</v>
          </cell>
          <cell r="Q47">
            <v>133362</v>
          </cell>
          <cell r="R47">
            <v>58359</v>
          </cell>
          <cell r="S47">
            <v>75398</v>
          </cell>
          <cell r="W47">
            <v>3037</v>
          </cell>
          <cell r="Z47">
            <v>270156</v>
          </cell>
          <cell r="AA47">
            <v>0</v>
          </cell>
          <cell r="AB47">
            <v>270156</v>
          </cell>
        </row>
        <row r="48">
          <cell r="C48">
            <v>2</v>
          </cell>
          <cell r="D48" t="str">
            <v>jóváhagyott pénzmaradvány</v>
          </cell>
          <cell r="N48">
            <v>11193</v>
          </cell>
          <cell r="P48">
            <v>11193</v>
          </cell>
          <cell r="Q48">
            <v>1745</v>
          </cell>
          <cell r="R48">
            <v>628</v>
          </cell>
          <cell r="Y48">
            <v>8820</v>
          </cell>
          <cell r="Z48">
            <v>11193</v>
          </cell>
          <cell r="AA48">
            <v>0</v>
          </cell>
          <cell r="AB48">
            <v>11193</v>
          </cell>
        </row>
        <row r="49">
          <cell r="C49">
            <v>3</v>
          </cell>
          <cell r="D49" t="str">
            <v>pm.terhelő bef.kötelezettség</v>
          </cell>
          <cell r="N49">
            <v>2085</v>
          </cell>
          <cell r="P49">
            <v>2085</v>
          </cell>
          <cell r="S49">
            <v>2085</v>
          </cell>
          <cell r="Z49">
            <v>2085</v>
          </cell>
          <cell r="AA49">
            <v>0</v>
          </cell>
          <cell r="AB49">
            <v>2085</v>
          </cell>
        </row>
        <row r="50">
          <cell r="C50">
            <v>8</v>
          </cell>
          <cell r="D50" t="str">
            <v>közhasznú</v>
          </cell>
          <cell r="I50">
            <v>114</v>
          </cell>
          <cell r="J50">
            <v>97</v>
          </cell>
          <cell r="P50">
            <v>211</v>
          </cell>
          <cell r="Q50">
            <v>140</v>
          </cell>
          <cell r="R50">
            <v>71</v>
          </cell>
          <cell r="Z50">
            <v>211</v>
          </cell>
          <cell r="AA50">
            <v>0</v>
          </cell>
          <cell r="AB50">
            <v>211</v>
          </cell>
        </row>
        <row r="51">
          <cell r="C51">
            <v>9</v>
          </cell>
          <cell r="D51" t="str">
            <v>ped.szakkönyv</v>
          </cell>
          <cell r="I51">
            <v>45</v>
          </cell>
          <cell r="P51">
            <v>45</v>
          </cell>
          <cell r="Q51">
            <v>45</v>
          </cell>
          <cell r="Z51">
            <v>45</v>
          </cell>
          <cell r="AA51">
            <v>0</v>
          </cell>
          <cell r="AB51">
            <v>45</v>
          </cell>
        </row>
        <row r="52">
          <cell r="D52" t="str">
            <v>sh1(16)</v>
          </cell>
          <cell r="P52">
            <v>0</v>
          </cell>
          <cell r="S52">
            <v>8795</v>
          </cell>
          <cell r="X52">
            <v>25</v>
          </cell>
          <cell r="Y52">
            <v>-8820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11</v>
          </cell>
          <cell r="D53" t="str">
            <v>ellátottak térítési díja</v>
          </cell>
          <cell r="E53">
            <v>2011</v>
          </cell>
          <cell r="I53">
            <v>-2011</v>
          </cell>
          <cell r="P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13</v>
          </cell>
          <cell r="D54" t="str">
            <v>bérfejlesztés</v>
          </cell>
          <cell r="I54">
            <v>11555</v>
          </cell>
          <cell r="P54">
            <v>11555</v>
          </cell>
          <cell r="Q54">
            <v>8497</v>
          </cell>
          <cell r="R54">
            <v>3058</v>
          </cell>
          <cell r="Z54">
            <v>11555</v>
          </cell>
          <cell r="AA54">
            <v>0</v>
          </cell>
          <cell r="AB54">
            <v>11555</v>
          </cell>
        </row>
        <row r="55">
          <cell r="C55">
            <v>14</v>
          </cell>
          <cell r="D55" t="str">
            <v>4% bérfejlesztés</v>
          </cell>
          <cell r="I55">
            <v>-360</v>
          </cell>
          <cell r="P55">
            <v>-360</v>
          </cell>
          <cell r="Q55">
            <v>-265</v>
          </cell>
          <cell r="R55">
            <v>-95</v>
          </cell>
          <cell r="Z55">
            <v>-360</v>
          </cell>
          <cell r="AA55">
            <v>0</v>
          </cell>
          <cell r="AB55">
            <v>-360</v>
          </cell>
        </row>
        <row r="56">
          <cell r="P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P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P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P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P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P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P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P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P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P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P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P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P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Összesen</v>
          </cell>
          <cell r="D71" t="str">
            <v>Kisgyermek Szoc.Int.Igazg.</v>
          </cell>
          <cell r="E71">
            <v>19985</v>
          </cell>
          <cell r="F71">
            <v>0</v>
          </cell>
          <cell r="G71">
            <v>22639</v>
          </cell>
          <cell r="H71">
            <v>0</v>
          </cell>
          <cell r="I71">
            <v>238886</v>
          </cell>
          <cell r="J71">
            <v>97</v>
          </cell>
          <cell r="K71">
            <v>0</v>
          </cell>
          <cell r="L71">
            <v>0</v>
          </cell>
          <cell r="M71">
            <v>0</v>
          </cell>
          <cell r="N71">
            <v>13278</v>
          </cell>
          <cell r="O71">
            <v>0</v>
          </cell>
          <cell r="P71">
            <v>294885</v>
          </cell>
          <cell r="Q71">
            <v>143524</v>
          </cell>
          <cell r="R71">
            <v>62021</v>
          </cell>
          <cell r="S71">
            <v>86278</v>
          </cell>
          <cell r="T71">
            <v>0</v>
          </cell>
          <cell r="U71">
            <v>0</v>
          </cell>
          <cell r="V71">
            <v>0</v>
          </cell>
          <cell r="W71">
            <v>3037</v>
          </cell>
          <cell r="X71">
            <v>25</v>
          </cell>
          <cell r="Y71">
            <v>0</v>
          </cell>
          <cell r="Z71">
            <v>294885</v>
          </cell>
          <cell r="AA71">
            <v>0</v>
          </cell>
          <cell r="AB71">
            <v>294885</v>
          </cell>
        </row>
        <row r="72">
          <cell r="A72">
            <v>401</v>
          </cell>
          <cell r="B72" t="str">
            <v>Családsegitő Intézet</v>
          </cell>
          <cell r="C72">
            <v>1</v>
          </cell>
          <cell r="D72" t="str">
            <v>00előirányzat</v>
          </cell>
          <cell r="I72">
            <v>30825</v>
          </cell>
          <cell r="P72">
            <v>30825</v>
          </cell>
          <cell r="Q72">
            <v>18624</v>
          </cell>
          <cell r="R72">
            <v>7399</v>
          </cell>
          <cell r="S72">
            <v>4802</v>
          </cell>
          <cell r="Z72">
            <v>30825</v>
          </cell>
          <cell r="AA72">
            <v>0</v>
          </cell>
          <cell r="AB72">
            <v>30825</v>
          </cell>
        </row>
        <row r="73">
          <cell r="C73">
            <v>2</v>
          </cell>
          <cell r="D73" t="str">
            <v>jóváhagyott pénzmaradvány</v>
          </cell>
          <cell r="N73">
            <v>-606</v>
          </cell>
          <cell r="P73">
            <v>-606</v>
          </cell>
          <cell r="Q73">
            <v>31</v>
          </cell>
          <cell r="R73">
            <v>11</v>
          </cell>
          <cell r="S73">
            <v>-648</v>
          </cell>
          <cell r="Z73">
            <v>-606</v>
          </cell>
          <cell r="AA73">
            <v>0</v>
          </cell>
          <cell r="AB73">
            <v>-606</v>
          </cell>
        </row>
        <row r="74">
          <cell r="C74">
            <v>3</v>
          </cell>
          <cell r="D74" t="str">
            <v>pm.terhelő bef.kötelezettség</v>
          </cell>
          <cell r="N74">
            <v>1152</v>
          </cell>
          <cell r="P74">
            <v>1152</v>
          </cell>
          <cell r="S74">
            <v>1152</v>
          </cell>
          <cell r="Z74">
            <v>1152</v>
          </cell>
          <cell r="AA74">
            <v>0</v>
          </cell>
          <cell r="AB74">
            <v>1152</v>
          </cell>
        </row>
        <row r="75">
          <cell r="B75" t="str">
            <v>dr.Kodra keret,gyermeknapi ünnepség</v>
          </cell>
          <cell r="D75" t="str">
            <v>pót1(5)</v>
          </cell>
          <cell r="I75">
            <v>50</v>
          </cell>
          <cell r="P75">
            <v>50</v>
          </cell>
          <cell r="S75">
            <v>50</v>
          </cell>
          <cell r="Z75">
            <v>50</v>
          </cell>
          <cell r="AA75">
            <v>0</v>
          </cell>
          <cell r="AB75">
            <v>50</v>
          </cell>
        </row>
        <row r="76">
          <cell r="C76">
            <v>13</v>
          </cell>
          <cell r="D76" t="str">
            <v>bérfejlesztés</v>
          </cell>
          <cell r="I76">
            <v>1583</v>
          </cell>
          <cell r="P76">
            <v>1583</v>
          </cell>
          <cell r="Q76">
            <v>1164</v>
          </cell>
          <cell r="R76">
            <v>419</v>
          </cell>
          <cell r="Z76">
            <v>1583</v>
          </cell>
          <cell r="AA76">
            <v>0</v>
          </cell>
          <cell r="AB76">
            <v>1583</v>
          </cell>
        </row>
        <row r="77">
          <cell r="C77">
            <v>14</v>
          </cell>
          <cell r="D77" t="str">
            <v>4% bérfejlesztés</v>
          </cell>
          <cell r="I77">
            <v>-33</v>
          </cell>
          <cell r="P77">
            <v>-33</v>
          </cell>
          <cell r="Q77">
            <v>-24</v>
          </cell>
          <cell r="R77">
            <v>-9</v>
          </cell>
          <cell r="Z77">
            <v>-33</v>
          </cell>
          <cell r="AA77">
            <v>0</v>
          </cell>
          <cell r="AB77">
            <v>-33</v>
          </cell>
        </row>
        <row r="78">
          <cell r="P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P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P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P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P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P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P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P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P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P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Összesen</v>
          </cell>
          <cell r="D88" t="str">
            <v>Családsegitő Intézet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32425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546</v>
          </cell>
          <cell r="O88">
            <v>0</v>
          </cell>
          <cell r="P88">
            <v>32971</v>
          </cell>
          <cell r="Q88">
            <v>19795</v>
          </cell>
          <cell r="R88">
            <v>7820</v>
          </cell>
          <cell r="S88">
            <v>5356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32971</v>
          </cell>
          <cell r="AA88">
            <v>0</v>
          </cell>
          <cell r="AB88">
            <v>32971</v>
          </cell>
        </row>
        <row r="89">
          <cell r="B89" t="str">
            <v>Esztergár L.Családsegítő</v>
          </cell>
          <cell r="C89">
            <v>1</v>
          </cell>
          <cell r="D89" t="str">
            <v>00előirányzat</v>
          </cell>
          <cell r="I89">
            <v>29690</v>
          </cell>
          <cell r="P89">
            <v>29690</v>
          </cell>
          <cell r="Q89">
            <v>17782</v>
          </cell>
          <cell r="R89">
            <v>7280</v>
          </cell>
          <cell r="S89">
            <v>4628</v>
          </cell>
          <cell r="Z89">
            <v>29690</v>
          </cell>
          <cell r="AA89">
            <v>0</v>
          </cell>
          <cell r="AB89">
            <v>29690</v>
          </cell>
        </row>
        <row r="90">
          <cell r="C90">
            <v>2</v>
          </cell>
          <cell r="D90" t="str">
            <v>jóváhagyott pénzmaradvány</v>
          </cell>
          <cell r="N90">
            <v>1353</v>
          </cell>
          <cell r="P90">
            <v>1353</v>
          </cell>
          <cell r="Q90">
            <v>995</v>
          </cell>
          <cell r="R90">
            <v>358</v>
          </cell>
          <cell r="Z90">
            <v>1353</v>
          </cell>
          <cell r="AA90">
            <v>0</v>
          </cell>
          <cell r="AB90">
            <v>1353</v>
          </cell>
        </row>
        <row r="91">
          <cell r="C91">
            <v>3</v>
          </cell>
          <cell r="D91" t="str">
            <v>pm.terhelő bef.kötelezettség</v>
          </cell>
          <cell r="N91">
            <v>843</v>
          </cell>
          <cell r="P91">
            <v>843</v>
          </cell>
          <cell r="S91">
            <v>843</v>
          </cell>
          <cell r="Z91">
            <v>843</v>
          </cell>
          <cell r="AA91">
            <v>0</v>
          </cell>
          <cell r="AB91">
            <v>843</v>
          </cell>
        </row>
        <row r="92">
          <cell r="C92">
            <v>13</v>
          </cell>
          <cell r="D92" t="str">
            <v>bérfejlesztés</v>
          </cell>
          <cell r="I92">
            <v>1523</v>
          </cell>
          <cell r="P92">
            <v>1523</v>
          </cell>
          <cell r="Q92">
            <v>1120</v>
          </cell>
          <cell r="R92">
            <v>403</v>
          </cell>
          <cell r="Z92">
            <v>1523</v>
          </cell>
          <cell r="AA92">
            <v>0</v>
          </cell>
          <cell r="AB92">
            <v>1523</v>
          </cell>
        </row>
        <row r="93">
          <cell r="C93">
            <v>14</v>
          </cell>
          <cell r="D93" t="str">
            <v>4% bérfejlesztés</v>
          </cell>
          <cell r="I93">
            <v>-35</v>
          </cell>
          <cell r="P93">
            <v>-35</v>
          </cell>
          <cell r="Q93">
            <v>-26</v>
          </cell>
          <cell r="R93">
            <v>-9</v>
          </cell>
          <cell r="Z93">
            <v>-35</v>
          </cell>
          <cell r="AA93">
            <v>0</v>
          </cell>
          <cell r="AB93">
            <v>-35</v>
          </cell>
        </row>
        <row r="94">
          <cell r="P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P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P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P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P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P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P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P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P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P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P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P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P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P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P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Összesen</v>
          </cell>
          <cell r="D109" t="str">
            <v>Esztergár L.Családsegítő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31178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2196</v>
          </cell>
          <cell r="O109">
            <v>0</v>
          </cell>
          <cell r="P109">
            <v>33374</v>
          </cell>
          <cell r="Q109">
            <v>19871</v>
          </cell>
          <cell r="R109">
            <v>8032</v>
          </cell>
          <cell r="S109">
            <v>5471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33374</v>
          </cell>
          <cell r="AA109">
            <v>0</v>
          </cell>
          <cell r="AB109">
            <v>33374</v>
          </cell>
        </row>
        <row r="110">
          <cell r="B110" t="str">
            <v>Kisgyerm.+Családs.+Esztergár</v>
          </cell>
          <cell r="E110">
            <v>19985</v>
          </cell>
          <cell r="F110">
            <v>0</v>
          </cell>
          <cell r="G110">
            <v>22639</v>
          </cell>
          <cell r="H110">
            <v>0</v>
          </cell>
          <cell r="I110">
            <v>302489</v>
          </cell>
          <cell r="J110">
            <v>97</v>
          </cell>
          <cell r="K110">
            <v>0</v>
          </cell>
          <cell r="L110">
            <v>0</v>
          </cell>
          <cell r="M110">
            <v>0</v>
          </cell>
          <cell r="N110">
            <v>16020</v>
          </cell>
          <cell r="O110">
            <v>0</v>
          </cell>
          <cell r="P110">
            <v>361230</v>
          </cell>
          <cell r="Q110">
            <v>183190</v>
          </cell>
          <cell r="R110">
            <v>77873</v>
          </cell>
          <cell r="S110">
            <v>97105</v>
          </cell>
          <cell r="T110">
            <v>0</v>
          </cell>
          <cell r="U110">
            <v>0</v>
          </cell>
          <cell r="V110">
            <v>0</v>
          </cell>
          <cell r="W110">
            <v>3037</v>
          </cell>
          <cell r="X110">
            <v>25</v>
          </cell>
          <cell r="Y110">
            <v>0</v>
          </cell>
          <cell r="Z110">
            <v>361230</v>
          </cell>
          <cell r="AA110">
            <v>0</v>
          </cell>
          <cell r="AB110">
            <v>361230</v>
          </cell>
        </row>
        <row r="111">
          <cell r="A111">
            <v>5</v>
          </cell>
          <cell r="B111" t="str">
            <v>Értelmi Fogy.Nappali Int.</v>
          </cell>
          <cell r="C111">
            <v>1</v>
          </cell>
          <cell r="D111" t="str">
            <v>00előirányzat</v>
          </cell>
          <cell r="E111">
            <v>4859</v>
          </cell>
          <cell r="G111">
            <v>1162</v>
          </cell>
          <cell r="I111">
            <v>45069</v>
          </cell>
          <cell r="J111">
            <v>2640</v>
          </cell>
          <cell r="P111">
            <v>53730</v>
          </cell>
          <cell r="Q111">
            <v>28107</v>
          </cell>
          <cell r="R111">
            <v>11127</v>
          </cell>
          <cell r="S111">
            <v>14239</v>
          </cell>
          <cell r="W111">
            <v>257</v>
          </cell>
          <cell r="Z111">
            <v>53730</v>
          </cell>
          <cell r="AA111">
            <v>0</v>
          </cell>
          <cell r="AB111">
            <v>53730</v>
          </cell>
        </row>
        <row r="112">
          <cell r="C112">
            <v>2</v>
          </cell>
          <cell r="D112" t="str">
            <v>jóváhagyott pénzmaradvány</v>
          </cell>
          <cell r="N112">
            <v>2828</v>
          </cell>
          <cell r="P112">
            <v>2828</v>
          </cell>
          <cell r="Q112">
            <v>1743</v>
          </cell>
          <cell r="R112">
            <v>628</v>
          </cell>
          <cell r="Y112">
            <v>457</v>
          </cell>
          <cell r="Z112">
            <v>2828</v>
          </cell>
          <cell r="AA112">
            <v>0</v>
          </cell>
          <cell r="AB112">
            <v>2828</v>
          </cell>
        </row>
        <row r="113">
          <cell r="C113">
            <v>3</v>
          </cell>
          <cell r="D113" t="str">
            <v>pm.terhelő bef.kötelezettség</v>
          </cell>
          <cell r="N113">
            <v>1270</v>
          </cell>
          <cell r="P113">
            <v>1270</v>
          </cell>
          <cell r="S113">
            <v>1270</v>
          </cell>
          <cell r="Z113">
            <v>1270</v>
          </cell>
          <cell r="AA113">
            <v>0</v>
          </cell>
          <cell r="AB113">
            <v>1270</v>
          </cell>
        </row>
        <row r="114">
          <cell r="D114" t="str">
            <v>sh1(3)</v>
          </cell>
          <cell r="J114">
            <v>391</v>
          </cell>
          <cell r="P114">
            <v>391</v>
          </cell>
          <cell r="S114">
            <v>391</v>
          </cell>
          <cell r="Z114">
            <v>391</v>
          </cell>
          <cell r="AA114">
            <v>0</v>
          </cell>
          <cell r="AB114">
            <v>391</v>
          </cell>
        </row>
        <row r="115">
          <cell r="D115" t="str">
            <v>sh1(15)</v>
          </cell>
          <cell r="P115">
            <v>0</v>
          </cell>
          <cell r="S115">
            <v>457</v>
          </cell>
          <cell r="Y115">
            <v>-457</v>
          </cell>
          <cell r="Z115">
            <v>0</v>
          </cell>
          <cell r="AA115">
            <v>0</v>
          </cell>
          <cell r="AB115">
            <v>0</v>
          </cell>
        </row>
        <row r="116">
          <cell r="C116">
            <v>9</v>
          </cell>
          <cell r="D116" t="str">
            <v>ped.szakkönyv</v>
          </cell>
          <cell r="I116">
            <v>101</v>
          </cell>
          <cell r="P116">
            <v>101</v>
          </cell>
          <cell r="Q116">
            <v>101</v>
          </cell>
          <cell r="Z116">
            <v>101</v>
          </cell>
          <cell r="AA116">
            <v>0</v>
          </cell>
          <cell r="AB116">
            <v>101</v>
          </cell>
        </row>
        <row r="117">
          <cell r="C117">
            <v>13</v>
          </cell>
          <cell r="D117" t="str">
            <v>bérfejlesztés</v>
          </cell>
          <cell r="I117">
            <v>2078</v>
          </cell>
          <cell r="P117">
            <v>2078</v>
          </cell>
          <cell r="Q117">
            <v>1528</v>
          </cell>
          <cell r="R117">
            <v>550</v>
          </cell>
          <cell r="Z117">
            <v>2078</v>
          </cell>
          <cell r="AA117">
            <v>0</v>
          </cell>
          <cell r="AB117">
            <v>2078</v>
          </cell>
        </row>
        <row r="118">
          <cell r="C118">
            <v>14</v>
          </cell>
          <cell r="D118" t="str">
            <v>4% bérfejlesztés</v>
          </cell>
          <cell r="I118">
            <v>-174</v>
          </cell>
          <cell r="P118">
            <v>-174</v>
          </cell>
          <cell r="Q118">
            <v>-128</v>
          </cell>
          <cell r="R118">
            <v>-46</v>
          </cell>
          <cell r="Z118">
            <v>-174</v>
          </cell>
          <cell r="AA118">
            <v>0</v>
          </cell>
          <cell r="AB118">
            <v>-174</v>
          </cell>
        </row>
        <row r="119">
          <cell r="P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P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P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P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P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P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P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P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P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P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P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Összesen</v>
          </cell>
          <cell r="D130" t="str">
            <v>Értelmi Fogy.Nappali Int.</v>
          </cell>
          <cell r="E130">
            <v>4859</v>
          </cell>
          <cell r="F130">
            <v>0</v>
          </cell>
          <cell r="G130">
            <v>1162</v>
          </cell>
          <cell r="H130">
            <v>0</v>
          </cell>
          <cell r="I130">
            <v>47074</v>
          </cell>
          <cell r="J130">
            <v>3031</v>
          </cell>
          <cell r="K130">
            <v>0</v>
          </cell>
          <cell r="L130">
            <v>0</v>
          </cell>
          <cell r="M130">
            <v>0</v>
          </cell>
          <cell r="N130">
            <v>4098</v>
          </cell>
          <cell r="O130">
            <v>0</v>
          </cell>
          <cell r="P130">
            <v>60224</v>
          </cell>
          <cell r="Q130">
            <v>31351</v>
          </cell>
          <cell r="R130">
            <v>12259</v>
          </cell>
          <cell r="S130">
            <v>16357</v>
          </cell>
          <cell r="T130">
            <v>0</v>
          </cell>
          <cell r="U130">
            <v>0</v>
          </cell>
          <cell r="V130">
            <v>0</v>
          </cell>
          <cell r="W130">
            <v>257</v>
          </cell>
          <cell r="X130">
            <v>0</v>
          </cell>
          <cell r="Y130">
            <v>0</v>
          </cell>
          <cell r="Z130">
            <v>60224</v>
          </cell>
          <cell r="AA130">
            <v>0</v>
          </cell>
          <cell r="AB130">
            <v>60224</v>
          </cell>
        </row>
        <row r="131">
          <cell r="A131">
            <v>6</v>
          </cell>
          <cell r="B131" t="str">
            <v>Xavér u.-i Egyes Szoc.Int.</v>
          </cell>
          <cell r="C131">
            <v>1</v>
          </cell>
          <cell r="D131" t="str">
            <v>00előirányzat</v>
          </cell>
          <cell r="E131">
            <v>57200</v>
          </cell>
          <cell r="G131">
            <v>5600</v>
          </cell>
          <cell r="I131">
            <v>224525</v>
          </cell>
          <cell r="P131">
            <v>287325</v>
          </cell>
          <cell r="Q131">
            <v>111900</v>
          </cell>
          <cell r="R131">
            <v>48077</v>
          </cell>
          <cell r="S131">
            <v>126963</v>
          </cell>
          <cell r="W131">
            <v>385</v>
          </cell>
          <cell r="Z131">
            <v>287325</v>
          </cell>
          <cell r="AA131">
            <v>0</v>
          </cell>
          <cell r="AB131">
            <v>287325</v>
          </cell>
        </row>
        <row r="132">
          <cell r="C132">
            <v>2</v>
          </cell>
          <cell r="D132" t="str">
            <v>jóváhagyott pénzmaradvány</v>
          </cell>
          <cell r="N132">
            <v>3187</v>
          </cell>
          <cell r="P132">
            <v>3187</v>
          </cell>
          <cell r="Q132">
            <v>1055</v>
          </cell>
          <cell r="R132">
            <v>380</v>
          </cell>
          <cell r="Y132">
            <v>1752</v>
          </cell>
          <cell r="Z132">
            <v>3187</v>
          </cell>
          <cell r="AA132">
            <v>0</v>
          </cell>
          <cell r="AB132">
            <v>3187</v>
          </cell>
        </row>
        <row r="133">
          <cell r="C133">
            <v>3</v>
          </cell>
          <cell r="D133" t="str">
            <v>pm.terhelő bef.kötelezettség</v>
          </cell>
          <cell r="N133">
            <v>1166</v>
          </cell>
          <cell r="P133">
            <v>1166</v>
          </cell>
          <cell r="S133">
            <v>1166</v>
          </cell>
          <cell r="Z133">
            <v>1166</v>
          </cell>
          <cell r="AA133">
            <v>0</v>
          </cell>
          <cell r="AB133">
            <v>1166</v>
          </cell>
        </row>
        <row r="134">
          <cell r="B134" t="str">
            <v>90/2000 Egpol.Biz.vakok támogatása</v>
          </cell>
          <cell r="D134" t="str">
            <v>pót1(6)</v>
          </cell>
          <cell r="I134">
            <v>250</v>
          </cell>
          <cell r="P134">
            <v>250</v>
          </cell>
          <cell r="Q134">
            <v>250</v>
          </cell>
          <cell r="Z134">
            <v>250</v>
          </cell>
          <cell r="AA134">
            <v>0</v>
          </cell>
          <cell r="AB134">
            <v>250</v>
          </cell>
        </row>
        <row r="135">
          <cell r="D135" t="str">
            <v>sh1(18)</v>
          </cell>
          <cell r="P135">
            <v>0</v>
          </cell>
          <cell r="S135">
            <v>-496</v>
          </cell>
          <cell r="X135">
            <v>496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</v>
          </cell>
          <cell r="D136" t="str">
            <v>ellátottak térítési díja</v>
          </cell>
          <cell r="E136">
            <v>2634</v>
          </cell>
          <cell r="I136">
            <v>-2634</v>
          </cell>
          <cell r="P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13</v>
          </cell>
          <cell r="D137" t="str">
            <v>bérfejlesztés</v>
          </cell>
          <cell r="I137">
            <v>8838</v>
          </cell>
          <cell r="P137">
            <v>8838</v>
          </cell>
          <cell r="Q137">
            <v>6498</v>
          </cell>
          <cell r="R137">
            <v>2340</v>
          </cell>
          <cell r="Z137">
            <v>8838</v>
          </cell>
          <cell r="AA137">
            <v>0</v>
          </cell>
          <cell r="AB137">
            <v>8838</v>
          </cell>
        </row>
        <row r="138">
          <cell r="C138">
            <v>14</v>
          </cell>
          <cell r="D138" t="str">
            <v>4% bérfejlesztés</v>
          </cell>
          <cell r="I138">
            <v>-310</v>
          </cell>
          <cell r="P138">
            <v>-310</v>
          </cell>
          <cell r="Q138">
            <v>-228</v>
          </cell>
          <cell r="R138">
            <v>-82</v>
          </cell>
          <cell r="Z138">
            <v>-310</v>
          </cell>
          <cell r="AA138">
            <v>0</v>
          </cell>
          <cell r="AB138">
            <v>-310</v>
          </cell>
        </row>
        <row r="139">
          <cell r="P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P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P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P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P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P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P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P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P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P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P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P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Összesen</v>
          </cell>
          <cell r="D151" t="str">
            <v>Xavér u.-i Egyes Szoc.Int.</v>
          </cell>
          <cell r="E151">
            <v>59834</v>
          </cell>
          <cell r="F151">
            <v>0</v>
          </cell>
          <cell r="G151">
            <v>5600</v>
          </cell>
          <cell r="H151">
            <v>0</v>
          </cell>
          <cell r="I151">
            <v>230669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4353</v>
          </cell>
          <cell r="O151">
            <v>0</v>
          </cell>
          <cell r="P151">
            <v>300456</v>
          </cell>
          <cell r="Q151">
            <v>119475</v>
          </cell>
          <cell r="R151">
            <v>50715</v>
          </cell>
          <cell r="S151">
            <v>127633</v>
          </cell>
          <cell r="T151">
            <v>0</v>
          </cell>
          <cell r="U151">
            <v>0</v>
          </cell>
          <cell r="V151">
            <v>0</v>
          </cell>
          <cell r="W151">
            <v>385</v>
          </cell>
          <cell r="X151">
            <v>496</v>
          </cell>
          <cell r="Y151">
            <v>1752</v>
          </cell>
          <cell r="Z151">
            <v>300456</v>
          </cell>
          <cell r="AA151">
            <v>0</v>
          </cell>
          <cell r="AB151">
            <v>300456</v>
          </cell>
        </row>
        <row r="152">
          <cell r="A152">
            <v>7</v>
          </cell>
          <cell r="B152" t="str">
            <v>Tüzér u.-i Egyes. Szoc.Int.</v>
          </cell>
          <cell r="C152">
            <v>1</v>
          </cell>
          <cell r="D152" t="str">
            <v>00előirányzat</v>
          </cell>
          <cell r="E152">
            <v>56150</v>
          </cell>
          <cell r="G152">
            <v>2688</v>
          </cell>
          <cell r="I152">
            <v>121898</v>
          </cell>
          <cell r="P152">
            <v>180736</v>
          </cell>
          <cell r="Q152">
            <v>64268</v>
          </cell>
          <cell r="R152">
            <v>28497</v>
          </cell>
          <cell r="S152">
            <v>87078</v>
          </cell>
          <cell r="W152">
            <v>893</v>
          </cell>
          <cell r="Z152">
            <v>180736</v>
          </cell>
          <cell r="AA152">
            <v>0</v>
          </cell>
          <cell r="AB152">
            <v>180736</v>
          </cell>
        </row>
        <row r="153">
          <cell r="C153">
            <v>2</v>
          </cell>
          <cell r="D153" t="str">
            <v>jóváhagyott pénzmaradvány</v>
          </cell>
          <cell r="N153">
            <v>6605</v>
          </cell>
          <cell r="P153">
            <v>6605</v>
          </cell>
          <cell r="Q153">
            <v>3762</v>
          </cell>
          <cell r="R153">
            <v>1557</v>
          </cell>
          <cell r="Y153">
            <v>1286</v>
          </cell>
          <cell r="Z153">
            <v>6605</v>
          </cell>
          <cell r="AA153">
            <v>0</v>
          </cell>
          <cell r="AB153">
            <v>6605</v>
          </cell>
        </row>
        <row r="154">
          <cell r="C154">
            <v>3</v>
          </cell>
          <cell r="D154" t="str">
            <v>pm.terhelő bef.kötelezettség</v>
          </cell>
          <cell r="N154">
            <v>9069</v>
          </cell>
          <cell r="P154">
            <v>9069</v>
          </cell>
          <cell r="S154">
            <v>9069</v>
          </cell>
          <cell r="Z154">
            <v>9069</v>
          </cell>
          <cell r="AA154">
            <v>0</v>
          </cell>
          <cell r="AB154">
            <v>9069</v>
          </cell>
        </row>
        <row r="155">
          <cell r="C155">
            <v>11</v>
          </cell>
          <cell r="D155" t="str">
            <v>ellátottak térítési díja</v>
          </cell>
          <cell r="E155">
            <v>3158</v>
          </cell>
          <cell r="I155">
            <v>-3158</v>
          </cell>
          <cell r="P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C156">
            <v>13</v>
          </cell>
          <cell r="D156" t="str">
            <v>bérfejlesztés</v>
          </cell>
          <cell r="I156">
            <v>5062</v>
          </cell>
          <cell r="P156">
            <v>5062</v>
          </cell>
          <cell r="Q156">
            <v>3722</v>
          </cell>
          <cell r="R156">
            <v>1340</v>
          </cell>
          <cell r="Z156">
            <v>5062</v>
          </cell>
          <cell r="AA156">
            <v>0</v>
          </cell>
          <cell r="AB156">
            <v>5062</v>
          </cell>
        </row>
        <row r="157">
          <cell r="C157">
            <v>14</v>
          </cell>
          <cell r="D157" t="str">
            <v>4% bérfejlesztés</v>
          </cell>
          <cell r="I157">
            <v>-136</v>
          </cell>
          <cell r="P157">
            <v>-136</v>
          </cell>
          <cell r="Q157">
            <v>-100</v>
          </cell>
          <cell r="R157">
            <v>-36</v>
          </cell>
          <cell r="Z157">
            <v>-136</v>
          </cell>
          <cell r="AA157">
            <v>0</v>
          </cell>
          <cell r="AB157">
            <v>-136</v>
          </cell>
        </row>
        <row r="158">
          <cell r="P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P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P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P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P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P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P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P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P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P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P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P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P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Összesen</v>
          </cell>
          <cell r="D171" t="str">
            <v>Tüzér u.-i Egyes. Szoc.Int.</v>
          </cell>
          <cell r="E171">
            <v>59308</v>
          </cell>
          <cell r="F171">
            <v>0</v>
          </cell>
          <cell r="G171">
            <v>2688</v>
          </cell>
          <cell r="H171">
            <v>0</v>
          </cell>
          <cell r="I171">
            <v>123666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15674</v>
          </cell>
          <cell r="O171">
            <v>0</v>
          </cell>
          <cell r="P171">
            <v>201336</v>
          </cell>
          <cell r="Q171">
            <v>71652</v>
          </cell>
          <cell r="R171">
            <v>31358</v>
          </cell>
          <cell r="S171">
            <v>96147</v>
          </cell>
          <cell r="T171">
            <v>0</v>
          </cell>
          <cell r="U171">
            <v>0</v>
          </cell>
          <cell r="V171">
            <v>0</v>
          </cell>
          <cell r="W171">
            <v>893</v>
          </cell>
          <cell r="X171">
            <v>0</v>
          </cell>
          <cell r="Y171">
            <v>1286</v>
          </cell>
          <cell r="Z171">
            <v>201336</v>
          </cell>
          <cell r="AA171">
            <v>0</v>
          </cell>
          <cell r="AB171">
            <v>201336</v>
          </cell>
        </row>
        <row r="172">
          <cell r="A172">
            <v>8</v>
          </cell>
          <cell r="B172" t="str">
            <v>Timár u.-i Idősek Otthona</v>
          </cell>
          <cell r="C172">
            <v>1</v>
          </cell>
          <cell r="D172" t="str">
            <v>00előirányzat</v>
          </cell>
          <cell r="E172">
            <v>18037</v>
          </cell>
          <cell r="G172">
            <v>250</v>
          </cell>
          <cell r="I172">
            <v>43464</v>
          </cell>
          <cell r="P172">
            <v>61751</v>
          </cell>
          <cell r="Q172">
            <v>21099</v>
          </cell>
          <cell r="R172">
            <v>8953</v>
          </cell>
          <cell r="S172">
            <v>31633</v>
          </cell>
          <cell r="W172">
            <v>66</v>
          </cell>
          <cell r="Z172">
            <v>61751</v>
          </cell>
          <cell r="AA172">
            <v>0</v>
          </cell>
          <cell r="AB172">
            <v>61751</v>
          </cell>
        </row>
        <row r="173">
          <cell r="C173">
            <v>2</v>
          </cell>
          <cell r="D173" t="str">
            <v>jóváhagyott pénzmaradvány</v>
          </cell>
          <cell r="N173">
            <v>7435</v>
          </cell>
          <cell r="P173">
            <v>7435</v>
          </cell>
          <cell r="Q173">
            <v>2580</v>
          </cell>
          <cell r="R173">
            <v>930</v>
          </cell>
          <cell r="Y173">
            <v>3925</v>
          </cell>
          <cell r="Z173">
            <v>7435</v>
          </cell>
          <cell r="AA173">
            <v>0</v>
          </cell>
          <cell r="AB173">
            <v>7435</v>
          </cell>
        </row>
        <row r="174">
          <cell r="C174">
            <v>4</v>
          </cell>
          <cell r="D174" t="str">
            <v>tárgyévi eir.mód.korrekció</v>
          </cell>
          <cell r="I174">
            <v>769</v>
          </cell>
          <cell r="P174">
            <v>769</v>
          </cell>
          <cell r="Y174">
            <v>769</v>
          </cell>
          <cell r="Z174">
            <v>769</v>
          </cell>
          <cell r="AA174">
            <v>0</v>
          </cell>
          <cell r="AB174">
            <v>769</v>
          </cell>
        </row>
        <row r="175">
          <cell r="C175">
            <v>8</v>
          </cell>
          <cell r="D175" t="str">
            <v>közhasznú</v>
          </cell>
          <cell r="I175">
            <v>10</v>
          </cell>
          <cell r="J175">
            <v>68</v>
          </cell>
          <cell r="P175">
            <v>78</v>
          </cell>
          <cell r="Q175">
            <v>52</v>
          </cell>
          <cell r="R175">
            <v>26</v>
          </cell>
          <cell r="Z175">
            <v>78</v>
          </cell>
          <cell r="AA175">
            <v>0</v>
          </cell>
          <cell r="AB175">
            <v>78</v>
          </cell>
        </row>
        <row r="176">
          <cell r="C176">
            <v>11</v>
          </cell>
          <cell r="D176" t="str">
            <v>ellátottak térítési díja</v>
          </cell>
          <cell r="E176">
            <v>1128</v>
          </cell>
          <cell r="I176">
            <v>-1128</v>
          </cell>
          <cell r="P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13</v>
          </cell>
          <cell r="D177" t="str">
            <v>bérfejlesztés</v>
          </cell>
          <cell r="I177">
            <v>1474</v>
          </cell>
          <cell r="P177">
            <v>1474</v>
          </cell>
          <cell r="Q177">
            <v>1084</v>
          </cell>
          <cell r="R177">
            <v>390</v>
          </cell>
          <cell r="Z177">
            <v>1474</v>
          </cell>
          <cell r="AA177">
            <v>0</v>
          </cell>
          <cell r="AB177">
            <v>1474</v>
          </cell>
        </row>
        <row r="178">
          <cell r="C178">
            <v>14</v>
          </cell>
          <cell r="D178" t="str">
            <v>4% bérfejlesztés</v>
          </cell>
          <cell r="I178">
            <v>-125</v>
          </cell>
          <cell r="P178">
            <v>-125</v>
          </cell>
          <cell r="Q178">
            <v>-92</v>
          </cell>
          <cell r="R178">
            <v>-33</v>
          </cell>
          <cell r="Z178">
            <v>-125</v>
          </cell>
          <cell r="AA178">
            <v>0</v>
          </cell>
          <cell r="AB178">
            <v>-125</v>
          </cell>
        </row>
        <row r="179">
          <cell r="P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P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P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P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P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P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P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P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P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P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P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Összesen</v>
          </cell>
          <cell r="D190" t="str">
            <v>Timár u.-i Idősek Otthona</v>
          </cell>
          <cell r="E190">
            <v>19165</v>
          </cell>
          <cell r="F190">
            <v>0</v>
          </cell>
          <cell r="G190">
            <v>250</v>
          </cell>
          <cell r="H190">
            <v>0</v>
          </cell>
          <cell r="I190">
            <v>44464</v>
          </cell>
          <cell r="J190">
            <v>68</v>
          </cell>
          <cell r="K190">
            <v>0</v>
          </cell>
          <cell r="L190">
            <v>0</v>
          </cell>
          <cell r="M190">
            <v>0</v>
          </cell>
          <cell r="N190">
            <v>7435</v>
          </cell>
          <cell r="O190">
            <v>0</v>
          </cell>
          <cell r="P190">
            <v>71382</v>
          </cell>
          <cell r="Q190">
            <v>24723</v>
          </cell>
          <cell r="R190">
            <v>10266</v>
          </cell>
          <cell r="S190">
            <v>31633</v>
          </cell>
          <cell r="T190">
            <v>0</v>
          </cell>
          <cell r="U190">
            <v>0</v>
          </cell>
          <cell r="V190">
            <v>0</v>
          </cell>
          <cell r="W190">
            <v>66</v>
          </cell>
          <cell r="X190">
            <v>0</v>
          </cell>
          <cell r="Y190">
            <v>4694</v>
          </cell>
          <cell r="Z190">
            <v>71382</v>
          </cell>
          <cell r="AA190">
            <v>0</v>
          </cell>
          <cell r="AB190">
            <v>71382</v>
          </cell>
        </row>
        <row r="191">
          <cell r="A191">
            <v>9</v>
          </cell>
          <cell r="B191" t="str">
            <v>Alkotmány u.-i Idősek Otthona</v>
          </cell>
          <cell r="C191">
            <v>1</v>
          </cell>
          <cell r="D191" t="str">
            <v>00előirányzat</v>
          </cell>
          <cell r="E191">
            <v>16080</v>
          </cell>
          <cell r="G191">
            <v>50</v>
          </cell>
          <cell r="I191">
            <v>24609</v>
          </cell>
          <cell r="P191">
            <v>40739</v>
          </cell>
          <cell r="Q191">
            <v>16589</v>
          </cell>
          <cell r="R191">
            <v>7375</v>
          </cell>
          <cell r="S191">
            <v>16775</v>
          </cell>
          <cell r="Z191">
            <v>40739</v>
          </cell>
          <cell r="AA191">
            <v>0</v>
          </cell>
          <cell r="AB191">
            <v>40739</v>
          </cell>
        </row>
        <row r="192">
          <cell r="C192">
            <v>2</v>
          </cell>
          <cell r="D192" t="str">
            <v>jóváhagyott pénzmaradvány</v>
          </cell>
          <cell r="N192">
            <v>3470</v>
          </cell>
          <cell r="P192">
            <v>3470</v>
          </cell>
          <cell r="Q192">
            <v>2535</v>
          </cell>
          <cell r="R192">
            <v>934</v>
          </cell>
          <cell r="Y192">
            <v>1</v>
          </cell>
          <cell r="Z192">
            <v>3470</v>
          </cell>
          <cell r="AA192">
            <v>0</v>
          </cell>
          <cell r="AB192">
            <v>3470</v>
          </cell>
        </row>
        <row r="193">
          <cell r="C193">
            <v>3</v>
          </cell>
          <cell r="D193" t="str">
            <v>pm.terhelő bef.kötelezettség</v>
          </cell>
          <cell r="N193">
            <v>501</v>
          </cell>
          <cell r="P193">
            <v>501</v>
          </cell>
          <cell r="S193">
            <v>501</v>
          </cell>
          <cell r="Z193">
            <v>501</v>
          </cell>
          <cell r="AA193">
            <v>0</v>
          </cell>
          <cell r="AB193">
            <v>501</v>
          </cell>
        </row>
        <row r="194">
          <cell r="D194" t="str">
            <v>sh1(4)</v>
          </cell>
          <cell r="J194">
            <v>135</v>
          </cell>
          <cell r="P194">
            <v>135</v>
          </cell>
          <cell r="S194">
            <v>135</v>
          </cell>
          <cell r="Z194">
            <v>135</v>
          </cell>
          <cell r="AA194">
            <v>0</v>
          </cell>
          <cell r="AB194">
            <v>135</v>
          </cell>
        </row>
        <row r="195">
          <cell r="C195">
            <v>8</v>
          </cell>
          <cell r="D195" t="str">
            <v>közhasznú</v>
          </cell>
          <cell r="I195">
            <v>73</v>
          </cell>
          <cell r="J195">
            <v>103</v>
          </cell>
          <cell r="P195">
            <v>176</v>
          </cell>
          <cell r="Q195">
            <v>118</v>
          </cell>
          <cell r="R195">
            <v>58</v>
          </cell>
          <cell r="Z195">
            <v>176</v>
          </cell>
          <cell r="AA195">
            <v>0</v>
          </cell>
          <cell r="AB195">
            <v>176</v>
          </cell>
        </row>
        <row r="196">
          <cell r="C196">
            <v>11</v>
          </cell>
          <cell r="D196" t="str">
            <v>ellátottak térítési díja</v>
          </cell>
          <cell r="E196">
            <v>687</v>
          </cell>
          <cell r="I196">
            <v>-687</v>
          </cell>
          <cell r="P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C197">
            <v>13</v>
          </cell>
          <cell r="D197" t="str">
            <v>bérfejlesztés</v>
          </cell>
          <cell r="I197">
            <v>1273</v>
          </cell>
          <cell r="P197">
            <v>1273</v>
          </cell>
          <cell r="Q197">
            <v>936</v>
          </cell>
          <cell r="R197">
            <v>337</v>
          </cell>
          <cell r="Z197">
            <v>1273</v>
          </cell>
          <cell r="AA197">
            <v>0</v>
          </cell>
          <cell r="AB197">
            <v>1273</v>
          </cell>
        </row>
        <row r="198">
          <cell r="C198">
            <v>14</v>
          </cell>
          <cell r="D198" t="str">
            <v>4% bérfejlesztés</v>
          </cell>
          <cell r="I198">
            <v>-72</v>
          </cell>
          <cell r="P198">
            <v>-72</v>
          </cell>
          <cell r="Q198">
            <v>-53</v>
          </cell>
          <cell r="R198">
            <v>-19</v>
          </cell>
          <cell r="Z198">
            <v>-72</v>
          </cell>
          <cell r="AA198">
            <v>0</v>
          </cell>
          <cell r="AB198">
            <v>-72</v>
          </cell>
        </row>
        <row r="199">
          <cell r="P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P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P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P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P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P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P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P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P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P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P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P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P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P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P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P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Összesen</v>
          </cell>
          <cell r="D215" t="str">
            <v>Alkotmány u.-i Idősek Otth.</v>
          </cell>
          <cell r="E215">
            <v>16767</v>
          </cell>
          <cell r="F215">
            <v>0</v>
          </cell>
          <cell r="G215">
            <v>50</v>
          </cell>
          <cell r="H215">
            <v>0</v>
          </cell>
          <cell r="I215">
            <v>25196</v>
          </cell>
          <cell r="J215">
            <v>238</v>
          </cell>
          <cell r="K215">
            <v>0</v>
          </cell>
          <cell r="L215">
            <v>0</v>
          </cell>
          <cell r="M215">
            <v>0</v>
          </cell>
          <cell r="N215">
            <v>3971</v>
          </cell>
          <cell r="O215">
            <v>0</v>
          </cell>
          <cell r="P215">
            <v>46222</v>
          </cell>
          <cell r="Q215">
            <v>20125</v>
          </cell>
          <cell r="R215">
            <v>8685</v>
          </cell>
          <cell r="S215">
            <v>17411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</v>
          </cell>
          <cell r="Z215">
            <v>46222</v>
          </cell>
          <cell r="AA215">
            <v>0</v>
          </cell>
          <cell r="AB215">
            <v>46222</v>
          </cell>
        </row>
        <row r="216">
          <cell r="A216">
            <v>10</v>
          </cell>
          <cell r="B216" t="str">
            <v>Integrált Szoc.Int.</v>
          </cell>
          <cell r="C216">
            <v>1</v>
          </cell>
          <cell r="D216" t="str">
            <v>00előirányzat</v>
          </cell>
          <cell r="E216">
            <v>117318</v>
          </cell>
          <cell r="G216">
            <v>672</v>
          </cell>
          <cell r="I216">
            <v>237564</v>
          </cell>
          <cell r="P216">
            <v>355554</v>
          </cell>
          <cell r="Q216">
            <v>136550</v>
          </cell>
          <cell r="R216">
            <v>59970</v>
          </cell>
          <cell r="S216">
            <v>158646</v>
          </cell>
          <cell r="W216">
            <v>388</v>
          </cell>
          <cell r="Z216">
            <v>355554</v>
          </cell>
          <cell r="AA216">
            <v>0</v>
          </cell>
          <cell r="AB216">
            <v>355554</v>
          </cell>
        </row>
        <row r="217">
          <cell r="C217">
            <v>2</v>
          </cell>
          <cell r="D217" t="str">
            <v>jóváhagyott pénzmaradvány</v>
          </cell>
          <cell r="N217">
            <v>9545</v>
          </cell>
          <cell r="P217">
            <v>9545</v>
          </cell>
          <cell r="Q217">
            <v>3201</v>
          </cell>
          <cell r="R217">
            <v>1185</v>
          </cell>
          <cell r="Y217">
            <v>5159</v>
          </cell>
          <cell r="Z217">
            <v>9545</v>
          </cell>
          <cell r="AA217">
            <v>0</v>
          </cell>
          <cell r="AB217">
            <v>9545</v>
          </cell>
        </row>
        <row r="218">
          <cell r="C218">
            <v>3</v>
          </cell>
          <cell r="D218" t="str">
            <v>pm.terhelő bef.kötelezettség</v>
          </cell>
          <cell r="N218">
            <v>13022</v>
          </cell>
          <cell r="P218">
            <v>13022</v>
          </cell>
          <cell r="S218">
            <v>13022</v>
          </cell>
          <cell r="Z218">
            <v>13022</v>
          </cell>
          <cell r="AA218">
            <v>0</v>
          </cell>
          <cell r="AB218">
            <v>13022</v>
          </cell>
        </row>
        <row r="219">
          <cell r="D219" t="str">
            <v>sh1(5)</v>
          </cell>
          <cell r="P219">
            <v>0</v>
          </cell>
          <cell r="S219">
            <v>-277</v>
          </cell>
          <cell r="X219">
            <v>277</v>
          </cell>
          <cell r="Z219">
            <v>0</v>
          </cell>
          <cell r="AA219">
            <v>0</v>
          </cell>
          <cell r="AB219">
            <v>0</v>
          </cell>
        </row>
        <row r="220">
          <cell r="P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D221" t="str">
            <v>sh1(13)</v>
          </cell>
          <cell r="J221">
            <v>276</v>
          </cell>
          <cell r="P221">
            <v>276</v>
          </cell>
          <cell r="Q221">
            <v>134</v>
          </cell>
          <cell r="R221">
            <v>142</v>
          </cell>
          <cell r="Z221">
            <v>276</v>
          </cell>
          <cell r="AA221">
            <v>0</v>
          </cell>
          <cell r="AB221">
            <v>276</v>
          </cell>
        </row>
        <row r="222">
          <cell r="D222" t="str">
            <v>sh1(14)</v>
          </cell>
          <cell r="G222">
            <v>300</v>
          </cell>
          <cell r="P222">
            <v>300</v>
          </cell>
          <cell r="S222">
            <v>300</v>
          </cell>
          <cell r="Z222">
            <v>300</v>
          </cell>
          <cell r="AA222">
            <v>0</v>
          </cell>
          <cell r="AB222">
            <v>300</v>
          </cell>
        </row>
        <row r="223">
          <cell r="C223">
            <v>8</v>
          </cell>
          <cell r="D223" t="str">
            <v>közhasznú</v>
          </cell>
          <cell r="I223">
            <v>154</v>
          </cell>
          <cell r="J223">
            <v>226</v>
          </cell>
          <cell r="P223">
            <v>380</v>
          </cell>
          <cell r="Q223">
            <v>250</v>
          </cell>
          <cell r="R223">
            <v>130</v>
          </cell>
          <cell r="Z223">
            <v>380</v>
          </cell>
          <cell r="AA223">
            <v>0</v>
          </cell>
          <cell r="AB223">
            <v>380</v>
          </cell>
        </row>
        <row r="224">
          <cell r="P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91/2000 kenyérszel.</v>
          </cell>
          <cell r="D225" t="str">
            <v>pót1(16)</v>
          </cell>
          <cell r="I225">
            <v>550</v>
          </cell>
          <cell r="P225">
            <v>550</v>
          </cell>
          <cell r="X225">
            <v>550</v>
          </cell>
          <cell r="Z225">
            <v>550</v>
          </cell>
          <cell r="AA225">
            <v>0</v>
          </cell>
          <cell r="AB225">
            <v>550</v>
          </cell>
        </row>
        <row r="226">
          <cell r="D226" t="str">
            <v>pót1 viharkárok</v>
          </cell>
          <cell r="I226">
            <v>6</v>
          </cell>
          <cell r="P226">
            <v>6</v>
          </cell>
          <cell r="X226">
            <v>6</v>
          </cell>
          <cell r="Z226">
            <v>6</v>
          </cell>
          <cell r="AA226">
            <v>0</v>
          </cell>
          <cell r="AB226">
            <v>6</v>
          </cell>
        </row>
        <row r="227">
          <cell r="C227">
            <v>11</v>
          </cell>
          <cell r="D227" t="str">
            <v>ellátottak térítési díja</v>
          </cell>
          <cell r="E227">
            <v>10746</v>
          </cell>
          <cell r="I227">
            <v>-10746</v>
          </cell>
          <cell r="P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13</v>
          </cell>
          <cell r="D228" t="str">
            <v>bérfejlesztés</v>
          </cell>
          <cell r="I228">
            <v>9894</v>
          </cell>
          <cell r="P228">
            <v>9894</v>
          </cell>
          <cell r="Q228">
            <v>7275</v>
          </cell>
          <cell r="R228">
            <v>2619</v>
          </cell>
          <cell r="Z228">
            <v>9894</v>
          </cell>
          <cell r="AA228">
            <v>0</v>
          </cell>
          <cell r="AB228">
            <v>9894</v>
          </cell>
        </row>
        <row r="229">
          <cell r="C229">
            <v>14</v>
          </cell>
          <cell r="D229" t="str">
            <v>4% bérfejlesztés</v>
          </cell>
          <cell r="I229">
            <v>-481</v>
          </cell>
          <cell r="P229">
            <v>-481</v>
          </cell>
          <cell r="Q229">
            <v>-354</v>
          </cell>
          <cell r="R229">
            <v>-127</v>
          </cell>
          <cell r="Z229">
            <v>-481</v>
          </cell>
          <cell r="AA229">
            <v>0</v>
          </cell>
          <cell r="AB229">
            <v>-481</v>
          </cell>
        </row>
        <row r="230">
          <cell r="P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P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P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P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P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P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Összesen</v>
          </cell>
          <cell r="D236" t="str">
            <v>Integrált Szoc.Int.</v>
          </cell>
          <cell r="E236">
            <v>128064</v>
          </cell>
          <cell r="F236">
            <v>0</v>
          </cell>
          <cell r="G236">
            <v>972</v>
          </cell>
          <cell r="H236">
            <v>0</v>
          </cell>
          <cell r="I236">
            <v>236941</v>
          </cell>
          <cell r="J236">
            <v>502</v>
          </cell>
          <cell r="K236">
            <v>0</v>
          </cell>
          <cell r="L236">
            <v>0</v>
          </cell>
          <cell r="M236">
            <v>0</v>
          </cell>
          <cell r="N236">
            <v>22567</v>
          </cell>
          <cell r="O236">
            <v>0</v>
          </cell>
          <cell r="P236">
            <v>389046</v>
          </cell>
          <cell r="Q236">
            <v>147056</v>
          </cell>
          <cell r="R236">
            <v>63919</v>
          </cell>
          <cell r="S236">
            <v>171691</v>
          </cell>
          <cell r="T236">
            <v>0</v>
          </cell>
          <cell r="U236">
            <v>0</v>
          </cell>
          <cell r="V236">
            <v>0</v>
          </cell>
          <cell r="W236">
            <v>388</v>
          </cell>
          <cell r="X236">
            <v>833</v>
          </cell>
          <cell r="Y236">
            <v>5159</v>
          </cell>
          <cell r="Z236">
            <v>389046</v>
          </cell>
          <cell r="AA236">
            <v>0</v>
          </cell>
          <cell r="AB236">
            <v>389046</v>
          </cell>
        </row>
        <row r="237">
          <cell r="A237">
            <v>11</v>
          </cell>
          <cell r="B237" t="str">
            <v>Integrált Nappali Szoc.Int.</v>
          </cell>
          <cell r="C237">
            <v>1</v>
          </cell>
          <cell r="D237" t="str">
            <v>00előirányzat</v>
          </cell>
          <cell r="E237">
            <v>11084</v>
          </cell>
          <cell r="G237">
            <v>4184</v>
          </cell>
          <cell r="I237">
            <v>54762</v>
          </cell>
          <cell r="P237">
            <v>70030</v>
          </cell>
          <cell r="Q237">
            <v>24414</v>
          </cell>
          <cell r="R237">
            <v>10775</v>
          </cell>
          <cell r="S237">
            <v>34841</v>
          </cell>
          <cell r="Z237">
            <v>70030</v>
          </cell>
          <cell r="AA237">
            <v>0</v>
          </cell>
          <cell r="AB237">
            <v>70030</v>
          </cell>
        </row>
        <row r="238">
          <cell r="C238">
            <v>2</v>
          </cell>
          <cell r="D238" t="str">
            <v>jóváhagyott pénzmaradvány</v>
          </cell>
          <cell r="N238">
            <v>1160</v>
          </cell>
          <cell r="P238">
            <v>1160</v>
          </cell>
          <cell r="Q238">
            <v>853</v>
          </cell>
          <cell r="R238">
            <v>307</v>
          </cell>
          <cell r="Z238">
            <v>1160</v>
          </cell>
          <cell r="AA238">
            <v>0</v>
          </cell>
          <cell r="AB238">
            <v>1160</v>
          </cell>
        </row>
        <row r="239">
          <cell r="C239">
            <v>3</v>
          </cell>
          <cell r="D239" t="str">
            <v>pm.terhelő bef.kötelezettség</v>
          </cell>
          <cell r="N239">
            <v>967</v>
          </cell>
          <cell r="P239">
            <v>967</v>
          </cell>
          <cell r="S239">
            <v>967</v>
          </cell>
          <cell r="Z239">
            <v>967</v>
          </cell>
          <cell r="AA239">
            <v>0</v>
          </cell>
          <cell r="AB239">
            <v>967</v>
          </cell>
        </row>
        <row r="240">
          <cell r="D240" t="str">
            <v>sh1(7)</v>
          </cell>
          <cell r="K240">
            <v>700</v>
          </cell>
          <cell r="P240">
            <v>700</v>
          </cell>
          <cell r="Q240">
            <v>196</v>
          </cell>
          <cell r="R240">
            <v>65</v>
          </cell>
          <cell r="S240">
            <v>439</v>
          </cell>
          <cell r="Z240">
            <v>700</v>
          </cell>
          <cell r="AA240">
            <v>0</v>
          </cell>
          <cell r="AB240">
            <v>700</v>
          </cell>
        </row>
        <row r="241">
          <cell r="D241" t="str">
            <v>sh1(8)</v>
          </cell>
          <cell r="K241">
            <v>214</v>
          </cell>
          <cell r="P241">
            <v>214</v>
          </cell>
          <cell r="Q241">
            <v>73</v>
          </cell>
          <cell r="R241">
            <v>25</v>
          </cell>
          <cell r="S241">
            <v>116</v>
          </cell>
          <cell r="Z241">
            <v>214</v>
          </cell>
          <cell r="AA241">
            <v>0</v>
          </cell>
          <cell r="AB241">
            <v>214</v>
          </cell>
        </row>
        <row r="242">
          <cell r="C242">
            <v>8</v>
          </cell>
          <cell r="D242" t="str">
            <v>közhasznú</v>
          </cell>
          <cell r="I242">
            <v>12</v>
          </cell>
          <cell r="J242">
            <v>27</v>
          </cell>
          <cell r="P242">
            <v>39</v>
          </cell>
          <cell r="Q242">
            <v>26</v>
          </cell>
          <cell r="R242">
            <v>13</v>
          </cell>
          <cell r="Z242">
            <v>39</v>
          </cell>
          <cell r="AA242">
            <v>0</v>
          </cell>
          <cell r="AB242">
            <v>39</v>
          </cell>
        </row>
        <row r="243">
          <cell r="C243">
            <v>13</v>
          </cell>
          <cell r="D243" t="str">
            <v>bérfejlesztés</v>
          </cell>
          <cell r="I243">
            <v>2134</v>
          </cell>
          <cell r="P243">
            <v>2134</v>
          </cell>
          <cell r="Q243">
            <v>1569</v>
          </cell>
          <cell r="R243">
            <v>565</v>
          </cell>
          <cell r="Z243">
            <v>2134</v>
          </cell>
          <cell r="AA243">
            <v>0</v>
          </cell>
          <cell r="AB243">
            <v>2134</v>
          </cell>
        </row>
        <row r="244">
          <cell r="D244" t="str">
            <v>sh1(19)</v>
          </cell>
          <cell r="K244">
            <v>183</v>
          </cell>
          <cell r="P244">
            <v>183</v>
          </cell>
          <cell r="Q244">
            <v>76</v>
          </cell>
          <cell r="R244">
            <v>25</v>
          </cell>
          <cell r="S244">
            <v>82</v>
          </cell>
          <cell r="Z244">
            <v>183</v>
          </cell>
          <cell r="AA244">
            <v>0</v>
          </cell>
          <cell r="AB244">
            <v>183</v>
          </cell>
        </row>
        <row r="245">
          <cell r="C245">
            <v>14</v>
          </cell>
          <cell r="D245" t="str">
            <v>4% bérfejlesztés</v>
          </cell>
          <cell r="I245">
            <v>-84</v>
          </cell>
          <cell r="P245">
            <v>-84</v>
          </cell>
          <cell r="Q245">
            <v>-62</v>
          </cell>
          <cell r="R245">
            <v>-22</v>
          </cell>
          <cell r="Z245">
            <v>-84</v>
          </cell>
          <cell r="AA245">
            <v>0</v>
          </cell>
          <cell r="AB245">
            <v>-84</v>
          </cell>
        </row>
        <row r="246">
          <cell r="P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P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P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P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P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P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P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P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P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P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P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P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P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P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P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P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P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P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P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P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Összesen</v>
          </cell>
          <cell r="D266" t="str">
            <v>Integrált Nappali Szoc.Int.</v>
          </cell>
          <cell r="E266">
            <v>11084</v>
          </cell>
          <cell r="F266">
            <v>0</v>
          </cell>
          <cell r="G266">
            <v>4184</v>
          </cell>
          <cell r="H266">
            <v>0</v>
          </cell>
          <cell r="I266">
            <v>56824</v>
          </cell>
          <cell r="J266">
            <v>27</v>
          </cell>
          <cell r="K266">
            <v>1097</v>
          </cell>
          <cell r="L266">
            <v>0</v>
          </cell>
          <cell r="M266">
            <v>0</v>
          </cell>
          <cell r="N266">
            <v>2127</v>
          </cell>
          <cell r="O266">
            <v>0</v>
          </cell>
          <cell r="P266">
            <v>75343</v>
          </cell>
          <cell r="Q266">
            <v>27145</v>
          </cell>
          <cell r="R266">
            <v>11753</v>
          </cell>
          <cell r="S266">
            <v>36445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75343</v>
          </cell>
          <cell r="AA266">
            <v>0</v>
          </cell>
          <cell r="AB266">
            <v>75343</v>
          </cell>
        </row>
        <row r="267">
          <cell r="A267">
            <v>12</v>
          </cell>
          <cell r="B267" t="str">
            <v>Pécsi Gyermekotthon</v>
          </cell>
          <cell r="C267">
            <v>1</v>
          </cell>
          <cell r="D267" t="str">
            <v>00előirányzat</v>
          </cell>
          <cell r="E267">
            <v>1000</v>
          </cell>
          <cell r="G267">
            <v>360</v>
          </cell>
          <cell r="I267">
            <v>81195</v>
          </cell>
          <cell r="P267">
            <v>82555</v>
          </cell>
          <cell r="Q267">
            <v>36453</v>
          </cell>
          <cell r="R267">
            <v>15900</v>
          </cell>
          <cell r="S267">
            <v>28504</v>
          </cell>
          <cell r="W267">
            <v>1698</v>
          </cell>
          <cell r="Z267">
            <v>82555</v>
          </cell>
          <cell r="AA267">
            <v>0</v>
          </cell>
          <cell r="AB267">
            <v>82555</v>
          </cell>
        </row>
        <row r="268">
          <cell r="C268">
            <v>2</v>
          </cell>
          <cell r="D268" t="str">
            <v>jóváhagyott pénzmaradvány</v>
          </cell>
          <cell r="N268">
            <v>-1100</v>
          </cell>
          <cell r="P268">
            <v>-1100</v>
          </cell>
          <cell r="Q268">
            <v>78</v>
          </cell>
          <cell r="R268">
            <v>28</v>
          </cell>
          <cell r="S268">
            <v>-1206</v>
          </cell>
          <cell r="Z268">
            <v>-1100</v>
          </cell>
          <cell r="AA268">
            <v>0</v>
          </cell>
          <cell r="AB268">
            <v>-1100</v>
          </cell>
        </row>
        <row r="269">
          <cell r="C269">
            <v>3</v>
          </cell>
          <cell r="D269" t="str">
            <v>pm.terhelő bef.kötelezettség</v>
          </cell>
          <cell r="N269">
            <v>1475</v>
          </cell>
          <cell r="P269">
            <v>1475</v>
          </cell>
          <cell r="S269">
            <v>1475</v>
          </cell>
          <cell r="Z269">
            <v>1475</v>
          </cell>
          <cell r="AA269">
            <v>0</v>
          </cell>
          <cell r="AB269">
            <v>1475</v>
          </cell>
        </row>
        <row r="270">
          <cell r="D270" t="str">
            <v>sh1(9)</v>
          </cell>
          <cell r="J270">
            <v>30</v>
          </cell>
          <cell r="M270">
            <v>500</v>
          </cell>
          <cell r="P270">
            <v>530</v>
          </cell>
          <cell r="S270">
            <v>30</v>
          </cell>
          <cell r="X270">
            <v>500</v>
          </cell>
          <cell r="Z270">
            <v>530</v>
          </cell>
          <cell r="AA270">
            <v>0</v>
          </cell>
          <cell r="AB270">
            <v>530</v>
          </cell>
        </row>
        <row r="271">
          <cell r="C271">
            <v>9</v>
          </cell>
          <cell r="D271" t="str">
            <v>ped.szakkönyv</v>
          </cell>
          <cell r="I271">
            <v>146</v>
          </cell>
          <cell r="P271">
            <v>146</v>
          </cell>
          <cell r="Q271">
            <v>146</v>
          </cell>
          <cell r="Z271">
            <v>146</v>
          </cell>
          <cell r="AA271">
            <v>0</v>
          </cell>
          <cell r="AB271">
            <v>146</v>
          </cell>
        </row>
        <row r="272">
          <cell r="D272" t="str">
            <v>pót1 viharkárok</v>
          </cell>
          <cell r="I272">
            <v>5</v>
          </cell>
          <cell r="P272">
            <v>5</v>
          </cell>
          <cell r="X272">
            <v>5</v>
          </cell>
          <cell r="Z272">
            <v>5</v>
          </cell>
          <cell r="AA272">
            <v>0</v>
          </cell>
          <cell r="AB272">
            <v>5</v>
          </cell>
        </row>
        <row r="273">
          <cell r="C273">
            <v>13</v>
          </cell>
          <cell r="D273" t="str">
            <v>bérfejlesztés</v>
          </cell>
          <cell r="I273">
            <v>1167</v>
          </cell>
          <cell r="P273">
            <v>1167</v>
          </cell>
          <cell r="Q273">
            <v>858</v>
          </cell>
          <cell r="R273">
            <v>309</v>
          </cell>
          <cell r="Z273">
            <v>1167</v>
          </cell>
          <cell r="AA273">
            <v>0</v>
          </cell>
          <cell r="AB273">
            <v>1167</v>
          </cell>
        </row>
        <row r="274">
          <cell r="C274">
            <v>14</v>
          </cell>
          <cell r="D274" t="str">
            <v>4% bérfejlesztés</v>
          </cell>
          <cell r="I274">
            <v>-79</v>
          </cell>
          <cell r="P274">
            <v>-79</v>
          </cell>
          <cell r="Q274">
            <v>-58</v>
          </cell>
          <cell r="R274">
            <v>-21</v>
          </cell>
          <cell r="Z274">
            <v>-79</v>
          </cell>
          <cell r="AA274">
            <v>0</v>
          </cell>
          <cell r="AB274">
            <v>-79</v>
          </cell>
        </row>
        <row r="275">
          <cell r="P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P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P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P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P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P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P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P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P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P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P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P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P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P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P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P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P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P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P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P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P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P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P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P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Összesen</v>
          </cell>
          <cell r="D299" t="str">
            <v>Pécsi Gyermekotthon és ...</v>
          </cell>
          <cell r="E299">
            <v>1000</v>
          </cell>
          <cell r="F299">
            <v>0</v>
          </cell>
          <cell r="G299">
            <v>360</v>
          </cell>
          <cell r="H299">
            <v>0</v>
          </cell>
          <cell r="I299">
            <v>82434</v>
          </cell>
          <cell r="J299">
            <v>30</v>
          </cell>
          <cell r="K299">
            <v>0</v>
          </cell>
          <cell r="L299">
            <v>0</v>
          </cell>
          <cell r="M299">
            <v>500</v>
          </cell>
          <cell r="N299">
            <v>375</v>
          </cell>
          <cell r="O299">
            <v>0</v>
          </cell>
          <cell r="P299">
            <v>84699</v>
          </cell>
          <cell r="Q299">
            <v>37477</v>
          </cell>
          <cell r="R299">
            <v>16216</v>
          </cell>
          <cell r="S299">
            <v>28803</v>
          </cell>
          <cell r="T299">
            <v>0</v>
          </cell>
          <cell r="U299">
            <v>0</v>
          </cell>
          <cell r="V299">
            <v>0</v>
          </cell>
          <cell r="W299">
            <v>1698</v>
          </cell>
          <cell r="X299">
            <v>505</v>
          </cell>
          <cell r="Y299">
            <v>0</v>
          </cell>
          <cell r="Z299">
            <v>84699</v>
          </cell>
          <cell r="AA299">
            <v>0</v>
          </cell>
          <cell r="AB299">
            <v>84699</v>
          </cell>
        </row>
        <row r="300">
          <cell r="A300">
            <v>14</v>
          </cell>
          <cell r="B300" t="str">
            <v>Oktátásügyi Szolgálat (pici)</v>
          </cell>
          <cell r="C300">
            <v>1</v>
          </cell>
          <cell r="D300" t="str">
            <v>00előirányzat</v>
          </cell>
          <cell r="E300">
            <v>13205</v>
          </cell>
          <cell r="G300">
            <v>2149</v>
          </cell>
          <cell r="I300">
            <v>84165</v>
          </cell>
          <cell r="P300">
            <v>99519</v>
          </cell>
          <cell r="Q300">
            <v>35166</v>
          </cell>
          <cell r="R300">
            <v>13619</v>
          </cell>
          <cell r="S300">
            <v>50734</v>
          </cell>
          <cell r="Z300">
            <v>99519</v>
          </cell>
          <cell r="AA300">
            <v>0</v>
          </cell>
          <cell r="AB300">
            <v>99519</v>
          </cell>
        </row>
        <row r="301">
          <cell r="C301">
            <v>5</v>
          </cell>
          <cell r="D301" t="str">
            <v>jóváhagyott pénzmaradvány</v>
          </cell>
          <cell r="N301">
            <v>10007</v>
          </cell>
          <cell r="P301">
            <v>10007</v>
          </cell>
          <cell r="Q301">
            <v>3199</v>
          </cell>
          <cell r="R301">
            <v>1151</v>
          </cell>
          <cell r="Y301">
            <v>5657</v>
          </cell>
          <cell r="Z301">
            <v>10007</v>
          </cell>
          <cell r="AA301">
            <v>0</v>
          </cell>
          <cell r="AB301">
            <v>10007</v>
          </cell>
        </row>
        <row r="302">
          <cell r="C302">
            <v>6</v>
          </cell>
          <cell r="D302" t="str">
            <v>pm.terhelő bef.kötelezettség</v>
          </cell>
          <cell r="N302">
            <v>1670</v>
          </cell>
          <cell r="P302">
            <v>1670</v>
          </cell>
          <cell r="S302">
            <v>1670</v>
          </cell>
          <cell r="Z302">
            <v>1670</v>
          </cell>
          <cell r="AA302">
            <v>0</v>
          </cell>
          <cell r="AB302">
            <v>1670</v>
          </cell>
        </row>
        <row r="303">
          <cell r="C303">
            <v>7</v>
          </cell>
          <cell r="D303" t="str">
            <v>tárgyévi eir.mód.korrekció</v>
          </cell>
          <cell r="P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D304" t="str">
            <v>shk.</v>
          </cell>
          <cell r="P304">
            <v>0</v>
          </cell>
          <cell r="S304">
            <v>5657</v>
          </cell>
          <cell r="Y304">
            <v>-5657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12</v>
          </cell>
          <cell r="D305" t="str">
            <v>elvonás</v>
          </cell>
          <cell r="I305">
            <v>-757</v>
          </cell>
          <cell r="P305">
            <v>-757</v>
          </cell>
          <cell r="S305">
            <v>-757</v>
          </cell>
          <cell r="Z305">
            <v>-757</v>
          </cell>
          <cell r="AA305">
            <v>0</v>
          </cell>
          <cell r="AB305">
            <v>-757</v>
          </cell>
        </row>
        <row r="306">
          <cell r="C306">
            <v>13</v>
          </cell>
          <cell r="D306" t="str">
            <v>bérfejlesztés</v>
          </cell>
          <cell r="I306">
            <v>2432</v>
          </cell>
          <cell r="P306">
            <v>2432</v>
          </cell>
          <cell r="Q306">
            <v>1788</v>
          </cell>
          <cell r="R306">
            <v>644</v>
          </cell>
          <cell r="Z306">
            <v>2432</v>
          </cell>
          <cell r="AA306">
            <v>0</v>
          </cell>
          <cell r="AB306">
            <v>2432</v>
          </cell>
        </row>
        <row r="307">
          <cell r="C307">
            <v>14</v>
          </cell>
          <cell r="D307" t="str">
            <v>4% bérfejlesztés</v>
          </cell>
          <cell r="I307">
            <v>-672</v>
          </cell>
          <cell r="P307">
            <v>-672</v>
          </cell>
          <cell r="Q307">
            <v>-494</v>
          </cell>
          <cell r="R307">
            <v>-178</v>
          </cell>
          <cell r="Z307">
            <v>-672</v>
          </cell>
          <cell r="AA307">
            <v>0</v>
          </cell>
          <cell r="AB307">
            <v>-672</v>
          </cell>
        </row>
        <row r="308">
          <cell r="P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P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P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P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P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P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P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P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P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P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P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P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P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P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P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P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P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P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P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P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B328" t="str">
            <v>Összesen</v>
          </cell>
          <cell r="D328" t="str">
            <v>Oktatásügyi Szolg.</v>
          </cell>
          <cell r="E328">
            <v>13205</v>
          </cell>
          <cell r="F328">
            <v>0</v>
          </cell>
          <cell r="G328">
            <v>2149</v>
          </cell>
          <cell r="H328">
            <v>0</v>
          </cell>
          <cell r="I328">
            <v>85168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11677</v>
          </cell>
          <cell r="O328">
            <v>0</v>
          </cell>
          <cell r="P328">
            <v>112199</v>
          </cell>
          <cell r="Q328">
            <v>39659</v>
          </cell>
          <cell r="R328">
            <v>15236</v>
          </cell>
          <cell r="S328">
            <v>57304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112199</v>
          </cell>
          <cell r="AA328">
            <v>0</v>
          </cell>
          <cell r="AB328">
            <v>112199</v>
          </cell>
        </row>
        <row r="329">
          <cell r="B329" t="str">
            <v>Óvodák</v>
          </cell>
          <cell r="C329">
            <v>1</v>
          </cell>
          <cell r="D329" t="str">
            <v>00előirányzat</v>
          </cell>
          <cell r="E329">
            <v>106950</v>
          </cell>
          <cell r="G329">
            <v>31990</v>
          </cell>
          <cell r="I329">
            <v>870741</v>
          </cell>
          <cell r="P329">
            <v>1009681</v>
          </cell>
          <cell r="Q329">
            <v>498375</v>
          </cell>
          <cell r="R329">
            <v>211253</v>
          </cell>
          <cell r="S329">
            <v>297135</v>
          </cell>
          <cell r="W329">
            <v>2918</v>
          </cell>
          <cell r="Z329">
            <v>1009681</v>
          </cell>
          <cell r="AA329">
            <v>0</v>
          </cell>
          <cell r="AB329">
            <v>1009681</v>
          </cell>
        </row>
        <row r="330">
          <cell r="C330">
            <v>5</v>
          </cell>
          <cell r="D330" t="str">
            <v>jóváhagyott pénzmaradvány</v>
          </cell>
          <cell r="N330">
            <v>-2817</v>
          </cell>
          <cell r="P330">
            <v>-2817</v>
          </cell>
          <cell r="Q330">
            <v>232</v>
          </cell>
          <cell r="S330">
            <v>-3049</v>
          </cell>
          <cell r="Z330">
            <v>-2817</v>
          </cell>
          <cell r="AA330">
            <v>0</v>
          </cell>
          <cell r="AB330">
            <v>-2817</v>
          </cell>
        </row>
        <row r="331">
          <cell r="C331">
            <v>6</v>
          </cell>
          <cell r="D331" t="str">
            <v>pm.terhelő bef.kötelezettség</v>
          </cell>
          <cell r="N331">
            <v>4827</v>
          </cell>
          <cell r="P331">
            <v>4827</v>
          </cell>
          <cell r="S331">
            <v>4827</v>
          </cell>
          <cell r="Z331">
            <v>4827</v>
          </cell>
          <cell r="AA331">
            <v>0</v>
          </cell>
          <cell r="AB331">
            <v>4827</v>
          </cell>
        </row>
        <row r="332">
          <cell r="C332">
            <v>7</v>
          </cell>
          <cell r="D332" t="str">
            <v>tárgyévi eir.mód.korrekció</v>
          </cell>
          <cell r="I332">
            <v>2641</v>
          </cell>
          <cell r="P332">
            <v>2641</v>
          </cell>
          <cell r="S332">
            <v>2641</v>
          </cell>
          <cell r="Z332">
            <v>2641</v>
          </cell>
          <cell r="AA332">
            <v>0</v>
          </cell>
          <cell r="AB332">
            <v>2641</v>
          </cell>
        </row>
        <row r="333">
          <cell r="B333" t="str">
            <v>Pécs-Pécsbányatelep</v>
          </cell>
          <cell r="D333" t="str">
            <v>támogatás</v>
          </cell>
          <cell r="I333">
            <v>40</v>
          </cell>
          <cell r="P333">
            <v>40</v>
          </cell>
          <cell r="S333">
            <v>40</v>
          </cell>
          <cell r="Z333">
            <v>40</v>
          </cell>
          <cell r="AA333">
            <v>0</v>
          </cell>
          <cell r="AB333">
            <v>40</v>
          </cell>
        </row>
        <row r="334">
          <cell r="B334" t="str">
            <v>Bókay Endre</v>
          </cell>
          <cell r="D334" t="str">
            <v>Tisztségviselői keret</v>
          </cell>
          <cell r="I334">
            <v>100</v>
          </cell>
          <cell r="P334">
            <v>100</v>
          </cell>
          <cell r="S334">
            <v>100</v>
          </cell>
          <cell r="Z334">
            <v>100</v>
          </cell>
          <cell r="AA334">
            <v>0</v>
          </cell>
          <cell r="AB334">
            <v>100</v>
          </cell>
        </row>
        <row r="335">
          <cell r="D335" t="str">
            <v>Német Kisebbségi Önkormányzat</v>
          </cell>
          <cell r="I335">
            <v>120</v>
          </cell>
          <cell r="P335">
            <v>120</v>
          </cell>
          <cell r="S335">
            <v>120</v>
          </cell>
          <cell r="Z335">
            <v>120</v>
          </cell>
          <cell r="AA335">
            <v>0</v>
          </cell>
          <cell r="AB335">
            <v>120</v>
          </cell>
        </row>
        <row r="336">
          <cell r="C336">
            <v>10</v>
          </cell>
          <cell r="D336" t="str">
            <v>ped.szakkönyv</v>
          </cell>
          <cell r="I336">
            <v>4252</v>
          </cell>
          <cell r="P336">
            <v>4252</v>
          </cell>
          <cell r="Q336">
            <v>4252</v>
          </cell>
          <cell r="Z336">
            <v>4252</v>
          </cell>
          <cell r="AA336">
            <v>0</v>
          </cell>
          <cell r="AB336">
            <v>4252</v>
          </cell>
        </row>
        <row r="337">
          <cell r="P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 t="str">
            <v xml:space="preserve"> </v>
          </cell>
          <cell r="P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D339" t="str">
            <v>pót1 viharkárok</v>
          </cell>
          <cell r="I339">
            <v>27</v>
          </cell>
          <cell r="P339">
            <v>27</v>
          </cell>
          <cell r="X339">
            <v>27</v>
          </cell>
          <cell r="Z339">
            <v>27</v>
          </cell>
          <cell r="AA339">
            <v>0</v>
          </cell>
          <cell r="AB339">
            <v>27</v>
          </cell>
        </row>
        <row r="340">
          <cell r="C340">
            <v>12</v>
          </cell>
          <cell r="D340" t="str">
            <v>elvonás</v>
          </cell>
          <cell r="I340">
            <v>-2785</v>
          </cell>
          <cell r="P340">
            <v>-2785</v>
          </cell>
          <cell r="S340">
            <v>-2785</v>
          </cell>
          <cell r="Z340">
            <v>-2785</v>
          </cell>
          <cell r="AA340">
            <v>0</v>
          </cell>
          <cell r="AB340">
            <v>-2785</v>
          </cell>
        </row>
        <row r="341">
          <cell r="C341">
            <v>13</v>
          </cell>
          <cell r="D341" t="str">
            <v>bérfejlesztés</v>
          </cell>
          <cell r="I341">
            <v>12884</v>
          </cell>
          <cell r="P341">
            <v>12884</v>
          </cell>
          <cell r="Q341">
            <v>9474</v>
          </cell>
          <cell r="R341">
            <v>3410</v>
          </cell>
          <cell r="Z341">
            <v>12884</v>
          </cell>
          <cell r="AA341">
            <v>0</v>
          </cell>
          <cell r="AB341">
            <v>12884</v>
          </cell>
        </row>
        <row r="342">
          <cell r="C342">
            <v>14</v>
          </cell>
          <cell r="D342" t="str">
            <v>4% bérfejlesztés</v>
          </cell>
          <cell r="I342">
            <v>-3560</v>
          </cell>
          <cell r="P342">
            <v>-3560</v>
          </cell>
          <cell r="Q342">
            <v>-2618</v>
          </cell>
          <cell r="R342">
            <v>-942</v>
          </cell>
          <cell r="Z342">
            <v>-3560</v>
          </cell>
          <cell r="AA342">
            <v>0</v>
          </cell>
          <cell r="AB342">
            <v>-3560</v>
          </cell>
        </row>
        <row r="343">
          <cell r="P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P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P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P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P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P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P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P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P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P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P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P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P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P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B357" t="str">
            <v>Összesen</v>
          </cell>
          <cell r="D357" t="str">
            <v>Óvodák</v>
          </cell>
          <cell r="E357">
            <v>106950</v>
          </cell>
          <cell r="F357">
            <v>0</v>
          </cell>
          <cell r="G357">
            <v>31990</v>
          </cell>
          <cell r="H357">
            <v>0</v>
          </cell>
          <cell r="I357">
            <v>884460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2010</v>
          </cell>
          <cell r="O357">
            <v>0</v>
          </cell>
          <cell r="P357">
            <v>1025410</v>
          </cell>
          <cell r="Q357">
            <v>509715</v>
          </cell>
          <cell r="R357">
            <v>213721</v>
          </cell>
          <cell r="S357">
            <v>299029</v>
          </cell>
          <cell r="T357">
            <v>0</v>
          </cell>
          <cell r="U357">
            <v>0</v>
          </cell>
          <cell r="V357">
            <v>0</v>
          </cell>
          <cell r="W357">
            <v>2918</v>
          </cell>
          <cell r="X357">
            <v>27</v>
          </cell>
          <cell r="Y357">
            <v>0</v>
          </cell>
          <cell r="Z357">
            <v>1025410</v>
          </cell>
          <cell r="AA357">
            <v>0</v>
          </cell>
          <cell r="AB357">
            <v>1025410</v>
          </cell>
        </row>
        <row r="358">
          <cell r="B358" t="str">
            <v>Összesen</v>
          </cell>
          <cell r="D358" t="str">
            <v>Oktatásügyi Szolgálat+Óvodák</v>
          </cell>
          <cell r="E358">
            <v>120155</v>
          </cell>
          <cell r="F358">
            <v>0</v>
          </cell>
          <cell r="G358">
            <v>34139</v>
          </cell>
          <cell r="H358">
            <v>0</v>
          </cell>
          <cell r="I358">
            <v>969628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13687</v>
          </cell>
          <cell r="O358">
            <v>0</v>
          </cell>
          <cell r="P358">
            <v>1137609</v>
          </cell>
          <cell r="Q358">
            <v>549374</v>
          </cell>
          <cell r="R358">
            <v>228957</v>
          </cell>
          <cell r="S358">
            <v>356333</v>
          </cell>
          <cell r="T358">
            <v>0</v>
          </cell>
          <cell r="U358">
            <v>0</v>
          </cell>
          <cell r="V358">
            <v>0</v>
          </cell>
          <cell r="W358">
            <v>2918</v>
          </cell>
          <cell r="X358">
            <v>27</v>
          </cell>
          <cell r="Y358">
            <v>0</v>
          </cell>
          <cell r="Z358">
            <v>1137609</v>
          </cell>
          <cell r="AA358">
            <v>0</v>
          </cell>
          <cell r="AB358">
            <v>1137609</v>
          </cell>
        </row>
        <row r="359">
          <cell r="A359">
            <v>1401</v>
          </cell>
          <cell r="B359" t="str">
            <v>Anikó utcai Általános Iskola</v>
          </cell>
          <cell r="C359">
            <v>1</v>
          </cell>
          <cell r="D359" t="str">
            <v>00előirányzat</v>
          </cell>
          <cell r="E359">
            <v>9521</v>
          </cell>
          <cell r="G359">
            <v>4262</v>
          </cell>
          <cell r="I359">
            <v>97971</v>
          </cell>
          <cell r="P359">
            <v>111754</v>
          </cell>
          <cell r="Q359">
            <v>56937</v>
          </cell>
          <cell r="R359">
            <v>24123</v>
          </cell>
          <cell r="S359">
            <v>30094</v>
          </cell>
          <cell r="W359">
            <v>600</v>
          </cell>
          <cell r="Z359">
            <v>111754</v>
          </cell>
          <cell r="AA359">
            <v>0</v>
          </cell>
          <cell r="AB359">
            <v>111754</v>
          </cell>
        </row>
        <row r="360">
          <cell r="C360">
            <v>5</v>
          </cell>
          <cell r="D360" t="str">
            <v>jóváhagyott pénzmaradvány</v>
          </cell>
          <cell r="N360">
            <v>-572</v>
          </cell>
          <cell r="P360">
            <v>-572</v>
          </cell>
          <cell r="Q360">
            <v>417</v>
          </cell>
          <cell r="R360">
            <v>12</v>
          </cell>
          <cell r="S360">
            <v>-1001</v>
          </cell>
          <cell r="Z360">
            <v>-572</v>
          </cell>
          <cell r="AA360">
            <v>0</v>
          </cell>
          <cell r="AB360">
            <v>-572</v>
          </cell>
        </row>
        <row r="361">
          <cell r="C361">
            <v>6</v>
          </cell>
          <cell r="D361" t="str">
            <v>pm.terhelő bef.kötelezettség</v>
          </cell>
          <cell r="N361">
            <v>1462</v>
          </cell>
          <cell r="P361">
            <v>1462</v>
          </cell>
          <cell r="S361">
            <v>1462</v>
          </cell>
          <cell r="Z361">
            <v>1462</v>
          </cell>
          <cell r="AA361">
            <v>0</v>
          </cell>
          <cell r="AB361">
            <v>1462</v>
          </cell>
        </row>
        <row r="362">
          <cell r="D362" t="str">
            <v>képviselői keret</v>
          </cell>
          <cell r="I362">
            <v>150</v>
          </cell>
          <cell r="P362">
            <v>150</v>
          </cell>
          <cell r="S362">
            <v>150</v>
          </cell>
          <cell r="Z362">
            <v>150</v>
          </cell>
          <cell r="AA362">
            <v>0</v>
          </cell>
          <cell r="AB362">
            <v>150</v>
          </cell>
        </row>
        <row r="363">
          <cell r="C363">
            <v>10</v>
          </cell>
          <cell r="D363" t="str">
            <v>ped.szakkönyv</v>
          </cell>
          <cell r="I363">
            <v>596</v>
          </cell>
          <cell r="P363">
            <v>596</v>
          </cell>
          <cell r="Q363">
            <v>596</v>
          </cell>
          <cell r="Z363">
            <v>596</v>
          </cell>
          <cell r="AA363">
            <v>0</v>
          </cell>
          <cell r="AB363">
            <v>596</v>
          </cell>
        </row>
        <row r="364">
          <cell r="C364">
            <v>12</v>
          </cell>
          <cell r="D364" t="str">
            <v>elvonás</v>
          </cell>
          <cell r="I364">
            <v>-349</v>
          </cell>
          <cell r="P364">
            <v>-349</v>
          </cell>
          <cell r="S364">
            <v>-349</v>
          </cell>
          <cell r="Z364">
            <v>-349</v>
          </cell>
          <cell r="AA364">
            <v>0</v>
          </cell>
          <cell r="AB364">
            <v>-349</v>
          </cell>
        </row>
        <row r="365">
          <cell r="C365">
            <v>13</v>
          </cell>
          <cell r="D365" t="str">
            <v>bérfejlesztés</v>
          </cell>
          <cell r="I365">
            <v>390</v>
          </cell>
          <cell r="P365">
            <v>390</v>
          </cell>
          <cell r="Q365">
            <v>287</v>
          </cell>
          <cell r="R365">
            <v>103</v>
          </cell>
          <cell r="Z365">
            <v>390</v>
          </cell>
          <cell r="AA365">
            <v>0</v>
          </cell>
          <cell r="AB365">
            <v>390</v>
          </cell>
        </row>
        <row r="366">
          <cell r="C366">
            <v>14</v>
          </cell>
          <cell r="D366" t="str">
            <v>4% bérfejlesztés</v>
          </cell>
          <cell r="I366">
            <v>-107</v>
          </cell>
          <cell r="P366">
            <v>-107</v>
          </cell>
          <cell r="Q366">
            <v>-79</v>
          </cell>
          <cell r="R366">
            <v>-28</v>
          </cell>
          <cell r="Z366">
            <v>-107</v>
          </cell>
          <cell r="AA366">
            <v>0</v>
          </cell>
          <cell r="AB366">
            <v>-107</v>
          </cell>
        </row>
        <row r="367">
          <cell r="P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P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P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P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P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P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P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P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P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P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P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P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P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Összesen</v>
          </cell>
          <cell r="D380" t="str">
            <v>Anikó uti Általános Isk.</v>
          </cell>
          <cell r="E380">
            <v>9521</v>
          </cell>
          <cell r="F380">
            <v>0</v>
          </cell>
          <cell r="G380">
            <v>4262</v>
          </cell>
          <cell r="H380">
            <v>0</v>
          </cell>
          <cell r="I380">
            <v>98651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890</v>
          </cell>
          <cell r="O380">
            <v>0</v>
          </cell>
          <cell r="P380">
            <v>113324</v>
          </cell>
          <cell r="Q380">
            <v>58158</v>
          </cell>
          <cell r="R380">
            <v>24210</v>
          </cell>
          <cell r="S380">
            <v>30356</v>
          </cell>
          <cell r="T380">
            <v>0</v>
          </cell>
          <cell r="U380">
            <v>0</v>
          </cell>
          <cell r="V380">
            <v>0</v>
          </cell>
          <cell r="W380">
            <v>600</v>
          </cell>
          <cell r="X380">
            <v>0</v>
          </cell>
          <cell r="Y380">
            <v>0</v>
          </cell>
          <cell r="Z380">
            <v>113324</v>
          </cell>
          <cell r="AA380">
            <v>0</v>
          </cell>
          <cell r="AB380">
            <v>113324</v>
          </cell>
        </row>
        <row r="381">
          <cell r="A381">
            <v>1402</v>
          </cell>
          <cell r="B381" t="str">
            <v>Bánki D.uti Általános Isk.</v>
          </cell>
          <cell r="C381">
            <v>1</v>
          </cell>
          <cell r="D381" t="str">
            <v>00előirányzat</v>
          </cell>
          <cell r="E381">
            <v>11757</v>
          </cell>
          <cell r="G381">
            <v>4888</v>
          </cell>
          <cell r="I381">
            <v>121420</v>
          </cell>
          <cell r="P381">
            <v>138065</v>
          </cell>
          <cell r="Q381">
            <v>66930</v>
          </cell>
          <cell r="R381">
            <v>28614</v>
          </cell>
          <cell r="S381">
            <v>41228</v>
          </cell>
          <cell r="W381">
            <v>1293</v>
          </cell>
          <cell r="Z381">
            <v>138065</v>
          </cell>
          <cell r="AA381">
            <v>0</v>
          </cell>
          <cell r="AB381">
            <v>138065</v>
          </cell>
        </row>
        <row r="382">
          <cell r="C382">
            <v>5</v>
          </cell>
          <cell r="D382" t="str">
            <v>jóváhagyott pénzmaradvány</v>
          </cell>
          <cell r="N382">
            <v>2195</v>
          </cell>
          <cell r="P382">
            <v>2195</v>
          </cell>
          <cell r="Q382">
            <v>1412</v>
          </cell>
          <cell r="R382">
            <v>255</v>
          </cell>
          <cell r="Y382">
            <v>528</v>
          </cell>
          <cell r="Z382">
            <v>2195</v>
          </cell>
          <cell r="AA382">
            <v>0</v>
          </cell>
          <cell r="AB382">
            <v>2195</v>
          </cell>
        </row>
        <row r="383">
          <cell r="C383">
            <v>6</v>
          </cell>
          <cell r="D383" t="str">
            <v>pm.terhelő bef.kötelezettség</v>
          </cell>
          <cell r="N383">
            <v>1041</v>
          </cell>
          <cell r="P383">
            <v>1041</v>
          </cell>
          <cell r="S383">
            <v>1041</v>
          </cell>
          <cell r="Z383">
            <v>1041</v>
          </cell>
          <cell r="AA383">
            <v>0</v>
          </cell>
          <cell r="AB383">
            <v>1041</v>
          </cell>
        </row>
        <row r="384">
          <cell r="C384">
            <v>10</v>
          </cell>
          <cell r="D384" t="str">
            <v>ped.szakkönyv</v>
          </cell>
          <cell r="I384">
            <v>720</v>
          </cell>
          <cell r="P384">
            <v>720</v>
          </cell>
          <cell r="Q384">
            <v>720</v>
          </cell>
          <cell r="Z384">
            <v>720</v>
          </cell>
          <cell r="AA384">
            <v>0</v>
          </cell>
          <cell r="AB384">
            <v>720</v>
          </cell>
        </row>
        <row r="385">
          <cell r="C385">
            <v>12</v>
          </cell>
          <cell r="D385" t="str">
            <v>elvonás</v>
          </cell>
          <cell r="I385">
            <v>-491</v>
          </cell>
          <cell r="P385">
            <v>-491</v>
          </cell>
          <cell r="S385">
            <v>-491</v>
          </cell>
          <cell r="Z385">
            <v>-491</v>
          </cell>
          <cell r="AA385">
            <v>0</v>
          </cell>
          <cell r="AB385">
            <v>-491</v>
          </cell>
        </row>
        <row r="386">
          <cell r="C386">
            <v>13</v>
          </cell>
          <cell r="D386" t="str">
            <v>bérfejlesztés</v>
          </cell>
          <cell r="I386">
            <v>714</v>
          </cell>
          <cell r="P386">
            <v>714</v>
          </cell>
          <cell r="Q386">
            <v>525</v>
          </cell>
          <cell r="R386">
            <v>189</v>
          </cell>
          <cell r="Z386">
            <v>714</v>
          </cell>
          <cell r="AA386">
            <v>0</v>
          </cell>
          <cell r="AB386">
            <v>714</v>
          </cell>
        </row>
        <row r="387">
          <cell r="C387">
            <v>14</v>
          </cell>
          <cell r="D387" t="str">
            <v>4% bérfejlesztés</v>
          </cell>
          <cell r="I387">
            <v>-197</v>
          </cell>
          <cell r="P387">
            <v>-197</v>
          </cell>
          <cell r="Q387">
            <v>-145</v>
          </cell>
          <cell r="R387">
            <v>-52</v>
          </cell>
          <cell r="Z387">
            <v>-197</v>
          </cell>
          <cell r="AA387">
            <v>0</v>
          </cell>
          <cell r="AB387">
            <v>-197</v>
          </cell>
        </row>
        <row r="388">
          <cell r="P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P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P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P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P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P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P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P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P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P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P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P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P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P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P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P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P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P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Összesen</v>
          </cell>
          <cell r="D406" t="str">
            <v>Bánki D.uti Általános Isk.</v>
          </cell>
          <cell r="E406">
            <v>11757</v>
          </cell>
          <cell r="F406">
            <v>0</v>
          </cell>
          <cell r="G406">
            <v>4888</v>
          </cell>
          <cell r="H406">
            <v>0</v>
          </cell>
          <cell r="I406">
            <v>122166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3236</v>
          </cell>
          <cell r="O406">
            <v>0</v>
          </cell>
          <cell r="P406">
            <v>142047</v>
          </cell>
          <cell r="Q406">
            <v>69442</v>
          </cell>
          <cell r="R406">
            <v>29006</v>
          </cell>
          <cell r="S406">
            <v>41778</v>
          </cell>
          <cell r="T406">
            <v>0</v>
          </cell>
          <cell r="U406">
            <v>0</v>
          </cell>
          <cell r="V406">
            <v>0</v>
          </cell>
          <cell r="W406">
            <v>1293</v>
          </cell>
          <cell r="X406">
            <v>0</v>
          </cell>
          <cell r="Y406">
            <v>528</v>
          </cell>
          <cell r="Z406">
            <v>142047</v>
          </cell>
          <cell r="AA406">
            <v>0</v>
          </cell>
          <cell r="AB406">
            <v>142047</v>
          </cell>
        </row>
        <row r="407">
          <cell r="B407" t="str">
            <v>Kertváros utcai Ált.Isk.</v>
          </cell>
          <cell r="C407">
            <v>1</v>
          </cell>
          <cell r="D407" t="str">
            <v>00előirányzat</v>
          </cell>
          <cell r="E407">
            <v>3516</v>
          </cell>
          <cell r="G407">
            <v>862</v>
          </cell>
          <cell r="I407">
            <v>71979</v>
          </cell>
          <cell r="P407">
            <v>76357</v>
          </cell>
          <cell r="Q407">
            <v>45442</v>
          </cell>
          <cell r="R407">
            <v>17992</v>
          </cell>
          <cell r="S407">
            <v>12517</v>
          </cell>
          <cell r="W407">
            <v>406</v>
          </cell>
          <cell r="Z407">
            <v>76357</v>
          </cell>
          <cell r="AA407">
            <v>0</v>
          </cell>
          <cell r="AB407">
            <v>76357</v>
          </cell>
        </row>
        <row r="408">
          <cell r="C408">
            <v>5</v>
          </cell>
          <cell r="D408" t="str">
            <v>jóváhagyott pénzmaradvány</v>
          </cell>
          <cell r="N408">
            <v>-2254</v>
          </cell>
          <cell r="P408">
            <v>-2254</v>
          </cell>
          <cell r="Q408">
            <v>428</v>
          </cell>
          <cell r="R408">
            <v>12</v>
          </cell>
          <cell r="S408">
            <v>-2694</v>
          </cell>
          <cell r="Z408">
            <v>-2254</v>
          </cell>
          <cell r="AA408">
            <v>0</v>
          </cell>
          <cell r="AB408">
            <v>-2254</v>
          </cell>
        </row>
        <row r="409">
          <cell r="C409">
            <v>6</v>
          </cell>
          <cell r="D409" t="str">
            <v>pm.terhelő bef.kötelezettség</v>
          </cell>
          <cell r="N409">
            <v>2658</v>
          </cell>
          <cell r="P409">
            <v>2658</v>
          </cell>
          <cell r="S409">
            <v>2658</v>
          </cell>
          <cell r="Z409">
            <v>2658</v>
          </cell>
          <cell r="AA409">
            <v>0</v>
          </cell>
          <cell r="AB409">
            <v>2658</v>
          </cell>
        </row>
        <row r="410">
          <cell r="C410">
            <v>10</v>
          </cell>
          <cell r="D410" t="str">
            <v>ped.szakkönyv</v>
          </cell>
          <cell r="I410">
            <v>371</v>
          </cell>
          <cell r="P410">
            <v>371</v>
          </cell>
          <cell r="Q410">
            <v>371</v>
          </cell>
          <cell r="Z410">
            <v>371</v>
          </cell>
          <cell r="AA410">
            <v>0</v>
          </cell>
          <cell r="AB410">
            <v>371</v>
          </cell>
        </row>
        <row r="411">
          <cell r="C411">
            <v>12</v>
          </cell>
          <cell r="D411" t="str">
            <v>elvonás</v>
          </cell>
          <cell r="I411">
            <v>-141</v>
          </cell>
          <cell r="P411">
            <v>-141</v>
          </cell>
          <cell r="S411">
            <v>-141</v>
          </cell>
          <cell r="Z411">
            <v>-141</v>
          </cell>
          <cell r="AA411">
            <v>0</v>
          </cell>
          <cell r="AB411">
            <v>-141</v>
          </cell>
        </row>
        <row r="412">
          <cell r="C412">
            <v>13</v>
          </cell>
          <cell r="D412" t="str">
            <v>bérfejlesztés</v>
          </cell>
          <cell r="I412">
            <v>387</v>
          </cell>
          <cell r="P412">
            <v>387</v>
          </cell>
          <cell r="Q412">
            <v>285</v>
          </cell>
          <cell r="R412">
            <v>102</v>
          </cell>
          <cell r="Z412">
            <v>387</v>
          </cell>
          <cell r="AA412">
            <v>0</v>
          </cell>
          <cell r="AB412">
            <v>387</v>
          </cell>
        </row>
        <row r="413">
          <cell r="C413">
            <v>14</v>
          </cell>
          <cell r="D413" t="str">
            <v>4% bérfejlesztés</v>
          </cell>
          <cell r="I413">
            <v>-107</v>
          </cell>
          <cell r="P413">
            <v>-107</v>
          </cell>
          <cell r="Q413">
            <v>-79</v>
          </cell>
          <cell r="R413">
            <v>-28</v>
          </cell>
          <cell r="Z413">
            <v>-107</v>
          </cell>
          <cell r="AA413">
            <v>0</v>
          </cell>
          <cell r="AB413">
            <v>-107</v>
          </cell>
        </row>
        <row r="414">
          <cell r="P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P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P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P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P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P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P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P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P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P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P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P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P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P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P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P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P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P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P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P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P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P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Összesen</v>
          </cell>
          <cell r="D436" t="str">
            <v>Kertváros utcai Ált.Isk.</v>
          </cell>
          <cell r="E436">
            <v>3516</v>
          </cell>
          <cell r="F436">
            <v>0</v>
          </cell>
          <cell r="G436">
            <v>862</v>
          </cell>
          <cell r="H436">
            <v>0</v>
          </cell>
          <cell r="I436">
            <v>72489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404</v>
          </cell>
          <cell r="O436">
            <v>0</v>
          </cell>
          <cell r="P436">
            <v>77271</v>
          </cell>
          <cell r="Q436">
            <v>46447</v>
          </cell>
          <cell r="R436">
            <v>18078</v>
          </cell>
          <cell r="S436">
            <v>12340</v>
          </cell>
          <cell r="T436">
            <v>0</v>
          </cell>
          <cell r="U436">
            <v>0</v>
          </cell>
          <cell r="V436">
            <v>0</v>
          </cell>
          <cell r="W436">
            <v>406</v>
          </cell>
          <cell r="X436">
            <v>0</v>
          </cell>
          <cell r="Y436">
            <v>0</v>
          </cell>
          <cell r="Z436">
            <v>77271</v>
          </cell>
          <cell r="AA436">
            <v>0</v>
          </cell>
          <cell r="AB436">
            <v>77271</v>
          </cell>
        </row>
        <row r="437">
          <cell r="A437">
            <v>1404</v>
          </cell>
          <cell r="B437" t="str">
            <v>Bártfa uti Általános Isk.</v>
          </cell>
          <cell r="C437">
            <v>1</v>
          </cell>
          <cell r="D437" t="str">
            <v>00előirányzat</v>
          </cell>
          <cell r="E437">
            <v>4282</v>
          </cell>
          <cell r="G437">
            <v>1915</v>
          </cell>
          <cell r="I437">
            <v>75554</v>
          </cell>
          <cell r="P437">
            <v>81751</v>
          </cell>
          <cell r="Q437">
            <v>43587</v>
          </cell>
          <cell r="R437">
            <v>17808</v>
          </cell>
          <cell r="S437">
            <v>19791</v>
          </cell>
          <cell r="W437">
            <v>565</v>
          </cell>
          <cell r="Z437">
            <v>81751</v>
          </cell>
          <cell r="AA437">
            <v>0</v>
          </cell>
          <cell r="AB437">
            <v>81751</v>
          </cell>
        </row>
        <row r="438">
          <cell r="C438">
            <v>5</v>
          </cell>
          <cell r="D438" t="str">
            <v>jóváhagyott pénzmaradvány</v>
          </cell>
          <cell r="N438">
            <v>-2882</v>
          </cell>
          <cell r="P438">
            <v>-2882</v>
          </cell>
          <cell r="Q438">
            <v>34</v>
          </cell>
          <cell r="R438">
            <v>12</v>
          </cell>
          <cell r="S438">
            <v>-2928</v>
          </cell>
          <cell r="Z438">
            <v>-2882</v>
          </cell>
          <cell r="AA438">
            <v>0</v>
          </cell>
          <cell r="AB438">
            <v>-2882</v>
          </cell>
        </row>
        <row r="439">
          <cell r="C439">
            <v>6</v>
          </cell>
          <cell r="D439" t="str">
            <v>pm.terhelő bef.kötelezettség</v>
          </cell>
          <cell r="N439">
            <v>4278</v>
          </cell>
          <cell r="P439">
            <v>4278</v>
          </cell>
          <cell r="S439">
            <v>4278</v>
          </cell>
          <cell r="Z439">
            <v>4278</v>
          </cell>
          <cell r="AA439">
            <v>0</v>
          </cell>
          <cell r="AB439">
            <v>4278</v>
          </cell>
        </row>
        <row r="440">
          <cell r="C440">
            <v>10</v>
          </cell>
          <cell r="D440" t="str">
            <v>ped.szakkönyv</v>
          </cell>
          <cell r="I440">
            <v>405</v>
          </cell>
          <cell r="P440">
            <v>405</v>
          </cell>
          <cell r="Q440">
            <v>405</v>
          </cell>
          <cell r="Z440">
            <v>405</v>
          </cell>
          <cell r="AA440">
            <v>0</v>
          </cell>
          <cell r="AB440">
            <v>405</v>
          </cell>
        </row>
        <row r="441">
          <cell r="C441">
            <v>12</v>
          </cell>
          <cell r="D441" t="str">
            <v>elvonás</v>
          </cell>
          <cell r="I441">
            <v>-316</v>
          </cell>
          <cell r="P441">
            <v>-316</v>
          </cell>
          <cell r="S441">
            <v>-316</v>
          </cell>
          <cell r="Z441">
            <v>-316</v>
          </cell>
          <cell r="AA441">
            <v>0</v>
          </cell>
          <cell r="AB441">
            <v>-316</v>
          </cell>
        </row>
        <row r="442">
          <cell r="C442">
            <v>13</v>
          </cell>
          <cell r="D442" t="str">
            <v>bérfejlesztés</v>
          </cell>
          <cell r="I442">
            <v>654</v>
          </cell>
          <cell r="P442">
            <v>654</v>
          </cell>
          <cell r="Q442">
            <v>481</v>
          </cell>
          <cell r="R442">
            <v>173</v>
          </cell>
          <cell r="Z442">
            <v>654</v>
          </cell>
          <cell r="AA442">
            <v>0</v>
          </cell>
          <cell r="AB442">
            <v>654</v>
          </cell>
        </row>
        <row r="443">
          <cell r="C443">
            <v>14</v>
          </cell>
          <cell r="D443" t="str">
            <v>4% bérfejlesztés</v>
          </cell>
          <cell r="I443">
            <v>-181</v>
          </cell>
          <cell r="P443">
            <v>-181</v>
          </cell>
          <cell r="Q443">
            <v>-133</v>
          </cell>
          <cell r="R443">
            <v>-48</v>
          </cell>
          <cell r="Z443">
            <v>-181</v>
          </cell>
          <cell r="AA443">
            <v>0</v>
          </cell>
          <cell r="AB443">
            <v>-181</v>
          </cell>
        </row>
        <row r="444">
          <cell r="P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P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P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P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P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P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P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P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P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P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P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P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P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P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P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P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P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P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P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P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P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P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P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P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P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P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P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P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P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P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P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P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P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P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P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Összesen</v>
          </cell>
          <cell r="D479" t="str">
            <v>Bártfa uti Általános Isk.</v>
          </cell>
          <cell r="E479">
            <v>4282</v>
          </cell>
          <cell r="F479">
            <v>0</v>
          </cell>
          <cell r="G479">
            <v>1915</v>
          </cell>
          <cell r="H479">
            <v>0</v>
          </cell>
          <cell r="I479">
            <v>76116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1396</v>
          </cell>
          <cell r="O479">
            <v>0</v>
          </cell>
          <cell r="P479">
            <v>83709</v>
          </cell>
          <cell r="Q479">
            <v>44374</v>
          </cell>
          <cell r="R479">
            <v>17945</v>
          </cell>
          <cell r="S479">
            <v>20825</v>
          </cell>
          <cell r="T479">
            <v>0</v>
          </cell>
          <cell r="U479">
            <v>0</v>
          </cell>
          <cell r="V479">
            <v>0</v>
          </cell>
          <cell r="W479">
            <v>565</v>
          </cell>
          <cell r="X479">
            <v>0</v>
          </cell>
          <cell r="Y479">
            <v>0</v>
          </cell>
          <cell r="Z479">
            <v>83709</v>
          </cell>
          <cell r="AA479">
            <v>0</v>
          </cell>
          <cell r="AB479">
            <v>83709</v>
          </cell>
        </row>
        <row r="480">
          <cell r="A480">
            <v>1405</v>
          </cell>
          <cell r="B480" t="str">
            <v>Belvárosi Általános Isk.</v>
          </cell>
          <cell r="C480">
            <v>1</v>
          </cell>
          <cell r="D480" t="str">
            <v>00előirányzat</v>
          </cell>
          <cell r="E480">
            <v>8270</v>
          </cell>
          <cell r="G480">
            <v>5698</v>
          </cell>
          <cell r="I480">
            <v>123585</v>
          </cell>
          <cell r="P480">
            <v>137553</v>
          </cell>
          <cell r="Q480">
            <v>66777</v>
          </cell>
          <cell r="R480">
            <v>28969</v>
          </cell>
          <cell r="S480">
            <v>41415</v>
          </cell>
          <cell r="W480">
            <v>392</v>
          </cell>
          <cell r="Z480">
            <v>137553</v>
          </cell>
          <cell r="AA480">
            <v>0</v>
          </cell>
          <cell r="AB480">
            <v>137553</v>
          </cell>
        </row>
        <row r="481">
          <cell r="C481">
            <v>5</v>
          </cell>
          <cell r="D481" t="str">
            <v>jóváhagyott pénzmaradvány</v>
          </cell>
          <cell r="N481">
            <v>2300</v>
          </cell>
          <cell r="P481">
            <v>2300</v>
          </cell>
          <cell r="Q481">
            <v>1632</v>
          </cell>
          <cell r="R481">
            <v>474</v>
          </cell>
          <cell r="Y481">
            <v>194</v>
          </cell>
          <cell r="Z481">
            <v>2300</v>
          </cell>
          <cell r="AA481">
            <v>0</v>
          </cell>
          <cell r="AB481">
            <v>2300</v>
          </cell>
        </row>
        <row r="482">
          <cell r="C482">
            <v>7</v>
          </cell>
          <cell r="D482" t="str">
            <v>tárgyévi eir.mód.korrekció</v>
          </cell>
          <cell r="I482">
            <v>83</v>
          </cell>
          <cell r="P482">
            <v>83</v>
          </cell>
          <cell r="Y482">
            <v>83</v>
          </cell>
          <cell r="Z482">
            <v>83</v>
          </cell>
          <cell r="AA482">
            <v>0</v>
          </cell>
          <cell r="AB482">
            <v>83</v>
          </cell>
        </row>
        <row r="483">
          <cell r="C483">
            <v>10</v>
          </cell>
          <cell r="D483" t="str">
            <v>ped.szakkönyv</v>
          </cell>
          <cell r="I483">
            <v>664</v>
          </cell>
          <cell r="P483">
            <v>664</v>
          </cell>
          <cell r="Q483">
            <v>664</v>
          </cell>
          <cell r="Z483">
            <v>664</v>
          </cell>
          <cell r="AA483">
            <v>0</v>
          </cell>
          <cell r="AB483">
            <v>664</v>
          </cell>
        </row>
        <row r="484">
          <cell r="C484">
            <v>12</v>
          </cell>
          <cell r="D484" t="str">
            <v>elvonás</v>
          </cell>
          <cell r="I484">
            <v>-375</v>
          </cell>
          <cell r="P484">
            <v>-375</v>
          </cell>
          <cell r="S484">
            <v>-375</v>
          </cell>
          <cell r="Z484">
            <v>-375</v>
          </cell>
          <cell r="AA484">
            <v>0</v>
          </cell>
          <cell r="AB484">
            <v>-375</v>
          </cell>
        </row>
        <row r="485">
          <cell r="C485">
            <v>13</v>
          </cell>
          <cell r="D485" t="str">
            <v>bérfejlesztés</v>
          </cell>
          <cell r="I485">
            <v>654</v>
          </cell>
          <cell r="P485">
            <v>654</v>
          </cell>
          <cell r="Q485">
            <v>481</v>
          </cell>
          <cell r="R485">
            <v>173</v>
          </cell>
          <cell r="Z485">
            <v>654</v>
          </cell>
          <cell r="AA485">
            <v>0</v>
          </cell>
          <cell r="AB485">
            <v>654</v>
          </cell>
        </row>
        <row r="486">
          <cell r="C486">
            <v>14</v>
          </cell>
          <cell r="D486" t="str">
            <v>4% bérfejlesztés</v>
          </cell>
          <cell r="I486">
            <v>-181</v>
          </cell>
          <cell r="P486">
            <v>-181</v>
          </cell>
          <cell r="Q486">
            <v>-133</v>
          </cell>
          <cell r="R486">
            <v>-48</v>
          </cell>
          <cell r="Z486">
            <v>-181</v>
          </cell>
          <cell r="AA486">
            <v>0</v>
          </cell>
          <cell r="AB486">
            <v>-181</v>
          </cell>
        </row>
        <row r="487">
          <cell r="P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P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P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P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P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P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P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P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P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P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P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P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P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P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P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P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Összesen</v>
          </cell>
          <cell r="D503" t="str">
            <v>Belvárosi Általános Isk.</v>
          </cell>
          <cell r="E503">
            <v>8270</v>
          </cell>
          <cell r="F503">
            <v>0</v>
          </cell>
          <cell r="G503">
            <v>5698</v>
          </cell>
          <cell r="H503">
            <v>0</v>
          </cell>
          <cell r="I503">
            <v>124430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2300</v>
          </cell>
          <cell r="O503">
            <v>0</v>
          </cell>
          <cell r="P503">
            <v>140698</v>
          </cell>
          <cell r="Q503">
            <v>69421</v>
          </cell>
          <cell r="R503">
            <v>29568</v>
          </cell>
          <cell r="S503">
            <v>41040</v>
          </cell>
          <cell r="T503">
            <v>0</v>
          </cell>
          <cell r="U503">
            <v>0</v>
          </cell>
          <cell r="V503">
            <v>0</v>
          </cell>
          <cell r="W503">
            <v>392</v>
          </cell>
          <cell r="X503">
            <v>0</v>
          </cell>
          <cell r="Y503">
            <v>277</v>
          </cell>
          <cell r="Z503">
            <v>140698</v>
          </cell>
          <cell r="AA503">
            <v>0</v>
          </cell>
          <cell r="AB503">
            <v>140698</v>
          </cell>
        </row>
        <row r="504">
          <cell r="A504">
            <v>1406</v>
          </cell>
          <cell r="B504" t="str">
            <v>Csokonai V.M.Ált.Isk.és Szakisk.</v>
          </cell>
          <cell r="C504">
            <v>1</v>
          </cell>
          <cell r="D504" t="str">
            <v>00előirányzat</v>
          </cell>
          <cell r="E504">
            <v>9853</v>
          </cell>
          <cell r="G504">
            <v>5628</v>
          </cell>
          <cell r="I504">
            <v>230603</v>
          </cell>
          <cell r="P504">
            <v>246084</v>
          </cell>
          <cell r="Q504">
            <v>137243</v>
          </cell>
          <cell r="R504">
            <v>55846</v>
          </cell>
          <cell r="S504">
            <v>50052</v>
          </cell>
          <cell r="W504">
            <v>2943</v>
          </cell>
          <cell r="Z504">
            <v>246084</v>
          </cell>
          <cell r="AA504">
            <v>0</v>
          </cell>
          <cell r="AB504">
            <v>246084</v>
          </cell>
        </row>
        <row r="505">
          <cell r="C505">
            <v>5</v>
          </cell>
          <cell r="D505" t="str">
            <v>jóváhagyott pénzmaradvány</v>
          </cell>
          <cell r="N505">
            <v>5198</v>
          </cell>
          <cell r="P505">
            <v>5198</v>
          </cell>
          <cell r="Q505">
            <v>2790</v>
          </cell>
          <cell r="R505">
            <v>998</v>
          </cell>
          <cell r="Y505">
            <v>1410</v>
          </cell>
          <cell r="Z505">
            <v>5198</v>
          </cell>
          <cell r="AA505">
            <v>0</v>
          </cell>
          <cell r="AB505">
            <v>5198</v>
          </cell>
        </row>
        <row r="506">
          <cell r="C506">
            <v>6</v>
          </cell>
          <cell r="D506" t="str">
            <v>pm.terhelő bef.kötelezettség</v>
          </cell>
          <cell r="N506">
            <v>4226</v>
          </cell>
          <cell r="P506">
            <v>4226</v>
          </cell>
          <cell r="S506">
            <v>4226</v>
          </cell>
          <cell r="Z506">
            <v>4226</v>
          </cell>
          <cell r="AA506">
            <v>0</v>
          </cell>
          <cell r="AB506">
            <v>4226</v>
          </cell>
        </row>
        <row r="507">
          <cell r="D507" t="str">
            <v>Pécs-Mecsekszabolcsi Önkormányzat</v>
          </cell>
          <cell r="I507">
            <v>50</v>
          </cell>
          <cell r="P507">
            <v>50</v>
          </cell>
          <cell r="S507">
            <v>50</v>
          </cell>
          <cell r="Z507">
            <v>50</v>
          </cell>
          <cell r="AA507">
            <v>0</v>
          </cell>
          <cell r="AB507">
            <v>50</v>
          </cell>
        </row>
        <row r="508">
          <cell r="C508">
            <v>10</v>
          </cell>
          <cell r="D508" t="str">
            <v>ped.szakkönyv</v>
          </cell>
          <cell r="I508">
            <v>1283</v>
          </cell>
          <cell r="P508">
            <v>1283</v>
          </cell>
          <cell r="Q508">
            <v>1283</v>
          </cell>
          <cell r="Z508">
            <v>1283</v>
          </cell>
          <cell r="AA508">
            <v>0</v>
          </cell>
          <cell r="AB508">
            <v>1283</v>
          </cell>
        </row>
        <row r="509">
          <cell r="C509">
            <v>12</v>
          </cell>
          <cell r="D509" t="str">
            <v>elvonás</v>
          </cell>
          <cell r="I509">
            <v>-1107</v>
          </cell>
          <cell r="P509">
            <v>-1107</v>
          </cell>
          <cell r="S509">
            <v>-1107</v>
          </cell>
          <cell r="Z509">
            <v>-1107</v>
          </cell>
          <cell r="AA509">
            <v>0</v>
          </cell>
          <cell r="AB509">
            <v>-1107</v>
          </cell>
        </row>
        <row r="510">
          <cell r="C510">
            <v>13</v>
          </cell>
          <cell r="D510" t="str">
            <v>bérfejlesztés</v>
          </cell>
          <cell r="I510">
            <v>1471</v>
          </cell>
          <cell r="P510">
            <v>1471</v>
          </cell>
          <cell r="Q510">
            <v>1081</v>
          </cell>
          <cell r="R510">
            <v>390</v>
          </cell>
          <cell r="Z510">
            <v>1471</v>
          </cell>
          <cell r="AA510">
            <v>0</v>
          </cell>
          <cell r="AB510">
            <v>1471</v>
          </cell>
        </row>
        <row r="511">
          <cell r="C511">
            <v>14</v>
          </cell>
          <cell r="D511" t="str">
            <v>4% bérfejlesztés</v>
          </cell>
          <cell r="I511">
            <v>-407</v>
          </cell>
          <cell r="P511">
            <v>-407</v>
          </cell>
          <cell r="Q511">
            <v>-299</v>
          </cell>
          <cell r="R511">
            <v>-108</v>
          </cell>
          <cell r="Z511">
            <v>-407</v>
          </cell>
          <cell r="AA511">
            <v>0</v>
          </cell>
          <cell r="AB511">
            <v>-407</v>
          </cell>
        </row>
        <row r="512">
          <cell r="P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P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P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P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P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P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P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P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P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P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P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P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P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P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P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P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P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P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P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P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P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P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Összesen</v>
          </cell>
          <cell r="D534" t="str">
            <v>Csokonai V.M.Ált.Isk.és Szakisk.</v>
          </cell>
          <cell r="E534">
            <v>9853</v>
          </cell>
          <cell r="F534">
            <v>0</v>
          </cell>
          <cell r="G534">
            <v>5628</v>
          </cell>
          <cell r="H534">
            <v>0</v>
          </cell>
          <cell r="I534">
            <v>231893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9424</v>
          </cell>
          <cell r="O534">
            <v>0</v>
          </cell>
          <cell r="P534">
            <v>256798</v>
          </cell>
          <cell r="Q534">
            <v>142098</v>
          </cell>
          <cell r="R534">
            <v>57126</v>
          </cell>
          <cell r="S534">
            <v>53221</v>
          </cell>
          <cell r="T534">
            <v>0</v>
          </cell>
          <cell r="U534">
            <v>0</v>
          </cell>
          <cell r="V534">
            <v>0</v>
          </cell>
          <cell r="W534">
            <v>2943</v>
          </cell>
          <cell r="X534">
            <v>0</v>
          </cell>
          <cell r="Y534">
            <v>1410</v>
          </cell>
          <cell r="Z534">
            <v>256798</v>
          </cell>
          <cell r="AA534">
            <v>0</v>
          </cell>
          <cell r="AB534">
            <v>256798</v>
          </cell>
        </row>
        <row r="535">
          <cell r="A535">
            <v>1407</v>
          </cell>
          <cell r="B535" t="str">
            <v>Felsővámház uti Általános Isk.</v>
          </cell>
          <cell r="C535">
            <v>1</v>
          </cell>
          <cell r="D535" t="str">
            <v>00előirányzat</v>
          </cell>
          <cell r="E535">
            <v>7448</v>
          </cell>
          <cell r="G535">
            <v>3317</v>
          </cell>
          <cell r="I535">
            <v>130780</v>
          </cell>
          <cell r="P535">
            <v>141545</v>
          </cell>
          <cell r="Q535">
            <v>76265</v>
          </cell>
          <cell r="R535">
            <v>31440</v>
          </cell>
          <cell r="S535">
            <v>32635</v>
          </cell>
          <cell r="W535">
            <v>1205</v>
          </cell>
          <cell r="Z535">
            <v>141545</v>
          </cell>
          <cell r="AA535">
            <v>0</v>
          </cell>
          <cell r="AB535">
            <v>141545</v>
          </cell>
        </row>
        <row r="536">
          <cell r="C536">
            <v>5</v>
          </cell>
          <cell r="D536" t="str">
            <v>jóváhagyott pénzmaradvány</v>
          </cell>
          <cell r="N536">
            <v>4002</v>
          </cell>
          <cell r="P536">
            <v>4002</v>
          </cell>
          <cell r="Q536">
            <v>2155</v>
          </cell>
          <cell r="R536">
            <v>728</v>
          </cell>
          <cell r="Y536">
            <v>1119</v>
          </cell>
          <cell r="Z536">
            <v>4002</v>
          </cell>
          <cell r="AA536">
            <v>0</v>
          </cell>
          <cell r="AB536">
            <v>4002</v>
          </cell>
        </row>
        <row r="537">
          <cell r="C537">
            <v>6</v>
          </cell>
          <cell r="D537" t="str">
            <v>pm.terhelő bef.kötelezettség</v>
          </cell>
          <cell r="N537">
            <v>753</v>
          </cell>
          <cell r="P537">
            <v>753</v>
          </cell>
          <cell r="S537">
            <v>753</v>
          </cell>
          <cell r="Z537">
            <v>753</v>
          </cell>
          <cell r="AA537">
            <v>0</v>
          </cell>
          <cell r="AB537">
            <v>753</v>
          </cell>
        </row>
        <row r="538">
          <cell r="C538">
            <v>10</v>
          </cell>
          <cell r="D538" t="str">
            <v>ped.szakkönyv</v>
          </cell>
          <cell r="I538">
            <v>698</v>
          </cell>
          <cell r="P538">
            <v>698</v>
          </cell>
          <cell r="Q538">
            <v>698</v>
          </cell>
          <cell r="Z538">
            <v>698</v>
          </cell>
          <cell r="AA538">
            <v>0</v>
          </cell>
          <cell r="AB538">
            <v>698</v>
          </cell>
        </row>
        <row r="539">
          <cell r="C539">
            <v>12</v>
          </cell>
          <cell r="D539" t="str">
            <v>elvonás</v>
          </cell>
          <cell r="I539">
            <v>-385</v>
          </cell>
          <cell r="P539">
            <v>-385</v>
          </cell>
          <cell r="S539">
            <v>-385</v>
          </cell>
          <cell r="Z539">
            <v>-385</v>
          </cell>
          <cell r="AA539">
            <v>0</v>
          </cell>
          <cell r="AB539">
            <v>-385</v>
          </cell>
        </row>
        <row r="540">
          <cell r="C540">
            <v>13</v>
          </cell>
          <cell r="D540" t="str">
            <v>bérfejlesztés</v>
          </cell>
          <cell r="I540">
            <v>737</v>
          </cell>
          <cell r="P540">
            <v>737</v>
          </cell>
          <cell r="Q540">
            <v>542</v>
          </cell>
          <cell r="R540">
            <v>195</v>
          </cell>
          <cell r="Z540">
            <v>737</v>
          </cell>
          <cell r="AA540">
            <v>0</v>
          </cell>
          <cell r="AB540">
            <v>737</v>
          </cell>
        </row>
        <row r="541">
          <cell r="C541">
            <v>14</v>
          </cell>
          <cell r="D541" t="str">
            <v>4% bérfejlesztés</v>
          </cell>
          <cell r="I541">
            <v>-204</v>
          </cell>
          <cell r="P541">
            <v>-204</v>
          </cell>
          <cell r="Q541">
            <v>-150</v>
          </cell>
          <cell r="R541">
            <v>-54</v>
          </cell>
          <cell r="Z541">
            <v>-204</v>
          </cell>
          <cell r="AA541">
            <v>0</v>
          </cell>
          <cell r="AB541">
            <v>-204</v>
          </cell>
        </row>
        <row r="542">
          <cell r="P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P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P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P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P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P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P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P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P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P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P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P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P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Összesen</v>
          </cell>
          <cell r="D555" t="str">
            <v>Felsővámház uti Ált. Isk.</v>
          </cell>
          <cell r="E555">
            <v>7448</v>
          </cell>
          <cell r="F555">
            <v>0</v>
          </cell>
          <cell r="G555">
            <v>3317</v>
          </cell>
          <cell r="H555">
            <v>0</v>
          </cell>
          <cell r="I555">
            <v>131626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4755</v>
          </cell>
          <cell r="O555">
            <v>0</v>
          </cell>
          <cell r="P555">
            <v>147146</v>
          </cell>
          <cell r="Q555">
            <v>79510</v>
          </cell>
          <cell r="R555">
            <v>32309</v>
          </cell>
          <cell r="S555">
            <v>33003</v>
          </cell>
          <cell r="T555">
            <v>0</v>
          </cell>
          <cell r="U555">
            <v>0</v>
          </cell>
          <cell r="V555">
            <v>0</v>
          </cell>
          <cell r="W555">
            <v>1205</v>
          </cell>
          <cell r="X555">
            <v>0</v>
          </cell>
          <cell r="Y555">
            <v>1119</v>
          </cell>
          <cell r="Z555">
            <v>147146</v>
          </cell>
          <cell r="AA555">
            <v>0</v>
          </cell>
          <cell r="AB555">
            <v>147146</v>
          </cell>
        </row>
        <row r="556">
          <cell r="A556">
            <v>1408</v>
          </cell>
          <cell r="B556" t="str">
            <v>Mezőszél uti Általános Isk.</v>
          </cell>
          <cell r="C556">
            <v>1</v>
          </cell>
          <cell r="D556" t="str">
            <v>00előirányzat</v>
          </cell>
          <cell r="E556">
            <v>8186</v>
          </cell>
          <cell r="G556">
            <v>3007</v>
          </cell>
          <cell r="I556">
            <v>71784</v>
          </cell>
          <cell r="P556">
            <v>82977</v>
          </cell>
          <cell r="Q556">
            <v>40013</v>
          </cell>
          <cell r="R556">
            <v>16583</v>
          </cell>
          <cell r="S556">
            <v>26077</v>
          </cell>
          <cell r="W556">
            <v>304</v>
          </cell>
          <cell r="Z556">
            <v>82977</v>
          </cell>
          <cell r="AA556">
            <v>0</v>
          </cell>
          <cell r="AB556">
            <v>82977</v>
          </cell>
        </row>
        <row r="557">
          <cell r="C557">
            <v>5</v>
          </cell>
          <cell r="D557" t="str">
            <v>jóváhagyott pénzmaradvány</v>
          </cell>
          <cell r="N557">
            <v>-1173</v>
          </cell>
          <cell r="P557">
            <v>-1173</v>
          </cell>
          <cell r="Q557">
            <v>34</v>
          </cell>
          <cell r="R557">
            <v>12</v>
          </cell>
          <cell r="S557">
            <v>-1219</v>
          </cell>
          <cell r="Z557">
            <v>-1173</v>
          </cell>
          <cell r="AA557">
            <v>0</v>
          </cell>
          <cell r="AB557">
            <v>-1173</v>
          </cell>
        </row>
        <row r="558">
          <cell r="C558">
            <v>6</v>
          </cell>
          <cell r="D558" t="str">
            <v>pm.terhelő bef.kötelezettség</v>
          </cell>
          <cell r="N558">
            <v>2293</v>
          </cell>
          <cell r="P558">
            <v>2293</v>
          </cell>
          <cell r="S558">
            <v>2293</v>
          </cell>
          <cell r="Z558">
            <v>2293</v>
          </cell>
          <cell r="AA558">
            <v>0</v>
          </cell>
          <cell r="AB558">
            <v>2293</v>
          </cell>
        </row>
        <row r="559">
          <cell r="C559">
            <v>10</v>
          </cell>
          <cell r="D559" t="str">
            <v>ped.szakkönyv</v>
          </cell>
          <cell r="I559">
            <v>416</v>
          </cell>
          <cell r="P559">
            <v>416</v>
          </cell>
          <cell r="Q559">
            <v>416</v>
          </cell>
          <cell r="Z559">
            <v>416</v>
          </cell>
          <cell r="AA559">
            <v>0</v>
          </cell>
          <cell r="AB559">
            <v>416</v>
          </cell>
        </row>
        <row r="560">
          <cell r="C560">
            <v>12</v>
          </cell>
          <cell r="D560" t="str">
            <v>elvonás</v>
          </cell>
          <cell r="I560">
            <v>-242</v>
          </cell>
          <cell r="P560">
            <v>-242</v>
          </cell>
          <cell r="S560">
            <v>-242</v>
          </cell>
          <cell r="Z560">
            <v>-242</v>
          </cell>
          <cell r="AA560">
            <v>0</v>
          </cell>
          <cell r="AB560">
            <v>-242</v>
          </cell>
        </row>
        <row r="561">
          <cell r="C561">
            <v>13</v>
          </cell>
          <cell r="D561" t="str">
            <v>bérfejlesztés</v>
          </cell>
          <cell r="I561">
            <v>306</v>
          </cell>
          <cell r="P561">
            <v>306</v>
          </cell>
          <cell r="Q561">
            <v>225</v>
          </cell>
          <cell r="R561">
            <v>81</v>
          </cell>
          <cell r="Z561">
            <v>306</v>
          </cell>
          <cell r="AA561">
            <v>0</v>
          </cell>
          <cell r="AB561">
            <v>306</v>
          </cell>
        </row>
        <row r="562">
          <cell r="C562">
            <v>14</v>
          </cell>
          <cell r="D562" t="str">
            <v>4% bérfejlesztés</v>
          </cell>
          <cell r="I562">
            <v>-84</v>
          </cell>
          <cell r="P562">
            <v>-84</v>
          </cell>
          <cell r="Q562">
            <v>-62</v>
          </cell>
          <cell r="R562">
            <v>-22</v>
          </cell>
          <cell r="Z562">
            <v>-84</v>
          </cell>
          <cell r="AA562">
            <v>0</v>
          </cell>
          <cell r="AB562">
            <v>-84</v>
          </cell>
        </row>
        <row r="563">
          <cell r="P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P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P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P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P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P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P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P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P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P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Összesen</v>
          </cell>
          <cell r="D573" t="str">
            <v>Mezőszél uti Általános Isk.</v>
          </cell>
          <cell r="E573">
            <v>8186</v>
          </cell>
          <cell r="F573">
            <v>0</v>
          </cell>
          <cell r="G573">
            <v>3007</v>
          </cell>
          <cell r="H573">
            <v>0</v>
          </cell>
          <cell r="I573">
            <v>72180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1120</v>
          </cell>
          <cell r="O573">
            <v>0</v>
          </cell>
          <cell r="P573">
            <v>84493</v>
          </cell>
          <cell r="Q573">
            <v>40626</v>
          </cell>
          <cell r="R573">
            <v>16654</v>
          </cell>
          <cell r="S573">
            <v>26909</v>
          </cell>
          <cell r="T573">
            <v>0</v>
          </cell>
          <cell r="U573">
            <v>0</v>
          </cell>
          <cell r="V573">
            <v>0</v>
          </cell>
          <cell r="W573">
            <v>304</v>
          </cell>
          <cell r="X573">
            <v>0</v>
          </cell>
          <cell r="Y573">
            <v>0</v>
          </cell>
          <cell r="Z573">
            <v>84493</v>
          </cell>
          <cell r="AA573">
            <v>0</v>
          </cell>
          <cell r="AB573">
            <v>84493</v>
          </cell>
        </row>
        <row r="574">
          <cell r="A574">
            <v>1409</v>
          </cell>
          <cell r="B574" t="str">
            <v>Jókai Mór Általános Isk.</v>
          </cell>
          <cell r="C574">
            <v>1</v>
          </cell>
          <cell r="D574" t="str">
            <v>00előirányzat</v>
          </cell>
          <cell r="E574">
            <v>11577</v>
          </cell>
          <cell r="G574">
            <v>4582</v>
          </cell>
          <cell r="I574">
            <v>105485</v>
          </cell>
          <cell r="P574">
            <v>121644</v>
          </cell>
          <cell r="Q574">
            <v>59959</v>
          </cell>
          <cell r="R574">
            <v>24492</v>
          </cell>
          <cell r="S574">
            <v>36760</v>
          </cell>
          <cell r="W574">
            <v>433</v>
          </cell>
          <cell r="Z574">
            <v>121644</v>
          </cell>
          <cell r="AA574">
            <v>0</v>
          </cell>
          <cell r="AB574">
            <v>121644</v>
          </cell>
        </row>
        <row r="575">
          <cell r="C575">
            <v>5</v>
          </cell>
          <cell r="D575" t="str">
            <v>jóváhagyott pénzmaradvány</v>
          </cell>
          <cell r="N575">
            <v>534</v>
          </cell>
          <cell r="P575">
            <v>534</v>
          </cell>
          <cell r="Q575">
            <v>362</v>
          </cell>
          <cell r="R575">
            <v>118</v>
          </cell>
          <cell r="Y575">
            <v>54</v>
          </cell>
          <cell r="Z575">
            <v>534</v>
          </cell>
          <cell r="AA575">
            <v>0</v>
          </cell>
          <cell r="AB575">
            <v>534</v>
          </cell>
        </row>
        <row r="576">
          <cell r="C576">
            <v>6</v>
          </cell>
          <cell r="D576" t="str">
            <v>pm.terhelő bef.kötelezettség</v>
          </cell>
          <cell r="N576">
            <v>2439</v>
          </cell>
          <cell r="P576">
            <v>2439</v>
          </cell>
          <cell r="S576">
            <v>2439</v>
          </cell>
          <cell r="Z576">
            <v>2439</v>
          </cell>
          <cell r="AA576">
            <v>0</v>
          </cell>
          <cell r="AB576">
            <v>2439</v>
          </cell>
        </row>
        <row r="577">
          <cell r="C577">
            <v>10</v>
          </cell>
          <cell r="D577" t="str">
            <v>ped.szakkönyv</v>
          </cell>
          <cell r="I577">
            <v>596</v>
          </cell>
          <cell r="P577">
            <v>596</v>
          </cell>
          <cell r="Q577">
            <v>596</v>
          </cell>
          <cell r="Z577">
            <v>596</v>
          </cell>
          <cell r="AA577">
            <v>0</v>
          </cell>
          <cell r="AB577">
            <v>596</v>
          </cell>
        </row>
        <row r="578">
          <cell r="C578">
            <v>12</v>
          </cell>
          <cell r="D578" t="str">
            <v>elvonás</v>
          </cell>
          <cell r="I578">
            <v>-353</v>
          </cell>
          <cell r="P578">
            <v>-353</v>
          </cell>
          <cell r="S578">
            <v>-353</v>
          </cell>
          <cell r="Z578">
            <v>-353</v>
          </cell>
          <cell r="AA578">
            <v>0</v>
          </cell>
          <cell r="AB578">
            <v>-353</v>
          </cell>
        </row>
        <row r="579">
          <cell r="C579">
            <v>13</v>
          </cell>
          <cell r="D579" t="str">
            <v>bérfejlesztés</v>
          </cell>
          <cell r="I579">
            <v>700</v>
          </cell>
          <cell r="P579">
            <v>700</v>
          </cell>
          <cell r="Q579">
            <v>515</v>
          </cell>
          <cell r="R579">
            <v>185</v>
          </cell>
          <cell r="Z579">
            <v>700</v>
          </cell>
          <cell r="AA579">
            <v>0</v>
          </cell>
          <cell r="AB579">
            <v>700</v>
          </cell>
        </row>
        <row r="580">
          <cell r="C580">
            <v>14</v>
          </cell>
          <cell r="D580" t="str">
            <v>4% bérfejlesztés</v>
          </cell>
          <cell r="I580">
            <v>-193</v>
          </cell>
          <cell r="P580">
            <v>-193</v>
          </cell>
          <cell r="Q580">
            <v>-142</v>
          </cell>
          <cell r="R580">
            <v>-51</v>
          </cell>
          <cell r="Z580">
            <v>-193</v>
          </cell>
          <cell r="AA580">
            <v>0</v>
          </cell>
          <cell r="AB580">
            <v>-193</v>
          </cell>
        </row>
        <row r="581">
          <cell r="P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P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P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P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P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P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P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P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P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P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P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P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P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P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P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P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P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Összesen</v>
          </cell>
          <cell r="D598" t="str">
            <v>Jókai Mór Általános Isk.</v>
          </cell>
          <cell r="E598">
            <v>11577</v>
          </cell>
          <cell r="F598">
            <v>0</v>
          </cell>
          <cell r="G598">
            <v>4582</v>
          </cell>
          <cell r="H598">
            <v>0</v>
          </cell>
          <cell r="I598">
            <v>106235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2973</v>
          </cell>
          <cell r="O598">
            <v>0</v>
          </cell>
          <cell r="P598">
            <v>125367</v>
          </cell>
          <cell r="Q598">
            <v>61290</v>
          </cell>
          <cell r="R598">
            <v>24744</v>
          </cell>
          <cell r="S598">
            <v>38846</v>
          </cell>
          <cell r="T598">
            <v>0</v>
          </cell>
          <cell r="U598">
            <v>0</v>
          </cell>
          <cell r="V598">
            <v>0</v>
          </cell>
          <cell r="W598">
            <v>433</v>
          </cell>
          <cell r="X598">
            <v>0</v>
          </cell>
          <cell r="Y598">
            <v>54</v>
          </cell>
          <cell r="Z598">
            <v>125367</v>
          </cell>
          <cell r="AA598">
            <v>0</v>
          </cell>
          <cell r="AB598">
            <v>125367</v>
          </cell>
        </row>
        <row r="599">
          <cell r="A599">
            <v>1410</v>
          </cell>
          <cell r="B599" t="str">
            <v xml:space="preserve">Jurisics uti Általános Isk. </v>
          </cell>
          <cell r="C599">
            <v>1</v>
          </cell>
          <cell r="D599" t="str">
            <v>00előirányzat</v>
          </cell>
          <cell r="E599">
            <v>6215</v>
          </cell>
          <cell r="G599">
            <v>1799</v>
          </cell>
          <cell r="I599">
            <v>58187</v>
          </cell>
          <cell r="P599">
            <v>66201</v>
          </cell>
          <cell r="Q599">
            <v>33246</v>
          </cell>
          <cell r="R599">
            <v>13646</v>
          </cell>
          <cell r="S599">
            <v>19091</v>
          </cell>
          <cell r="W599">
            <v>218</v>
          </cell>
          <cell r="Z599">
            <v>66201</v>
          </cell>
          <cell r="AA599">
            <v>0</v>
          </cell>
          <cell r="AB599">
            <v>66201</v>
          </cell>
        </row>
        <row r="600">
          <cell r="C600">
            <v>5</v>
          </cell>
          <cell r="D600" t="str">
            <v>jóváhagyott pénzmaradvány</v>
          </cell>
          <cell r="N600">
            <v>1325</v>
          </cell>
          <cell r="P600">
            <v>1325</v>
          </cell>
          <cell r="Q600">
            <v>78</v>
          </cell>
          <cell r="R600">
            <v>12</v>
          </cell>
          <cell r="Y600">
            <v>1235</v>
          </cell>
          <cell r="Z600">
            <v>1325</v>
          </cell>
          <cell r="AA600">
            <v>0</v>
          </cell>
          <cell r="AB600">
            <v>1325</v>
          </cell>
        </row>
        <row r="601">
          <cell r="C601">
            <v>6</v>
          </cell>
          <cell r="D601" t="str">
            <v>pm.terhelő bef.kötelezettség</v>
          </cell>
          <cell r="N601">
            <v>1462</v>
          </cell>
          <cell r="P601">
            <v>1462</v>
          </cell>
          <cell r="S601">
            <v>1462</v>
          </cell>
          <cell r="Z601">
            <v>1462</v>
          </cell>
          <cell r="AA601">
            <v>0</v>
          </cell>
          <cell r="AB601">
            <v>1462</v>
          </cell>
        </row>
        <row r="602">
          <cell r="C602">
            <v>10</v>
          </cell>
          <cell r="D602" t="str">
            <v>ped.szakkönyv</v>
          </cell>
          <cell r="I602">
            <v>315</v>
          </cell>
          <cell r="P602">
            <v>315</v>
          </cell>
          <cell r="Q602">
            <v>315</v>
          </cell>
          <cell r="Z602">
            <v>315</v>
          </cell>
          <cell r="AA602">
            <v>0</v>
          </cell>
          <cell r="AB602">
            <v>315</v>
          </cell>
        </row>
        <row r="603">
          <cell r="C603">
            <v>12</v>
          </cell>
          <cell r="D603" t="str">
            <v>elvonás</v>
          </cell>
          <cell r="I603">
            <v>-195</v>
          </cell>
          <cell r="P603">
            <v>-195</v>
          </cell>
          <cell r="S603">
            <v>-195</v>
          </cell>
          <cell r="Z603">
            <v>-195</v>
          </cell>
          <cell r="AA603">
            <v>0</v>
          </cell>
          <cell r="AB603">
            <v>-195</v>
          </cell>
        </row>
        <row r="604">
          <cell r="C604">
            <v>13</v>
          </cell>
          <cell r="D604" t="str">
            <v>bérfejlesztés</v>
          </cell>
          <cell r="I604">
            <v>246</v>
          </cell>
          <cell r="P604">
            <v>246</v>
          </cell>
          <cell r="Q604">
            <v>181</v>
          </cell>
          <cell r="R604">
            <v>65</v>
          </cell>
          <cell r="Z604">
            <v>246</v>
          </cell>
          <cell r="AA604">
            <v>0</v>
          </cell>
          <cell r="AB604">
            <v>246</v>
          </cell>
        </row>
        <row r="605">
          <cell r="C605">
            <v>14</v>
          </cell>
          <cell r="D605" t="str">
            <v>4% bérfejlesztés</v>
          </cell>
          <cell r="I605">
            <v>-68</v>
          </cell>
          <cell r="P605">
            <v>-68</v>
          </cell>
          <cell r="Q605">
            <v>-50</v>
          </cell>
          <cell r="R605">
            <v>-18</v>
          </cell>
          <cell r="Z605">
            <v>-68</v>
          </cell>
          <cell r="AA605">
            <v>0</v>
          </cell>
          <cell r="AB605">
            <v>-68</v>
          </cell>
        </row>
        <row r="606">
          <cell r="P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P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P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P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P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P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P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P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P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P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P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P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P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P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Összesen</v>
          </cell>
          <cell r="D620" t="str">
            <v xml:space="preserve">Jurisics uti Általános Isk. </v>
          </cell>
          <cell r="E620">
            <v>6215</v>
          </cell>
          <cell r="F620">
            <v>0</v>
          </cell>
          <cell r="G620">
            <v>1799</v>
          </cell>
          <cell r="H620">
            <v>0</v>
          </cell>
          <cell r="I620">
            <v>58485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2787</v>
          </cell>
          <cell r="O620">
            <v>0</v>
          </cell>
          <cell r="P620">
            <v>69286</v>
          </cell>
          <cell r="Q620">
            <v>33770</v>
          </cell>
          <cell r="R620">
            <v>13705</v>
          </cell>
          <cell r="S620">
            <v>20358</v>
          </cell>
          <cell r="T620">
            <v>0</v>
          </cell>
          <cell r="U620">
            <v>0</v>
          </cell>
          <cell r="V620">
            <v>0</v>
          </cell>
          <cell r="W620">
            <v>218</v>
          </cell>
          <cell r="X620">
            <v>0</v>
          </cell>
          <cell r="Y620">
            <v>1235</v>
          </cell>
          <cell r="Z620">
            <v>69286</v>
          </cell>
          <cell r="AA620">
            <v>0</v>
          </cell>
          <cell r="AB620">
            <v>69286</v>
          </cell>
        </row>
        <row r="621">
          <cell r="A621">
            <v>1411</v>
          </cell>
          <cell r="B621" t="str">
            <v>Köztársaság téri Általános Isk.</v>
          </cell>
          <cell r="C621">
            <v>1</v>
          </cell>
          <cell r="D621" t="str">
            <v>00előirányzat</v>
          </cell>
          <cell r="E621">
            <v>10988</v>
          </cell>
          <cell r="G621">
            <v>4539</v>
          </cell>
          <cell r="I621">
            <v>93499</v>
          </cell>
          <cell r="P621">
            <v>109026</v>
          </cell>
          <cell r="Q621">
            <v>51956</v>
          </cell>
          <cell r="R621">
            <v>21620</v>
          </cell>
          <cell r="S621">
            <v>34570</v>
          </cell>
          <cell r="W621">
            <v>880</v>
          </cell>
          <cell r="Z621">
            <v>109026</v>
          </cell>
          <cell r="AA621">
            <v>0</v>
          </cell>
          <cell r="AB621">
            <v>109026</v>
          </cell>
        </row>
        <row r="622">
          <cell r="C622">
            <v>5</v>
          </cell>
          <cell r="D622" t="str">
            <v>jóváhagyott pénzmaradvány</v>
          </cell>
          <cell r="N622">
            <v>2371</v>
          </cell>
          <cell r="P622">
            <v>2371</v>
          </cell>
          <cell r="Q622">
            <v>541</v>
          </cell>
          <cell r="R622">
            <v>187</v>
          </cell>
          <cell r="Y622">
            <v>1643</v>
          </cell>
          <cell r="Z622">
            <v>2371</v>
          </cell>
          <cell r="AA622">
            <v>0</v>
          </cell>
          <cell r="AB622">
            <v>2371</v>
          </cell>
        </row>
        <row r="623">
          <cell r="C623">
            <v>6</v>
          </cell>
          <cell r="D623" t="str">
            <v>pm.terhelő bef.kötelezettség</v>
          </cell>
          <cell r="N623">
            <v>1608</v>
          </cell>
          <cell r="P623">
            <v>1608</v>
          </cell>
          <cell r="S623">
            <v>1608</v>
          </cell>
          <cell r="Z623">
            <v>1608</v>
          </cell>
          <cell r="AA623">
            <v>0</v>
          </cell>
          <cell r="AB623">
            <v>1608</v>
          </cell>
        </row>
        <row r="624">
          <cell r="D624" t="str">
            <v>Okt.Biz.keret</v>
          </cell>
          <cell r="I624">
            <v>50</v>
          </cell>
          <cell r="P624">
            <v>50</v>
          </cell>
          <cell r="S624">
            <v>50</v>
          </cell>
          <cell r="Z624">
            <v>50</v>
          </cell>
          <cell r="AA624">
            <v>0</v>
          </cell>
          <cell r="AB624">
            <v>50</v>
          </cell>
        </row>
        <row r="625">
          <cell r="C625">
            <v>10</v>
          </cell>
          <cell r="D625" t="str">
            <v>ped.szakkönyv</v>
          </cell>
          <cell r="I625">
            <v>551</v>
          </cell>
          <cell r="P625">
            <v>551</v>
          </cell>
          <cell r="Q625">
            <v>551</v>
          </cell>
          <cell r="Z625">
            <v>551</v>
          </cell>
          <cell r="AA625">
            <v>0</v>
          </cell>
          <cell r="AB625">
            <v>551</v>
          </cell>
        </row>
        <row r="626">
          <cell r="C626">
            <v>12</v>
          </cell>
          <cell r="D626" t="str">
            <v>elvonás</v>
          </cell>
          <cell r="I626">
            <v>-316</v>
          </cell>
          <cell r="P626">
            <v>-316</v>
          </cell>
          <cell r="S626">
            <v>-316</v>
          </cell>
          <cell r="Z626">
            <v>-316</v>
          </cell>
          <cell r="AA626">
            <v>0</v>
          </cell>
          <cell r="AB626">
            <v>-316</v>
          </cell>
        </row>
        <row r="627">
          <cell r="C627">
            <v>13</v>
          </cell>
          <cell r="D627" t="str">
            <v>bérfejlesztés</v>
          </cell>
          <cell r="I627">
            <v>339</v>
          </cell>
          <cell r="P627">
            <v>339</v>
          </cell>
          <cell r="Q627">
            <v>249</v>
          </cell>
          <cell r="R627">
            <v>90</v>
          </cell>
          <cell r="Z627">
            <v>339</v>
          </cell>
          <cell r="AA627">
            <v>0</v>
          </cell>
          <cell r="AB627">
            <v>339</v>
          </cell>
        </row>
        <row r="628">
          <cell r="C628">
            <v>14</v>
          </cell>
          <cell r="D628" t="str">
            <v>4% bérfejlesztés</v>
          </cell>
          <cell r="I628">
            <v>-94</v>
          </cell>
          <cell r="P628">
            <v>-94</v>
          </cell>
          <cell r="Q628">
            <v>-69</v>
          </cell>
          <cell r="R628">
            <v>-25</v>
          </cell>
          <cell r="Z628">
            <v>-94</v>
          </cell>
          <cell r="AA628">
            <v>0</v>
          </cell>
          <cell r="AB628">
            <v>-94</v>
          </cell>
        </row>
        <row r="629">
          <cell r="P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P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P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P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P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P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P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P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P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P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P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P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P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P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P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P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B645" t="str">
            <v>Összesen</v>
          </cell>
          <cell r="D645" t="str">
            <v>Köztársaság téri Ált. Isk.</v>
          </cell>
          <cell r="E645">
            <v>10988</v>
          </cell>
          <cell r="F645">
            <v>0</v>
          </cell>
          <cell r="G645">
            <v>4539</v>
          </cell>
          <cell r="H645">
            <v>0</v>
          </cell>
          <cell r="I645">
            <v>94029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3979</v>
          </cell>
          <cell r="O645">
            <v>0</v>
          </cell>
          <cell r="P645">
            <v>113535</v>
          </cell>
          <cell r="Q645">
            <v>53228</v>
          </cell>
          <cell r="R645">
            <v>21872</v>
          </cell>
          <cell r="S645">
            <v>35912</v>
          </cell>
          <cell r="T645">
            <v>0</v>
          </cell>
          <cell r="U645">
            <v>0</v>
          </cell>
          <cell r="V645">
            <v>0</v>
          </cell>
          <cell r="W645">
            <v>880</v>
          </cell>
          <cell r="X645">
            <v>0</v>
          </cell>
          <cell r="Y645">
            <v>1643</v>
          </cell>
          <cell r="Z645">
            <v>113535</v>
          </cell>
          <cell r="AA645">
            <v>0</v>
          </cell>
          <cell r="AB645">
            <v>113535</v>
          </cell>
        </row>
        <row r="646">
          <cell r="A646">
            <v>1412</v>
          </cell>
          <cell r="B646" t="str">
            <v>Mátyás Király uti Általános Isk.</v>
          </cell>
          <cell r="C646">
            <v>1</v>
          </cell>
          <cell r="D646" t="str">
            <v>00előirányzat</v>
          </cell>
          <cell r="E646">
            <v>6327</v>
          </cell>
          <cell r="G646">
            <v>1968</v>
          </cell>
          <cell r="I646">
            <v>62924</v>
          </cell>
          <cell r="P646">
            <v>71219</v>
          </cell>
          <cell r="Q646">
            <v>37813</v>
          </cell>
          <cell r="R646">
            <v>15227</v>
          </cell>
          <cell r="S646">
            <v>18002</v>
          </cell>
          <cell r="W646">
            <v>177</v>
          </cell>
          <cell r="Z646">
            <v>71219</v>
          </cell>
          <cell r="AA646">
            <v>0</v>
          </cell>
          <cell r="AB646">
            <v>71219</v>
          </cell>
        </row>
        <row r="647">
          <cell r="C647">
            <v>5</v>
          </cell>
          <cell r="D647" t="str">
            <v>jóváhagyott pénzmaradvány</v>
          </cell>
          <cell r="N647">
            <v>-782</v>
          </cell>
          <cell r="P647">
            <v>-782</v>
          </cell>
          <cell r="Q647">
            <v>34</v>
          </cell>
          <cell r="R647">
            <v>12</v>
          </cell>
          <cell r="S647">
            <v>-828</v>
          </cell>
          <cell r="Z647">
            <v>-782</v>
          </cell>
          <cell r="AA647">
            <v>0</v>
          </cell>
          <cell r="AB647">
            <v>-782</v>
          </cell>
        </row>
        <row r="648">
          <cell r="C648">
            <v>6</v>
          </cell>
          <cell r="D648" t="str">
            <v>pm.terhelő bef.kötelezettség</v>
          </cell>
          <cell r="N648">
            <v>2460</v>
          </cell>
          <cell r="P648">
            <v>2460</v>
          </cell>
          <cell r="S648">
            <v>2460</v>
          </cell>
          <cell r="Z648">
            <v>2460</v>
          </cell>
          <cell r="AA648">
            <v>0</v>
          </cell>
          <cell r="AB648">
            <v>2460</v>
          </cell>
        </row>
        <row r="649">
          <cell r="C649">
            <v>7</v>
          </cell>
          <cell r="D649" t="str">
            <v>tárgyévi eir.mód.korrekció</v>
          </cell>
          <cell r="I649">
            <v>293</v>
          </cell>
          <cell r="P649">
            <v>293</v>
          </cell>
          <cell r="S649">
            <v>293</v>
          </cell>
          <cell r="Z649">
            <v>293</v>
          </cell>
          <cell r="AA649">
            <v>0</v>
          </cell>
          <cell r="AB649">
            <v>293</v>
          </cell>
        </row>
        <row r="650">
          <cell r="C650">
            <v>10</v>
          </cell>
          <cell r="D650" t="str">
            <v>ped.szakkönyv</v>
          </cell>
          <cell r="I650">
            <v>360</v>
          </cell>
          <cell r="P650">
            <v>360</v>
          </cell>
          <cell r="Q650">
            <v>360</v>
          </cell>
          <cell r="Z650">
            <v>360</v>
          </cell>
          <cell r="AA650">
            <v>0</v>
          </cell>
          <cell r="AB650">
            <v>360</v>
          </cell>
        </row>
        <row r="651">
          <cell r="D651" t="str">
            <v>pót1 viharkárok</v>
          </cell>
          <cell r="I651">
            <v>96</v>
          </cell>
          <cell r="P651">
            <v>96</v>
          </cell>
          <cell r="X651">
            <v>96</v>
          </cell>
          <cell r="Z651">
            <v>96</v>
          </cell>
          <cell r="AA651">
            <v>0</v>
          </cell>
          <cell r="AB651">
            <v>96</v>
          </cell>
        </row>
        <row r="652">
          <cell r="C652">
            <v>12</v>
          </cell>
          <cell r="D652" t="str">
            <v>elvonás</v>
          </cell>
          <cell r="I652">
            <v>-170</v>
          </cell>
          <cell r="P652">
            <v>-170</v>
          </cell>
          <cell r="S652">
            <v>-170</v>
          </cell>
          <cell r="Z652">
            <v>-170</v>
          </cell>
          <cell r="AA652">
            <v>0</v>
          </cell>
          <cell r="AB652">
            <v>-170</v>
          </cell>
        </row>
        <row r="653">
          <cell r="C653">
            <v>13</v>
          </cell>
          <cell r="D653" t="str">
            <v>bérfejlesztés</v>
          </cell>
          <cell r="I653">
            <v>333</v>
          </cell>
          <cell r="P653">
            <v>333</v>
          </cell>
          <cell r="Q653">
            <v>245</v>
          </cell>
          <cell r="R653">
            <v>88</v>
          </cell>
          <cell r="Z653">
            <v>333</v>
          </cell>
          <cell r="AA653">
            <v>0</v>
          </cell>
          <cell r="AB653">
            <v>333</v>
          </cell>
        </row>
        <row r="654">
          <cell r="C654">
            <v>14</v>
          </cell>
          <cell r="D654" t="str">
            <v>4% bérfejlesztés</v>
          </cell>
          <cell r="I654">
            <v>-92</v>
          </cell>
          <cell r="P654">
            <v>-92</v>
          </cell>
          <cell r="Q654">
            <v>-68</v>
          </cell>
          <cell r="R654">
            <v>-24</v>
          </cell>
          <cell r="Z654">
            <v>-92</v>
          </cell>
          <cell r="AA654">
            <v>0</v>
          </cell>
          <cell r="AB654">
            <v>-92</v>
          </cell>
        </row>
        <row r="655">
          <cell r="P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P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P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P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P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P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P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P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P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P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P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P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P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P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B669" t="str">
            <v>Összesen</v>
          </cell>
          <cell r="D669" t="str">
            <v>Mátyás Király uti Ált. Isk.</v>
          </cell>
          <cell r="E669">
            <v>6327</v>
          </cell>
          <cell r="F669">
            <v>0</v>
          </cell>
          <cell r="G669">
            <v>1968</v>
          </cell>
          <cell r="H669">
            <v>0</v>
          </cell>
          <cell r="I669">
            <v>63744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1678</v>
          </cell>
          <cell r="O669">
            <v>0</v>
          </cell>
          <cell r="P669">
            <v>73717</v>
          </cell>
          <cell r="Q669">
            <v>38384</v>
          </cell>
          <cell r="R669">
            <v>15303</v>
          </cell>
          <cell r="S669">
            <v>19757</v>
          </cell>
          <cell r="T669">
            <v>0</v>
          </cell>
          <cell r="U669">
            <v>0</v>
          </cell>
          <cell r="V669">
            <v>0</v>
          </cell>
          <cell r="W669">
            <v>177</v>
          </cell>
          <cell r="X669">
            <v>96</v>
          </cell>
          <cell r="Y669">
            <v>0</v>
          </cell>
          <cell r="Z669">
            <v>73717</v>
          </cell>
          <cell r="AA669">
            <v>0</v>
          </cell>
          <cell r="AB669">
            <v>73717</v>
          </cell>
        </row>
        <row r="670">
          <cell r="A670">
            <v>1414</v>
          </cell>
          <cell r="B670" t="str">
            <v>Szieberth R.Általános Isk.</v>
          </cell>
          <cell r="C670">
            <v>1</v>
          </cell>
          <cell r="D670" t="str">
            <v>00előirányzat</v>
          </cell>
          <cell r="E670">
            <v>6139</v>
          </cell>
          <cell r="G670">
            <v>1867</v>
          </cell>
          <cell r="I670">
            <v>95979</v>
          </cell>
          <cell r="P670">
            <v>103985</v>
          </cell>
          <cell r="Q670">
            <v>53214</v>
          </cell>
          <cell r="R670">
            <v>21888</v>
          </cell>
          <cell r="S670">
            <v>28225</v>
          </cell>
          <cell r="W670">
            <v>658</v>
          </cell>
          <cell r="Z670">
            <v>103985</v>
          </cell>
          <cell r="AA670">
            <v>0</v>
          </cell>
          <cell r="AB670">
            <v>103985</v>
          </cell>
        </row>
        <row r="671">
          <cell r="C671">
            <v>5</v>
          </cell>
          <cell r="D671" t="str">
            <v>jóváhagyott pénzmaradvány</v>
          </cell>
          <cell r="N671">
            <v>4357</v>
          </cell>
          <cell r="P671">
            <v>4357</v>
          </cell>
          <cell r="Q671">
            <v>1009</v>
          </cell>
          <cell r="R671">
            <v>363</v>
          </cell>
          <cell r="Y671">
            <v>2985</v>
          </cell>
          <cell r="Z671">
            <v>4357</v>
          </cell>
          <cell r="AA671">
            <v>0</v>
          </cell>
          <cell r="AB671">
            <v>4357</v>
          </cell>
        </row>
        <row r="672">
          <cell r="C672">
            <v>6</v>
          </cell>
          <cell r="D672" t="str">
            <v>pm.terhelő bef.kötelezettség</v>
          </cell>
          <cell r="N672">
            <v>414</v>
          </cell>
          <cell r="P672">
            <v>414</v>
          </cell>
          <cell r="S672">
            <v>414</v>
          </cell>
          <cell r="Z672">
            <v>414</v>
          </cell>
          <cell r="AA672">
            <v>0</v>
          </cell>
          <cell r="AB672">
            <v>414</v>
          </cell>
        </row>
        <row r="673">
          <cell r="C673">
            <v>10</v>
          </cell>
          <cell r="D673" t="str">
            <v>ped.szakkönyv</v>
          </cell>
          <cell r="I673">
            <v>574</v>
          </cell>
          <cell r="P673">
            <v>574</v>
          </cell>
          <cell r="Q673">
            <v>574</v>
          </cell>
          <cell r="Z673">
            <v>574</v>
          </cell>
          <cell r="AA673">
            <v>0</v>
          </cell>
          <cell r="AB673">
            <v>574</v>
          </cell>
        </row>
        <row r="674">
          <cell r="D674" t="str">
            <v>pót1 viharkárok</v>
          </cell>
          <cell r="I674">
            <v>41</v>
          </cell>
          <cell r="P674">
            <v>41</v>
          </cell>
          <cell r="X674">
            <v>41</v>
          </cell>
          <cell r="Z674">
            <v>41</v>
          </cell>
          <cell r="AA674">
            <v>0</v>
          </cell>
          <cell r="AB674">
            <v>41</v>
          </cell>
        </row>
        <row r="675">
          <cell r="C675">
            <v>12</v>
          </cell>
          <cell r="D675" t="str">
            <v>elvonás</v>
          </cell>
          <cell r="I675">
            <v>-356</v>
          </cell>
          <cell r="P675">
            <v>-356</v>
          </cell>
          <cell r="S675">
            <v>-356</v>
          </cell>
          <cell r="Z675">
            <v>-356</v>
          </cell>
          <cell r="AA675">
            <v>0</v>
          </cell>
          <cell r="AB675">
            <v>-356</v>
          </cell>
        </row>
        <row r="676">
          <cell r="C676">
            <v>13</v>
          </cell>
          <cell r="D676" t="str">
            <v>bérfejlesztés</v>
          </cell>
          <cell r="I676">
            <v>321</v>
          </cell>
          <cell r="P676">
            <v>321</v>
          </cell>
          <cell r="Q676">
            <v>236</v>
          </cell>
          <cell r="R676">
            <v>85</v>
          </cell>
          <cell r="Z676">
            <v>321</v>
          </cell>
          <cell r="AA676">
            <v>0</v>
          </cell>
          <cell r="AB676">
            <v>321</v>
          </cell>
        </row>
        <row r="677">
          <cell r="C677">
            <v>14</v>
          </cell>
          <cell r="D677" t="str">
            <v>4% bérfejlesztés</v>
          </cell>
          <cell r="I677">
            <v>-88</v>
          </cell>
          <cell r="P677">
            <v>-88</v>
          </cell>
          <cell r="Q677">
            <v>-65</v>
          </cell>
          <cell r="R677">
            <v>-23</v>
          </cell>
          <cell r="Z677">
            <v>-88</v>
          </cell>
          <cell r="AA677">
            <v>0</v>
          </cell>
          <cell r="AB677">
            <v>-88</v>
          </cell>
        </row>
        <row r="678">
          <cell r="P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P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P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P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P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P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P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P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P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P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P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P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P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P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B692" t="str">
            <v>Összesen</v>
          </cell>
          <cell r="D692" t="str">
            <v>Szieberth R.Általános Isk.</v>
          </cell>
          <cell r="E692">
            <v>6139</v>
          </cell>
          <cell r="F692">
            <v>0</v>
          </cell>
          <cell r="G692">
            <v>1867</v>
          </cell>
          <cell r="H692">
            <v>0</v>
          </cell>
          <cell r="I692">
            <v>96471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4771</v>
          </cell>
          <cell r="O692">
            <v>0</v>
          </cell>
          <cell r="P692">
            <v>109248</v>
          </cell>
          <cell r="Q692">
            <v>54968</v>
          </cell>
          <cell r="R692">
            <v>22313</v>
          </cell>
          <cell r="S692">
            <v>28283</v>
          </cell>
          <cell r="T692">
            <v>0</v>
          </cell>
          <cell r="U692">
            <v>0</v>
          </cell>
          <cell r="V692">
            <v>0</v>
          </cell>
          <cell r="W692">
            <v>658</v>
          </cell>
          <cell r="X692">
            <v>41</v>
          </cell>
          <cell r="Y692">
            <v>2985</v>
          </cell>
          <cell r="Z692">
            <v>109248</v>
          </cell>
          <cell r="AA692">
            <v>0</v>
          </cell>
          <cell r="AB692">
            <v>109248</v>
          </cell>
        </row>
        <row r="693">
          <cell r="A693">
            <v>1415</v>
          </cell>
          <cell r="B693" t="str">
            <v>Illyés Gy.uti Általános Isk.</v>
          </cell>
          <cell r="C693">
            <v>1</v>
          </cell>
          <cell r="D693" t="str">
            <v>00előirányzat</v>
          </cell>
          <cell r="E693">
            <v>7960</v>
          </cell>
          <cell r="G693">
            <v>3960</v>
          </cell>
          <cell r="I693">
            <v>100637</v>
          </cell>
          <cell r="P693">
            <v>112557</v>
          </cell>
          <cell r="Q693">
            <v>57662</v>
          </cell>
          <cell r="R693">
            <v>23401</v>
          </cell>
          <cell r="S693">
            <v>30877</v>
          </cell>
          <cell r="W693">
            <v>617</v>
          </cell>
          <cell r="Z693">
            <v>112557</v>
          </cell>
          <cell r="AA693">
            <v>0</v>
          </cell>
          <cell r="AB693">
            <v>112557</v>
          </cell>
        </row>
        <row r="694">
          <cell r="C694">
            <v>5</v>
          </cell>
          <cell r="D694" t="str">
            <v>jóváhagyott pénzmaradvány</v>
          </cell>
          <cell r="N694">
            <v>-3822</v>
          </cell>
          <cell r="P694">
            <v>-3822</v>
          </cell>
          <cell r="Q694">
            <v>298</v>
          </cell>
          <cell r="R694">
            <v>12</v>
          </cell>
          <cell r="S694">
            <v>-4132</v>
          </cell>
          <cell r="Z694">
            <v>-3822</v>
          </cell>
          <cell r="AA694">
            <v>0</v>
          </cell>
          <cell r="AB694">
            <v>-3822</v>
          </cell>
        </row>
        <row r="695">
          <cell r="C695">
            <v>6</v>
          </cell>
          <cell r="D695" t="str">
            <v>pm.terhelő bef.kötelezettség</v>
          </cell>
          <cell r="N695">
            <v>5036</v>
          </cell>
          <cell r="P695">
            <v>5036</v>
          </cell>
          <cell r="S695">
            <v>5036</v>
          </cell>
          <cell r="Z695">
            <v>5036</v>
          </cell>
          <cell r="AA695">
            <v>0</v>
          </cell>
          <cell r="AB695">
            <v>5036</v>
          </cell>
        </row>
        <row r="696">
          <cell r="C696">
            <v>7</v>
          </cell>
          <cell r="D696" t="str">
            <v>tárgyévi eir.mód.korrekció</v>
          </cell>
          <cell r="I696">
            <v>665</v>
          </cell>
          <cell r="P696">
            <v>665</v>
          </cell>
          <cell r="S696">
            <v>665</v>
          </cell>
          <cell r="Z696">
            <v>665</v>
          </cell>
          <cell r="AA696">
            <v>0</v>
          </cell>
          <cell r="AB696">
            <v>665</v>
          </cell>
        </row>
        <row r="697">
          <cell r="C697">
            <v>10</v>
          </cell>
          <cell r="D697" t="str">
            <v>ped.szakkönyv</v>
          </cell>
          <cell r="I697">
            <v>585</v>
          </cell>
          <cell r="P697">
            <v>585</v>
          </cell>
          <cell r="Q697">
            <v>585</v>
          </cell>
          <cell r="Z697">
            <v>585</v>
          </cell>
          <cell r="AA697">
            <v>0</v>
          </cell>
          <cell r="AB697">
            <v>585</v>
          </cell>
        </row>
        <row r="698">
          <cell r="C698">
            <v>12</v>
          </cell>
          <cell r="D698" t="str">
            <v>elvonás</v>
          </cell>
          <cell r="I698">
            <v>-283</v>
          </cell>
          <cell r="P698">
            <v>-283</v>
          </cell>
          <cell r="S698">
            <v>-283</v>
          </cell>
          <cell r="Z698">
            <v>-283</v>
          </cell>
          <cell r="AA698">
            <v>0</v>
          </cell>
          <cell r="AB698">
            <v>-283</v>
          </cell>
        </row>
        <row r="699">
          <cell r="C699">
            <v>13</v>
          </cell>
          <cell r="D699" t="str">
            <v>bérfejlesztés</v>
          </cell>
          <cell r="I699">
            <v>304</v>
          </cell>
          <cell r="P699">
            <v>304</v>
          </cell>
          <cell r="Q699">
            <v>224</v>
          </cell>
          <cell r="R699">
            <v>80</v>
          </cell>
          <cell r="Z699">
            <v>304</v>
          </cell>
          <cell r="AA699">
            <v>0</v>
          </cell>
          <cell r="AB699">
            <v>304</v>
          </cell>
        </row>
        <row r="700">
          <cell r="C700">
            <v>14</v>
          </cell>
          <cell r="D700" t="str">
            <v>4% bérfejlesztés</v>
          </cell>
          <cell r="I700">
            <v>-84</v>
          </cell>
          <cell r="P700">
            <v>-84</v>
          </cell>
          <cell r="Q700">
            <v>-62</v>
          </cell>
          <cell r="R700">
            <v>-22</v>
          </cell>
          <cell r="Z700">
            <v>-84</v>
          </cell>
          <cell r="AA700">
            <v>0</v>
          </cell>
          <cell r="AB700">
            <v>-84</v>
          </cell>
        </row>
        <row r="701">
          <cell r="P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P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P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P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P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P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P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P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P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P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P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P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P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P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P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B716" t="str">
            <v>Összesen</v>
          </cell>
          <cell r="D716" t="str">
            <v>Illyés Gy.uti Általános Isk.</v>
          </cell>
          <cell r="E716">
            <v>7960</v>
          </cell>
          <cell r="F716">
            <v>0</v>
          </cell>
          <cell r="G716">
            <v>3960</v>
          </cell>
          <cell r="H716">
            <v>0</v>
          </cell>
          <cell r="I716">
            <v>101824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1214</v>
          </cell>
          <cell r="O716">
            <v>0</v>
          </cell>
          <cell r="P716">
            <v>114958</v>
          </cell>
          <cell r="Q716">
            <v>58707</v>
          </cell>
          <cell r="R716">
            <v>23471</v>
          </cell>
          <cell r="S716">
            <v>32163</v>
          </cell>
          <cell r="T716">
            <v>0</v>
          </cell>
          <cell r="U716">
            <v>0</v>
          </cell>
          <cell r="V716">
            <v>0</v>
          </cell>
          <cell r="W716">
            <v>617</v>
          </cell>
          <cell r="X716">
            <v>0</v>
          </cell>
          <cell r="Y716">
            <v>0</v>
          </cell>
          <cell r="Z716">
            <v>114958</v>
          </cell>
          <cell r="AA716">
            <v>0</v>
          </cell>
          <cell r="AB716">
            <v>114958</v>
          </cell>
        </row>
        <row r="717">
          <cell r="A717">
            <v>1416</v>
          </cell>
          <cell r="B717" t="str">
            <v>Testvérvárosok terei Ált.Isk.</v>
          </cell>
          <cell r="C717">
            <v>1</v>
          </cell>
          <cell r="D717" t="str">
            <v>00előirányzat</v>
          </cell>
          <cell r="E717">
            <v>10736</v>
          </cell>
          <cell r="G717">
            <v>4087</v>
          </cell>
          <cell r="I717">
            <v>119035</v>
          </cell>
          <cell r="P717">
            <v>133858</v>
          </cell>
          <cell r="Q717">
            <v>70900</v>
          </cell>
          <cell r="R717">
            <v>28910</v>
          </cell>
          <cell r="S717">
            <v>33385</v>
          </cell>
          <cell r="W717">
            <v>663</v>
          </cell>
          <cell r="Z717">
            <v>133858</v>
          </cell>
          <cell r="AA717">
            <v>0</v>
          </cell>
          <cell r="AB717">
            <v>133858</v>
          </cell>
        </row>
        <row r="718">
          <cell r="C718">
            <v>5</v>
          </cell>
          <cell r="D718" t="str">
            <v>jóváhagyott pénzmaradvány</v>
          </cell>
          <cell r="N718">
            <v>-1358</v>
          </cell>
          <cell r="P718">
            <v>-1358</v>
          </cell>
          <cell r="Q718">
            <v>573</v>
          </cell>
          <cell r="R718">
            <v>12</v>
          </cell>
          <cell r="S718">
            <v>-1943</v>
          </cell>
          <cell r="Z718">
            <v>-1358</v>
          </cell>
          <cell r="AA718">
            <v>0</v>
          </cell>
          <cell r="AB718">
            <v>-1358</v>
          </cell>
        </row>
        <row r="719">
          <cell r="C719">
            <v>6</v>
          </cell>
          <cell r="D719" t="str">
            <v>pm.terhelő bef.kötelezettség</v>
          </cell>
          <cell r="N719">
            <v>1462</v>
          </cell>
          <cell r="P719">
            <v>1462</v>
          </cell>
          <cell r="S719">
            <v>1462</v>
          </cell>
          <cell r="Z719">
            <v>1462</v>
          </cell>
          <cell r="AA719">
            <v>0</v>
          </cell>
          <cell r="AB719">
            <v>1462</v>
          </cell>
        </row>
        <row r="720">
          <cell r="C720">
            <v>10</v>
          </cell>
          <cell r="D720" t="str">
            <v>ped.szakkönyv</v>
          </cell>
          <cell r="I720">
            <v>698</v>
          </cell>
          <cell r="P720">
            <v>698</v>
          </cell>
          <cell r="Q720">
            <v>698</v>
          </cell>
          <cell r="Z720">
            <v>698</v>
          </cell>
          <cell r="AA720">
            <v>0</v>
          </cell>
          <cell r="AB720">
            <v>698</v>
          </cell>
        </row>
        <row r="721">
          <cell r="C721">
            <v>12</v>
          </cell>
          <cell r="D721" t="str">
            <v>elvonás</v>
          </cell>
          <cell r="I721">
            <v>-334</v>
          </cell>
          <cell r="P721">
            <v>-334</v>
          </cell>
          <cell r="S721">
            <v>-334</v>
          </cell>
          <cell r="Z721">
            <v>-334</v>
          </cell>
          <cell r="AA721">
            <v>0</v>
          </cell>
          <cell r="AB721">
            <v>-334</v>
          </cell>
        </row>
        <row r="722">
          <cell r="C722">
            <v>13</v>
          </cell>
          <cell r="D722" t="str">
            <v>bérfejlesztés</v>
          </cell>
          <cell r="I722">
            <v>545</v>
          </cell>
          <cell r="P722">
            <v>545</v>
          </cell>
          <cell r="Q722">
            <v>401</v>
          </cell>
          <cell r="R722">
            <v>144</v>
          </cell>
          <cell r="Z722">
            <v>545</v>
          </cell>
          <cell r="AA722">
            <v>0</v>
          </cell>
          <cell r="AB722">
            <v>545</v>
          </cell>
        </row>
        <row r="723">
          <cell r="C723">
            <v>14</v>
          </cell>
          <cell r="D723" t="str">
            <v>4% bérfejlesztés</v>
          </cell>
          <cell r="I723">
            <v>-151</v>
          </cell>
          <cell r="P723">
            <v>-151</v>
          </cell>
          <cell r="Q723">
            <v>-111</v>
          </cell>
          <cell r="R723">
            <v>-40</v>
          </cell>
          <cell r="Z723">
            <v>-151</v>
          </cell>
          <cell r="AA723">
            <v>0</v>
          </cell>
          <cell r="AB723">
            <v>-151</v>
          </cell>
        </row>
        <row r="724">
          <cell r="P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P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P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P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P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P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P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P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P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P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P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B735" t="str">
            <v>Összesen</v>
          </cell>
          <cell r="D735" t="str">
            <v>Testvérvárosok terei Ált.Isk.</v>
          </cell>
          <cell r="E735">
            <v>10736</v>
          </cell>
          <cell r="F735">
            <v>0</v>
          </cell>
          <cell r="G735">
            <v>4087</v>
          </cell>
          <cell r="H735">
            <v>0</v>
          </cell>
          <cell r="I735">
            <v>119793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104</v>
          </cell>
          <cell r="O735">
            <v>0</v>
          </cell>
          <cell r="P735">
            <v>134720</v>
          </cell>
          <cell r="Q735">
            <v>72461</v>
          </cell>
          <cell r="R735">
            <v>29026</v>
          </cell>
          <cell r="S735">
            <v>32570</v>
          </cell>
          <cell r="T735">
            <v>0</v>
          </cell>
          <cell r="U735">
            <v>0</v>
          </cell>
          <cell r="V735">
            <v>0</v>
          </cell>
          <cell r="W735">
            <v>663</v>
          </cell>
          <cell r="X735">
            <v>0</v>
          </cell>
          <cell r="Y735">
            <v>0</v>
          </cell>
          <cell r="Z735">
            <v>134720</v>
          </cell>
          <cell r="AA735">
            <v>0</v>
          </cell>
          <cell r="AB735">
            <v>134720</v>
          </cell>
        </row>
        <row r="736">
          <cell r="A736">
            <v>1417</v>
          </cell>
          <cell r="B736" t="str">
            <v>Vasas-Somogy-Hird Iskolaközpont</v>
          </cell>
          <cell r="C736">
            <v>1</v>
          </cell>
          <cell r="D736" t="str">
            <v>00előirányzat</v>
          </cell>
          <cell r="E736">
            <v>9496</v>
          </cell>
          <cell r="G736">
            <v>3077</v>
          </cell>
          <cell r="I736">
            <v>129432</v>
          </cell>
          <cell r="P736">
            <v>142005</v>
          </cell>
          <cell r="Q736">
            <v>71401</v>
          </cell>
          <cell r="R736">
            <v>29797</v>
          </cell>
          <cell r="S736">
            <v>40297</v>
          </cell>
          <cell r="W736">
            <v>510</v>
          </cell>
          <cell r="Z736">
            <v>142005</v>
          </cell>
          <cell r="AA736">
            <v>0</v>
          </cell>
          <cell r="AB736">
            <v>142005</v>
          </cell>
        </row>
        <row r="737">
          <cell r="C737">
            <v>5</v>
          </cell>
          <cell r="D737" t="str">
            <v>jóváhagyott pénzmaradvány</v>
          </cell>
          <cell r="N737">
            <v>-1399</v>
          </cell>
          <cell r="P737">
            <v>-1399</v>
          </cell>
          <cell r="Q737">
            <v>493</v>
          </cell>
          <cell r="R737">
            <v>12</v>
          </cell>
          <cell r="S737">
            <v>-1904</v>
          </cell>
          <cell r="Z737">
            <v>-1399</v>
          </cell>
          <cell r="AA737">
            <v>0</v>
          </cell>
          <cell r="AB737">
            <v>-1399</v>
          </cell>
        </row>
        <row r="738">
          <cell r="C738">
            <v>6</v>
          </cell>
          <cell r="D738" t="str">
            <v>pm.terhelő bef.kötelezettség</v>
          </cell>
          <cell r="N738">
            <v>4611</v>
          </cell>
          <cell r="P738">
            <v>4611</v>
          </cell>
          <cell r="S738">
            <v>4611</v>
          </cell>
          <cell r="Z738">
            <v>4611</v>
          </cell>
          <cell r="AA738">
            <v>0</v>
          </cell>
          <cell r="AB738">
            <v>4611</v>
          </cell>
        </row>
        <row r="739">
          <cell r="C739">
            <v>10</v>
          </cell>
          <cell r="D739" t="str">
            <v>ped.szakkönyv</v>
          </cell>
          <cell r="I739">
            <v>653</v>
          </cell>
          <cell r="P739">
            <v>653</v>
          </cell>
          <cell r="Q739">
            <v>653</v>
          </cell>
          <cell r="Z739">
            <v>653</v>
          </cell>
          <cell r="AA739">
            <v>0</v>
          </cell>
          <cell r="AB739">
            <v>653</v>
          </cell>
        </row>
        <row r="740">
          <cell r="C740">
            <v>12</v>
          </cell>
          <cell r="D740" t="str">
            <v>elvonás</v>
          </cell>
          <cell r="I740">
            <v>-521</v>
          </cell>
          <cell r="P740">
            <v>-521</v>
          </cell>
          <cell r="S740">
            <v>-521</v>
          </cell>
          <cell r="Z740">
            <v>-521</v>
          </cell>
          <cell r="AA740">
            <v>0</v>
          </cell>
          <cell r="AB740">
            <v>-521</v>
          </cell>
        </row>
        <row r="741">
          <cell r="C741">
            <v>13</v>
          </cell>
          <cell r="D741" t="str">
            <v>bérfejlesztés</v>
          </cell>
          <cell r="I741">
            <v>1315</v>
          </cell>
          <cell r="P741">
            <v>1315</v>
          </cell>
          <cell r="Q741">
            <v>967</v>
          </cell>
          <cell r="R741">
            <v>348</v>
          </cell>
          <cell r="Z741">
            <v>1315</v>
          </cell>
          <cell r="AA741">
            <v>0</v>
          </cell>
          <cell r="AB741">
            <v>1315</v>
          </cell>
        </row>
        <row r="742">
          <cell r="C742">
            <v>14</v>
          </cell>
          <cell r="D742" t="str">
            <v>4% bérfejlesztés</v>
          </cell>
          <cell r="I742">
            <v>-363</v>
          </cell>
          <cell r="P742">
            <v>-363</v>
          </cell>
          <cell r="Q742">
            <v>-267</v>
          </cell>
          <cell r="R742">
            <v>-96</v>
          </cell>
          <cell r="Z742">
            <v>-363</v>
          </cell>
          <cell r="AA742">
            <v>0</v>
          </cell>
          <cell r="AB742">
            <v>-363</v>
          </cell>
        </row>
        <row r="743">
          <cell r="P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P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P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P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P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P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P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P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P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P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P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P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P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P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P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P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P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P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P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P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B763" t="str">
            <v>Összesen</v>
          </cell>
          <cell r="D763" t="str">
            <v>Vasas-Somogy-Hird Iskolaközpont</v>
          </cell>
          <cell r="E763">
            <v>9496</v>
          </cell>
          <cell r="F763">
            <v>0</v>
          </cell>
          <cell r="G763">
            <v>3077</v>
          </cell>
          <cell r="H763">
            <v>0</v>
          </cell>
          <cell r="I763">
            <v>130516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3212</v>
          </cell>
          <cell r="O763">
            <v>0</v>
          </cell>
          <cell r="P763">
            <v>146301</v>
          </cell>
          <cell r="Q763">
            <v>73247</v>
          </cell>
          <cell r="R763">
            <v>30061</v>
          </cell>
          <cell r="S763">
            <v>42483</v>
          </cell>
          <cell r="T763">
            <v>0</v>
          </cell>
          <cell r="U763">
            <v>0</v>
          </cell>
          <cell r="V763">
            <v>0</v>
          </cell>
          <cell r="W763">
            <v>510</v>
          </cell>
          <cell r="X763">
            <v>0</v>
          </cell>
          <cell r="Y763">
            <v>0</v>
          </cell>
          <cell r="Z763">
            <v>146301</v>
          </cell>
          <cell r="AA763">
            <v>0</v>
          </cell>
          <cell r="AB763">
            <v>146301</v>
          </cell>
        </row>
        <row r="764">
          <cell r="A764">
            <v>1418</v>
          </cell>
          <cell r="B764" t="str">
            <v>Liszt Ferenc Zeneiskola</v>
          </cell>
          <cell r="C764">
            <v>1</v>
          </cell>
          <cell r="D764" t="str">
            <v>00előirányzat</v>
          </cell>
          <cell r="E764">
            <v>2600</v>
          </cell>
          <cell r="G764">
            <v>80</v>
          </cell>
          <cell r="I764">
            <v>83905</v>
          </cell>
          <cell r="P764">
            <v>86585</v>
          </cell>
          <cell r="Q764">
            <v>57621</v>
          </cell>
          <cell r="R764">
            <v>23482</v>
          </cell>
          <cell r="S764">
            <v>5482</v>
          </cell>
          <cell r="Z764">
            <v>86585</v>
          </cell>
          <cell r="AA764">
            <v>0</v>
          </cell>
          <cell r="AB764">
            <v>86585</v>
          </cell>
        </row>
        <row r="765">
          <cell r="C765">
            <v>5</v>
          </cell>
          <cell r="D765" t="str">
            <v>jóváhagyott pénzmaradvány</v>
          </cell>
          <cell r="N765">
            <v>-730</v>
          </cell>
          <cell r="P765">
            <v>-730</v>
          </cell>
          <cell r="Q765">
            <v>34</v>
          </cell>
          <cell r="R765">
            <v>12</v>
          </cell>
          <cell r="S765">
            <v>-776</v>
          </cell>
          <cell r="Z765">
            <v>-730</v>
          </cell>
          <cell r="AA765">
            <v>0</v>
          </cell>
          <cell r="AB765">
            <v>-730</v>
          </cell>
        </row>
        <row r="766">
          <cell r="C766">
            <v>6</v>
          </cell>
          <cell r="D766" t="str">
            <v>pm.terhelő bef.kötelezettség</v>
          </cell>
          <cell r="N766">
            <v>2439</v>
          </cell>
          <cell r="P766">
            <v>2439</v>
          </cell>
          <cell r="S766">
            <v>2439</v>
          </cell>
          <cell r="Z766">
            <v>2439</v>
          </cell>
          <cell r="AA766">
            <v>0</v>
          </cell>
          <cell r="AB766">
            <v>2439</v>
          </cell>
        </row>
        <row r="767">
          <cell r="C767">
            <v>7</v>
          </cell>
          <cell r="D767" t="str">
            <v>tárgyévi eir.mód.korrekció</v>
          </cell>
          <cell r="I767">
            <v>92</v>
          </cell>
          <cell r="P767">
            <v>92</v>
          </cell>
          <cell r="S767">
            <v>92</v>
          </cell>
          <cell r="Z767">
            <v>92</v>
          </cell>
          <cell r="AA767">
            <v>0</v>
          </cell>
          <cell r="AB767">
            <v>92</v>
          </cell>
        </row>
        <row r="768">
          <cell r="D768" t="str">
            <v>shk.</v>
          </cell>
          <cell r="M768">
            <v>400</v>
          </cell>
          <cell r="P768">
            <v>400</v>
          </cell>
          <cell r="X768">
            <v>400</v>
          </cell>
          <cell r="Z768">
            <v>400</v>
          </cell>
          <cell r="AA768">
            <v>0</v>
          </cell>
          <cell r="AB768">
            <v>400</v>
          </cell>
        </row>
        <row r="769">
          <cell r="C769">
            <v>10</v>
          </cell>
          <cell r="D769" t="str">
            <v>ped.szakkönyv</v>
          </cell>
          <cell r="I769">
            <v>608</v>
          </cell>
          <cell r="P769">
            <v>608</v>
          </cell>
          <cell r="Q769">
            <v>608</v>
          </cell>
          <cell r="Z769">
            <v>608</v>
          </cell>
          <cell r="AA769">
            <v>0</v>
          </cell>
          <cell r="AB769">
            <v>608</v>
          </cell>
        </row>
        <row r="770">
          <cell r="C770">
            <v>12</v>
          </cell>
          <cell r="D770" t="str">
            <v>elvonás</v>
          </cell>
          <cell r="I770">
            <v>-64</v>
          </cell>
          <cell r="P770">
            <v>-64</v>
          </cell>
          <cell r="S770">
            <v>-64</v>
          </cell>
          <cell r="Z770">
            <v>-64</v>
          </cell>
          <cell r="AA770">
            <v>0</v>
          </cell>
          <cell r="AB770">
            <v>-64</v>
          </cell>
        </row>
        <row r="771">
          <cell r="C771">
            <v>13</v>
          </cell>
          <cell r="D771" t="str">
            <v>bérfejlesztés</v>
          </cell>
          <cell r="I771">
            <v>296</v>
          </cell>
          <cell r="P771">
            <v>296</v>
          </cell>
          <cell r="Q771">
            <v>217</v>
          </cell>
          <cell r="R771">
            <v>79</v>
          </cell>
          <cell r="Z771">
            <v>296</v>
          </cell>
          <cell r="AA771">
            <v>0</v>
          </cell>
          <cell r="AB771">
            <v>296</v>
          </cell>
        </row>
        <row r="772">
          <cell r="C772">
            <v>14</v>
          </cell>
          <cell r="D772" t="str">
            <v>4% bérfejlesztés</v>
          </cell>
          <cell r="I772">
            <v>-82</v>
          </cell>
          <cell r="P772">
            <v>-82</v>
          </cell>
          <cell r="Q772">
            <v>-60</v>
          </cell>
          <cell r="R772">
            <v>-22</v>
          </cell>
          <cell r="Z772">
            <v>-82</v>
          </cell>
          <cell r="AA772">
            <v>0</v>
          </cell>
          <cell r="AB772">
            <v>-82</v>
          </cell>
        </row>
        <row r="773">
          <cell r="P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P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P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P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P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P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B779" t="str">
            <v>Összesen</v>
          </cell>
          <cell r="D779" t="str">
            <v>Liszt Ferenc Zeneiskola</v>
          </cell>
          <cell r="E779">
            <v>2600</v>
          </cell>
          <cell r="F779">
            <v>0</v>
          </cell>
          <cell r="G779">
            <v>80</v>
          </cell>
          <cell r="H779">
            <v>0</v>
          </cell>
          <cell r="I779">
            <v>84755</v>
          </cell>
          <cell r="J779">
            <v>0</v>
          </cell>
          <cell r="K779">
            <v>0</v>
          </cell>
          <cell r="L779">
            <v>0</v>
          </cell>
          <cell r="M779">
            <v>400</v>
          </cell>
          <cell r="N779">
            <v>1709</v>
          </cell>
          <cell r="O779">
            <v>0</v>
          </cell>
          <cell r="P779">
            <v>89544</v>
          </cell>
          <cell r="Q779">
            <v>58420</v>
          </cell>
          <cell r="R779">
            <v>23551</v>
          </cell>
          <cell r="S779">
            <v>7173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400</v>
          </cell>
          <cell r="Y779">
            <v>0</v>
          </cell>
          <cell r="Z779">
            <v>89544</v>
          </cell>
          <cell r="AA779">
            <v>0</v>
          </cell>
          <cell r="AB779">
            <v>89544</v>
          </cell>
        </row>
        <row r="780">
          <cell r="A780">
            <v>1419</v>
          </cell>
          <cell r="B780" t="str">
            <v>Nevelési Tanácsadó</v>
          </cell>
          <cell r="C780">
            <v>1</v>
          </cell>
          <cell r="D780" t="str">
            <v>00előirányzat</v>
          </cell>
          <cell r="I780">
            <v>18046</v>
          </cell>
          <cell r="P780">
            <v>18046</v>
          </cell>
          <cell r="Q780">
            <v>11931</v>
          </cell>
          <cell r="R780">
            <v>4839</v>
          </cell>
          <cell r="S780">
            <v>1276</v>
          </cell>
          <cell r="Z780">
            <v>18046</v>
          </cell>
          <cell r="AA780">
            <v>0</v>
          </cell>
          <cell r="AB780">
            <v>18046</v>
          </cell>
        </row>
        <row r="781">
          <cell r="C781">
            <v>5</v>
          </cell>
          <cell r="D781" t="str">
            <v>jóváhagyott pénzmaradvány</v>
          </cell>
          <cell r="N781">
            <v>1261</v>
          </cell>
          <cell r="P781">
            <v>1261</v>
          </cell>
          <cell r="Q781">
            <v>421</v>
          </cell>
          <cell r="R781">
            <v>153</v>
          </cell>
          <cell r="Y781">
            <v>687</v>
          </cell>
          <cell r="Z781">
            <v>1261</v>
          </cell>
          <cell r="AA781">
            <v>0</v>
          </cell>
          <cell r="AB781">
            <v>1261</v>
          </cell>
        </row>
        <row r="782">
          <cell r="C782">
            <v>6</v>
          </cell>
          <cell r="D782" t="str">
            <v>pm.terhelő bef.kötelezettség</v>
          </cell>
          <cell r="N782">
            <v>271</v>
          </cell>
          <cell r="P782">
            <v>271</v>
          </cell>
          <cell r="S782">
            <v>271</v>
          </cell>
          <cell r="Z782">
            <v>271</v>
          </cell>
          <cell r="AA782">
            <v>0</v>
          </cell>
          <cell r="AB782">
            <v>271</v>
          </cell>
        </row>
        <row r="783">
          <cell r="C783">
            <v>10</v>
          </cell>
          <cell r="D783" t="str">
            <v>ped.szakkönyv</v>
          </cell>
          <cell r="I783">
            <v>101</v>
          </cell>
          <cell r="P783">
            <v>101</v>
          </cell>
          <cell r="Q783">
            <v>101</v>
          </cell>
          <cell r="Z783">
            <v>101</v>
          </cell>
          <cell r="AA783">
            <v>0</v>
          </cell>
          <cell r="AB783">
            <v>101</v>
          </cell>
        </row>
        <row r="784">
          <cell r="C784">
            <v>12</v>
          </cell>
          <cell r="D784" t="str">
            <v>elvonás</v>
          </cell>
          <cell r="I784">
            <v>-13</v>
          </cell>
          <cell r="P784">
            <v>-13</v>
          </cell>
          <cell r="S784">
            <v>-13</v>
          </cell>
          <cell r="Z784">
            <v>-13</v>
          </cell>
          <cell r="AA784">
            <v>0</v>
          </cell>
          <cell r="AB784">
            <v>-13</v>
          </cell>
        </row>
        <row r="785">
          <cell r="C785">
            <v>13</v>
          </cell>
          <cell r="D785" t="str">
            <v>bérfejlesztés</v>
          </cell>
          <cell r="I785">
            <v>137</v>
          </cell>
          <cell r="P785">
            <v>137</v>
          </cell>
          <cell r="Q785">
            <v>101</v>
          </cell>
          <cell r="R785">
            <v>36</v>
          </cell>
          <cell r="Z785">
            <v>137</v>
          </cell>
          <cell r="AA785">
            <v>0</v>
          </cell>
          <cell r="AB785">
            <v>137</v>
          </cell>
        </row>
        <row r="786">
          <cell r="C786">
            <v>14</v>
          </cell>
          <cell r="D786" t="str">
            <v>4% bérfejlesztés</v>
          </cell>
          <cell r="I786">
            <v>-38</v>
          </cell>
          <cell r="P786">
            <v>-38</v>
          </cell>
          <cell r="Q786">
            <v>-28</v>
          </cell>
          <cell r="R786">
            <v>-10</v>
          </cell>
          <cell r="Z786">
            <v>-38</v>
          </cell>
          <cell r="AA786">
            <v>0</v>
          </cell>
          <cell r="AB786">
            <v>-38</v>
          </cell>
        </row>
        <row r="787">
          <cell r="P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P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P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P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P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P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P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B794" t="str">
            <v>Összesen</v>
          </cell>
          <cell r="D794" t="str">
            <v>Nevelési Tanácsadó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18233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1532</v>
          </cell>
          <cell r="O794">
            <v>0</v>
          </cell>
          <cell r="P794">
            <v>19765</v>
          </cell>
          <cell r="Q794">
            <v>12526</v>
          </cell>
          <cell r="R794">
            <v>5018</v>
          </cell>
          <cell r="S794">
            <v>1534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687</v>
          </cell>
          <cell r="Z794">
            <v>19765</v>
          </cell>
          <cell r="AA794">
            <v>0</v>
          </cell>
          <cell r="AB794">
            <v>19765</v>
          </cell>
        </row>
        <row r="795">
          <cell r="B795" t="str">
            <v>Általános Isk.Egys.Összesen</v>
          </cell>
          <cell r="E795">
            <v>255026</v>
          </cell>
          <cell r="F795">
            <v>0</v>
          </cell>
          <cell r="G795">
            <v>89675</v>
          </cell>
          <cell r="H795">
            <v>0</v>
          </cell>
          <cell r="I795">
            <v>2773264</v>
          </cell>
          <cell r="J795">
            <v>0</v>
          </cell>
          <cell r="K795">
            <v>0</v>
          </cell>
          <cell r="L795">
            <v>0</v>
          </cell>
          <cell r="M795">
            <v>400</v>
          </cell>
          <cell r="N795">
            <v>61171</v>
          </cell>
          <cell r="O795">
            <v>0</v>
          </cell>
          <cell r="P795">
            <v>3179536</v>
          </cell>
          <cell r="Q795">
            <v>1616451</v>
          </cell>
          <cell r="R795">
            <v>662917</v>
          </cell>
          <cell r="S795">
            <v>874884</v>
          </cell>
          <cell r="T795">
            <v>0</v>
          </cell>
          <cell r="U795">
            <v>0</v>
          </cell>
          <cell r="V795">
            <v>0</v>
          </cell>
          <cell r="W795">
            <v>14782</v>
          </cell>
          <cell r="X795">
            <v>564</v>
          </cell>
          <cell r="Y795">
            <v>9938</v>
          </cell>
          <cell r="Z795">
            <v>3179536</v>
          </cell>
          <cell r="AA795">
            <v>0</v>
          </cell>
          <cell r="AB795">
            <v>3179536</v>
          </cell>
        </row>
        <row r="796">
          <cell r="A796">
            <v>14</v>
          </cell>
          <cell r="B796" t="str">
            <v>Testnev.Ált.Isk.és Közg.G.</v>
          </cell>
          <cell r="C796">
            <v>1</v>
          </cell>
          <cell r="D796" t="str">
            <v>00előirányzat</v>
          </cell>
          <cell r="E796">
            <v>14652</v>
          </cell>
          <cell r="G796">
            <v>9400</v>
          </cell>
          <cell r="I796">
            <v>173537</v>
          </cell>
          <cell r="P796">
            <v>197589</v>
          </cell>
          <cell r="Q796">
            <v>106258</v>
          </cell>
          <cell r="R796">
            <v>43203</v>
          </cell>
          <cell r="S796">
            <v>47356</v>
          </cell>
          <cell r="W796">
            <v>772</v>
          </cell>
          <cell r="Z796">
            <v>197589</v>
          </cell>
          <cell r="AA796">
            <v>0</v>
          </cell>
          <cell r="AB796">
            <v>197589</v>
          </cell>
        </row>
        <row r="797">
          <cell r="C797">
            <v>2</v>
          </cell>
          <cell r="D797" t="str">
            <v>jóváhagyott pénzmaradvány</v>
          </cell>
          <cell r="N797">
            <v>11090</v>
          </cell>
          <cell r="P797">
            <v>11090</v>
          </cell>
          <cell r="Q797">
            <v>498</v>
          </cell>
          <cell r="R797">
            <v>18</v>
          </cell>
          <cell r="Y797">
            <v>10574</v>
          </cell>
          <cell r="Z797">
            <v>11090</v>
          </cell>
          <cell r="AA797">
            <v>0</v>
          </cell>
          <cell r="AB797">
            <v>11090</v>
          </cell>
        </row>
        <row r="798">
          <cell r="C798">
            <v>3</v>
          </cell>
          <cell r="D798" t="str">
            <v>pm.terhelő bef.kötelezettség</v>
          </cell>
          <cell r="N798">
            <v>901</v>
          </cell>
          <cell r="P798">
            <v>901</v>
          </cell>
          <cell r="S798">
            <v>901</v>
          </cell>
          <cell r="Z798">
            <v>901</v>
          </cell>
          <cell r="AA798">
            <v>0</v>
          </cell>
          <cell r="AB798">
            <v>901</v>
          </cell>
        </row>
        <row r="799">
          <cell r="D799" t="str">
            <v>képviselői keret</v>
          </cell>
          <cell r="I799">
            <v>150</v>
          </cell>
          <cell r="P799">
            <v>150</v>
          </cell>
          <cell r="S799">
            <v>150</v>
          </cell>
          <cell r="Z799">
            <v>150</v>
          </cell>
          <cell r="AA799">
            <v>0</v>
          </cell>
          <cell r="AB799">
            <v>150</v>
          </cell>
        </row>
        <row r="800">
          <cell r="D800" t="str">
            <v>shk.</v>
          </cell>
          <cell r="G800">
            <v>224</v>
          </cell>
          <cell r="J800">
            <v>3430</v>
          </cell>
          <cell r="M800">
            <v>2250</v>
          </cell>
          <cell r="P800">
            <v>5904</v>
          </cell>
          <cell r="Q800">
            <v>160</v>
          </cell>
          <cell r="R800">
            <v>52</v>
          </cell>
          <cell r="S800">
            <v>3442</v>
          </cell>
          <cell r="X800">
            <v>2250</v>
          </cell>
          <cell r="Z800">
            <v>5904</v>
          </cell>
          <cell r="AA800">
            <v>0</v>
          </cell>
          <cell r="AB800">
            <v>5904</v>
          </cell>
        </row>
        <row r="801">
          <cell r="C801">
            <v>9</v>
          </cell>
          <cell r="D801" t="str">
            <v>ped.szakkönyv</v>
          </cell>
          <cell r="I801">
            <v>1237</v>
          </cell>
          <cell r="P801">
            <v>1237</v>
          </cell>
          <cell r="Q801">
            <v>1237</v>
          </cell>
          <cell r="Z801">
            <v>1237</v>
          </cell>
          <cell r="AA801">
            <v>0</v>
          </cell>
          <cell r="AB801">
            <v>1237</v>
          </cell>
        </row>
        <row r="802">
          <cell r="C802">
            <v>12</v>
          </cell>
          <cell r="D802" t="str">
            <v>elvonás</v>
          </cell>
          <cell r="I802">
            <v>-399</v>
          </cell>
          <cell r="P802">
            <v>-399</v>
          </cell>
          <cell r="S802">
            <v>-399</v>
          </cell>
          <cell r="Z802">
            <v>-399</v>
          </cell>
          <cell r="AA802">
            <v>0</v>
          </cell>
          <cell r="AB802">
            <v>-399</v>
          </cell>
        </row>
        <row r="803">
          <cell r="C803">
            <v>13</v>
          </cell>
          <cell r="D803" t="str">
            <v>bérfejlesztés</v>
          </cell>
          <cell r="I803">
            <v>1158</v>
          </cell>
          <cell r="P803">
            <v>1158</v>
          </cell>
          <cell r="Q803">
            <v>851</v>
          </cell>
          <cell r="R803">
            <v>307</v>
          </cell>
          <cell r="Z803">
            <v>1158</v>
          </cell>
          <cell r="AA803">
            <v>0</v>
          </cell>
          <cell r="AB803">
            <v>1158</v>
          </cell>
        </row>
        <row r="804">
          <cell r="C804">
            <v>14</v>
          </cell>
          <cell r="D804" t="str">
            <v>4% bérfejlesztés</v>
          </cell>
          <cell r="I804">
            <v>-320</v>
          </cell>
          <cell r="P804">
            <v>-320</v>
          </cell>
          <cell r="Q804">
            <v>-235</v>
          </cell>
          <cell r="R804">
            <v>-85</v>
          </cell>
          <cell r="Z804">
            <v>-320</v>
          </cell>
          <cell r="AA804">
            <v>0</v>
          </cell>
          <cell r="AB804">
            <v>-320</v>
          </cell>
        </row>
        <row r="805">
          <cell r="P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P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P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P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P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P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P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P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P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P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P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P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P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P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P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P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P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P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P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 t="str">
            <v xml:space="preserve"> </v>
          </cell>
          <cell r="B824" t="str">
            <v>Összesen</v>
          </cell>
          <cell r="D824" t="str">
            <v>Testnev.Ált.Isk.és Közg.G.</v>
          </cell>
          <cell r="E824">
            <v>14652</v>
          </cell>
          <cell r="F824">
            <v>0</v>
          </cell>
          <cell r="G824">
            <v>9624</v>
          </cell>
          <cell r="H824">
            <v>0</v>
          </cell>
          <cell r="I824">
            <v>175363</v>
          </cell>
          <cell r="J824">
            <v>3430</v>
          </cell>
          <cell r="K824">
            <v>0</v>
          </cell>
          <cell r="L824">
            <v>0</v>
          </cell>
          <cell r="M824">
            <v>2250</v>
          </cell>
          <cell r="N824">
            <v>11991</v>
          </cell>
          <cell r="O824">
            <v>0</v>
          </cell>
          <cell r="P824">
            <v>217310</v>
          </cell>
          <cell r="Q824">
            <v>108769</v>
          </cell>
          <cell r="R824">
            <v>43495</v>
          </cell>
          <cell r="S824">
            <v>51450</v>
          </cell>
          <cell r="T824">
            <v>0</v>
          </cell>
          <cell r="U824">
            <v>0</v>
          </cell>
          <cell r="V824">
            <v>0</v>
          </cell>
          <cell r="W824">
            <v>772</v>
          </cell>
          <cell r="X824">
            <v>2250</v>
          </cell>
          <cell r="Y824">
            <v>10574</v>
          </cell>
          <cell r="Z824">
            <v>217310</v>
          </cell>
          <cell r="AA824">
            <v>0</v>
          </cell>
          <cell r="AB824">
            <v>217310</v>
          </cell>
        </row>
        <row r="825">
          <cell r="A825">
            <v>15</v>
          </cell>
          <cell r="B825" t="str">
            <v>Árpád F.Gimn.és Ált.Isk.</v>
          </cell>
          <cell r="C825">
            <v>1</v>
          </cell>
          <cell r="D825" t="str">
            <v>00előirányzat</v>
          </cell>
          <cell r="E825">
            <v>12416</v>
          </cell>
          <cell r="G825">
            <v>3757</v>
          </cell>
          <cell r="I825">
            <v>136706</v>
          </cell>
          <cell r="P825">
            <v>152879</v>
          </cell>
          <cell r="Q825">
            <v>82355</v>
          </cell>
          <cell r="R825">
            <v>36900</v>
          </cell>
          <cell r="S825">
            <v>32966</v>
          </cell>
          <cell r="W825">
            <v>658</v>
          </cell>
          <cell r="Z825">
            <v>152879</v>
          </cell>
          <cell r="AA825">
            <v>0</v>
          </cell>
          <cell r="AB825">
            <v>152879</v>
          </cell>
        </row>
        <row r="826">
          <cell r="C826">
            <v>2</v>
          </cell>
          <cell r="D826" t="str">
            <v>jóváhagyott pénzmaradvány</v>
          </cell>
          <cell r="N826">
            <v>368</v>
          </cell>
          <cell r="P826">
            <v>368</v>
          </cell>
          <cell r="Q826">
            <v>271</v>
          </cell>
          <cell r="R826">
            <v>97</v>
          </cell>
          <cell r="Z826">
            <v>368</v>
          </cell>
          <cell r="AA826">
            <v>0</v>
          </cell>
          <cell r="AB826">
            <v>368</v>
          </cell>
        </row>
        <row r="827">
          <cell r="C827">
            <v>3</v>
          </cell>
          <cell r="D827" t="str">
            <v>pm.terhelő bef.kötelezettség</v>
          </cell>
          <cell r="N827">
            <v>236</v>
          </cell>
          <cell r="P827">
            <v>236</v>
          </cell>
          <cell r="S827">
            <v>236</v>
          </cell>
          <cell r="Z827">
            <v>236</v>
          </cell>
          <cell r="AA827">
            <v>0</v>
          </cell>
          <cell r="AB827">
            <v>236</v>
          </cell>
        </row>
        <row r="828">
          <cell r="D828" t="str">
            <v>sh.</v>
          </cell>
          <cell r="J828">
            <v>607</v>
          </cell>
          <cell r="P828">
            <v>607</v>
          </cell>
          <cell r="S828">
            <v>499</v>
          </cell>
          <cell r="X828">
            <v>108</v>
          </cell>
          <cell r="Z828">
            <v>607</v>
          </cell>
          <cell r="AA828">
            <v>0</v>
          </cell>
          <cell r="AB828">
            <v>607</v>
          </cell>
        </row>
        <row r="829">
          <cell r="C829">
            <v>9</v>
          </cell>
          <cell r="D829" t="str">
            <v>ped.szakkönyv</v>
          </cell>
          <cell r="I829">
            <v>754</v>
          </cell>
          <cell r="P829">
            <v>754</v>
          </cell>
          <cell r="Q829">
            <v>754</v>
          </cell>
          <cell r="Z829">
            <v>754</v>
          </cell>
          <cell r="AA829">
            <v>0</v>
          </cell>
          <cell r="AB829">
            <v>754</v>
          </cell>
        </row>
        <row r="830">
          <cell r="C830">
            <v>12</v>
          </cell>
          <cell r="D830" t="str">
            <v>elvonás</v>
          </cell>
          <cell r="I830">
            <v>-575</v>
          </cell>
          <cell r="P830">
            <v>-575</v>
          </cell>
          <cell r="S830">
            <v>-575</v>
          </cell>
          <cell r="Z830">
            <v>-575</v>
          </cell>
          <cell r="AA830">
            <v>0</v>
          </cell>
          <cell r="AB830">
            <v>-575</v>
          </cell>
        </row>
        <row r="831">
          <cell r="C831">
            <v>13</v>
          </cell>
          <cell r="D831" t="str">
            <v>bérfejlesztés</v>
          </cell>
          <cell r="I831">
            <v>1121</v>
          </cell>
          <cell r="P831">
            <v>1121</v>
          </cell>
          <cell r="Q831">
            <v>824</v>
          </cell>
          <cell r="R831">
            <v>297</v>
          </cell>
          <cell r="Z831">
            <v>1121</v>
          </cell>
          <cell r="AA831">
            <v>0</v>
          </cell>
          <cell r="AB831">
            <v>1121</v>
          </cell>
        </row>
        <row r="832">
          <cell r="C832">
            <v>14</v>
          </cell>
          <cell r="D832" t="str">
            <v>4% bérfejlesztés</v>
          </cell>
          <cell r="I832">
            <v>-310</v>
          </cell>
          <cell r="P832">
            <v>-310</v>
          </cell>
          <cell r="Q832">
            <v>-228</v>
          </cell>
          <cell r="R832">
            <v>-82</v>
          </cell>
          <cell r="Z832">
            <v>-310</v>
          </cell>
          <cell r="AA832">
            <v>0</v>
          </cell>
          <cell r="AB832">
            <v>-310</v>
          </cell>
        </row>
        <row r="833">
          <cell r="P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P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P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P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P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P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P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P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P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P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P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P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P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P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B847" t="str">
            <v>Összesen</v>
          </cell>
          <cell r="D847" t="str">
            <v>Árpád F.Gimn.és Ált.Isk.</v>
          </cell>
          <cell r="E847">
            <v>12416</v>
          </cell>
          <cell r="F847">
            <v>0</v>
          </cell>
          <cell r="G847">
            <v>3757</v>
          </cell>
          <cell r="H847">
            <v>0</v>
          </cell>
          <cell r="I847">
            <v>137696</v>
          </cell>
          <cell r="J847">
            <v>607</v>
          </cell>
          <cell r="K847">
            <v>0</v>
          </cell>
          <cell r="L847">
            <v>0</v>
          </cell>
          <cell r="M847">
            <v>0</v>
          </cell>
          <cell r="N847">
            <v>604</v>
          </cell>
          <cell r="O847">
            <v>0</v>
          </cell>
          <cell r="P847">
            <v>155080</v>
          </cell>
          <cell r="Q847">
            <v>83976</v>
          </cell>
          <cell r="R847">
            <v>37212</v>
          </cell>
          <cell r="S847">
            <v>33126</v>
          </cell>
          <cell r="T847">
            <v>0</v>
          </cell>
          <cell r="U847">
            <v>0</v>
          </cell>
          <cell r="V847">
            <v>0</v>
          </cell>
          <cell r="W847">
            <v>658</v>
          </cell>
          <cell r="X847">
            <v>108</v>
          </cell>
          <cell r="Y847">
            <v>0</v>
          </cell>
          <cell r="Z847">
            <v>155080</v>
          </cell>
          <cell r="AA847">
            <v>0</v>
          </cell>
          <cell r="AB847">
            <v>155080</v>
          </cell>
        </row>
        <row r="848">
          <cell r="A848">
            <v>16</v>
          </cell>
          <cell r="B848" t="str">
            <v>Magyar Német Ny.Isk.Közp.</v>
          </cell>
          <cell r="C848">
            <v>1</v>
          </cell>
          <cell r="D848" t="str">
            <v>00előirányzat</v>
          </cell>
          <cell r="E848">
            <v>9826</v>
          </cell>
          <cell r="G848">
            <v>5809</v>
          </cell>
          <cell r="I848">
            <v>127393</v>
          </cell>
          <cell r="P848">
            <v>143028</v>
          </cell>
          <cell r="Q848">
            <v>77830</v>
          </cell>
          <cell r="R848">
            <v>30584</v>
          </cell>
          <cell r="S848">
            <v>34174</v>
          </cell>
          <cell r="W848">
            <v>440</v>
          </cell>
          <cell r="Z848">
            <v>143028</v>
          </cell>
          <cell r="AA848">
            <v>0</v>
          </cell>
          <cell r="AB848">
            <v>143028</v>
          </cell>
        </row>
        <row r="849">
          <cell r="C849">
            <v>2</v>
          </cell>
          <cell r="D849" t="str">
            <v>jóváhagyott pénzmaradvány</v>
          </cell>
          <cell r="N849">
            <v>1874</v>
          </cell>
          <cell r="P849">
            <v>1874</v>
          </cell>
          <cell r="Q849">
            <v>775</v>
          </cell>
          <cell r="R849">
            <v>207</v>
          </cell>
          <cell r="Y849">
            <v>892</v>
          </cell>
          <cell r="Z849">
            <v>1874</v>
          </cell>
          <cell r="AA849">
            <v>0</v>
          </cell>
          <cell r="AB849">
            <v>1874</v>
          </cell>
        </row>
        <row r="850">
          <cell r="C850">
            <v>4</v>
          </cell>
          <cell r="D850" t="str">
            <v>tárgyévi eir.mód.korrekció</v>
          </cell>
          <cell r="I850">
            <v>230</v>
          </cell>
          <cell r="P850">
            <v>230</v>
          </cell>
          <cell r="Y850">
            <v>230</v>
          </cell>
          <cell r="Z850">
            <v>230</v>
          </cell>
          <cell r="AA850">
            <v>0</v>
          </cell>
          <cell r="AB850">
            <v>230</v>
          </cell>
        </row>
        <row r="851">
          <cell r="D851" t="str">
            <v>Német Kisebbségi Önkormányzat</v>
          </cell>
          <cell r="I851">
            <v>60</v>
          </cell>
          <cell r="P851">
            <v>60</v>
          </cell>
          <cell r="S851">
            <v>60</v>
          </cell>
          <cell r="Z851">
            <v>60</v>
          </cell>
          <cell r="AA851">
            <v>0</v>
          </cell>
          <cell r="AB851">
            <v>60</v>
          </cell>
        </row>
        <row r="852">
          <cell r="C852">
            <v>9</v>
          </cell>
          <cell r="D852" t="str">
            <v>ped.szakkönyv</v>
          </cell>
          <cell r="I852">
            <v>675</v>
          </cell>
          <cell r="P852">
            <v>675</v>
          </cell>
          <cell r="Q852">
            <v>675</v>
          </cell>
          <cell r="Z852">
            <v>675</v>
          </cell>
          <cell r="AA852">
            <v>0</v>
          </cell>
          <cell r="AB852">
            <v>675</v>
          </cell>
        </row>
        <row r="853">
          <cell r="C853">
            <v>12</v>
          </cell>
          <cell r="D853" t="str">
            <v>elvonás</v>
          </cell>
          <cell r="I853">
            <v>-323</v>
          </cell>
          <cell r="P853">
            <v>-323</v>
          </cell>
          <cell r="S853">
            <v>-323</v>
          </cell>
          <cell r="Z853">
            <v>-323</v>
          </cell>
          <cell r="AA853">
            <v>0</v>
          </cell>
          <cell r="AB853">
            <v>-323</v>
          </cell>
        </row>
        <row r="854">
          <cell r="C854">
            <v>13</v>
          </cell>
          <cell r="D854" t="str">
            <v>bérfejlesztés</v>
          </cell>
          <cell r="I854">
            <v>579</v>
          </cell>
          <cell r="P854">
            <v>579</v>
          </cell>
          <cell r="Q854">
            <v>426</v>
          </cell>
          <cell r="R854">
            <v>153</v>
          </cell>
          <cell r="Z854">
            <v>579</v>
          </cell>
          <cell r="AA854">
            <v>0</v>
          </cell>
          <cell r="AB854">
            <v>579</v>
          </cell>
        </row>
        <row r="855">
          <cell r="C855">
            <v>14</v>
          </cell>
          <cell r="D855" t="str">
            <v>4% bérfejlesztés</v>
          </cell>
          <cell r="I855">
            <v>-160</v>
          </cell>
          <cell r="P855">
            <v>-160</v>
          </cell>
          <cell r="Q855">
            <v>-118</v>
          </cell>
          <cell r="R855">
            <v>-42</v>
          </cell>
          <cell r="Z855">
            <v>-160</v>
          </cell>
          <cell r="AA855">
            <v>0</v>
          </cell>
          <cell r="AB855">
            <v>-160</v>
          </cell>
        </row>
        <row r="856">
          <cell r="P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P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P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P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P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P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P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P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P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P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P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P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P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P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B870" t="str">
            <v>Összesen</v>
          </cell>
          <cell r="D870" t="str">
            <v>Magyar Német Ny.Isk.Közp.</v>
          </cell>
          <cell r="E870">
            <v>9826</v>
          </cell>
          <cell r="F870">
            <v>0</v>
          </cell>
          <cell r="G870">
            <v>5809</v>
          </cell>
          <cell r="H870">
            <v>0</v>
          </cell>
          <cell r="I870">
            <v>128454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1874</v>
          </cell>
          <cell r="O870">
            <v>0</v>
          </cell>
          <cell r="P870">
            <v>145963</v>
          </cell>
          <cell r="Q870">
            <v>79588</v>
          </cell>
          <cell r="R870">
            <v>30902</v>
          </cell>
          <cell r="S870">
            <v>33911</v>
          </cell>
          <cell r="T870">
            <v>0</v>
          </cell>
          <cell r="U870">
            <v>0</v>
          </cell>
          <cell r="V870">
            <v>0</v>
          </cell>
          <cell r="W870">
            <v>440</v>
          </cell>
          <cell r="X870">
            <v>0</v>
          </cell>
          <cell r="Y870">
            <v>1122</v>
          </cell>
          <cell r="Z870">
            <v>145963</v>
          </cell>
          <cell r="AA870">
            <v>0</v>
          </cell>
          <cell r="AB870">
            <v>145963</v>
          </cell>
        </row>
        <row r="871">
          <cell r="A871">
            <v>17</v>
          </cell>
          <cell r="B871" t="str">
            <v>Apáczai Cs.J.Nevelési Kp.</v>
          </cell>
          <cell r="C871">
            <v>1</v>
          </cell>
          <cell r="D871" t="str">
            <v>00előirányzat</v>
          </cell>
          <cell r="E871">
            <v>46817</v>
          </cell>
          <cell r="G871">
            <v>56398</v>
          </cell>
          <cell r="I871">
            <v>767981</v>
          </cell>
          <cell r="P871">
            <v>871196</v>
          </cell>
          <cell r="Q871">
            <v>454085</v>
          </cell>
          <cell r="R871">
            <v>191962</v>
          </cell>
          <cell r="S871">
            <v>220352</v>
          </cell>
          <cell r="W871">
            <v>3597</v>
          </cell>
          <cell r="Y871">
            <v>1200</v>
          </cell>
          <cell r="Z871">
            <v>871196</v>
          </cell>
          <cell r="AA871">
            <v>0</v>
          </cell>
          <cell r="AB871">
            <v>871196</v>
          </cell>
        </row>
        <row r="872">
          <cell r="C872">
            <v>2</v>
          </cell>
          <cell r="D872" t="str">
            <v>jóváhagyott pénzmaradvány</v>
          </cell>
          <cell r="N872">
            <v>16786</v>
          </cell>
          <cell r="P872">
            <v>16786</v>
          </cell>
          <cell r="Q872">
            <v>5834</v>
          </cell>
          <cell r="R872">
            <v>2088</v>
          </cell>
          <cell r="Y872">
            <v>8864</v>
          </cell>
          <cell r="Z872">
            <v>16786</v>
          </cell>
          <cell r="AA872">
            <v>0</v>
          </cell>
          <cell r="AB872">
            <v>16786</v>
          </cell>
        </row>
        <row r="873">
          <cell r="C873">
            <v>3</v>
          </cell>
          <cell r="D873" t="str">
            <v>pm.terhelő bef.kötelezettség</v>
          </cell>
          <cell r="N873">
            <v>2765</v>
          </cell>
          <cell r="P873">
            <v>2765</v>
          </cell>
          <cell r="S873">
            <v>2765</v>
          </cell>
          <cell r="Z873">
            <v>2765</v>
          </cell>
          <cell r="AA873">
            <v>0</v>
          </cell>
          <cell r="AB873">
            <v>2765</v>
          </cell>
        </row>
        <row r="874">
          <cell r="D874" t="str">
            <v>shk.</v>
          </cell>
          <cell r="G874">
            <v>5976</v>
          </cell>
          <cell r="J874">
            <v>941</v>
          </cell>
          <cell r="P874">
            <v>6917</v>
          </cell>
          <cell r="S874">
            <v>5849</v>
          </cell>
          <cell r="X874">
            <v>1068</v>
          </cell>
          <cell r="Z874">
            <v>6917</v>
          </cell>
          <cell r="AA874">
            <v>0</v>
          </cell>
          <cell r="AB874">
            <v>6917</v>
          </cell>
        </row>
        <row r="875">
          <cell r="D875" t="str">
            <v>shk.p.maradvány</v>
          </cell>
          <cell r="P875">
            <v>0</v>
          </cell>
          <cell r="S875">
            <v>613</v>
          </cell>
          <cell r="W875">
            <v>4</v>
          </cell>
          <cell r="X875">
            <v>897</v>
          </cell>
          <cell r="Y875">
            <v>-1514</v>
          </cell>
          <cell r="Z875">
            <v>0</v>
          </cell>
          <cell r="AA875">
            <v>0</v>
          </cell>
          <cell r="AB875">
            <v>0</v>
          </cell>
        </row>
        <row r="876">
          <cell r="D876" t="str">
            <v>mód.</v>
          </cell>
          <cell r="P876">
            <v>0</v>
          </cell>
          <cell r="S876">
            <v>2648</v>
          </cell>
          <cell r="W876">
            <v>1</v>
          </cell>
          <cell r="X876">
            <v>1072</v>
          </cell>
          <cell r="Y876">
            <v>-3721</v>
          </cell>
          <cell r="Z876">
            <v>0</v>
          </cell>
          <cell r="AA876">
            <v>0</v>
          </cell>
          <cell r="AB876">
            <v>0</v>
          </cell>
        </row>
        <row r="877">
          <cell r="D877" t="str">
            <v>mód.</v>
          </cell>
          <cell r="G877">
            <v>5215</v>
          </cell>
          <cell r="J877">
            <v>1085</v>
          </cell>
          <cell r="P877">
            <v>6300</v>
          </cell>
          <cell r="Q877">
            <v>-796</v>
          </cell>
          <cell r="S877">
            <v>5822</v>
          </cell>
          <cell r="X877">
            <v>1274</v>
          </cell>
          <cell r="Z877">
            <v>6300</v>
          </cell>
          <cell r="AA877">
            <v>0</v>
          </cell>
          <cell r="AB877">
            <v>6300</v>
          </cell>
        </row>
        <row r="878">
          <cell r="D878" t="str">
            <v>képviselői keret</v>
          </cell>
          <cell r="I878">
            <v>50</v>
          </cell>
          <cell r="P878">
            <v>50</v>
          </cell>
          <cell r="S878">
            <v>50</v>
          </cell>
          <cell r="Z878">
            <v>50</v>
          </cell>
          <cell r="AA878">
            <v>0</v>
          </cell>
          <cell r="AB878">
            <v>50</v>
          </cell>
        </row>
        <row r="879">
          <cell r="C879">
            <v>9</v>
          </cell>
          <cell r="D879" t="str">
            <v>ped.szakkönyv</v>
          </cell>
          <cell r="I879">
            <v>3330</v>
          </cell>
          <cell r="P879">
            <v>3330</v>
          </cell>
          <cell r="Q879">
            <v>3330</v>
          </cell>
          <cell r="Z879">
            <v>3330</v>
          </cell>
          <cell r="AA879">
            <v>0</v>
          </cell>
          <cell r="AB879">
            <v>3330</v>
          </cell>
        </row>
        <row r="880">
          <cell r="C880">
            <v>12</v>
          </cell>
          <cell r="D880" t="str">
            <v>elvonás</v>
          </cell>
          <cell r="I880">
            <v>-3850</v>
          </cell>
          <cell r="P880">
            <v>-3850</v>
          </cell>
          <cell r="S880">
            <v>-3850</v>
          </cell>
          <cell r="Z880">
            <v>-3850</v>
          </cell>
          <cell r="AA880">
            <v>0</v>
          </cell>
          <cell r="AB880">
            <v>-3850</v>
          </cell>
        </row>
        <row r="881">
          <cell r="C881">
            <v>13</v>
          </cell>
          <cell r="D881" t="str">
            <v>bérfejlesztés</v>
          </cell>
          <cell r="I881">
            <v>11925</v>
          </cell>
          <cell r="P881">
            <v>11925</v>
          </cell>
          <cell r="Q881">
            <v>8768</v>
          </cell>
          <cell r="R881">
            <v>3157</v>
          </cell>
          <cell r="Z881">
            <v>11925</v>
          </cell>
          <cell r="AA881">
            <v>0</v>
          </cell>
          <cell r="AB881">
            <v>11925</v>
          </cell>
        </row>
        <row r="882">
          <cell r="C882">
            <v>14</v>
          </cell>
          <cell r="D882" t="str">
            <v>4% bérfejlesztés</v>
          </cell>
          <cell r="I882">
            <v>-2987</v>
          </cell>
          <cell r="P882">
            <v>-2987</v>
          </cell>
          <cell r="Q882">
            <v>-2196</v>
          </cell>
          <cell r="R882">
            <v>-791</v>
          </cell>
          <cell r="Z882">
            <v>-2987</v>
          </cell>
          <cell r="AA882">
            <v>0</v>
          </cell>
          <cell r="AB882">
            <v>-2987</v>
          </cell>
        </row>
        <row r="883">
          <cell r="P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P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P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P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P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P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P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P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P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P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P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P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P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P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P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P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P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P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P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P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P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B904" t="str">
            <v>Összesen</v>
          </cell>
          <cell r="D904" t="str">
            <v>Apáczai Cs.J.Nevelési Kp.</v>
          </cell>
          <cell r="E904">
            <v>46817</v>
          </cell>
          <cell r="F904">
            <v>0</v>
          </cell>
          <cell r="G904">
            <v>67589</v>
          </cell>
          <cell r="H904">
            <v>0</v>
          </cell>
          <cell r="I904">
            <v>776449</v>
          </cell>
          <cell r="J904">
            <v>2026</v>
          </cell>
          <cell r="K904">
            <v>0</v>
          </cell>
          <cell r="L904">
            <v>0</v>
          </cell>
          <cell r="M904">
            <v>0</v>
          </cell>
          <cell r="N904">
            <v>19551</v>
          </cell>
          <cell r="O904">
            <v>0</v>
          </cell>
          <cell r="P904">
            <v>912432</v>
          </cell>
          <cell r="Q904">
            <v>469025</v>
          </cell>
          <cell r="R904">
            <v>196416</v>
          </cell>
          <cell r="S904">
            <v>234249</v>
          </cell>
          <cell r="T904">
            <v>0</v>
          </cell>
          <cell r="U904">
            <v>0</v>
          </cell>
          <cell r="V904">
            <v>0</v>
          </cell>
          <cell r="W904">
            <v>3602</v>
          </cell>
          <cell r="X904">
            <v>4311</v>
          </cell>
          <cell r="Y904">
            <v>4829</v>
          </cell>
          <cell r="Z904">
            <v>912432</v>
          </cell>
          <cell r="AA904">
            <v>0</v>
          </cell>
          <cell r="AB904">
            <v>912432</v>
          </cell>
        </row>
        <row r="905">
          <cell r="B905" t="str">
            <v>Rácvárosi és Istenkuti Ált.Mkp.</v>
          </cell>
          <cell r="C905">
            <v>1</v>
          </cell>
          <cell r="D905" t="str">
            <v>00előirányzat</v>
          </cell>
          <cell r="E905">
            <v>4640</v>
          </cell>
          <cell r="G905">
            <v>1810</v>
          </cell>
          <cell r="I905">
            <v>87166</v>
          </cell>
          <cell r="P905">
            <v>93616</v>
          </cell>
          <cell r="Q905">
            <v>49115</v>
          </cell>
          <cell r="R905">
            <v>20355</v>
          </cell>
          <cell r="S905">
            <v>23137</v>
          </cell>
          <cell r="W905">
            <v>1009</v>
          </cell>
          <cell r="Z905">
            <v>93616</v>
          </cell>
          <cell r="AA905">
            <v>0</v>
          </cell>
          <cell r="AB905">
            <v>93616</v>
          </cell>
        </row>
        <row r="906">
          <cell r="C906">
            <v>2</v>
          </cell>
          <cell r="D906" t="str">
            <v>jóváhagyott pénzmaradvány</v>
          </cell>
          <cell r="N906">
            <v>4155</v>
          </cell>
          <cell r="P906">
            <v>4155</v>
          </cell>
          <cell r="Q906">
            <v>2626</v>
          </cell>
          <cell r="R906">
            <v>951</v>
          </cell>
          <cell r="Y906">
            <v>578</v>
          </cell>
          <cell r="Z906">
            <v>4155</v>
          </cell>
          <cell r="AA906">
            <v>0</v>
          </cell>
          <cell r="AB906">
            <v>4155</v>
          </cell>
        </row>
        <row r="907">
          <cell r="C907">
            <v>3</v>
          </cell>
          <cell r="D907" t="str">
            <v>pm.terhelő bef.kötelezettség</v>
          </cell>
          <cell r="N907">
            <v>2029</v>
          </cell>
          <cell r="P907">
            <v>2029</v>
          </cell>
          <cell r="S907">
            <v>2029</v>
          </cell>
          <cell r="Z907">
            <v>2029</v>
          </cell>
          <cell r="AA907">
            <v>0</v>
          </cell>
          <cell r="AB907">
            <v>2029</v>
          </cell>
        </row>
        <row r="908">
          <cell r="D908" t="str">
            <v>shk.</v>
          </cell>
          <cell r="P908">
            <v>0</v>
          </cell>
          <cell r="S908">
            <v>-507</v>
          </cell>
          <cell r="X908">
            <v>507</v>
          </cell>
          <cell r="Z908">
            <v>0</v>
          </cell>
          <cell r="AA908">
            <v>0</v>
          </cell>
          <cell r="AB908">
            <v>0</v>
          </cell>
        </row>
        <row r="909">
          <cell r="C909">
            <v>9</v>
          </cell>
          <cell r="D909" t="str">
            <v>ped.szakkönyv</v>
          </cell>
          <cell r="I909">
            <v>382</v>
          </cell>
          <cell r="P909">
            <v>382</v>
          </cell>
          <cell r="Q909">
            <v>382</v>
          </cell>
          <cell r="Z909">
            <v>382</v>
          </cell>
          <cell r="AA909">
            <v>0</v>
          </cell>
          <cell r="AB909">
            <v>382</v>
          </cell>
        </row>
        <row r="910">
          <cell r="C910">
            <v>12</v>
          </cell>
          <cell r="D910" t="str">
            <v>elvonás</v>
          </cell>
          <cell r="I910">
            <v>-378</v>
          </cell>
          <cell r="P910">
            <v>-378</v>
          </cell>
          <cell r="S910">
            <v>-378</v>
          </cell>
          <cell r="Z910">
            <v>-378</v>
          </cell>
          <cell r="AA910">
            <v>0</v>
          </cell>
          <cell r="AB910">
            <v>-378</v>
          </cell>
        </row>
        <row r="911">
          <cell r="C911">
            <v>13</v>
          </cell>
          <cell r="D911" t="str">
            <v>bérfejlesztés</v>
          </cell>
          <cell r="I911">
            <v>842</v>
          </cell>
          <cell r="P911">
            <v>842</v>
          </cell>
          <cell r="Q911">
            <v>619</v>
          </cell>
          <cell r="R911">
            <v>223</v>
          </cell>
          <cell r="Z911">
            <v>842</v>
          </cell>
          <cell r="AA911">
            <v>0</v>
          </cell>
          <cell r="AB911">
            <v>842</v>
          </cell>
        </row>
        <row r="912">
          <cell r="C912">
            <v>14</v>
          </cell>
          <cell r="D912" t="str">
            <v>4% bérfejlesztés</v>
          </cell>
          <cell r="I912">
            <v>-233</v>
          </cell>
          <cell r="P912">
            <v>-233</v>
          </cell>
          <cell r="Q912">
            <v>-171</v>
          </cell>
          <cell r="R912">
            <v>-62</v>
          </cell>
          <cell r="Z912">
            <v>-233</v>
          </cell>
          <cell r="AA912">
            <v>0</v>
          </cell>
          <cell r="AB912">
            <v>-233</v>
          </cell>
        </row>
        <row r="913">
          <cell r="P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P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P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P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P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P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P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P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P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P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P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P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P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P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P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P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P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P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P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P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P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P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P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P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P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P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P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P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P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P942">
            <v>0</v>
          </cell>
          <cell r="Z942">
            <v>0</v>
          </cell>
          <cell r="AA942">
            <v>0</v>
          </cell>
          <cell r="AB942">
            <v>0</v>
          </cell>
        </row>
        <row r="944">
          <cell r="P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B945" t="str">
            <v>Összesen</v>
          </cell>
          <cell r="D945" t="str">
            <v>Rácvárosi és Istenk. Ált.Mkp.</v>
          </cell>
          <cell r="E945">
            <v>4640</v>
          </cell>
          <cell r="F945">
            <v>0</v>
          </cell>
          <cell r="G945">
            <v>1810</v>
          </cell>
          <cell r="H945">
            <v>0</v>
          </cell>
          <cell r="I945">
            <v>87779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6184</v>
          </cell>
          <cell r="O945">
            <v>0</v>
          </cell>
          <cell r="P945">
            <v>100413</v>
          </cell>
          <cell r="Q945">
            <v>52571</v>
          </cell>
          <cell r="R945">
            <v>21467</v>
          </cell>
          <cell r="S945">
            <v>24281</v>
          </cell>
          <cell r="T945">
            <v>0</v>
          </cell>
          <cell r="U945">
            <v>0</v>
          </cell>
          <cell r="V945">
            <v>0</v>
          </cell>
          <cell r="W945">
            <v>1009</v>
          </cell>
          <cell r="X945">
            <v>507</v>
          </cell>
          <cell r="Y945">
            <v>578</v>
          </cell>
          <cell r="Z945">
            <v>100413</v>
          </cell>
          <cell r="AA945">
            <v>0</v>
          </cell>
          <cell r="AB945">
            <v>100413</v>
          </cell>
        </row>
        <row r="946">
          <cell r="A946">
            <v>19</v>
          </cell>
          <cell r="B946" t="str">
            <v>M.K.Horvát Ált.Isk.G.D.Otth.</v>
          </cell>
          <cell r="C946">
            <v>1</v>
          </cell>
          <cell r="D946" t="str">
            <v>00előirányzat</v>
          </cell>
          <cell r="E946">
            <v>6724</v>
          </cell>
          <cell r="G946">
            <v>3716</v>
          </cell>
          <cell r="I946">
            <v>90857</v>
          </cell>
          <cell r="P946">
            <v>101297</v>
          </cell>
          <cell r="Q946">
            <v>55082</v>
          </cell>
          <cell r="R946">
            <v>22604</v>
          </cell>
          <cell r="S946">
            <v>23429</v>
          </cell>
          <cell r="W946">
            <v>182</v>
          </cell>
          <cell r="Z946">
            <v>101297</v>
          </cell>
          <cell r="AA946">
            <v>0</v>
          </cell>
          <cell r="AB946">
            <v>101297</v>
          </cell>
        </row>
        <row r="947">
          <cell r="C947">
            <v>2</v>
          </cell>
          <cell r="D947" t="str">
            <v>jóváhagyott pénzmaradvány</v>
          </cell>
          <cell r="N947">
            <v>-839</v>
          </cell>
          <cell r="P947">
            <v>-839</v>
          </cell>
          <cell r="Q947">
            <v>150</v>
          </cell>
          <cell r="R947">
            <v>18</v>
          </cell>
          <cell r="S947">
            <v>-1007</v>
          </cell>
          <cell r="Z947">
            <v>-839</v>
          </cell>
          <cell r="AA947">
            <v>0</v>
          </cell>
          <cell r="AB947">
            <v>-839</v>
          </cell>
        </row>
        <row r="948">
          <cell r="C948">
            <v>3</v>
          </cell>
          <cell r="D948" t="str">
            <v>pm.terhelő bef.kötelezettség</v>
          </cell>
          <cell r="N948">
            <v>1199</v>
          </cell>
          <cell r="P948">
            <v>1199</v>
          </cell>
          <cell r="S948">
            <v>1199</v>
          </cell>
          <cell r="Z948">
            <v>1199</v>
          </cell>
          <cell r="AA948">
            <v>0</v>
          </cell>
          <cell r="AB948">
            <v>1199</v>
          </cell>
        </row>
        <row r="949">
          <cell r="D949" t="str">
            <v>shk.</v>
          </cell>
          <cell r="J949">
            <v>1086</v>
          </cell>
          <cell r="P949">
            <v>1086</v>
          </cell>
          <cell r="Q949">
            <v>139</v>
          </cell>
          <cell r="R949">
            <v>51</v>
          </cell>
          <cell r="S949">
            <v>596</v>
          </cell>
          <cell r="X949">
            <v>300</v>
          </cell>
          <cell r="Z949">
            <v>1086</v>
          </cell>
          <cell r="AA949">
            <v>0</v>
          </cell>
          <cell r="AB949">
            <v>1086</v>
          </cell>
        </row>
        <row r="950">
          <cell r="C950">
            <v>9</v>
          </cell>
          <cell r="D950" t="str">
            <v>ped.szakkönyv</v>
          </cell>
          <cell r="I950">
            <v>416</v>
          </cell>
          <cell r="P950">
            <v>416</v>
          </cell>
          <cell r="Q950">
            <v>416</v>
          </cell>
          <cell r="Z950">
            <v>416</v>
          </cell>
          <cell r="AA950">
            <v>0</v>
          </cell>
          <cell r="AB950">
            <v>416</v>
          </cell>
        </row>
        <row r="951">
          <cell r="C951">
            <v>12</v>
          </cell>
          <cell r="D951" t="str">
            <v>elvonás</v>
          </cell>
          <cell r="I951">
            <v>-424</v>
          </cell>
          <cell r="P951">
            <v>-424</v>
          </cell>
          <cell r="S951">
            <v>-424</v>
          </cell>
          <cell r="Z951">
            <v>-424</v>
          </cell>
          <cell r="AA951">
            <v>0</v>
          </cell>
          <cell r="AB951">
            <v>-424</v>
          </cell>
        </row>
        <row r="952">
          <cell r="C952">
            <v>13</v>
          </cell>
          <cell r="D952" t="str">
            <v>bérfejlesztés</v>
          </cell>
          <cell r="I952">
            <v>812</v>
          </cell>
          <cell r="P952">
            <v>812</v>
          </cell>
          <cell r="Q952">
            <v>597</v>
          </cell>
          <cell r="R952">
            <v>215</v>
          </cell>
          <cell r="Z952">
            <v>812</v>
          </cell>
          <cell r="AA952">
            <v>0</v>
          </cell>
          <cell r="AB952">
            <v>812</v>
          </cell>
        </row>
        <row r="953">
          <cell r="C953">
            <v>14</v>
          </cell>
          <cell r="D953" t="str">
            <v>4% bérfejlesztés</v>
          </cell>
          <cell r="I953">
            <v>-224</v>
          </cell>
          <cell r="P953">
            <v>-224</v>
          </cell>
          <cell r="Q953">
            <v>-165</v>
          </cell>
          <cell r="R953">
            <v>-59</v>
          </cell>
          <cell r="Z953">
            <v>-224</v>
          </cell>
          <cell r="AA953">
            <v>0</v>
          </cell>
          <cell r="AB953">
            <v>-224</v>
          </cell>
        </row>
        <row r="954">
          <cell r="P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P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P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P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P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P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P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P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P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P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P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P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P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P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P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P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P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B971" t="str">
            <v>Összesen</v>
          </cell>
          <cell r="D971" t="str">
            <v>M.K.Horvát Ált.Isk.G.D.Otth.</v>
          </cell>
          <cell r="E971">
            <v>6724</v>
          </cell>
          <cell r="F971">
            <v>0</v>
          </cell>
          <cell r="G971">
            <v>3716</v>
          </cell>
          <cell r="H971">
            <v>0</v>
          </cell>
          <cell r="I971">
            <v>91437</v>
          </cell>
          <cell r="J971">
            <v>1086</v>
          </cell>
          <cell r="K971">
            <v>0</v>
          </cell>
          <cell r="L971">
            <v>0</v>
          </cell>
          <cell r="M971">
            <v>0</v>
          </cell>
          <cell r="N971">
            <v>360</v>
          </cell>
          <cell r="O971">
            <v>0</v>
          </cell>
          <cell r="P971">
            <v>103323</v>
          </cell>
          <cell r="Q971">
            <v>56219</v>
          </cell>
          <cell r="R971">
            <v>22829</v>
          </cell>
          <cell r="S971">
            <v>23793</v>
          </cell>
          <cell r="T971">
            <v>0</v>
          </cell>
          <cell r="U971">
            <v>0</v>
          </cell>
          <cell r="V971">
            <v>0</v>
          </cell>
          <cell r="W971">
            <v>182</v>
          </cell>
          <cell r="X971">
            <v>300</v>
          </cell>
          <cell r="Y971">
            <v>0</v>
          </cell>
          <cell r="Z971">
            <v>103323</v>
          </cell>
          <cell r="AA971">
            <v>0</v>
          </cell>
          <cell r="AB971">
            <v>103323</v>
          </cell>
        </row>
        <row r="972">
          <cell r="A972">
            <v>20</v>
          </cell>
          <cell r="B972" t="str">
            <v>Éltes Mátyás Iskolaközpont</v>
          </cell>
          <cell r="C972">
            <v>1</v>
          </cell>
          <cell r="D972" t="str">
            <v>00előirányzat</v>
          </cell>
          <cell r="E972">
            <v>7214</v>
          </cell>
          <cell r="G972">
            <v>6709</v>
          </cell>
          <cell r="I972">
            <v>276935</v>
          </cell>
          <cell r="P972">
            <v>290858</v>
          </cell>
          <cell r="Q972">
            <v>159184</v>
          </cell>
          <cell r="R972">
            <v>64983</v>
          </cell>
          <cell r="S972">
            <v>64694</v>
          </cell>
          <cell r="W972">
            <v>1997</v>
          </cell>
          <cell r="Z972">
            <v>290858</v>
          </cell>
          <cell r="AA972">
            <v>0</v>
          </cell>
          <cell r="AB972">
            <v>290858</v>
          </cell>
        </row>
        <row r="973">
          <cell r="C973">
            <v>2</v>
          </cell>
          <cell r="D973" t="str">
            <v>jóváhagyott pénzmaradvány</v>
          </cell>
          <cell r="N973">
            <v>2561</v>
          </cell>
          <cell r="P973">
            <v>2561</v>
          </cell>
          <cell r="Q973">
            <v>1883</v>
          </cell>
          <cell r="R973">
            <v>678</v>
          </cell>
          <cell r="Z973">
            <v>2561</v>
          </cell>
          <cell r="AA973">
            <v>0</v>
          </cell>
          <cell r="AB973">
            <v>2561</v>
          </cell>
        </row>
        <row r="974">
          <cell r="C974">
            <v>3</v>
          </cell>
          <cell r="D974" t="str">
            <v>pm.terhelő bef.kötelezettség</v>
          </cell>
          <cell r="N974">
            <v>1627</v>
          </cell>
          <cell r="P974">
            <v>1627</v>
          </cell>
          <cell r="S974">
            <v>1627</v>
          </cell>
          <cell r="Z974">
            <v>1627</v>
          </cell>
          <cell r="AA974">
            <v>0</v>
          </cell>
          <cell r="AB974">
            <v>1627</v>
          </cell>
        </row>
        <row r="975">
          <cell r="B975" t="str">
            <v>Kerényi</v>
          </cell>
          <cell r="D975" t="str">
            <v xml:space="preserve">tisztségviselői keret </v>
          </cell>
          <cell r="I975">
            <v>20</v>
          </cell>
          <cell r="P975">
            <v>20</v>
          </cell>
          <cell r="S975">
            <v>20</v>
          </cell>
          <cell r="Z975">
            <v>20</v>
          </cell>
          <cell r="AA975">
            <v>0</v>
          </cell>
          <cell r="AB975">
            <v>20</v>
          </cell>
        </row>
        <row r="976">
          <cell r="D976" t="str">
            <v>Sportbizottság</v>
          </cell>
          <cell r="I976">
            <v>100</v>
          </cell>
          <cell r="P976">
            <v>100</v>
          </cell>
          <cell r="S976">
            <v>100</v>
          </cell>
          <cell r="Z976">
            <v>100</v>
          </cell>
          <cell r="AA976">
            <v>0</v>
          </cell>
          <cell r="AB976">
            <v>100</v>
          </cell>
        </row>
        <row r="977">
          <cell r="D977" t="str">
            <v>Okt.Biz. Keret</v>
          </cell>
          <cell r="I977">
            <v>50</v>
          </cell>
          <cell r="P977">
            <v>50</v>
          </cell>
          <cell r="S977">
            <v>50</v>
          </cell>
          <cell r="Z977">
            <v>50</v>
          </cell>
          <cell r="AA977">
            <v>0</v>
          </cell>
          <cell r="AB977">
            <v>50</v>
          </cell>
        </row>
        <row r="978">
          <cell r="C978">
            <v>9</v>
          </cell>
          <cell r="D978" t="str">
            <v>ped.szakkönyv</v>
          </cell>
          <cell r="I978">
            <v>1237</v>
          </cell>
          <cell r="P978">
            <v>1237</v>
          </cell>
          <cell r="Q978">
            <v>1237</v>
          </cell>
          <cell r="Z978">
            <v>1237</v>
          </cell>
          <cell r="AA978">
            <v>0</v>
          </cell>
          <cell r="AB978">
            <v>1237</v>
          </cell>
        </row>
        <row r="979">
          <cell r="D979" t="str">
            <v>shk.</v>
          </cell>
          <cell r="G979">
            <v>494</v>
          </cell>
          <cell r="J979">
            <v>2123</v>
          </cell>
          <cell r="P979">
            <v>2617</v>
          </cell>
          <cell r="Q979">
            <v>624</v>
          </cell>
          <cell r="R979">
            <v>165</v>
          </cell>
          <cell r="S979">
            <v>1666</v>
          </cell>
          <cell r="X979">
            <v>162</v>
          </cell>
          <cell r="Z979">
            <v>2617</v>
          </cell>
          <cell r="AA979">
            <v>0</v>
          </cell>
          <cell r="AB979">
            <v>2617</v>
          </cell>
        </row>
        <row r="980">
          <cell r="C980">
            <v>12</v>
          </cell>
          <cell r="D980" t="str">
            <v>elvonás</v>
          </cell>
          <cell r="I980">
            <v>-709</v>
          </cell>
          <cell r="P980">
            <v>-709</v>
          </cell>
          <cell r="S980">
            <v>-709</v>
          </cell>
          <cell r="Z980">
            <v>-709</v>
          </cell>
          <cell r="AA980">
            <v>0</v>
          </cell>
          <cell r="AB980">
            <v>-709</v>
          </cell>
        </row>
        <row r="981">
          <cell r="C981">
            <v>13</v>
          </cell>
          <cell r="D981" t="str">
            <v>bérfejlesztés</v>
          </cell>
          <cell r="I981">
            <v>1650</v>
          </cell>
          <cell r="P981">
            <v>1650</v>
          </cell>
          <cell r="Q981">
            <v>1213</v>
          </cell>
          <cell r="R981">
            <v>437</v>
          </cell>
          <cell r="Z981">
            <v>1650</v>
          </cell>
          <cell r="AA981">
            <v>0</v>
          </cell>
          <cell r="AB981">
            <v>1650</v>
          </cell>
        </row>
        <row r="982">
          <cell r="C982">
            <v>14</v>
          </cell>
          <cell r="D982" t="str">
            <v>4% bérfejlesztés</v>
          </cell>
          <cell r="I982">
            <v>-456</v>
          </cell>
          <cell r="P982">
            <v>-456</v>
          </cell>
          <cell r="Q982">
            <v>-335</v>
          </cell>
          <cell r="R982">
            <v>-121</v>
          </cell>
          <cell r="Z982">
            <v>-456</v>
          </cell>
          <cell r="AA982">
            <v>0</v>
          </cell>
          <cell r="AB982">
            <v>-456</v>
          </cell>
        </row>
        <row r="983">
          <cell r="P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P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P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P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P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P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P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P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P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P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P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P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P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P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P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P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P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B1000" t="str">
            <v>Összesen</v>
          </cell>
          <cell r="D1000" t="str">
            <v>Éltes Mátyás Iskolaközpont</v>
          </cell>
          <cell r="E1000">
            <v>7214</v>
          </cell>
          <cell r="F1000">
            <v>0</v>
          </cell>
          <cell r="G1000">
            <v>7203</v>
          </cell>
          <cell r="H1000">
            <v>0</v>
          </cell>
          <cell r="I1000">
            <v>278827</v>
          </cell>
          <cell r="J1000">
            <v>2123</v>
          </cell>
          <cell r="K1000">
            <v>0</v>
          </cell>
          <cell r="L1000">
            <v>0</v>
          </cell>
          <cell r="M1000">
            <v>0</v>
          </cell>
          <cell r="N1000">
            <v>4188</v>
          </cell>
          <cell r="O1000">
            <v>0</v>
          </cell>
          <cell r="P1000">
            <v>299555</v>
          </cell>
          <cell r="Q1000">
            <v>163806</v>
          </cell>
          <cell r="R1000">
            <v>66142</v>
          </cell>
          <cell r="S1000">
            <v>67448</v>
          </cell>
          <cell r="T1000">
            <v>0</v>
          </cell>
          <cell r="U1000">
            <v>0</v>
          </cell>
          <cell r="V1000">
            <v>0</v>
          </cell>
          <cell r="W1000">
            <v>1997</v>
          </cell>
          <cell r="X1000">
            <v>162</v>
          </cell>
          <cell r="Y1000">
            <v>0</v>
          </cell>
          <cell r="Z1000">
            <v>299555</v>
          </cell>
          <cell r="AA1000">
            <v>0</v>
          </cell>
          <cell r="AB1000">
            <v>299555</v>
          </cell>
        </row>
        <row r="1001">
          <cell r="A1001">
            <v>21</v>
          </cell>
          <cell r="B1001" t="str">
            <v>500 sz.Szakm.Int.és Szakk.</v>
          </cell>
          <cell r="C1001">
            <v>1</v>
          </cell>
          <cell r="D1001" t="str">
            <v>00előirányzat</v>
          </cell>
          <cell r="E1001">
            <v>6300</v>
          </cell>
          <cell r="G1001">
            <v>3580</v>
          </cell>
          <cell r="I1001">
            <v>235385</v>
          </cell>
          <cell r="J1001">
            <v>900</v>
          </cell>
          <cell r="M1001">
            <v>2000</v>
          </cell>
          <cell r="P1001">
            <v>248165</v>
          </cell>
          <cell r="Q1001">
            <v>145693</v>
          </cell>
          <cell r="R1001">
            <v>58425</v>
          </cell>
          <cell r="S1001">
            <v>41661</v>
          </cell>
          <cell r="W1001">
            <v>386</v>
          </cell>
          <cell r="X1001">
            <v>2000</v>
          </cell>
          <cell r="Z1001">
            <v>248165</v>
          </cell>
          <cell r="AA1001">
            <v>0</v>
          </cell>
          <cell r="AB1001">
            <v>248165</v>
          </cell>
        </row>
        <row r="1002">
          <cell r="C1002">
            <v>2</v>
          </cell>
          <cell r="D1002" t="str">
            <v>jóváhagyott pénzmaradvány</v>
          </cell>
          <cell r="N1002">
            <v>18767</v>
          </cell>
          <cell r="P1002">
            <v>18767</v>
          </cell>
          <cell r="Q1002">
            <v>1470</v>
          </cell>
          <cell r="R1002">
            <v>434</v>
          </cell>
          <cell r="Y1002">
            <v>16863</v>
          </cell>
          <cell r="Z1002">
            <v>18767</v>
          </cell>
          <cell r="AA1002">
            <v>0</v>
          </cell>
          <cell r="AB1002">
            <v>18767</v>
          </cell>
        </row>
        <row r="1003">
          <cell r="C1003">
            <v>3</v>
          </cell>
          <cell r="D1003" t="str">
            <v>pm.terhelő bef.kötelezettség</v>
          </cell>
          <cell r="N1003">
            <v>603</v>
          </cell>
          <cell r="P1003">
            <v>603</v>
          </cell>
          <cell r="S1003">
            <v>603</v>
          </cell>
          <cell r="Z1003">
            <v>603</v>
          </cell>
          <cell r="AA1003">
            <v>0</v>
          </cell>
          <cell r="AB1003">
            <v>603</v>
          </cell>
        </row>
        <row r="1004">
          <cell r="C1004">
            <v>9</v>
          </cell>
          <cell r="D1004" t="str">
            <v>ped.szakkönyv</v>
          </cell>
          <cell r="I1004">
            <v>1181</v>
          </cell>
          <cell r="P1004">
            <v>1181</v>
          </cell>
          <cell r="Q1004">
            <v>1181</v>
          </cell>
          <cell r="Z1004">
            <v>1181</v>
          </cell>
          <cell r="AA1004">
            <v>0</v>
          </cell>
          <cell r="AB1004">
            <v>1181</v>
          </cell>
        </row>
        <row r="1005">
          <cell r="C1005">
            <v>12</v>
          </cell>
          <cell r="D1005" t="str">
            <v>elvonás</v>
          </cell>
          <cell r="I1005">
            <v>-446</v>
          </cell>
          <cell r="P1005">
            <v>-446</v>
          </cell>
          <cell r="S1005">
            <v>-446</v>
          </cell>
          <cell r="Z1005">
            <v>-446</v>
          </cell>
          <cell r="AA1005">
            <v>0</v>
          </cell>
          <cell r="AB1005">
            <v>-446</v>
          </cell>
        </row>
        <row r="1006">
          <cell r="C1006">
            <v>13</v>
          </cell>
          <cell r="D1006" t="str">
            <v>bérfejlesztés</v>
          </cell>
          <cell r="I1006">
            <v>1801</v>
          </cell>
          <cell r="P1006">
            <v>1801</v>
          </cell>
          <cell r="Q1006">
            <v>1324</v>
          </cell>
          <cell r="R1006">
            <v>477</v>
          </cell>
          <cell r="Z1006">
            <v>1801</v>
          </cell>
          <cell r="AA1006">
            <v>0</v>
          </cell>
          <cell r="AB1006">
            <v>1801</v>
          </cell>
        </row>
        <row r="1007">
          <cell r="C1007">
            <v>14</v>
          </cell>
          <cell r="D1007" t="str">
            <v>4% bérfejlesztés</v>
          </cell>
          <cell r="I1007">
            <v>-498</v>
          </cell>
          <cell r="P1007">
            <v>-498</v>
          </cell>
          <cell r="Q1007">
            <v>-366</v>
          </cell>
          <cell r="R1007">
            <v>-132</v>
          </cell>
          <cell r="Z1007">
            <v>-498</v>
          </cell>
          <cell r="AA1007">
            <v>0</v>
          </cell>
          <cell r="AB1007">
            <v>-498</v>
          </cell>
        </row>
        <row r="1008">
          <cell r="P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P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P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P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P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P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P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P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P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P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P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P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P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P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P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P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P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P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P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P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B1028" t="str">
            <v>Összesen</v>
          </cell>
          <cell r="D1028" t="str">
            <v>500 sz.Szakm.Int.és Szakk.</v>
          </cell>
          <cell r="E1028">
            <v>6300</v>
          </cell>
          <cell r="F1028">
            <v>0</v>
          </cell>
          <cell r="G1028">
            <v>3580</v>
          </cell>
          <cell r="H1028">
            <v>0</v>
          </cell>
          <cell r="I1028">
            <v>237423</v>
          </cell>
          <cell r="J1028">
            <v>900</v>
          </cell>
          <cell r="K1028">
            <v>0</v>
          </cell>
          <cell r="L1028">
            <v>0</v>
          </cell>
          <cell r="M1028">
            <v>2000</v>
          </cell>
          <cell r="N1028">
            <v>19370</v>
          </cell>
          <cell r="O1028">
            <v>0</v>
          </cell>
          <cell r="P1028">
            <v>269573</v>
          </cell>
          <cell r="Q1028">
            <v>149302</v>
          </cell>
          <cell r="R1028">
            <v>59204</v>
          </cell>
          <cell r="S1028">
            <v>41818</v>
          </cell>
          <cell r="T1028">
            <v>0</v>
          </cell>
          <cell r="U1028">
            <v>0</v>
          </cell>
          <cell r="V1028">
            <v>0</v>
          </cell>
          <cell r="W1028">
            <v>386</v>
          </cell>
          <cell r="X1028">
            <v>2000</v>
          </cell>
          <cell r="Y1028">
            <v>16863</v>
          </cell>
          <cell r="Z1028">
            <v>269573</v>
          </cell>
          <cell r="AA1028">
            <v>0</v>
          </cell>
          <cell r="AB1028">
            <v>269573</v>
          </cell>
        </row>
        <row r="1029">
          <cell r="A1029">
            <v>23</v>
          </cell>
          <cell r="B1029" t="str">
            <v>508 sz.Szakm.Int.és Szakk.</v>
          </cell>
          <cell r="C1029">
            <v>1</v>
          </cell>
          <cell r="D1029" t="str">
            <v>00előirányzat</v>
          </cell>
          <cell r="E1029">
            <v>8300</v>
          </cell>
          <cell r="G1029">
            <v>16000</v>
          </cell>
          <cell r="H1029">
            <v>200</v>
          </cell>
          <cell r="I1029">
            <v>223859</v>
          </cell>
          <cell r="J1029">
            <v>500</v>
          </cell>
          <cell r="M1029">
            <v>8000</v>
          </cell>
          <cell r="P1029">
            <v>256859</v>
          </cell>
          <cell r="Q1029">
            <v>139856</v>
          </cell>
          <cell r="R1029">
            <v>56947</v>
          </cell>
          <cell r="S1029">
            <v>50646</v>
          </cell>
          <cell r="W1029">
            <v>1210</v>
          </cell>
          <cell r="X1029">
            <v>8200</v>
          </cell>
          <cell r="Z1029">
            <v>256859</v>
          </cell>
          <cell r="AA1029">
            <v>0</v>
          </cell>
          <cell r="AB1029">
            <v>256859</v>
          </cell>
        </row>
        <row r="1030">
          <cell r="C1030">
            <v>2</v>
          </cell>
          <cell r="D1030" t="str">
            <v>jóváhagyott pénzmaradvány</v>
          </cell>
          <cell r="N1030">
            <v>27092</v>
          </cell>
          <cell r="P1030">
            <v>27092</v>
          </cell>
          <cell r="Q1030">
            <v>2573</v>
          </cell>
          <cell r="R1030">
            <v>755</v>
          </cell>
          <cell r="Y1030">
            <v>23764</v>
          </cell>
          <cell r="Z1030">
            <v>27092</v>
          </cell>
          <cell r="AA1030">
            <v>0</v>
          </cell>
          <cell r="AB1030">
            <v>27092</v>
          </cell>
        </row>
        <row r="1031">
          <cell r="C1031">
            <v>4</v>
          </cell>
          <cell r="D1031" t="str">
            <v>tárgyévi eir.mód.korrekció</v>
          </cell>
          <cell r="I1031">
            <v>80</v>
          </cell>
          <cell r="P1031">
            <v>80</v>
          </cell>
          <cell r="Y1031">
            <v>80</v>
          </cell>
          <cell r="Z1031">
            <v>80</v>
          </cell>
          <cell r="AA1031">
            <v>0</v>
          </cell>
          <cell r="AB1031">
            <v>80</v>
          </cell>
        </row>
        <row r="1032">
          <cell r="C1032">
            <v>9</v>
          </cell>
          <cell r="D1032" t="str">
            <v>ped.szakkönyv</v>
          </cell>
          <cell r="I1032">
            <v>1204</v>
          </cell>
          <cell r="P1032">
            <v>1204</v>
          </cell>
          <cell r="Q1032">
            <v>1204</v>
          </cell>
          <cell r="Z1032">
            <v>1204</v>
          </cell>
          <cell r="AA1032">
            <v>0</v>
          </cell>
          <cell r="AB1032">
            <v>1204</v>
          </cell>
        </row>
        <row r="1033">
          <cell r="C1033">
            <v>12</v>
          </cell>
          <cell r="D1033" t="str">
            <v>elvonás</v>
          </cell>
          <cell r="I1033">
            <v>-2344</v>
          </cell>
          <cell r="P1033">
            <v>-2344</v>
          </cell>
          <cell r="S1033">
            <v>-2344</v>
          </cell>
          <cell r="Z1033">
            <v>-2344</v>
          </cell>
          <cell r="AA1033">
            <v>0</v>
          </cell>
          <cell r="AB1033">
            <v>-2344</v>
          </cell>
        </row>
        <row r="1034">
          <cell r="C1034">
            <v>13</v>
          </cell>
          <cell r="D1034" t="str">
            <v>bérfejlesztés</v>
          </cell>
          <cell r="I1034">
            <v>993</v>
          </cell>
          <cell r="P1034">
            <v>993</v>
          </cell>
          <cell r="Q1034">
            <v>730</v>
          </cell>
          <cell r="R1034">
            <v>263</v>
          </cell>
          <cell r="Z1034">
            <v>993</v>
          </cell>
          <cell r="AA1034">
            <v>0</v>
          </cell>
          <cell r="AB1034">
            <v>993</v>
          </cell>
        </row>
        <row r="1035">
          <cell r="C1035">
            <v>14</v>
          </cell>
          <cell r="D1035" t="str">
            <v>4% bérfejlesztés</v>
          </cell>
          <cell r="I1035">
            <v>-275</v>
          </cell>
          <cell r="P1035">
            <v>-275</v>
          </cell>
          <cell r="Q1035">
            <v>-202</v>
          </cell>
          <cell r="R1035">
            <v>-73</v>
          </cell>
          <cell r="Z1035">
            <v>-275</v>
          </cell>
          <cell r="AA1035">
            <v>0</v>
          </cell>
          <cell r="AB1035">
            <v>-275</v>
          </cell>
        </row>
        <row r="1036">
          <cell r="P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P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P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P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P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P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P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P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P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P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P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P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P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P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P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P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B1052" t="str">
            <v>Összesen</v>
          </cell>
          <cell r="D1052" t="str">
            <v>508 sz.Szakm.Int.és Szakk.</v>
          </cell>
          <cell r="E1052">
            <v>8300</v>
          </cell>
          <cell r="F1052">
            <v>0</v>
          </cell>
          <cell r="G1052">
            <v>16000</v>
          </cell>
          <cell r="H1052">
            <v>200</v>
          </cell>
          <cell r="I1052">
            <v>223517</v>
          </cell>
          <cell r="J1052">
            <v>500</v>
          </cell>
          <cell r="K1052">
            <v>0</v>
          </cell>
          <cell r="L1052">
            <v>0</v>
          </cell>
          <cell r="M1052">
            <v>8000</v>
          </cell>
          <cell r="N1052">
            <v>27092</v>
          </cell>
          <cell r="O1052">
            <v>0</v>
          </cell>
          <cell r="P1052">
            <v>283609</v>
          </cell>
          <cell r="Q1052">
            <v>144161</v>
          </cell>
          <cell r="R1052">
            <v>57892</v>
          </cell>
          <cell r="S1052">
            <v>48302</v>
          </cell>
          <cell r="T1052">
            <v>0</v>
          </cell>
          <cell r="U1052">
            <v>0</v>
          </cell>
          <cell r="V1052">
            <v>0</v>
          </cell>
          <cell r="W1052">
            <v>1210</v>
          </cell>
          <cell r="X1052">
            <v>8200</v>
          </cell>
          <cell r="Y1052">
            <v>23844</v>
          </cell>
          <cell r="Z1052">
            <v>283609</v>
          </cell>
          <cell r="AA1052">
            <v>0</v>
          </cell>
          <cell r="AB1052">
            <v>283609</v>
          </cell>
        </row>
        <row r="1053">
          <cell r="A1053">
            <v>24</v>
          </cell>
          <cell r="B1053" t="str">
            <v>Pécsi Ker.Id.F.és Vend.Szk.</v>
          </cell>
          <cell r="C1053">
            <v>1</v>
          </cell>
          <cell r="D1053" t="str">
            <v>00előirányzat</v>
          </cell>
          <cell r="E1053">
            <v>540</v>
          </cell>
          <cell r="G1053">
            <v>16000</v>
          </cell>
          <cell r="I1053">
            <v>198079</v>
          </cell>
          <cell r="P1053">
            <v>214619</v>
          </cell>
          <cell r="Q1053">
            <v>138330</v>
          </cell>
          <cell r="R1053">
            <v>54109</v>
          </cell>
          <cell r="S1053">
            <v>21980</v>
          </cell>
          <cell r="W1053">
            <v>200</v>
          </cell>
          <cell r="Z1053">
            <v>214619</v>
          </cell>
          <cell r="AA1053">
            <v>0</v>
          </cell>
          <cell r="AB1053">
            <v>214619</v>
          </cell>
        </row>
        <row r="1054">
          <cell r="C1054">
            <v>2</v>
          </cell>
          <cell r="D1054" t="str">
            <v>jóváhagyott pénzmaradvány</v>
          </cell>
          <cell r="N1054">
            <v>21383</v>
          </cell>
          <cell r="P1054">
            <v>21383</v>
          </cell>
          <cell r="Q1054">
            <v>706</v>
          </cell>
          <cell r="R1054">
            <v>245</v>
          </cell>
          <cell r="Y1054">
            <v>20432</v>
          </cell>
          <cell r="Z1054">
            <v>21383</v>
          </cell>
          <cell r="AA1054">
            <v>0</v>
          </cell>
          <cell r="AB1054">
            <v>21383</v>
          </cell>
        </row>
        <row r="1055">
          <cell r="C1055">
            <v>3</v>
          </cell>
          <cell r="D1055" t="str">
            <v>pm.terhelő bef.kötelezettség</v>
          </cell>
          <cell r="N1055">
            <v>315</v>
          </cell>
          <cell r="P1055">
            <v>315</v>
          </cell>
          <cell r="S1055">
            <v>315</v>
          </cell>
          <cell r="Z1055">
            <v>315</v>
          </cell>
          <cell r="AA1055">
            <v>0</v>
          </cell>
          <cell r="AB1055">
            <v>315</v>
          </cell>
        </row>
        <row r="1056">
          <cell r="C1056">
            <v>9</v>
          </cell>
          <cell r="D1056" t="str">
            <v>ped.szakkönyv</v>
          </cell>
          <cell r="I1056">
            <v>1125</v>
          </cell>
          <cell r="P1056">
            <v>1125</v>
          </cell>
          <cell r="Q1056">
            <v>1125</v>
          </cell>
          <cell r="Z1056">
            <v>1125</v>
          </cell>
          <cell r="AA1056">
            <v>0</v>
          </cell>
          <cell r="AB1056">
            <v>1125</v>
          </cell>
        </row>
        <row r="1057">
          <cell r="D1057" t="str">
            <v>hiánypótlás</v>
          </cell>
          <cell r="I1057">
            <v>10000</v>
          </cell>
          <cell r="P1057">
            <v>10000</v>
          </cell>
          <cell r="S1057">
            <v>10000</v>
          </cell>
          <cell r="Z1057">
            <v>10000</v>
          </cell>
          <cell r="AA1057">
            <v>0</v>
          </cell>
          <cell r="AB1057">
            <v>10000</v>
          </cell>
        </row>
        <row r="1058">
          <cell r="C1058">
            <v>13</v>
          </cell>
          <cell r="D1058" t="str">
            <v>bérfejlesztés</v>
          </cell>
          <cell r="I1058">
            <v>1300</v>
          </cell>
          <cell r="P1058">
            <v>1300</v>
          </cell>
          <cell r="Q1058">
            <v>956</v>
          </cell>
          <cell r="R1058">
            <v>344</v>
          </cell>
          <cell r="Z1058">
            <v>1300</v>
          </cell>
          <cell r="AA1058">
            <v>0</v>
          </cell>
          <cell r="AB1058">
            <v>1300</v>
          </cell>
        </row>
        <row r="1059">
          <cell r="P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P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P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P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P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P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P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P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P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P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P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P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P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P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P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P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P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C1076">
            <v>14</v>
          </cell>
          <cell r="D1076" t="str">
            <v>4% bérfejlesztés</v>
          </cell>
          <cell r="I1076">
            <v>-359</v>
          </cell>
          <cell r="P1076">
            <v>-359</v>
          </cell>
          <cell r="Q1076">
            <v>-264</v>
          </cell>
          <cell r="R1076">
            <v>-95</v>
          </cell>
          <cell r="Z1076">
            <v>-359</v>
          </cell>
          <cell r="AA1076">
            <v>0</v>
          </cell>
          <cell r="AB1076">
            <v>-359</v>
          </cell>
        </row>
        <row r="1077">
          <cell r="B1077" t="str">
            <v>Összesen</v>
          </cell>
          <cell r="D1077" t="str">
            <v>Pécsi Ker.Id.F.és Vend.Szk.</v>
          </cell>
          <cell r="E1077">
            <v>540</v>
          </cell>
          <cell r="F1077">
            <v>0</v>
          </cell>
          <cell r="G1077">
            <v>16000</v>
          </cell>
          <cell r="H1077">
            <v>0</v>
          </cell>
          <cell r="I1077">
            <v>210145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21698</v>
          </cell>
          <cell r="O1077">
            <v>0</v>
          </cell>
          <cell r="P1077">
            <v>248383</v>
          </cell>
          <cell r="Q1077">
            <v>140853</v>
          </cell>
          <cell r="R1077">
            <v>54603</v>
          </cell>
          <cell r="S1077">
            <v>32295</v>
          </cell>
          <cell r="T1077">
            <v>0</v>
          </cell>
          <cell r="U1077">
            <v>0</v>
          </cell>
          <cell r="V1077">
            <v>0</v>
          </cell>
          <cell r="W1077">
            <v>200</v>
          </cell>
          <cell r="X1077">
            <v>0</v>
          </cell>
          <cell r="Y1077">
            <v>20432</v>
          </cell>
          <cell r="Z1077">
            <v>248383</v>
          </cell>
          <cell r="AA1077">
            <v>0</v>
          </cell>
          <cell r="AB1077">
            <v>248383</v>
          </cell>
        </row>
        <row r="1078">
          <cell r="A1078">
            <v>25</v>
          </cell>
          <cell r="B1078" t="str">
            <v>Leöwey K.Gimnázium</v>
          </cell>
          <cell r="C1078">
            <v>1</v>
          </cell>
          <cell r="D1078" t="str">
            <v>00előirányzat</v>
          </cell>
          <cell r="G1078">
            <v>4030</v>
          </cell>
          <cell r="I1078">
            <v>144820</v>
          </cell>
          <cell r="P1078">
            <v>148850</v>
          </cell>
          <cell r="Q1078">
            <v>91283</v>
          </cell>
          <cell r="R1078">
            <v>36205</v>
          </cell>
          <cell r="S1078">
            <v>20915</v>
          </cell>
          <cell r="Y1078">
            <v>447</v>
          </cell>
          <cell r="Z1078">
            <v>148850</v>
          </cell>
          <cell r="AA1078">
            <v>0</v>
          </cell>
          <cell r="AB1078">
            <v>148850</v>
          </cell>
        </row>
        <row r="1079">
          <cell r="C1079">
            <v>2</v>
          </cell>
          <cell r="D1079" t="str">
            <v>jóváhagyott pénzmaradvány</v>
          </cell>
          <cell r="N1079">
            <v>6125</v>
          </cell>
          <cell r="P1079">
            <v>6125</v>
          </cell>
          <cell r="Q1079">
            <v>1890</v>
          </cell>
          <cell r="R1079">
            <v>556</v>
          </cell>
          <cell r="Y1079">
            <v>3679</v>
          </cell>
          <cell r="Z1079">
            <v>6125</v>
          </cell>
          <cell r="AA1079">
            <v>0</v>
          </cell>
          <cell r="AB1079">
            <v>6125</v>
          </cell>
        </row>
        <row r="1080">
          <cell r="C1080">
            <v>4</v>
          </cell>
          <cell r="D1080" t="str">
            <v>tárgyévi eir.mód.korrekció</v>
          </cell>
          <cell r="I1080">
            <v>465</v>
          </cell>
          <cell r="P1080">
            <v>465</v>
          </cell>
          <cell r="Y1080">
            <v>465</v>
          </cell>
          <cell r="Z1080">
            <v>465</v>
          </cell>
          <cell r="AA1080">
            <v>0</v>
          </cell>
          <cell r="AB1080">
            <v>465</v>
          </cell>
        </row>
        <row r="1081">
          <cell r="B1081" t="str">
            <v>33/2000.(03.17)</v>
          </cell>
          <cell r="D1081" t="str">
            <v>táncegyüttes,Örökség turizmus</v>
          </cell>
          <cell r="I1081">
            <v>300</v>
          </cell>
          <cell r="P1081">
            <v>300</v>
          </cell>
          <cell r="S1081">
            <v>300</v>
          </cell>
          <cell r="Z1081">
            <v>300</v>
          </cell>
          <cell r="AA1081">
            <v>0</v>
          </cell>
          <cell r="AB1081">
            <v>300</v>
          </cell>
        </row>
        <row r="1082">
          <cell r="D1082" t="str">
            <v>Német kisebbség</v>
          </cell>
          <cell r="I1082">
            <v>60</v>
          </cell>
          <cell r="P1082">
            <v>60</v>
          </cell>
          <cell r="S1082">
            <v>60</v>
          </cell>
          <cell r="Z1082">
            <v>60</v>
          </cell>
          <cell r="AA1082">
            <v>0</v>
          </cell>
          <cell r="AB1082">
            <v>60</v>
          </cell>
        </row>
        <row r="1083">
          <cell r="C1083">
            <v>9</v>
          </cell>
          <cell r="D1083" t="str">
            <v>ped.szakkönyv</v>
          </cell>
          <cell r="I1083">
            <v>900</v>
          </cell>
          <cell r="P1083">
            <v>900</v>
          </cell>
          <cell r="Q1083">
            <v>900</v>
          </cell>
          <cell r="Z1083">
            <v>900</v>
          </cell>
          <cell r="AA1083">
            <v>0</v>
          </cell>
          <cell r="AB1083">
            <v>900</v>
          </cell>
        </row>
        <row r="1084">
          <cell r="D1084" t="str">
            <v>pót1 viharkárok</v>
          </cell>
          <cell r="I1084">
            <v>2</v>
          </cell>
          <cell r="P1084">
            <v>2</v>
          </cell>
          <cell r="X1084">
            <v>2</v>
          </cell>
          <cell r="Z1084">
            <v>2</v>
          </cell>
          <cell r="AA1084">
            <v>0</v>
          </cell>
          <cell r="AB1084">
            <v>2</v>
          </cell>
        </row>
        <row r="1085">
          <cell r="C1085">
            <v>12</v>
          </cell>
          <cell r="D1085" t="str">
            <v>elvonás</v>
          </cell>
          <cell r="I1085">
            <v>-434</v>
          </cell>
          <cell r="P1085">
            <v>-434</v>
          </cell>
          <cell r="S1085">
            <v>-434</v>
          </cell>
          <cell r="Z1085">
            <v>-434</v>
          </cell>
          <cell r="AA1085">
            <v>0</v>
          </cell>
          <cell r="AB1085">
            <v>-434</v>
          </cell>
        </row>
        <row r="1086">
          <cell r="C1086">
            <v>13</v>
          </cell>
          <cell r="D1086" t="str">
            <v>bérfejlesztés</v>
          </cell>
          <cell r="I1086">
            <v>1352</v>
          </cell>
          <cell r="P1086">
            <v>1352</v>
          </cell>
          <cell r="Q1086">
            <v>994</v>
          </cell>
          <cell r="R1086">
            <v>358</v>
          </cell>
          <cell r="Z1086">
            <v>1352</v>
          </cell>
          <cell r="AA1086">
            <v>0</v>
          </cell>
          <cell r="AB1086">
            <v>1352</v>
          </cell>
        </row>
        <row r="1087">
          <cell r="C1087">
            <v>14</v>
          </cell>
          <cell r="D1087" t="str">
            <v>4% bérfejlesztés</v>
          </cell>
          <cell r="I1087">
            <v>-374</v>
          </cell>
          <cell r="P1087">
            <v>-374</v>
          </cell>
          <cell r="Q1087">
            <v>-275</v>
          </cell>
          <cell r="R1087">
            <v>-99</v>
          </cell>
          <cell r="Z1087">
            <v>-374</v>
          </cell>
          <cell r="AA1087">
            <v>0</v>
          </cell>
          <cell r="AB1087">
            <v>-374</v>
          </cell>
        </row>
        <row r="1088">
          <cell r="P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P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P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P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P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P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P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P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P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P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P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P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P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P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P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P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P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B1105" t="str">
            <v>Összesen</v>
          </cell>
          <cell r="D1105" t="str">
            <v>Leöwey K.Gimnázium</v>
          </cell>
          <cell r="E1105">
            <v>0</v>
          </cell>
          <cell r="F1105">
            <v>0</v>
          </cell>
          <cell r="G1105">
            <v>4030</v>
          </cell>
          <cell r="H1105">
            <v>0</v>
          </cell>
          <cell r="I1105">
            <v>147091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6125</v>
          </cell>
          <cell r="O1105">
            <v>0</v>
          </cell>
          <cell r="P1105">
            <v>157246</v>
          </cell>
          <cell r="Q1105">
            <v>94792</v>
          </cell>
          <cell r="R1105">
            <v>37020</v>
          </cell>
          <cell r="S1105">
            <v>20841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2</v>
          </cell>
          <cell r="Y1105">
            <v>4591</v>
          </cell>
          <cell r="Z1105">
            <v>157246</v>
          </cell>
          <cell r="AA1105">
            <v>0</v>
          </cell>
          <cell r="AB1105">
            <v>157246</v>
          </cell>
        </row>
        <row r="1106">
          <cell r="A1106">
            <v>26</v>
          </cell>
          <cell r="B1106" t="str">
            <v>Kodály Zoltán Gimnázium</v>
          </cell>
          <cell r="C1106">
            <v>1</v>
          </cell>
          <cell r="D1106" t="str">
            <v>00előirányzat</v>
          </cell>
          <cell r="E1106">
            <v>5550</v>
          </cell>
          <cell r="G1106">
            <v>4909</v>
          </cell>
          <cell r="I1106">
            <v>121899</v>
          </cell>
          <cell r="P1106">
            <v>132358</v>
          </cell>
          <cell r="Q1106">
            <v>71784</v>
          </cell>
          <cell r="R1106">
            <v>29703</v>
          </cell>
          <cell r="S1106">
            <v>30684</v>
          </cell>
          <cell r="W1106">
            <v>187</v>
          </cell>
          <cell r="Z1106">
            <v>132358</v>
          </cell>
          <cell r="AA1106">
            <v>0</v>
          </cell>
          <cell r="AB1106">
            <v>132358</v>
          </cell>
        </row>
        <row r="1107">
          <cell r="C1107">
            <v>2</v>
          </cell>
          <cell r="D1107" t="str">
            <v>jóváhagyott pénzmaradvány</v>
          </cell>
          <cell r="N1107">
            <v>16182</v>
          </cell>
          <cell r="P1107">
            <v>16182</v>
          </cell>
          <cell r="Q1107">
            <v>724</v>
          </cell>
          <cell r="R1107">
            <v>18</v>
          </cell>
          <cell r="Y1107">
            <v>15440</v>
          </cell>
          <cell r="Z1107">
            <v>16182</v>
          </cell>
          <cell r="AA1107">
            <v>0</v>
          </cell>
          <cell r="AB1107">
            <v>16182</v>
          </cell>
        </row>
        <row r="1108">
          <cell r="C1108">
            <v>3</v>
          </cell>
          <cell r="D1108" t="str">
            <v>pm.terhelő bef.kötelezettség</v>
          </cell>
          <cell r="N1108">
            <v>4482</v>
          </cell>
          <cell r="P1108">
            <v>4482</v>
          </cell>
          <cell r="S1108">
            <v>4482</v>
          </cell>
          <cell r="Z1108">
            <v>4482</v>
          </cell>
          <cell r="AA1108">
            <v>0</v>
          </cell>
          <cell r="AB1108">
            <v>4482</v>
          </cell>
        </row>
        <row r="1109">
          <cell r="C1109">
            <v>9</v>
          </cell>
          <cell r="D1109" t="str">
            <v>ped.szakkönyv</v>
          </cell>
          <cell r="I1109">
            <v>607</v>
          </cell>
          <cell r="P1109">
            <v>607</v>
          </cell>
          <cell r="Q1109">
            <v>607</v>
          </cell>
          <cell r="Z1109">
            <v>607</v>
          </cell>
          <cell r="AA1109">
            <v>0</v>
          </cell>
          <cell r="AB1109">
            <v>607</v>
          </cell>
        </row>
        <row r="1110">
          <cell r="C1110">
            <v>12</v>
          </cell>
          <cell r="D1110" t="str">
            <v>elvonás</v>
          </cell>
          <cell r="I1110">
            <v>-631</v>
          </cell>
          <cell r="P1110">
            <v>-631</v>
          </cell>
          <cell r="S1110">
            <v>-631</v>
          </cell>
          <cell r="Z1110">
            <v>-631</v>
          </cell>
          <cell r="AA1110">
            <v>0</v>
          </cell>
          <cell r="AB1110">
            <v>-631</v>
          </cell>
        </row>
        <row r="1111">
          <cell r="C1111">
            <v>13</v>
          </cell>
          <cell r="D1111" t="str">
            <v>bérfejlesztés</v>
          </cell>
          <cell r="I1111">
            <v>725</v>
          </cell>
          <cell r="P1111">
            <v>725</v>
          </cell>
          <cell r="Q1111">
            <v>533</v>
          </cell>
          <cell r="R1111">
            <v>192</v>
          </cell>
          <cell r="Z1111">
            <v>725</v>
          </cell>
          <cell r="AA1111">
            <v>0</v>
          </cell>
          <cell r="AB1111">
            <v>725</v>
          </cell>
        </row>
        <row r="1112">
          <cell r="C1112">
            <v>14</v>
          </cell>
          <cell r="D1112" t="str">
            <v>4% bérfejlesztés</v>
          </cell>
          <cell r="I1112">
            <v>-200</v>
          </cell>
          <cell r="P1112">
            <v>-200</v>
          </cell>
          <cell r="Q1112">
            <v>-147</v>
          </cell>
          <cell r="R1112">
            <v>-53</v>
          </cell>
          <cell r="Z1112">
            <v>-200</v>
          </cell>
          <cell r="AA1112">
            <v>0</v>
          </cell>
          <cell r="AB1112">
            <v>-200</v>
          </cell>
        </row>
        <row r="1113">
          <cell r="P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P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P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P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P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P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P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P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P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P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P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P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P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P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B1127" t="str">
            <v>Összesen</v>
          </cell>
          <cell r="D1127" t="str">
            <v>Kodály Zoltán Gimnázium</v>
          </cell>
          <cell r="E1127">
            <v>5550</v>
          </cell>
          <cell r="F1127">
            <v>0</v>
          </cell>
          <cell r="G1127">
            <v>4909</v>
          </cell>
          <cell r="H1127">
            <v>0</v>
          </cell>
          <cell r="I1127">
            <v>122400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20664</v>
          </cell>
          <cell r="O1127">
            <v>0</v>
          </cell>
          <cell r="P1127">
            <v>153523</v>
          </cell>
          <cell r="Q1127">
            <v>73501</v>
          </cell>
          <cell r="R1127">
            <v>29860</v>
          </cell>
          <cell r="S1127">
            <v>34535</v>
          </cell>
          <cell r="T1127">
            <v>0</v>
          </cell>
          <cell r="U1127">
            <v>0</v>
          </cell>
          <cell r="V1127">
            <v>0</v>
          </cell>
          <cell r="W1127">
            <v>187</v>
          </cell>
          <cell r="X1127">
            <v>0</v>
          </cell>
          <cell r="Y1127">
            <v>15440</v>
          </cell>
          <cell r="Z1127">
            <v>153523</v>
          </cell>
          <cell r="AA1127">
            <v>0</v>
          </cell>
          <cell r="AB1127">
            <v>153523</v>
          </cell>
        </row>
        <row r="1128">
          <cell r="A1128">
            <v>28</v>
          </cell>
          <cell r="B1128" t="str">
            <v>Széchenyi I.G.és Ip.Hirk.Szk.</v>
          </cell>
          <cell r="C1128">
            <v>1</v>
          </cell>
          <cell r="D1128" t="str">
            <v>00előirányzat</v>
          </cell>
          <cell r="G1128">
            <v>5900</v>
          </cell>
          <cell r="I1128">
            <v>113889</v>
          </cell>
          <cell r="P1128">
            <v>119789</v>
          </cell>
          <cell r="Q1128">
            <v>71455</v>
          </cell>
          <cell r="R1128">
            <v>29497</v>
          </cell>
          <cell r="S1128">
            <v>16337</v>
          </cell>
          <cell r="Y1128">
            <v>2500</v>
          </cell>
          <cell r="Z1128">
            <v>119789</v>
          </cell>
          <cell r="AA1128">
            <v>0</v>
          </cell>
          <cell r="AB1128">
            <v>119789</v>
          </cell>
        </row>
        <row r="1129">
          <cell r="D1129" t="str">
            <v>sh.</v>
          </cell>
          <cell r="G1129">
            <v>282</v>
          </cell>
          <cell r="M1129">
            <v>2682</v>
          </cell>
          <cell r="P1129">
            <v>2964</v>
          </cell>
          <cell r="S1129">
            <v>282</v>
          </cell>
          <cell r="X1129">
            <v>2682</v>
          </cell>
          <cell r="Z1129">
            <v>2964</v>
          </cell>
          <cell r="AA1129">
            <v>0</v>
          </cell>
          <cell r="AB1129">
            <v>2964</v>
          </cell>
        </row>
        <row r="1130">
          <cell r="C1130">
            <v>2</v>
          </cell>
          <cell r="D1130" t="str">
            <v>jóváhagyott pénzmaradvány</v>
          </cell>
          <cell r="N1130">
            <v>11247</v>
          </cell>
          <cell r="P1130">
            <v>11247</v>
          </cell>
          <cell r="Q1130">
            <v>147</v>
          </cell>
          <cell r="R1130">
            <v>24</v>
          </cell>
          <cell r="Y1130">
            <v>11076</v>
          </cell>
          <cell r="Z1130">
            <v>11247</v>
          </cell>
          <cell r="AA1130">
            <v>0</v>
          </cell>
          <cell r="AB1130">
            <v>11247</v>
          </cell>
        </row>
        <row r="1131">
          <cell r="C1131">
            <v>3</v>
          </cell>
          <cell r="D1131" t="str">
            <v>pm.terhelő bef.kötelezettség</v>
          </cell>
          <cell r="N1131">
            <v>1397</v>
          </cell>
          <cell r="P1131">
            <v>1397</v>
          </cell>
          <cell r="S1131">
            <v>1397</v>
          </cell>
          <cell r="Z1131">
            <v>1397</v>
          </cell>
          <cell r="AA1131">
            <v>0</v>
          </cell>
          <cell r="AB1131">
            <v>1397</v>
          </cell>
        </row>
        <row r="1132">
          <cell r="C1132">
            <v>9</v>
          </cell>
          <cell r="D1132" t="str">
            <v>ped.szakkönyv</v>
          </cell>
          <cell r="I1132">
            <v>596</v>
          </cell>
          <cell r="P1132">
            <v>596</v>
          </cell>
          <cell r="Q1132">
            <v>596</v>
          </cell>
          <cell r="Z1132">
            <v>596</v>
          </cell>
          <cell r="AA1132">
            <v>0</v>
          </cell>
          <cell r="AB1132">
            <v>596</v>
          </cell>
        </row>
        <row r="1133">
          <cell r="D1133" t="str">
            <v>sh.pm.</v>
          </cell>
          <cell r="P1133">
            <v>0</v>
          </cell>
          <cell r="S1133">
            <v>1247</v>
          </cell>
          <cell r="X1133">
            <v>10000</v>
          </cell>
          <cell r="Y1133">
            <v>-11247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D1134" t="str">
            <v>sh.</v>
          </cell>
          <cell r="J1134">
            <v>300</v>
          </cell>
          <cell r="P1134">
            <v>300</v>
          </cell>
          <cell r="S1134">
            <v>300</v>
          </cell>
          <cell r="Z1134">
            <v>300</v>
          </cell>
          <cell r="AA1134">
            <v>0</v>
          </cell>
          <cell r="AB1134">
            <v>300</v>
          </cell>
        </row>
        <row r="1135">
          <cell r="D1135" t="str">
            <v>sh.</v>
          </cell>
          <cell r="P1135">
            <v>0</v>
          </cell>
          <cell r="S1135">
            <v>2500</v>
          </cell>
          <cell r="Y1135">
            <v>-2500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C1136">
            <v>12</v>
          </cell>
          <cell r="D1136" t="str">
            <v>elvonás</v>
          </cell>
          <cell r="I1136">
            <v>-451</v>
          </cell>
          <cell r="P1136">
            <v>-451</v>
          </cell>
          <cell r="S1136">
            <v>-451</v>
          </cell>
          <cell r="Z1136">
            <v>-451</v>
          </cell>
          <cell r="AA1136">
            <v>0</v>
          </cell>
          <cell r="AB1136">
            <v>-451</v>
          </cell>
        </row>
        <row r="1137">
          <cell r="C1137">
            <v>13</v>
          </cell>
          <cell r="D1137" t="str">
            <v>bérfejlesztés</v>
          </cell>
          <cell r="I1137">
            <v>865</v>
          </cell>
          <cell r="P1137">
            <v>865</v>
          </cell>
          <cell r="Q1137">
            <v>636</v>
          </cell>
          <cell r="R1137">
            <v>229</v>
          </cell>
          <cell r="Z1137">
            <v>865</v>
          </cell>
          <cell r="AA1137">
            <v>0</v>
          </cell>
          <cell r="AB1137">
            <v>865</v>
          </cell>
        </row>
        <row r="1138">
          <cell r="C1138">
            <v>14</v>
          </cell>
          <cell r="D1138" t="str">
            <v>4% bérfejlesztés</v>
          </cell>
          <cell r="I1138">
            <v>-239</v>
          </cell>
          <cell r="P1138">
            <v>-239</v>
          </cell>
          <cell r="Q1138">
            <v>-176</v>
          </cell>
          <cell r="R1138">
            <v>-63</v>
          </cell>
          <cell r="Z1138">
            <v>-239</v>
          </cell>
          <cell r="AA1138">
            <v>0</v>
          </cell>
          <cell r="AB1138">
            <v>-239</v>
          </cell>
        </row>
        <row r="1139">
          <cell r="P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P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P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P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P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P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P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P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P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P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P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P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P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P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B1153" t="str">
            <v>Összesen</v>
          </cell>
          <cell r="D1153" t="str">
            <v>Széchenyi I.G.és Ip.Hirk.Szk.</v>
          </cell>
          <cell r="E1153">
            <v>0</v>
          </cell>
          <cell r="F1153">
            <v>0</v>
          </cell>
          <cell r="G1153">
            <v>6182</v>
          </cell>
          <cell r="H1153">
            <v>0</v>
          </cell>
          <cell r="I1153">
            <v>114660</v>
          </cell>
          <cell r="J1153">
            <v>300</v>
          </cell>
          <cell r="K1153">
            <v>0</v>
          </cell>
          <cell r="L1153">
            <v>0</v>
          </cell>
          <cell r="M1153">
            <v>2682</v>
          </cell>
          <cell r="N1153">
            <v>12644</v>
          </cell>
          <cell r="O1153">
            <v>0</v>
          </cell>
          <cell r="P1153">
            <v>136468</v>
          </cell>
          <cell r="Q1153">
            <v>72658</v>
          </cell>
          <cell r="R1153">
            <v>29687</v>
          </cell>
          <cell r="S1153">
            <v>21612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12682</v>
          </cell>
          <cell r="Y1153">
            <v>-171</v>
          </cell>
          <cell r="Z1153">
            <v>136468</v>
          </cell>
          <cell r="AA1153">
            <v>0</v>
          </cell>
          <cell r="AB1153">
            <v>136468</v>
          </cell>
        </row>
        <row r="1154">
          <cell r="A1154">
            <v>30</v>
          </cell>
          <cell r="B1154" t="str">
            <v>Zipernowsky K.Ipari Szakk.</v>
          </cell>
          <cell r="C1154">
            <v>1</v>
          </cell>
          <cell r="D1154" t="str">
            <v>00előirányzat</v>
          </cell>
          <cell r="E1154">
            <v>60</v>
          </cell>
          <cell r="G1154">
            <v>17400</v>
          </cell>
          <cell r="I1154">
            <v>177981</v>
          </cell>
          <cell r="P1154">
            <v>195441</v>
          </cell>
          <cell r="Q1154">
            <v>111996</v>
          </cell>
          <cell r="R1154">
            <v>44970</v>
          </cell>
          <cell r="S1154">
            <v>37928</v>
          </cell>
          <cell r="W1154">
            <v>547</v>
          </cell>
          <cell r="Z1154">
            <v>195441</v>
          </cell>
          <cell r="AA1154">
            <v>0</v>
          </cell>
          <cell r="AB1154">
            <v>195441</v>
          </cell>
        </row>
        <row r="1155">
          <cell r="C1155">
            <v>2</v>
          </cell>
          <cell r="D1155" t="str">
            <v>jóváhagyott pénzmaradvány</v>
          </cell>
          <cell r="N1155">
            <v>23962</v>
          </cell>
          <cell r="P1155">
            <v>23962</v>
          </cell>
          <cell r="Q1155">
            <v>1004</v>
          </cell>
          <cell r="R1155">
            <v>1072</v>
          </cell>
          <cell r="Y1155">
            <v>21886</v>
          </cell>
          <cell r="Z1155">
            <v>23962</v>
          </cell>
          <cell r="AA1155">
            <v>0</v>
          </cell>
          <cell r="AB1155">
            <v>23962</v>
          </cell>
        </row>
        <row r="1156">
          <cell r="C1156">
            <v>3</v>
          </cell>
          <cell r="D1156" t="str">
            <v>pm.terhelő bef.kötelezettség</v>
          </cell>
          <cell r="N1156">
            <v>995</v>
          </cell>
          <cell r="P1156">
            <v>995</v>
          </cell>
          <cell r="S1156">
            <v>995</v>
          </cell>
          <cell r="Z1156">
            <v>995</v>
          </cell>
          <cell r="AA1156">
            <v>0</v>
          </cell>
          <cell r="AB1156">
            <v>995</v>
          </cell>
        </row>
        <row r="1157">
          <cell r="C1157">
            <v>9</v>
          </cell>
          <cell r="D1157" t="str">
            <v>ped.szakkönyv</v>
          </cell>
          <cell r="I1157">
            <v>855</v>
          </cell>
          <cell r="P1157">
            <v>855</v>
          </cell>
          <cell r="Q1157">
            <v>855</v>
          </cell>
          <cell r="Z1157">
            <v>855</v>
          </cell>
          <cell r="AA1157">
            <v>0</v>
          </cell>
          <cell r="AB1157">
            <v>855</v>
          </cell>
        </row>
        <row r="1158">
          <cell r="C1158">
            <v>12</v>
          </cell>
          <cell r="D1158" t="str">
            <v>elvonás</v>
          </cell>
          <cell r="I1158">
            <v>-909</v>
          </cell>
          <cell r="P1158">
            <v>-909</v>
          </cell>
          <cell r="S1158">
            <v>-909</v>
          </cell>
          <cell r="Z1158">
            <v>-909</v>
          </cell>
          <cell r="AA1158">
            <v>0</v>
          </cell>
          <cell r="AB1158">
            <v>-909</v>
          </cell>
        </row>
        <row r="1159">
          <cell r="C1159">
            <v>13</v>
          </cell>
          <cell r="D1159" t="str">
            <v>bérfejlesztés</v>
          </cell>
          <cell r="I1159">
            <v>1609</v>
          </cell>
          <cell r="P1159">
            <v>1609</v>
          </cell>
          <cell r="Q1159">
            <v>1183</v>
          </cell>
          <cell r="R1159">
            <v>426</v>
          </cell>
          <cell r="Z1159">
            <v>1609</v>
          </cell>
          <cell r="AA1159">
            <v>0</v>
          </cell>
          <cell r="AB1159">
            <v>1609</v>
          </cell>
        </row>
        <row r="1160">
          <cell r="C1160">
            <v>14</v>
          </cell>
          <cell r="D1160" t="str">
            <v>4% bérfejlesztés</v>
          </cell>
          <cell r="I1160">
            <v>-445</v>
          </cell>
          <cell r="P1160">
            <v>-445</v>
          </cell>
          <cell r="Q1160">
            <v>-327</v>
          </cell>
          <cell r="R1160">
            <v>-118</v>
          </cell>
          <cell r="Z1160">
            <v>-445</v>
          </cell>
          <cell r="AA1160">
            <v>0</v>
          </cell>
          <cell r="AB1160">
            <v>-445</v>
          </cell>
        </row>
        <row r="1161">
          <cell r="P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P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P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P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P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P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P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P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P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P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P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P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P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P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P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B1176" t="str">
            <v>Összesen</v>
          </cell>
          <cell r="D1176" t="str">
            <v>Zipernowsky K.Ipari Szakk.</v>
          </cell>
          <cell r="E1176">
            <v>60</v>
          </cell>
          <cell r="F1176">
            <v>0</v>
          </cell>
          <cell r="G1176">
            <v>17400</v>
          </cell>
          <cell r="H1176">
            <v>0</v>
          </cell>
          <cell r="I1176">
            <v>179091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24957</v>
          </cell>
          <cell r="O1176">
            <v>0</v>
          </cell>
          <cell r="P1176">
            <v>221508</v>
          </cell>
          <cell r="Q1176">
            <v>114711</v>
          </cell>
          <cell r="R1176">
            <v>46350</v>
          </cell>
          <cell r="S1176">
            <v>38014</v>
          </cell>
          <cell r="T1176">
            <v>0</v>
          </cell>
          <cell r="U1176">
            <v>0</v>
          </cell>
          <cell r="V1176">
            <v>0</v>
          </cell>
          <cell r="W1176">
            <v>547</v>
          </cell>
          <cell r="X1176">
            <v>0</v>
          </cell>
          <cell r="Y1176">
            <v>21886</v>
          </cell>
          <cell r="Z1176">
            <v>221508</v>
          </cell>
          <cell r="AA1176">
            <v>0</v>
          </cell>
          <cell r="AB1176">
            <v>221508</v>
          </cell>
        </row>
        <row r="1177">
          <cell r="A1177">
            <v>31</v>
          </cell>
          <cell r="B1177" t="str">
            <v>Pollack M.Épitőipari Szakk.</v>
          </cell>
          <cell r="C1177">
            <v>1</v>
          </cell>
          <cell r="D1177" t="str">
            <v>00előirányzat</v>
          </cell>
          <cell r="E1177">
            <v>7041</v>
          </cell>
          <cell r="G1177">
            <v>18200</v>
          </cell>
          <cell r="I1177">
            <v>260893</v>
          </cell>
          <cell r="P1177">
            <v>286134</v>
          </cell>
          <cell r="Q1177">
            <v>153107</v>
          </cell>
          <cell r="R1177">
            <v>61041</v>
          </cell>
          <cell r="S1177">
            <v>70413</v>
          </cell>
          <cell r="W1177">
            <v>1573</v>
          </cell>
          <cell r="Z1177">
            <v>286134</v>
          </cell>
          <cell r="AA1177">
            <v>0</v>
          </cell>
          <cell r="AB1177">
            <v>286134</v>
          </cell>
        </row>
        <row r="1178">
          <cell r="C1178">
            <v>2</v>
          </cell>
          <cell r="D1178" t="str">
            <v>jóváhagyott pénzmaradvány</v>
          </cell>
          <cell r="N1178">
            <v>43103</v>
          </cell>
          <cell r="P1178">
            <v>43103</v>
          </cell>
          <cell r="Q1178">
            <v>68</v>
          </cell>
          <cell r="R1178">
            <v>24</v>
          </cell>
          <cell r="Y1178">
            <v>43011</v>
          </cell>
          <cell r="Z1178">
            <v>43103</v>
          </cell>
          <cell r="AA1178">
            <v>0</v>
          </cell>
          <cell r="AB1178">
            <v>43103</v>
          </cell>
        </row>
        <row r="1179">
          <cell r="C1179">
            <v>3</v>
          </cell>
          <cell r="D1179" t="str">
            <v>pm.terhelő bef.kötelezettség</v>
          </cell>
          <cell r="N1179">
            <v>5730</v>
          </cell>
          <cell r="P1179">
            <v>5730</v>
          </cell>
          <cell r="S1179">
            <v>5730</v>
          </cell>
          <cell r="Z1179">
            <v>5730</v>
          </cell>
          <cell r="AA1179">
            <v>0</v>
          </cell>
          <cell r="AB1179">
            <v>5730</v>
          </cell>
        </row>
        <row r="1180">
          <cell r="B1180" t="str">
            <v>21./2000.(03.06)</v>
          </cell>
          <cell r="D1180" t="str">
            <v>mód.</v>
          </cell>
          <cell r="I1180">
            <v>190</v>
          </cell>
          <cell r="P1180">
            <v>190</v>
          </cell>
          <cell r="S1180">
            <v>190</v>
          </cell>
          <cell r="Z1180">
            <v>190</v>
          </cell>
          <cell r="AA1180">
            <v>0</v>
          </cell>
          <cell r="AB1180">
            <v>190</v>
          </cell>
        </row>
        <row r="1181">
          <cell r="C1181">
            <v>9</v>
          </cell>
          <cell r="D1181" t="str">
            <v>ped.szakkönyv</v>
          </cell>
          <cell r="I1181">
            <v>968</v>
          </cell>
          <cell r="P1181">
            <v>968</v>
          </cell>
          <cell r="Q1181">
            <v>968</v>
          </cell>
          <cell r="Z1181">
            <v>968</v>
          </cell>
          <cell r="AA1181">
            <v>0</v>
          </cell>
          <cell r="AB1181">
            <v>968</v>
          </cell>
        </row>
        <row r="1182">
          <cell r="D1182" t="str">
            <v>Közoktatási Bizottság</v>
          </cell>
          <cell r="I1182">
            <v>-40</v>
          </cell>
          <cell r="P1182">
            <v>-40</v>
          </cell>
          <cell r="S1182">
            <v>-40</v>
          </cell>
          <cell r="Z1182">
            <v>-40</v>
          </cell>
          <cell r="AA1182">
            <v>0</v>
          </cell>
          <cell r="AB1182">
            <v>-40</v>
          </cell>
        </row>
        <row r="1183">
          <cell r="D1183" t="str">
            <v>sh.pm.</v>
          </cell>
          <cell r="P1183">
            <v>0</v>
          </cell>
          <cell r="X1183">
            <v>43011</v>
          </cell>
          <cell r="Y1183">
            <v>-43011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C1184">
            <v>12</v>
          </cell>
          <cell r="D1184" t="str">
            <v>elvonás</v>
          </cell>
          <cell r="I1184">
            <v>-1210</v>
          </cell>
          <cell r="P1184">
            <v>-1210</v>
          </cell>
          <cell r="S1184">
            <v>-1210</v>
          </cell>
          <cell r="Z1184">
            <v>-1210</v>
          </cell>
          <cell r="AA1184">
            <v>0</v>
          </cell>
          <cell r="AB1184">
            <v>-1210</v>
          </cell>
        </row>
        <row r="1185">
          <cell r="C1185">
            <v>13</v>
          </cell>
          <cell r="D1185" t="str">
            <v>bérfejlesztés</v>
          </cell>
          <cell r="I1185">
            <v>2695</v>
          </cell>
          <cell r="P1185">
            <v>2695</v>
          </cell>
          <cell r="Q1185">
            <v>1982</v>
          </cell>
          <cell r="R1185">
            <v>713</v>
          </cell>
          <cell r="Z1185">
            <v>2695</v>
          </cell>
          <cell r="AA1185">
            <v>0</v>
          </cell>
          <cell r="AB1185">
            <v>2695</v>
          </cell>
        </row>
        <row r="1186">
          <cell r="C1186">
            <v>14</v>
          </cell>
          <cell r="D1186" t="str">
            <v>4% bérfejlesztés</v>
          </cell>
          <cell r="I1186">
            <v>-745</v>
          </cell>
          <cell r="P1186">
            <v>-745</v>
          </cell>
          <cell r="Q1186">
            <v>-548</v>
          </cell>
          <cell r="R1186">
            <v>-197</v>
          </cell>
          <cell r="Z1186">
            <v>-745</v>
          </cell>
          <cell r="AA1186">
            <v>0</v>
          </cell>
          <cell r="AB1186">
            <v>-745</v>
          </cell>
        </row>
        <row r="1187">
          <cell r="D1187" t="str">
            <v>sh.</v>
          </cell>
          <cell r="J1187">
            <v>229</v>
          </cell>
          <cell r="M1187">
            <v>2520</v>
          </cell>
          <cell r="P1187">
            <v>2749</v>
          </cell>
          <cell r="Q1187">
            <v>168</v>
          </cell>
          <cell r="R1187">
            <v>61</v>
          </cell>
          <cell r="X1187">
            <v>2520</v>
          </cell>
          <cell r="Z1187">
            <v>2749</v>
          </cell>
          <cell r="AA1187">
            <v>0</v>
          </cell>
          <cell r="AB1187">
            <v>2749</v>
          </cell>
        </row>
        <row r="1188">
          <cell r="P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P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P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P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P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P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P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P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P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P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P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P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P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P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P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P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P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P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P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P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P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P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B1210" t="str">
            <v>Összesen</v>
          </cell>
          <cell r="D1210" t="str">
            <v>Pollack M.Épitőipari Szakk.</v>
          </cell>
          <cell r="E1210">
            <v>7041</v>
          </cell>
          <cell r="F1210">
            <v>0</v>
          </cell>
          <cell r="G1210">
            <v>18200</v>
          </cell>
          <cell r="H1210">
            <v>0</v>
          </cell>
          <cell r="I1210">
            <v>262751</v>
          </cell>
          <cell r="J1210">
            <v>229</v>
          </cell>
          <cell r="K1210">
            <v>0</v>
          </cell>
          <cell r="L1210">
            <v>0</v>
          </cell>
          <cell r="M1210">
            <v>2520</v>
          </cell>
          <cell r="N1210">
            <v>48833</v>
          </cell>
          <cell r="O1210">
            <v>0</v>
          </cell>
          <cell r="P1210">
            <v>339574</v>
          </cell>
          <cell r="Q1210">
            <v>155745</v>
          </cell>
          <cell r="R1210">
            <v>61642</v>
          </cell>
          <cell r="S1210">
            <v>75083</v>
          </cell>
          <cell r="T1210">
            <v>0</v>
          </cell>
          <cell r="U1210">
            <v>0</v>
          </cell>
          <cell r="V1210">
            <v>0</v>
          </cell>
          <cell r="W1210">
            <v>1573</v>
          </cell>
          <cell r="X1210">
            <v>45531</v>
          </cell>
          <cell r="Y1210">
            <v>0</v>
          </cell>
          <cell r="Z1210">
            <v>339574</v>
          </cell>
          <cell r="AA1210">
            <v>0</v>
          </cell>
          <cell r="AB1210">
            <v>339574</v>
          </cell>
        </row>
        <row r="1211">
          <cell r="A1211">
            <v>32</v>
          </cell>
          <cell r="B1211" t="str">
            <v>Radnóti M.Közgazd.Szakk.</v>
          </cell>
          <cell r="C1211">
            <v>1</v>
          </cell>
          <cell r="D1211" t="str">
            <v>00előirányzat</v>
          </cell>
          <cell r="E1211">
            <v>2300</v>
          </cell>
          <cell r="G1211">
            <v>1340</v>
          </cell>
          <cell r="I1211">
            <v>84904</v>
          </cell>
          <cell r="P1211">
            <v>88544</v>
          </cell>
          <cell r="Q1211">
            <v>53800</v>
          </cell>
          <cell r="R1211">
            <v>21963</v>
          </cell>
          <cell r="S1211">
            <v>12383</v>
          </cell>
          <cell r="W1211">
            <v>398</v>
          </cell>
          <cell r="Z1211">
            <v>88544</v>
          </cell>
          <cell r="AA1211">
            <v>0</v>
          </cell>
          <cell r="AB1211">
            <v>88544</v>
          </cell>
        </row>
        <row r="1212">
          <cell r="D1212" t="str">
            <v>sh.</v>
          </cell>
          <cell r="H1212">
            <v>70</v>
          </cell>
          <cell r="M1212">
            <v>332</v>
          </cell>
          <cell r="P1212">
            <v>402</v>
          </cell>
          <cell r="X1212">
            <v>402</v>
          </cell>
          <cell r="Z1212">
            <v>402</v>
          </cell>
          <cell r="AA1212">
            <v>0</v>
          </cell>
          <cell r="AB1212">
            <v>402</v>
          </cell>
        </row>
        <row r="1213">
          <cell r="C1213">
            <v>2</v>
          </cell>
          <cell r="D1213" t="str">
            <v>jóváhagyott pénzmaradvány</v>
          </cell>
          <cell r="N1213">
            <v>5304</v>
          </cell>
          <cell r="P1213">
            <v>5304</v>
          </cell>
          <cell r="Q1213">
            <v>387</v>
          </cell>
          <cell r="R1213">
            <v>118</v>
          </cell>
          <cell r="Y1213">
            <v>4799</v>
          </cell>
          <cell r="Z1213">
            <v>5304</v>
          </cell>
          <cell r="AA1213">
            <v>0</v>
          </cell>
          <cell r="AB1213">
            <v>5304</v>
          </cell>
        </row>
        <row r="1214">
          <cell r="C1214">
            <v>3</v>
          </cell>
          <cell r="D1214" t="str">
            <v>pm.terhelő bef.kötelezettség</v>
          </cell>
          <cell r="N1214">
            <v>533</v>
          </cell>
          <cell r="P1214">
            <v>533</v>
          </cell>
          <cell r="S1214">
            <v>533</v>
          </cell>
          <cell r="Z1214">
            <v>533</v>
          </cell>
          <cell r="AA1214">
            <v>0</v>
          </cell>
          <cell r="AB1214">
            <v>533</v>
          </cell>
        </row>
        <row r="1215">
          <cell r="C1215">
            <v>9</v>
          </cell>
          <cell r="D1215" t="str">
            <v>ped.szakkönyv</v>
          </cell>
          <cell r="I1215">
            <v>484</v>
          </cell>
          <cell r="P1215">
            <v>484</v>
          </cell>
          <cell r="Q1215">
            <v>484</v>
          </cell>
          <cell r="Z1215">
            <v>484</v>
          </cell>
          <cell r="AA1215">
            <v>0</v>
          </cell>
          <cell r="AB1215">
            <v>484</v>
          </cell>
        </row>
        <row r="1216">
          <cell r="C1216">
            <v>12</v>
          </cell>
          <cell r="D1216" t="str">
            <v>elvonás</v>
          </cell>
          <cell r="I1216">
            <v>-373</v>
          </cell>
          <cell r="P1216">
            <v>-373</v>
          </cell>
          <cell r="S1216">
            <v>-373</v>
          </cell>
          <cell r="Z1216">
            <v>-373</v>
          </cell>
          <cell r="AA1216">
            <v>0</v>
          </cell>
          <cell r="AB1216">
            <v>-373</v>
          </cell>
        </row>
        <row r="1217">
          <cell r="C1217">
            <v>13</v>
          </cell>
          <cell r="D1217" t="str">
            <v>bérfejlesztés</v>
          </cell>
          <cell r="I1217">
            <v>454</v>
          </cell>
          <cell r="P1217">
            <v>454</v>
          </cell>
          <cell r="Q1217">
            <v>334</v>
          </cell>
          <cell r="R1217">
            <v>120</v>
          </cell>
          <cell r="Z1217">
            <v>454</v>
          </cell>
          <cell r="AA1217">
            <v>0</v>
          </cell>
          <cell r="AB1217">
            <v>454</v>
          </cell>
        </row>
        <row r="1218">
          <cell r="C1218">
            <v>14</v>
          </cell>
          <cell r="D1218" t="str">
            <v>4% bérfejlesztés</v>
          </cell>
          <cell r="I1218">
            <v>-125</v>
          </cell>
          <cell r="P1218">
            <v>-125</v>
          </cell>
          <cell r="Q1218">
            <v>-92</v>
          </cell>
          <cell r="R1218">
            <v>-33</v>
          </cell>
          <cell r="Z1218">
            <v>-125</v>
          </cell>
          <cell r="AA1218">
            <v>0</v>
          </cell>
          <cell r="AB1218">
            <v>-125</v>
          </cell>
        </row>
        <row r="1219">
          <cell r="P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P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P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P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P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P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P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P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P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P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P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P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P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P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P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P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P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P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P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B1238" t="str">
            <v>Összesen</v>
          </cell>
          <cell r="D1238" t="str">
            <v>Radnóti M.Közgazd.Szakk.</v>
          </cell>
          <cell r="E1238">
            <v>2300</v>
          </cell>
          <cell r="F1238">
            <v>0</v>
          </cell>
          <cell r="G1238">
            <v>1340</v>
          </cell>
          <cell r="H1238">
            <v>70</v>
          </cell>
          <cell r="I1238">
            <v>85344</v>
          </cell>
          <cell r="J1238">
            <v>0</v>
          </cell>
          <cell r="K1238">
            <v>0</v>
          </cell>
          <cell r="L1238">
            <v>0</v>
          </cell>
          <cell r="M1238">
            <v>332</v>
          </cell>
          <cell r="N1238">
            <v>5837</v>
          </cell>
          <cell r="O1238">
            <v>0</v>
          </cell>
          <cell r="P1238">
            <v>95223</v>
          </cell>
          <cell r="Q1238">
            <v>54913</v>
          </cell>
          <cell r="R1238">
            <v>22168</v>
          </cell>
          <cell r="S1238">
            <v>12543</v>
          </cell>
          <cell r="T1238">
            <v>0</v>
          </cell>
          <cell r="U1238">
            <v>0</v>
          </cell>
          <cell r="V1238">
            <v>0</v>
          </cell>
          <cell r="W1238">
            <v>398</v>
          </cell>
          <cell r="X1238">
            <v>402</v>
          </cell>
          <cell r="Y1238">
            <v>4799</v>
          </cell>
          <cell r="Z1238">
            <v>95223</v>
          </cell>
          <cell r="AA1238">
            <v>0</v>
          </cell>
          <cell r="AB1238">
            <v>95223</v>
          </cell>
        </row>
        <row r="1239">
          <cell r="A1239">
            <v>33</v>
          </cell>
          <cell r="B1239" t="str">
            <v>Művészeti Szakközépiskola</v>
          </cell>
          <cell r="C1239">
            <v>1</v>
          </cell>
          <cell r="D1239" t="str">
            <v>00előirányzat</v>
          </cell>
          <cell r="G1239">
            <v>1100</v>
          </cell>
          <cell r="I1239">
            <v>118534</v>
          </cell>
          <cell r="P1239">
            <v>119634</v>
          </cell>
          <cell r="Q1239">
            <v>74452</v>
          </cell>
          <cell r="R1239">
            <v>29849</v>
          </cell>
          <cell r="S1239">
            <v>14214</v>
          </cell>
          <cell r="W1239">
            <v>19</v>
          </cell>
          <cell r="Y1239">
            <v>1100</v>
          </cell>
          <cell r="Z1239">
            <v>119634</v>
          </cell>
          <cell r="AA1239">
            <v>0</v>
          </cell>
          <cell r="AB1239">
            <v>119634</v>
          </cell>
        </row>
        <row r="1240">
          <cell r="C1240">
            <v>2</v>
          </cell>
          <cell r="D1240" t="str">
            <v>jóváhagyott pénzmaradvány</v>
          </cell>
          <cell r="N1240">
            <v>3785</v>
          </cell>
          <cell r="P1240">
            <v>3785</v>
          </cell>
          <cell r="Q1240">
            <v>50</v>
          </cell>
          <cell r="R1240">
            <v>18</v>
          </cell>
          <cell r="Y1240">
            <v>3717</v>
          </cell>
          <cell r="Z1240">
            <v>3785</v>
          </cell>
          <cell r="AA1240">
            <v>0</v>
          </cell>
          <cell r="AB1240">
            <v>3785</v>
          </cell>
        </row>
        <row r="1241">
          <cell r="C1241">
            <v>3</v>
          </cell>
          <cell r="D1241" t="str">
            <v>pm.terhelő bef.kötelezettség</v>
          </cell>
          <cell r="N1241">
            <v>2029</v>
          </cell>
          <cell r="P1241">
            <v>2029</v>
          </cell>
          <cell r="S1241">
            <v>2029</v>
          </cell>
          <cell r="Z1241">
            <v>2029</v>
          </cell>
          <cell r="AA1241">
            <v>0</v>
          </cell>
          <cell r="AB1241">
            <v>2029</v>
          </cell>
        </row>
        <row r="1242">
          <cell r="C1242">
            <v>9</v>
          </cell>
          <cell r="D1242" t="str">
            <v>ped.szakkönyv</v>
          </cell>
          <cell r="I1242">
            <v>833</v>
          </cell>
          <cell r="P1242">
            <v>833</v>
          </cell>
          <cell r="Q1242">
            <v>833</v>
          </cell>
          <cell r="Z1242">
            <v>833</v>
          </cell>
          <cell r="AA1242">
            <v>0</v>
          </cell>
          <cell r="AB1242">
            <v>833</v>
          </cell>
        </row>
        <row r="1243">
          <cell r="C1243">
            <v>12</v>
          </cell>
          <cell r="D1243" t="str">
            <v>elvonás</v>
          </cell>
          <cell r="I1243">
            <v>-775</v>
          </cell>
          <cell r="P1243">
            <v>-775</v>
          </cell>
          <cell r="S1243">
            <v>-775</v>
          </cell>
          <cell r="Z1243">
            <v>-775</v>
          </cell>
          <cell r="AA1243">
            <v>0</v>
          </cell>
          <cell r="AB1243">
            <v>-775</v>
          </cell>
        </row>
        <row r="1244">
          <cell r="C1244">
            <v>13</v>
          </cell>
          <cell r="D1244" t="str">
            <v>bérfejlesztés</v>
          </cell>
          <cell r="I1244">
            <v>597</v>
          </cell>
          <cell r="P1244">
            <v>597</v>
          </cell>
          <cell r="Q1244">
            <v>439</v>
          </cell>
          <cell r="R1244">
            <v>158</v>
          </cell>
          <cell r="Z1244">
            <v>597</v>
          </cell>
          <cell r="AA1244">
            <v>0</v>
          </cell>
          <cell r="AB1244">
            <v>597</v>
          </cell>
        </row>
        <row r="1245">
          <cell r="C1245">
            <v>14</v>
          </cell>
          <cell r="D1245" t="str">
            <v>4% bérfejlesztés</v>
          </cell>
          <cell r="I1245">
            <v>-165</v>
          </cell>
          <cell r="P1245">
            <v>-165</v>
          </cell>
          <cell r="Q1245">
            <v>-121</v>
          </cell>
          <cell r="R1245">
            <v>-44</v>
          </cell>
          <cell r="Z1245">
            <v>-165</v>
          </cell>
          <cell r="AA1245">
            <v>0</v>
          </cell>
          <cell r="AB1245">
            <v>-165</v>
          </cell>
        </row>
        <row r="1246">
          <cell r="P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P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P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P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P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P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P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P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P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P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P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P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P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P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P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P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P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P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P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P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P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B1267" t="str">
            <v>Összesen</v>
          </cell>
          <cell r="D1267" t="str">
            <v>Művészeti Szakközépiskola</v>
          </cell>
          <cell r="E1267">
            <v>0</v>
          </cell>
          <cell r="F1267">
            <v>0</v>
          </cell>
          <cell r="G1267">
            <v>1100</v>
          </cell>
          <cell r="H1267">
            <v>0</v>
          </cell>
          <cell r="I1267">
            <v>119024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5814</v>
          </cell>
          <cell r="O1267">
            <v>0</v>
          </cell>
          <cell r="P1267">
            <v>125938</v>
          </cell>
          <cell r="Q1267">
            <v>75653</v>
          </cell>
          <cell r="R1267">
            <v>29981</v>
          </cell>
          <cell r="S1267">
            <v>15468</v>
          </cell>
          <cell r="T1267">
            <v>0</v>
          </cell>
          <cell r="U1267">
            <v>0</v>
          </cell>
          <cell r="V1267">
            <v>0</v>
          </cell>
          <cell r="W1267">
            <v>19</v>
          </cell>
          <cell r="X1267">
            <v>0</v>
          </cell>
          <cell r="Y1267">
            <v>4817</v>
          </cell>
          <cell r="Z1267">
            <v>125938</v>
          </cell>
          <cell r="AA1267">
            <v>0</v>
          </cell>
          <cell r="AB1267">
            <v>125938</v>
          </cell>
        </row>
        <row r="1268">
          <cell r="A1268">
            <v>34</v>
          </cell>
          <cell r="B1268" t="str">
            <v>Janus P.Gimn.és Szakk.</v>
          </cell>
          <cell r="C1268">
            <v>1</v>
          </cell>
          <cell r="D1268" t="str">
            <v>00előirányzat</v>
          </cell>
          <cell r="G1268">
            <v>1000</v>
          </cell>
          <cell r="I1268">
            <v>104361</v>
          </cell>
          <cell r="P1268">
            <v>105361</v>
          </cell>
          <cell r="Q1268">
            <v>62252</v>
          </cell>
          <cell r="R1268">
            <v>25528</v>
          </cell>
          <cell r="S1268">
            <v>17437</v>
          </cell>
          <cell r="W1268">
            <v>24</v>
          </cell>
          <cell r="Y1268">
            <v>120</v>
          </cell>
          <cell r="Z1268">
            <v>105361</v>
          </cell>
          <cell r="AA1268">
            <v>0</v>
          </cell>
          <cell r="AB1268">
            <v>105361</v>
          </cell>
        </row>
        <row r="1269">
          <cell r="C1269">
            <v>2</v>
          </cell>
          <cell r="D1269" t="str">
            <v>jóváhagyott pénzmaradvány</v>
          </cell>
          <cell r="N1269">
            <v>1082</v>
          </cell>
          <cell r="P1269">
            <v>1082</v>
          </cell>
          <cell r="Q1269">
            <v>112</v>
          </cell>
          <cell r="R1269">
            <v>18</v>
          </cell>
          <cell r="Y1269">
            <v>952</v>
          </cell>
          <cell r="Z1269">
            <v>1082</v>
          </cell>
          <cell r="AA1269">
            <v>0</v>
          </cell>
          <cell r="AB1269">
            <v>1082</v>
          </cell>
        </row>
        <row r="1270">
          <cell r="C1270">
            <v>3</v>
          </cell>
          <cell r="D1270" t="str">
            <v>pm.terhelő bef.kötelezettség</v>
          </cell>
          <cell r="N1270">
            <v>954</v>
          </cell>
          <cell r="P1270">
            <v>954</v>
          </cell>
          <cell r="S1270">
            <v>954</v>
          </cell>
          <cell r="Z1270">
            <v>954</v>
          </cell>
          <cell r="AA1270">
            <v>0</v>
          </cell>
          <cell r="AB1270">
            <v>954</v>
          </cell>
        </row>
        <row r="1271">
          <cell r="C1271">
            <v>9</v>
          </cell>
          <cell r="D1271" t="str">
            <v>ped.szakkönyv</v>
          </cell>
          <cell r="I1271">
            <v>518</v>
          </cell>
          <cell r="P1271">
            <v>518</v>
          </cell>
          <cell r="Q1271">
            <v>518</v>
          </cell>
          <cell r="Z1271">
            <v>518</v>
          </cell>
          <cell r="AA1271">
            <v>0</v>
          </cell>
          <cell r="AB1271">
            <v>518</v>
          </cell>
        </row>
        <row r="1272">
          <cell r="C1272">
            <v>12</v>
          </cell>
          <cell r="D1272" t="str">
            <v>elvonás</v>
          </cell>
          <cell r="I1272">
            <v>-261</v>
          </cell>
          <cell r="P1272">
            <v>-261</v>
          </cell>
          <cell r="S1272">
            <v>-261</v>
          </cell>
          <cell r="Z1272">
            <v>-261</v>
          </cell>
          <cell r="AA1272">
            <v>0</v>
          </cell>
          <cell r="AB1272">
            <v>-261</v>
          </cell>
        </row>
        <row r="1273">
          <cell r="C1273">
            <v>13</v>
          </cell>
          <cell r="D1273" t="str">
            <v>bérfejlesztés</v>
          </cell>
          <cell r="I1273">
            <v>540</v>
          </cell>
          <cell r="P1273">
            <v>540</v>
          </cell>
          <cell r="Q1273">
            <v>397</v>
          </cell>
          <cell r="R1273">
            <v>143</v>
          </cell>
          <cell r="Z1273">
            <v>540</v>
          </cell>
          <cell r="AA1273">
            <v>0</v>
          </cell>
          <cell r="AB1273">
            <v>540</v>
          </cell>
        </row>
        <row r="1274">
          <cell r="C1274">
            <v>14</v>
          </cell>
          <cell r="D1274" t="str">
            <v>4% bérfejlesztés</v>
          </cell>
          <cell r="I1274">
            <v>-150</v>
          </cell>
          <cell r="P1274">
            <v>-150</v>
          </cell>
          <cell r="Q1274">
            <v>-110</v>
          </cell>
          <cell r="R1274">
            <v>-40</v>
          </cell>
          <cell r="Z1274">
            <v>-150</v>
          </cell>
          <cell r="AA1274">
            <v>0</v>
          </cell>
          <cell r="AB1274">
            <v>-150</v>
          </cell>
        </row>
        <row r="1275">
          <cell r="P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P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P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P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P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P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P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P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P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P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P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P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P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P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P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P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P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P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B1293" t="str">
            <v>Összesen</v>
          </cell>
          <cell r="D1293" t="str">
            <v>Janus P.Gimn.és Szakk.</v>
          </cell>
          <cell r="E1293">
            <v>0</v>
          </cell>
          <cell r="F1293">
            <v>0</v>
          </cell>
          <cell r="G1293">
            <v>1000</v>
          </cell>
          <cell r="H1293">
            <v>0</v>
          </cell>
          <cell r="I1293">
            <v>105008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2036</v>
          </cell>
          <cell r="O1293">
            <v>0</v>
          </cell>
          <cell r="P1293">
            <v>108044</v>
          </cell>
          <cell r="Q1293">
            <v>63169</v>
          </cell>
          <cell r="R1293">
            <v>25649</v>
          </cell>
          <cell r="S1293">
            <v>18130</v>
          </cell>
          <cell r="T1293">
            <v>0</v>
          </cell>
          <cell r="U1293">
            <v>0</v>
          </cell>
          <cell r="V1293">
            <v>0</v>
          </cell>
          <cell r="W1293">
            <v>24</v>
          </cell>
          <cell r="X1293">
            <v>0</v>
          </cell>
          <cell r="Y1293">
            <v>1072</v>
          </cell>
          <cell r="Z1293">
            <v>108044</v>
          </cell>
          <cell r="AA1293">
            <v>0</v>
          </cell>
          <cell r="AB1293">
            <v>108044</v>
          </cell>
        </row>
        <row r="1294">
          <cell r="A1294">
            <v>35</v>
          </cell>
          <cell r="B1294" t="str">
            <v>Pécsi Szociális és Eü. Szakképző Isk.</v>
          </cell>
          <cell r="C1294">
            <v>1</v>
          </cell>
          <cell r="D1294" t="str">
            <v>00előirányzat</v>
          </cell>
          <cell r="E1294">
            <v>4200</v>
          </cell>
          <cell r="I1294">
            <v>76872</v>
          </cell>
          <cell r="P1294">
            <v>81072</v>
          </cell>
          <cell r="Q1294">
            <v>50285</v>
          </cell>
          <cell r="R1294">
            <v>20025</v>
          </cell>
          <cell r="S1294">
            <v>10051</v>
          </cell>
          <cell r="W1294">
            <v>711</v>
          </cell>
          <cell r="Z1294">
            <v>81072</v>
          </cell>
          <cell r="AA1294">
            <v>0</v>
          </cell>
          <cell r="AB1294">
            <v>81072</v>
          </cell>
        </row>
        <row r="1295">
          <cell r="C1295">
            <v>2</v>
          </cell>
          <cell r="D1295" t="str">
            <v>jóváhagyott pénzmaradvány</v>
          </cell>
          <cell r="N1295">
            <v>3098</v>
          </cell>
          <cell r="P1295">
            <v>3098</v>
          </cell>
          <cell r="Q1295">
            <v>2278</v>
          </cell>
          <cell r="R1295">
            <v>820</v>
          </cell>
          <cell r="Z1295">
            <v>3098</v>
          </cell>
          <cell r="AA1295">
            <v>0</v>
          </cell>
          <cell r="AB1295">
            <v>3098</v>
          </cell>
        </row>
        <row r="1296">
          <cell r="C1296">
            <v>3</v>
          </cell>
          <cell r="D1296" t="str">
            <v>pm.terhelő bef.kötelezettség</v>
          </cell>
          <cell r="N1296">
            <v>2373</v>
          </cell>
          <cell r="P1296">
            <v>2373</v>
          </cell>
          <cell r="S1296">
            <v>2373</v>
          </cell>
          <cell r="Z1296">
            <v>2373</v>
          </cell>
          <cell r="AA1296">
            <v>0</v>
          </cell>
          <cell r="AB1296">
            <v>2373</v>
          </cell>
        </row>
        <row r="1297">
          <cell r="C1297">
            <v>9</v>
          </cell>
          <cell r="D1297" t="str">
            <v>ped.szakkönyv</v>
          </cell>
          <cell r="I1297">
            <v>338</v>
          </cell>
          <cell r="P1297">
            <v>338</v>
          </cell>
          <cell r="Q1297">
            <v>338</v>
          </cell>
          <cell r="Z1297">
            <v>338</v>
          </cell>
          <cell r="AA1297">
            <v>0</v>
          </cell>
          <cell r="AB1297">
            <v>338</v>
          </cell>
        </row>
        <row r="1298">
          <cell r="C1298">
            <v>12</v>
          </cell>
          <cell r="D1298" t="str">
            <v>elvonás</v>
          </cell>
          <cell r="I1298">
            <v>-711</v>
          </cell>
          <cell r="P1298">
            <v>-711</v>
          </cell>
          <cell r="S1298">
            <v>-711</v>
          </cell>
          <cell r="Z1298">
            <v>-711</v>
          </cell>
          <cell r="AA1298">
            <v>0</v>
          </cell>
          <cell r="AB1298">
            <v>-711</v>
          </cell>
        </row>
        <row r="1299">
          <cell r="C1299">
            <v>13</v>
          </cell>
          <cell r="D1299" t="str">
            <v>bérfejlesztés</v>
          </cell>
          <cell r="I1299">
            <v>891</v>
          </cell>
          <cell r="P1299">
            <v>891</v>
          </cell>
          <cell r="Q1299">
            <v>655</v>
          </cell>
          <cell r="R1299">
            <v>236</v>
          </cell>
          <cell r="Z1299">
            <v>891</v>
          </cell>
          <cell r="AA1299">
            <v>0</v>
          </cell>
          <cell r="AB1299">
            <v>891</v>
          </cell>
        </row>
        <row r="1300">
          <cell r="C1300">
            <v>14</v>
          </cell>
          <cell r="D1300" t="str">
            <v>4% bérfejlesztés</v>
          </cell>
          <cell r="I1300">
            <v>-246</v>
          </cell>
          <cell r="P1300">
            <v>-246</v>
          </cell>
          <cell r="Q1300">
            <v>-181</v>
          </cell>
          <cell r="R1300">
            <v>-65</v>
          </cell>
          <cell r="Z1300">
            <v>-246</v>
          </cell>
          <cell r="AA1300">
            <v>0</v>
          </cell>
          <cell r="AB1300">
            <v>-246</v>
          </cell>
        </row>
        <row r="1301">
          <cell r="P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P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P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P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P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P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P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P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P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P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P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P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P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B1314" t="str">
            <v>Összesen</v>
          </cell>
          <cell r="D1314" t="str">
            <v>Pécsi Szociális és Eü. Szakképző Isk.</v>
          </cell>
          <cell r="E1314">
            <v>4200</v>
          </cell>
          <cell r="F1314">
            <v>0</v>
          </cell>
          <cell r="G1314">
            <v>0</v>
          </cell>
          <cell r="H1314">
            <v>0</v>
          </cell>
          <cell r="I1314">
            <v>77144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5471</v>
          </cell>
          <cell r="O1314">
            <v>0</v>
          </cell>
          <cell r="P1314">
            <v>86815</v>
          </cell>
          <cell r="Q1314">
            <v>53375</v>
          </cell>
          <cell r="R1314">
            <v>21016</v>
          </cell>
          <cell r="S1314">
            <v>11713</v>
          </cell>
          <cell r="T1314">
            <v>0</v>
          </cell>
          <cell r="U1314">
            <v>0</v>
          </cell>
          <cell r="V1314">
            <v>0</v>
          </cell>
          <cell r="W1314">
            <v>711</v>
          </cell>
          <cell r="X1314">
            <v>0</v>
          </cell>
          <cell r="Y1314">
            <v>0</v>
          </cell>
          <cell r="Z1314">
            <v>86815</v>
          </cell>
          <cell r="AA1314">
            <v>0</v>
          </cell>
          <cell r="AB1314">
            <v>86815</v>
          </cell>
        </row>
        <row r="1315">
          <cell r="A1315">
            <v>36</v>
          </cell>
          <cell r="B1315" t="str">
            <v>Teleki B.K.-isk. Kollégium</v>
          </cell>
          <cell r="C1315">
            <v>1</v>
          </cell>
          <cell r="D1315" t="str">
            <v>00előirányzat</v>
          </cell>
          <cell r="E1315">
            <v>11910</v>
          </cell>
          <cell r="G1315">
            <v>7953</v>
          </cell>
          <cell r="I1315">
            <v>68798</v>
          </cell>
          <cell r="P1315">
            <v>88661</v>
          </cell>
          <cell r="Q1315">
            <v>36620</v>
          </cell>
          <cell r="R1315">
            <v>15074</v>
          </cell>
          <cell r="S1315">
            <v>36882</v>
          </cell>
          <cell r="W1315">
            <v>85</v>
          </cell>
          <cell r="Z1315">
            <v>88661</v>
          </cell>
          <cell r="AA1315">
            <v>0</v>
          </cell>
          <cell r="AB1315">
            <v>88661</v>
          </cell>
        </row>
        <row r="1316">
          <cell r="C1316">
            <v>2</v>
          </cell>
          <cell r="D1316" t="str">
            <v>jóváhagyott pénzmaradvány</v>
          </cell>
          <cell r="N1316">
            <v>334</v>
          </cell>
          <cell r="P1316">
            <v>334</v>
          </cell>
          <cell r="Q1316">
            <v>330</v>
          </cell>
          <cell r="R1316">
            <v>18</v>
          </cell>
          <cell r="S1316">
            <v>-14</v>
          </cell>
          <cell r="Z1316">
            <v>334</v>
          </cell>
          <cell r="AA1316">
            <v>0</v>
          </cell>
          <cell r="AB1316">
            <v>334</v>
          </cell>
        </row>
        <row r="1317">
          <cell r="C1317">
            <v>3</v>
          </cell>
          <cell r="D1317" t="str">
            <v>pm.terhelő bef.kötelezettség</v>
          </cell>
          <cell r="N1317">
            <v>25</v>
          </cell>
          <cell r="P1317">
            <v>25</v>
          </cell>
          <cell r="S1317">
            <v>25</v>
          </cell>
          <cell r="Z1317">
            <v>25</v>
          </cell>
          <cell r="AA1317">
            <v>0</v>
          </cell>
          <cell r="AB1317">
            <v>25</v>
          </cell>
        </row>
        <row r="1318">
          <cell r="C1318">
            <v>9</v>
          </cell>
          <cell r="D1318" t="str">
            <v>ped.szakkönyv</v>
          </cell>
          <cell r="I1318">
            <v>180</v>
          </cell>
          <cell r="P1318">
            <v>180</v>
          </cell>
          <cell r="Q1318">
            <v>180</v>
          </cell>
          <cell r="Z1318">
            <v>180</v>
          </cell>
          <cell r="AA1318">
            <v>0</v>
          </cell>
          <cell r="AB1318">
            <v>180</v>
          </cell>
        </row>
        <row r="1319">
          <cell r="C1319">
            <v>12</v>
          </cell>
          <cell r="D1319" t="str">
            <v>elvonás</v>
          </cell>
          <cell r="I1319">
            <v>-900</v>
          </cell>
          <cell r="P1319">
            <v>-900</v>
          </cell>
          <cell r="S1319">
            <v>-900</v>
          </cell>
          <cell r="Z1319">
            <v>-900</v>
          </cell>
          <cell r="AA1319">
            <v>0</v>
          </cell>
          <cell r="AB1319">
            <v>-900</v>
          </cell>
        </row>
        <row r="1320">
          <cell r="C1320">
            <v>13</v>
          </cell>
          <cell r="D1320" t="str">
            <v>bérfejlesztés</v>
          </cell>
          <cell r="I1320">
            <v>1099</v>
          </cell>
          <cell r="P1320">
            <v>1099</v>
          </cell>
          <cell r="Q1320">
            <v>808</v>
          </cell>
          <cell r="R1320">
            <v>291</v>
          </cell>
          <cell r="Z1320">
            <v>1099</v>
          </cell>
          <cell r="AA1320">
            <v>0</v>
          </cell>
          <cell r="AB1320">
            <v>1099</v>
          </cell>
        </row>
        <row r="1321">
          <cell r="C1321">
            <v>14</v>
          </cell>
          <cell r="D1321" t="str">
            <v>4% bérfejlesztés</v>
          </cell>
          <cell r="I1321">
            <v>-303</v>
          </cell>
          <cell r="P1321">
            <v>-303</v>
          </cell>
          <cell r="Q1321">
            <v>-223</v>
          </cell>
          <cell r="R1321">
            <v>-80</v>
          </cell>
          <cell r="Z1321">
            <v>-303</v>
          </cell>
          <cell r="AA1321">
            <v>0</v>
          </cell>
          <cell r="AB1321">
            <v>-303</v>
          </cell>
        </row>
        <row r="1322">
          <cell r="P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P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P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P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P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P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P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P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P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P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P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P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P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P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P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P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P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B1339" t="str">
            <v>Összesen</v>
          </cell>
          <cell r="D1339" t="str">
            <v>Teleki B.K.-isk. Kollégium</v>
          </cell>
          <cell r="E1339">
            <v>11910</v>
          </cell>
          <cell r="F1339">
            <v>0</v>
          </cell>
          <cell r="G1339">
            <v>7953</v>
          </cell>
          <cell r="H1339">
            <v>0</v>
          </cell>
          <cell r="I1339">
            <v>68874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359</v>
          </cell>
          <cell r="O1339">
            <v>0</v>
          </cell>
          <cell r="P1339">
            <v>89096</v>
          </cell>
          <cell r="Q1339">
            <v>37715</v>
          </cell>
          <cell r="R1339">
            <v>15303</v>
          </cell>
          <cell r="S1339">
            <v>35993</v>
          </cell>
          <cell r="T1339">
            <v>0</v>
          </cell>
          <cell r="U1339">
            <v>0</v>
          </cell>
          <cell r="V1339">
            <v>0</v>
          </cell>
          <cell r="W1339">
            <v>85</v>
          </cell>
          <cell r="X1339">
            <v>0</v>
          </cell>
          <cell r="Y1339">
            <v>0</v>
          </cell>
          <cell r="Z1339">
            <v>89096</v>
          </cell>
          <cell r="AA1339">
            <v>0</v>
          </cell>
          <cell r="AB1339">
            <v>89096</v>
          </cell>
        </row>
        <row r="1340">
          <cell r="A1340">
            <v>38</v>
          </cell>
          <cell r="B1340" t="str">
            <v>Kodály Z.uti Középisk.Koll.</v>
          </cell>
          <cell r="C1340">
            <v>1</v>
          </cell>
          <cell r="D1340" t="str">
            <v>00előirányzat</v>
          </cell>
          <cell r="E1340">
            <v>14139</v>
          </cell>
          <cell r="G1340">
            <v>7137</v>
          </cell>
          <cell r="I1340">
            <v>77210</v>
          </cell>
          <cell r="P1340">
            <v>98486</v>
          </cell>
          <cell r="Q1340">
            <v>38102</v>
          </cell>
          <cell r="R1340">
            <v>15851</v>
          </cell>
          <cell r="S1340">
            <v>43403</v>
          </cell>
          <cell r="W1340">
            <v>144</v>
          </cell>
          <cell r="Y1340">
            <v>986</v>
          </cell>
          <cell r="Z1340">
            <v>98486</v>
          </cell>
          <cell r="AA1340">
            <v>0</v>
          </cell>
          <cell r="AB1340">
            <v>98486</v>
          </cell>
        </row>
        <row r="1341">
          <cell r="C1341">
            <v>2</v>
          </cell>
          <cell r="D1341" t="str">
            <v>jóváhagyott pénzmaradvány</v>
          </cell>
          <cell r="N1341">
            <v>-1185</v>
          </cell>
          <cell r="P1341">
            <v>-1185</v>
          </cell>
          <cell r="Q1341">
            <v>50</v>
          </cell>
          <cell r="R1341">
            <v>18</v>
          </cell>
          <cell r="S1341">
            <v>-1253</v>
          </cell>
          <cell r="Z1341">
            <v>-1185</v>
          </cell>
          <cell r="AA1341">
            <v>0</v>
          </cell>
          <cell r="AB1341">
            <v>-1185</v>
          </cell>
        </row>
        <row r="1342">
          <cell r="C1342">
            <v>3</v>
          </cell>
          <cell r="D1342" t="str">
            <v>pm.terhelő bef.kötelezettség</v>
          </cell>
          <cell r="N1342">
            <v>1436</v>
          </cell>
          <cell r="P1342">
            <v>1436</v>
          </cell>
          <cell r="S1342">
            <v>1436</v>
          </cell>
          <cell r="Z1342">
            <v>1436</v>
          </cell>
          <cell r="AA1342">
            <v>0</v>
          </cell>
          <cell r="AB1342">
            <v>1436</v>
          </cell>
        </row>
        <row r="1343">
          <cell r="C1343">
            <v>9</v>
          </cell>
          <cell r="D1343" t="str">
            <v>ped.szakkönyv</v>
          </cell>
          <cell r="I1343">
            <v>225</v>
          </cell>
          <cell r="P1343">
            <v>225</v>
          </cell>
          <cell r="Q1343">
            <v>225</v>
          </cell>
          <cell r="Z1343">
            <v>225</v>
          </cell>
          <cell r="AA1343">
            <v>0</v>
          </cell>
          <cell r="AB1343">
            <v>225</v>
          </cell>
        </row>
        <row r="1344">
          <cell r="C1344">
            <v>12</v>
          </cell>
          <cell r="D1344" t="str">
            <v>elvonás</v>
          </cell>
          <cell r="I1344">
            <v>-1562</v>
          </cell>
          <cell r="P1344">
            <v>-1562</v>
          </cell>
          <cell r="S1344">
            <v>-1562</v>
          </cell>
          <cell r="Z1344">
            <v>-1562</v>
          </cell>
          <cell r="AA1344">
            <v>0</v>
          </cell>
          <cell r="AB1344">
            <v>-1562</v>
          </cell>
        </row>
        <row r="1345">
          <cell r="C1345">
            <v>13</v>
          </cell>
          <cell r="D1345" t="str">
            <v>bérfejlesztés</v>
          </cell>
          <cell r="I1345">
            <v>1244</v>
          </cell>
          <cell r="P1345">
            <v>1244</v>
          </cell>
          <cell r="Q1345">
            <v>915</v>
          </cell>
          <cell r="R1345">
            <v>329</v>
          </cell>
          <cell r="Z1345">
            <v>1244</v>
          </cell>
          <cell r="AA1345">
            <v>0</v>
          </cell>
          <cell r="AB1345">
            <v>1244</v>
          </cell>
        </row>
        <row r="1346">
          <cell r="C1346">
            <v>14</v>
          </cell>
          <cell r="D1346" t="str">
            <v>4% bérfejlesztés</v>
          </cell>
          <cell r="I1346">
            <v>-344</v>
          </cell>
          <cell r="P1346">
            <v>-344</v>
          </cell>
          <cell r="Q1346">
            <v>-253</v>
          </cell>
          <cell r="R1346">
            <v>-91</v>
          </cell>
          <cell r="Z1346">
            <v>-344</v>
          </cell>
          <cell r="AA1346">
            <v>0</v>
          </cell>
          <cell r="AB1346">
            <v>-344</v>
          </cell>
        </row>
        <row r="1347">
          <cell r="P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P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P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P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P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P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P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P1354">
            <v>0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P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P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P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P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B1359" t="str">
            <v>Összesen</v>
          </cell>
          <cell r="D1359" t="str">
            <v>Kodály Z.uti Középisk.Koll.</v>
          </cell>
          <cell r="E1359">
            <v>14139</v>
          </cell>
          <cell r="F1359">
            <v>0</v>
          </cell>
          <cell r="G1359">
            <v>7137</v>
          </cell>
          <cell r="H1359">
            <v>0</v>
          </cell>
          <cell r="I1359">
            <v>76773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251</v>
          </cell>
          <cell r="O1359">
            <v>0</v>
          </cell>
          <cell r="P1359">
            <v>98300</v>
          </cell>
          <cell r="Q1359">
            <v>39039</v>
          </cell>
          <cell r="R1359">
            <v>16107</v>
          </cell>
          <cell r="S1359">
            <v>42024</v>
          </cell>
          <cell r="T1359">
            <v>0</v>
          </cell>
          <cell r="U1359">
            <v>0</v>
          </cell>
          <cell r="V1359">
            <v>0</v>
          </cell>
          <cell r="W1359">
            <v>144</v>
          </cell>
          <cell r="X1359">
            <v>0</v>
          </cell>
          <cell r="Y1359">
            <v>986</v>
          </cell>
          <cell r="Z1359">
            <v>98300</v>
          </cell>
          <cell r="AA1359">
            <v>0</v>
          </cell>
          <cell r="AB1359">
            <v>98300</v>
          </cell>
        </row>
        <row r="1360">
          <cell r="A1360">
            <v>39</v>
          </cell>
          <cell r="B1360" t="str">
            <v>Hajnóczy J.Középiskolai Koll.</v>
          </cell>
          <cell r="C1360">
            <v>1</v>
          </cell>
          <cell r="D1360" t="str">
            <v>00előirányzat</v>
          </cell>
          <cell r="E1360">
            <v>21580</v>
          </cell>
          <cell r="G1360">
            <v>18000</v>
          </cell>
          <cell r="I1360">
            <v>132154</v>
          </cell>
          <cell r="P1360">
            <v>171734</v>
          </cell>
          <cell r="Q1360">
            <v>71426</v>
          </cell>
          <cell r="R1360">
            <v>29793</v>
          </cell>
          <cell r="S1360">
            <v>70390</v>
          </cell>
          <cell r="W1360">
            <v>125</v>
          </cell>
          <cell r="Z1360">
            <v>171734</v>
          </cell>
          <cell r="AA1360">
            <v>0</v>
          </cell>
          <cell r="AB1360">
            <v>171734</v>
          </cell>
        </row>
        <row r="1361">
          <cell r="C1361">
            <v>2</v>
          </cell>
          <cell r="D1361" t="str">
            <v>jóváhagyott pénzmaradvány</v>
          </cell>
          <cell r="N1361">
            <v>3036</v>
          </cell>
          <cell r="P1361">
            <v>3036</v>
          </cell>
          <cell r="Q1361">
            <v>1373</v>
          </cell>
          <cell r="R1361">
            <v>347</v>
          </cell>
          <cell r="Y1361">
            <v>1316</v>
          </cell>
          <cell r="Z1361">
            <v>3036</v>
          </cell>
          <cell r="AA1361">
            <v>0</v>
          </cell>
          <cell r="AB1361">
            <v>3036</v>
          </cell>
        </row>
        <row r="1362">
          <cell r="C1362">
            <v>4</v>
          </cell>
          <cell r="D1362" t="str">
            <v>tárgyévi eir.mód.korrekció</v>
          </cell>
          <cell r="I1362">
            <v>765</v>
          </cell>
          <cell r="P1362">
            <v>765</v>
          </cell>
          <cell r="Y1362">
            <v>765</v>
          </cell>
          <cell r="Z1362">
            <v>765</v>
          </cell>
          <cell r="AA1362">
            <v>0</v>
          </cell>
          <cell r="AB1362">
            <v>765</v>
          </cell>
        </row>
        <row r="1363">
          <cell r="C1363">
            <v>9</v>
          </cell>
          <cell r="D1363" t="str">
            <v>ped.szakkönyv</v>
          </cell>
          <cell r="I1363">
            <v>360</v>
          </cell>
          <cell r="P1363">
            <v>360</v>
          </cell>
          <cell r="Q1363">
            <v>360</v>
          </cell>
          <cell r="Z1363">
            <v>360</v>
          </cell>
          <cell r="AA1363">
            <v>0</v>
          </cell>
          <cell r="AB1363">
            <v>360</v>
          </cell>
        </row>
        <row r="1364">
          <cell r="D1364" t="str">
            <v>sh.</v>
          </cell>
          <cell r="J1364">
            <v>829</v>
          </cell>
          <cell r="M1364">
            <v>56</v>
          </cell>
          <cell r="P1364">
            <v>885</v>
          </cell>
          <cell r="S1364">
            <v>829</v>
          </cell>
          <cell r="X1364">
            <v>56</v>
          </cell>
          <cell r="Z1364">
            <v>885</v>
          </cell>
          <cell r="AA1364">
            <v>0</v>
          </cell>
          <cell r="AB1364">
            <v>885</v>
          </cell>
        </row>
        <row r="1365">
          <cell r="C1365">
            <v>12</v>
          </cell>
          <cell r="D1365" t="str">
            <v>elvonás</v>
          </cell>
          <cell r="I1365">
            <v>-1391</v>
          </cell>
          <cell r="P1365">
            <v>-1391</v>
          </cell>
          <cell r="S1365">
            <v>-1391</v>
          </cell>
          <cell r="Z1365">
            <v>-1391</v>
          </cell>
          <cell r="AA1365">
            <v>0</v>
          </cell>
          <cell r="AB1365">
            <v>-1391</v>
          </cell>
        </row>
        <row r="1366">
          <cell r="C1366">
            <v>13</v>
          </cell>
          <cell r="D1366" t="str">
            <v>bérfejlesztés</v>
          </cell>
          <cell r="I1366">
            <v>2625</v>
          </cell>
          <cell r="P1366">
            <v>2625</v>
          </cell>
          <cell r="Q1366">
            <v>1930</v>
          </cell>
          <cell r="R1366">
            <v>695</v>
          </cell>
          <cell r="Z1366">
            <v>2625</v>
          </cell>
          <cell r="AA1366">
            <v>0</v>
          </cell>
          <cell r="AB1366">
            <v>2625</v>
          </cell>
        </row>
        <row r="1367">
          <cell r="C1367">
            <v>14</v>
          </cell>
          <cell r="D1367" t="str">
            <v>4% bérfejlesztés</v>
          </cell>
          <cell r="I1367">
            <v>-725</v>
          </cell>
          <cell r="P1367">
            <v>-725</v>
          </cell>
          <cell r="Q1367">
            <v>-533</v>
          </cell>
          <cell r="R1367">
            <v>-192</v>
          </cell>
          <cell r="Z1367">
            <v>-725</v>
          </cell>
          <cell r="AA1367">
            <v>0</v>
          </cell>
          <cell r="AB1367">
            <v>-725</v>
          </cell>
        </row>
        <row r="1368">
          <cell r="P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P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P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P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P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P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P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P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P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P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P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P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P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P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P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P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P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P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P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P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P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P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P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P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B1392" t="str">
            <v>Összesen</v>
          </cell>
          <cell r="D1392" t="str">
            <v>Hajnóczy J.Középisk. Koll.</v>
          </cell>
          <cell r="E1392">
            <v>21580</v>
          </cell>
          <cell r="F1392">
            <v>0</v>
          </cell>
          <cell r="G1392">
            <v>18000</v>
          </cell>
          <cell r="H1392">
            <v>0</v>
          </cell>
          <cell r="I1392">
            <v>133788</v>
          </cell>
          <cell r="J1392">
            <v>829</v>
          </cell>
          <cell r="K1392">
            <v>0</v>
          </cell>
          <cell r="L1392">
            <v>0</v>
          </cell>
          <cell r="M1392">
            <v>56</v>
          </cell>
          <cell r="N1392">
            <v>3036</v>
          </cell>
          <cell r="O1392">
            <v>0</v>
          </cell>
          <cell r="P1392">
            <v>177289</v>
          </cell>
          <cell r="Q1392">
            <v>74556</v>
          </cell>
          <cell r="R1392">
            <v>30643</v>
          </cell>
          <cell r="S1392">
            <v>69828</v>
          </cell>
          <cell r="T1392">
            <v>0</v>
          </cell>
          <cell r="U1392">
            <v>0</v>
          </cell>
          <cell r="V1392">
            <v>0</v>
          </cell>
          <cell r="W1392">
            <v>125</v>
          </cell>
          <cell r="X1392">
            <v>56</v>
          </cell>
          <cell r="Y1392">
            <v>2081</v>
          </cell>
          <cell r="Z1392">
            <v>177289</v>
          </cell>
          <cell r="AA1392">
            <v>0</v>
          </cell>
          <cell r="AB1392">
            <v>177289</v>
          </cell>
        </row>
        <row r="1393">
          <cell r="A1393">
            <v>40</v>
          </cell>
          <cell r="B1393" t="str">
            <v>Középiskolai Kp.MENZA</v>
          </cell>
          <cell r="C1393">
            <v>1</v>
          </cell>
          <cell r="D1393" t="str">
            <v>00előirányzat</v>
          </cell>
          <cell r="E1393">
            <v>6249</v>
          </cell>
          <cell r="G1393">
            <v>21010</v>
          </cell>
          <cell r="I1393">
            <v>28592</v>
          </cell>
          <cell r="P1393">
            <v>55851</v>
          </cell>
          <cell r="Q1393">
            <v>13974</v>
          </cell>
          <cell r="R1393">
            <v>6352</v>
          </cell>
          <cell r="S1393">
            <v>30451</v>
          </cell>
          <cell r="W1393">
            <v>807</v>
          </cell>
          <cell r="Y1393">
            <v>4267</v>
          </cell>
          <cell r="Z1393">
            <v>55851</v>
          </cell>
          <cell r="AA1393">
            <v>0</v>
          </cell>
          <cell r="AB1393">
            <v>55851</v>
          </cell>
        </row>
        <row r="1394">
          <cell r="D1394" t="str">
            <v>sh.</v>
          </cell>
          <cell r="P1394">
            <v>0</v>
          </cell>
          <cell r="S1394">
            <v>-55</v>
          </cell>
          <cell r="X1394">
            <v>55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C1395">
            <v>2</v>
          </cell>
          <cell r="D1395" t="str">
            <v>jóváhagyott pénzmaradvány</v>
          </cell>
          <cell r="N1395">
            <v>902</v>
          </cell>
          <cell r="P1395">
            <v>902</v>
          </cell>
          <cell r="Q1395">
            <v>310</v>
          </cell>
          <cell r="R1395">
            <v>122</v>
          </cell>
          <cell r="Y1395">
            <v>470</v>
          </cell>
          <cell r="Z1395">
            <v>902</v>
          </cell>
          <cell r="AA1395">
            <v>0</v>
          </cell>
          <cell r="AB1395">
            <v>902</v>
          </cell>
        </row>
        <row r="1396">
          <cell r="C1396">
            <v>3</v>
          </cell>
          <cell r="D1396" t="str">
            <v>pm.terhelő bef.kötelezettség</v>
          </cell>
          <cell r="N1396">
            <v>1032</v>
          </cell>
          <cell r="P1396">
            <v>1032</v>
          </cell>
          <cell r="S1396">
            <v>1032</v>
          </cell>
          <cell r="Z1396">
            <v>1032</v>
          </cell>
          <cell r="AA1396">
            <v>0</v>
          </cell>
          <cell r="AB1396">
            <v>1032</v>
          </cell>
        </row>
        <row r="1397">
          <cell r="C1397">
            <v>12</v>
          </cell>
          <cell r="D1397" t="str">
            <v>elvonás</v>
          </cell>
          <cell r="I1397">
            <v>-153</v>
          </cell>
          <cell r="P1397">
            <v>-153</v>
          </cell>
          <cell r="S1397">
            <v>-153</v>
          </cell>
          <cell r="Z1397">
            <v>-153</v>
          </cell>
          <cell r="AA1397">
            <v>0</v>
          </cell>
          <cell r="AB1397">
            <v>-153</v>
          </cell>
        </row>
        <row r="1398">
          <cell r="C1398">
            <v>13</v>
          </cell>
          <cell r="D1398" t="str">
            <v>bérfejlesztés</v>
          </cell>
          <cell r="I1398">
            <v>998</v>
          </cell>
          <cell r="P1398">
            <v>998</v>
          </cell>
          <cell r="Q1398">
            <v>734</v>
          </cell>
          <cell r="R1398">
            <v>264</v>
          </cell>
          <cell r="Z1398">
            <v>998</v>
          </cell>
          <cell r="AA1398">
            <v>0</v>
          </cell>
          <cell r="AB1398">
            <v>998</v>
          </cell>
        </row>
        <row r="1399">
          <cell r="C1399">
            <v>14</v>
          </cell>
          <cell r="D1399" t="str">
            <v>4% bérfejlesztés</v>
          </cell>
          <cell r="I1399">
            <v>-276</v>
          </cell>
          <cell r="P1399">
            <v>-276</v>
          </cell>
          <cell r="Q1399">
            <v>-203</v>
          </cell>
          <cell r="R1399">
            <v>-73</v>
          </cell>
          <cell r="Z1399">
            <v>-276</v>
          </cell>
          <cell r="AA1399">
            <v>0</v>
          </cell>
          <cell r="AB1399">
            <v>-276</v>
          </cell>
        </row>
        <row r="1400">
          <cell r="P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P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P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P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P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P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B1406" t="str">
            <v>Összesen</v>
          </cell>
          <cell r="D1406" t="str">
            <v>Középiskolai Kp.MENZA</v>
          </cell>
          <cell r="E1406">
            <v>6249</v>
          </cell>
          <cell r="F1406">
            <v>0</v>
          </cell>
          <cell r="G1406">
            <v>21010</v>
          </cell>
          <cell r="H1406">
            <v>0</v>
          </cell>
          <cell r="I1406">
            <v>29161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1934</v>
          </cell>
          <cell r="O1406">
            <v>0</v>
          </cell>
          <cell r="P1406">
            <v>58354</v>
          </cell>
          <cell r="Q1406">
            <v>14815</v>
          </cell>
          <cell r="R1406">
            <v>6665</v>
          </cell>
          <cell r="S1406">
            <v>31275</v>
          </cell>
          <cell r="T1406">
            <v>0</v>
          </cell>
          <cell r="U1406">
            <v>0</v>
          </cell>
          <cell r="V1406">
            <v>0</v>
          </cell>
          <cell r="W1406">
            <v>807</v>
          </cell>
          <cell r="X1406">
            <v>55</v>
          </cell>
          <cell r="Y1406">
            <v>4737</v>
          </cell>
          <cell r="Z1406">
            <v>58354</v>
          </cell>
          <cell r="AA1406">
            <v>0</v>
          </cell>
          <cell r="AB1406">
            <v>58354</v>
          </cell>
        </row>
        <row r="1407">
          <cell r="A1407">
            <v>42</v>
          </cell>
          <cell r="B1407" t="str">
            <v>Városi Könyvtár</v>
          </cell>
          <cell r="C1407">
            <v>1</v>
          </cell>
          <cell r="D1407" t="str">
            <v>00előirányzat</v>
          </cell>
          <cell r="G1407">
            <v>1490</v>
          </cell>
          <cell r="H1407">
            <v>1980</v>
          </cell>
          <cell r="I1407">
            <v>52481</v>
          </cell>
          <cell r="M1407">
            <v>900</v>
          </cell>
          <cell r="P1407">
            <v>56851</v>
          </cell>
          <cell r="Q1407">
            <v>30655</v>
          </cell>
          <cell r="R1407">
            <v>12340</v>
          </cell>
          <cell r="S1407">
            <v>10976</v>
          </cell>
          <cell r="X1407">
            <v>2880</v>
          </cell>
          <cell r="Z1407">
            <v>56851</v>
          </cell>
          <cell r="AA1407">
            <v>0</v>
          </cell>
          <cell r="AB1407">
            <v>56851</v>
          </cell>
        </row>
        <row r="1408">
          <cell r="C1408">
            <v>2</v>
          </cell>
          <cell r="D1408" t="str">
            <v>jóváhagyott pénzmaradvány</v>
          </cell>
          <cell r="N1408">
            <v>888</v>
          </cell>
          <cell r="P1408">
            <v>888</v>
          </cell>
          <cell r="Q1408">
            <v>336</v>
          </cell>
          <cell r="R1408">
            <v>121</v>
          </cell>
          <cell r="Y1408">
            <v>431</v>
          </cell>
          <cell r="Z1408">
            <v>888</v>
          </cell>
          <cell r="AA1408">
            <v>0</v>
          </cell>
          <cell r="AB1408">
            <v>888</v>
          </cell>
        </row>
        <row r="1409">
          <cell r="C1409">
            <v>3</v>
          </cell>
          <cell r="D1409" t="str">
            <v>pm.terhelő bef.kötelezettség</v>
          </cell>
          <cell r="N1409">
            <v>30</v>
          </cell>
          <cell r="P1409">
            <v>30</v>
          </cell>
          <cell r="S1409">
            <v>30</v>
          </cell>
          <cell r="Z1409">
            <v>30</v>
          </cell>
          <cell r="AA1409">
            <v>0</v>
          </cell>
          <cell r="AB1409">
            <v>30</v>
          </cell>
        </row>
        <row r="1410">
          <cell r="B1410" t="str">
            <v>Újvári keret 40.évforduló</v>
          </cell>
          <cell r="D1410" t="str">
            <v>pót1(2)</v>
          </cell>
          <cell r="I1410">
            <v>70</v>
          </cell>
          <cell r="P1410">
            <v>70</v>
          </cell>
          <cell r="S1410">
            <v>70</v>
          </cell>
          <cell r="Z1410">
            <v>70</v>
          </cell>
          <cell r="AA1410">
            <v>0</v>
          </cell>
          <cell r="AB1410">
            <v>70</v>
          </cell>
        </row>
        <row r="1411">
          <cell r="C1411">
            <v>12</v>
          </cell>
          <cell r="D1411" t="str">
            <v>elvonás</v>
          </cell>
          <cell r="I1411">
            <v>-138</v>
          </cell>
          <cell r="P1411">
            <v>-138</v>
          </cell>
          <cell r="S1411">
            <v>-138</v>
          </cell>
          <cell r="Z1411">
            <v>-138</v>
          </cell>
          <cell r="AA1411">
            <v>0</v>
          </cell>
          <cell r="AB1411">
            <v>-138</v>
          </cell>
        </row>
        <row r="1412">
          <cell r="C1412">
            <v>13</v>
          </cell>
          <cell r="D1412" t="str">
            <v>bérfejlesztés</v>
          </cell>
          <cell r="I1412">
            <v>2353</v>
          </cell>
          <cell r="P1412">
            <v>2353</v>
          </cell>
          <cell r="Q1412">
            <v>1730</v>
          </cell>
          <cell r="R1412">
            <v>623</v>
          </cell>
          <cell r="Z1412">
            <v>2353</v>
          </cell>
          <cell r="AA1412">
            <v>0</v>
          </cell>
          <cell r="AB1412">
            <v>2353</v>
          </cell>
        </row>
        <row r="1413">
          <cell r="C1413">
            <v>14</v>
          </cell>
          <cell r="D1413" t="str">
            <v>4% bérfejlesztés</v>
          </cell>
          <cell r="I1413">
            <v>-650</v>
          </cell>
          <cell r="P1413">
            <v>-650</v>
          </cell>
          <cell r="Q1413">
            <v>-478</v>
          </cell>
          <cell r="R1413">
            <v>-172</v>
          </cell>
          <cell r="Z1413">
            <v>-650</v>
          </cell>
          <cell r="AA1413">
            <v>0</v>
          </cell>
          <cell r="AB1413">
            <v>-650</v>
          </cell>
        </row>
        <row r="1414">
          <cell r="P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P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P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P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P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P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P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P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P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B1423" t="str">
            <v>Összesen</v>
          </cell>
          <cell r="D1423" t="str">
            <v>Városi Könyvtár</v>
          </cell>
          <cell r="E1423">
            <v>0</v>
          </cell>
          <cell r="F1423">
            <v>0</v>
          </cell>
          <cell r="G1423">
            <v>1490</v>
          </cell>
          <cell r="H1423">
            <v>1980</v>
          </cell>
          <cell r="I1423">
            <v>54116</v>
          </cell>
          <cell r="J1423">
            <v>0</v>
          </cell>
          <cell r="K1423">
            <v>0</v>
          </cell>
          <cell r="L1423">
            <v>0</v>
          </cell>
          <cell r="M1423">
            <v>900</v>
          </cell>
          <cell r="N1423">
            <v>918</v>
          </cell>
          <cell r="O1423">
            <v>0</v>
          </cell>
          <cell r="P1423">
            <v>59404</v>
          </cell>
          <cell r="Q1423">
            <v>32243</v>
          </cell>
          <cell r="R1423">
            <v>12912</v>
          </cell>
          <cell r="S1423">
            <v>10938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2880</v>
          </cell>
          <cell r="Y1423">
            <v>431</v>
          </cell>
          <cell r="Z1423">
            <v>59404</v>
          </cell>
          <cell r="AA1423">
            <v>0</v>
          </cell>
          <cell r="AB1423">
            <v>59404</v>
          </cell>
        </row>
        <row r="1424">
          <cell r="A1424">
            <v>43</v>
          </cell>
          <cell r="B1424" t="str">
            <v>Pécsi Galéria és Grafikai Műhely</v>
          </cell>
          <cell r="C1424">
            <v>1</v>
          </cell>
          <cell r="D1424" t="str">
            <v>00előirányzat</v>
          </cell>
          <cell r="G1424">
            <v>1020</v>
          </cell>
          <cell r="I1424">
            <v>16552</v>
          </cell>
          <cell r="J1424">
            <v>1300</v>
          </cell>
          <cell r="P1424">
            <v>18872</v>
          </cell>
          <cell r="Q1424">
            <v>6772</v>
          </cell>
          <cell r="R1424">
            <v>2953</v>
          </cell>
          <cell r="S1424">
            <v>9147</v>
          </cell>
          <cell r="Z1424">
            <v>18872</v>
          </cell>
          <cell r="AA1424">
            <v>0</v>
          </cell>
          <cell r="AB1424">
            <v>18872</v>
          </cell>
        </row>
        <row r="1425">
          <cell r="C1425">
            <v>2</v>
          </cell>
          <cell r="D1425" t="str">
            <v>jóváhagyott pénzmaradvány</v>
          </cell>
          <cell r="N1425">
            <v>503</v>
          </cell>
          <cell r="P1425">
            <v>503</v>
          </cell>
          <cell r="Y1425">
            <v>503</v>
          </cell>
          <cell r="Z1425">
            <v>503</v>
          </cell>
          <cell r="AA1425">
            <v>0</v>
          </cell>
          <cell r="AB1425">
            <v>503</v>
          </cell>
        </row>
        <row r="1426">
          <cell r="C1426">
            <v>4</v>
          </cell>
          <cell r="D1426" t="str">
            <v>tárgyévi eir.mód.korrekció</v>
          </cell>
          <cell r="I1426">
            <v>397</v>
          </cell>
          <cell r="P1426">
            <v>397</v>
          </cell>
          <cell r="Y1426">
            <v>397</v>
          </cell>
          <cell r="Z1426">
            <v>397</v>
          </cell>
          <cell r="AA1426">
            <v>0</v>
          </cell>
          <cell r="AB1426">
            <v>397</v>
          </cell>
        </row>
        <row r="1427">
          <cell r="C1427">
            <v>12</v>
          </cell>
          <cell r="D1427" t="str">
            <v>elvonás</v>
          </cell>
          <cell r="I1427">
            <v>-72</v>
          </cell>
          <cell r="P1427">
            <v>-72</v>
          </cell>
          <cell r="S1427">
            <v>-72</v>
          </cell>
          <cell r="Z1427">
            <v>-72</v>
          </cell>
          <cell r="AA1427">
            <v>0</v>
          </cell>
          <cell r="AB1427">
            <v>-72</v>
          </cell>
        </row>
        <row r="1428">
          <cell r="C1428">
            <v>13</v>
          </cell>
          <cell r="D1428" t="str">
            <v>bérfejlesztés</v>
          </cell>
          <cell r="I1428">
            <v>135</v>
          </cell>
          <cell r="P1428">
            <v>135</v>
          </cell>
          <cell r="Q1428">
            <v>99</v>
          </cell>
          <cell r="R1428">
            <v>36</v>
          </cell>
          <cell r="Z1428">
            <v>135</v>
          </cell>
          <cell r="AA1428">
            <v>0</v>
          </cell>
          <cell r="AB1428">
            <v>135</v>
          </cell>
        </row>
        <row r="1429">
          <cell r="C1429">
            <v>14</v>
          </cell>
          <cell r="D1429" t="str">
            <v>4% bérfejlesztés</v>
          </cell>
          <cell r="I1429">
            <v>-37</v>
          </cell>
          <cell r="P1429">
            <v>-37</v>
          </cell>
          <cell r="Q1429">
            <v>-27</v>
          </cell>
          <cell r="R1429">
            <v>-10</v>
          </cell>
          <cell r="Z1429">
            <v>-37</v>
          </cell>
          <cell r="AA1429">
            <v>0</v>
          </cell>
          <cell r="AB1429">
            <v>-37</v>
          </cell>
        </row>
        <row r="1430">
          <cell r="P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P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P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P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P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P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P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P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P1438">
            <v>0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B1439" t="str">
            <v>Összesen</v>
          </cell>
          <cell r="D1439" t="str">
            <v>Pécsi Galéria és Graf. M.</v>
          </cell>
          <cell r="E1439">
            <v>0</v>
          </cell>
          <cell r="F1439">
            <v>0</v>
          </cell>
          <cell r="G1439">
            <v>1020</v>
          </cell>
          <cell r="H1439">
            <v>0</v>
          </cell>
          <cell r="I1439">
            <v>16975</v>
          </cell>
          <cell r="J1439">
            <v>1300</v>
          </cell>
          <cell r="K1439">
            <v>0</v>
          </cell>
          <cell r="L1439">
            <v>0</v>
          </cell>
          <cell r="M1439">
            <v>0</v>
          </cell>
          <cell r="N1439">
            <v>503</v>
          </cell>
          <cell r="O1439">
            <v>0</v>
          </cell>
          <cell r="P1439">
            <v>19798</v>
          </cell>
          <cell r="Q1439">
            <v>6844</v>
          </cell>
          <cell r="R1439">
            <v>2979</v>
          </cell>
          <cell r="S1439">
            <v>9075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900</v>
          </cell>
          <cell r="Z1439">
            <v>19798</v>
          </cell>
          <cell r="AA1439">
            <v>0</v>
          </cell>
          <cell r="AB1439">
            <v>19798</v>
          </cell>
        </row>
        <row r="1440">
          <cell r="A1440">
            <v>44</v>
          </cell>
          <cell r="B1440" t="str">
            <v>Pécsi Kulturális Központ</v>
          </cell>
          <cell r="C1440">
            <v>1</v>
          </cell>
          <cell r="D1440" t="str">
            <v>00előirányzat</v>
          </cell>
          <cell r="G1440">
            <v>22500</v>
          </cell>
          <cell r="I1440">
            <v>55119</v>
          </cell>
          <cell r="J1440">
            <v>12600</v>
          </cell>
          <cell r="P1440">
            <v>90219</v>
          </cell>
          <cell r="Q1440">
            <v>36180</v>
          </cell>
          <cell r="R1440">
            <v>14886</v>
          </cell>
          <cell r="S1440">
            <v>39153</v>
          </cell>
          <cell r="Z1440">
            <v>90219</v>
          </cell>
          <cell r="AA1440">
            <v>0</v>
          </cell>
          <cell r="AB1440">
            <v>90219</v>
          </cell>
        </row>
        <row r="1441">
          <cell r="C1441">
            <v>2</v>
          </cell>
          <cell r="D1441" t="str">
            <v>jóváhagyott pénzmaradvány</v>
          </cell>
          <cell r="N1441">
            <v>1358</v>
          </cell>
          <cell r="P1441">
            <v>1358</v>
          </cell>
          <cell r="Q1441">
            <v>320</v>
          </cell>
          <cell r="R1441">
            <v>108</v>
          </cell>
          <cell r="Y1441">
            <v>930</v>
          </cell>
          <cell r="Z1441">
            <v>1358</v>
          </cell>
          <cell r="AA1441">
            <v>0</v>
          </cell>
          <cell r="AB1441">
            <v>1358</v>
          </cell>
        </row>
        <row r="1442">
          <cell r="C1442">
            <v>3</v>
          </cell>
          <cell r="D1442" t="str">
            <v>pm.terhelő bef.kötelezettség</v>
          </cell>
          <cell r="N1442">
            <v>2</v>
          </cell>
          <cell r="P1442">
            <v>2</v>
          </cell>
          <cell r="S1442">
            <v>2</v>
          </cell>
          <cell r="Z1442">
            <v>2</v>
          </cell>
          <cell r="AA1442">
            <v>0</v>
          </cell>
          <cell r="AB1442">
            <v>2</v>
          </cell>
        </row>
        <row r="1443">
          <cell r="C1443">
            <v>4</v>
          </cell>
          <cell r="D1443" t="str">
            <v>tárgyévi eir.mód.korrekció</v>
          </cell>
          <cell r="I1443">
            <v>860</v>
          </cell>
          <cell r="P1443">
            <v>860</v>
          </cell>
          <cell r="Y1443">
            <v>860</v>
          </cell>
          <cell r="Z1443">
            <v>860</v>
          </cell>
          <cell r="AA1443">
            <v>0</v>
          </cell>
          <cell r="AB1443">
            <v>860</v>
          </cell>
        </row>
        <row r="1444">
          <cell r="B1444" t="str">
            <v>promóció</v>
          </cell>
          <cell r="D1444" t="str">
            <v>pót1(7)</v>
          </cell>
          <cell r="I1444">
            <v>700</v>
          </cell>
          <cell r="P1444">
            <v>700</v>
          </cell>
          <cell r="S1444">
            <v>700</v>
          </cell>
          <cell r="Z1444">
            <v>700</v>
          </cell>
          <cell r="AA1444">
            <v>0</v>
          </cell>
          <cell r="AB1444">
            <v>700</v>
          </cell>
        </row>
        <row r="1445">
          <cell r="B1445" t="str">
            <v>projektor</v>
          </cell>
          <cell r="D1445" t="str">
            <v>pót1(10)</v>
          </cell>
          <cell r="I1445">
            <v>1000</v>
          </cell>
          <cell r="P1445">
            <v>1000</v>
          </cell>
          <cell r="X1445">
            <v>1000</v>
          </cell>
          <cell r="Z1445">
            <v>1000</v>
          </cell>
          <cell r="AA1445">
            <v>0</v>
          </cell>
          <cell r="AB1445">
            <v>1000</v>
          </cell>
        </row>
        <row r="1446">
          <cell r="B1446" t="str">
            <v>vetítővászon városmarketingből</v>
          </cell>
          <cell r="D1446" t="str">
            <v>pót1(11)</v>
          </cell>
          <cell r="I1446">
            <v>50</v>
          </cell>
          <cell r="P1446">
            <v>50</v>
          </cell>
          <cell r="X1446">
            <v>50</v>
          </cell>
          <cell r="Z1446">
            <v>50</v>
          </cell>
          <cell r="AA1446">
            <v>0</v>
          </cell>
          <cell r="AB1446">
            <v>50</v>
          </cell>
        </row>
        <row r="1447">
          <cell r="B1447" t="str">
            <v>220/2000 Önkormányzati hírekre</v>
          </cell>
          <cell r="D1447" t="str">
            <v>pót1(17)</v>
          </cell>
          <cell r="I1447">
            <v>-4600</v>
          </cell>
          <cell r="P1447">
            <v>-4600</v>
          </cell>
          <cell r="S1447">
            <v>-4600</v>
          </cell>
          <cell r="Z1447">
            <v>-4600</v>
          </cell>
          <cell r="AA1447">
            <v>0</v>
          </cell>
          <cell r="AB1447">
            <v>-4600</v>
          </cell>
        </row>
        <row r="1448">
          <cell r="B1448" t="str">
            <v>Boldogság Háza 66/2000 Jogi</v>
          </cell>
          <cell r="D1448" t="str">
            <v>pót1(23)</v>
          </cell>
          <cell r="I1448">
            <v>1400</v>
          </cell>
          <cell r="P1448">
            <v>1400</v>
          </cell>
          <cell r="S1448">
            <v>1400</v>
          </cell>
          <cell r="Z1448">
            <v>1400</v>
          </cell>
          <cell r="AA1448">
            <v>0</v>
          </cell>
          <cell r="AB1448">
            <v>1400</v>
          </cell>
        </row>
        <row r="1449">
          <cell r="C1449">
            <v>12</v>
          </cell>
          <cell r="D1449" t="str">
            <v>elvonás</v>
          </cell>
          <cell r="I1449">
            <v>-2665</v>
          </cell>
          <cell r="P1449">
            <v>-2665</v>
          </cell>
          <cell r="S1449">
            <v>-2665</v>
          </cell>
          <cell r="Z1449">
            <v>-2665</v>
          </cell>
          <cell r="AA1449">
            <v>0</v>
          </cell>
          <cell r="AB1449">
            <v>-2665</v>
          </cell>
        </row>
        <row r="1450">
          <cell r="C1450">
            <v>13</v>
          </cell>
          <cell r="D1450" t="str">
            <v>bérfejlesztés</v>
          </cell>
          <cell r="I1450">
            <v>1847</v>
          </cell>
          <cell r="P1450">
            <v>1847</v>
          </cell>
          <cell r="Q1450">
            <v>1358</v>
          </cell>
          <cell r="R1450">
            <v>489</v>
          </cell>
          <cell r="Z1450">
            <v>1847</v>
          </cell>
          <cell r="AA1450">
            <v>0</v>
          </cell>
          <cell r="AB1450">
            <v>1847</v>
          </cell>
        </row>
        <row r="1451">
          <cell r="C1451">
            <v>14</v>
          </cell>
          <cell r="D1451" t="str">
            <v>4% bérfejlesztés</v>
          </cell>
          <cell r="I1451">
            <v>-510</v>
          </cell>
          <cell r="P1451">
            <v>-510</v>
          </cell>
          <cell r="Q1451">
            <v>-375</v>
          </cell>
          <cell r="R1451">
            <v>-135</v>
          </cell>
          <cell r="Z1451">
            <v>-510</v>
          </cell>
          <cell r="AA1451">
            <v>0</v>
          </cell>
          <cell r="AB1451">
            <v>-510</v>
          </cell>
        </row>
        <row r="1452">
          <cell r="P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P1453">
            <v>0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P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P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P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P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P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P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P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P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P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P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P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P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P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P1467">
            <v>0</v>
          </cell>
          <cell r="Z1467">
            <v>0</v>
          </cell>
          <cell r="AA1467">
            <v>0</v>
          </cell>
          <cell r="AB1467">
            <v>0</v>
          </cell>
        </row>
        <row r="1468">
          <cell r="P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P1469">
            <v>0</v>
          </cell>
          <cell r="Z1469">
            <v>0</v>
          </cell>
          <cell r="AA1469">
            <v>0</v>
          </cell>
          <cell r="AB1469">
            <v>0</v>
          </cell>
        </row>
        <row r="1470">
          <cell r="P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B1471" t="str">
            <v>Összesen</v>
          </cell>
          <cell r="D1471" t="str">
            <v>Pécsi Kulturális Központ</v>
          </cell>
          <cell r="E1471">
            <v>0</v>
          </cell>
          <cell r="F1471">
            <v>0</v>
          </cell>
          <cell r="G1471">
            <v>22500</v>
          </cell>
          <cell r="H1471">
            <v>0</v>
          </cell>
          <cell r="I1471">
            <v>53201</v>
          </cell>
          <cell r="J1471">
            <v>12600</v>
          </cell>
          <cell r="K1471">
            <v>0</v>
          </cell>
          <cell r="L1471">
            <v>0</v>
          </cell>
          <cell r="M1471">
            <v>0</v>
          </cell>
          <cell r="N1471">
            <v>1360</v>
          </cell>
          <cell r="O1471">
            <v>0</v>
          </cell>
          <cell r="P1471">
            <v>89661</v>
          </cell>
          <cell r="Q1471">
            <v>37483</v>
          </cell>
          <cell r="R1471">
            <v>15348</v>
          </cell>
          <cell r="S1471">
            <v>33990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1050</v>
          </cell>
          <cell r="Y1471">
            <v>1790</v>
          </cell>
          <cell r="Z1471">
            <v>89661</v>
          </cell>
          <cell r="AA1471">
            <v>0</v>
          </cell>
          <cell r="AB1471">
            <v>89661</v>
          </cell>
        </row>
        <row r="1472">
          <cell r="A1472">
            <v>45</v>
          </cell>
          <cell r="B1472" t="str">
            <v xml:space="preserve">Harmadik Szinház </v>
          </cell>
          <cell r="C1472">
            <v>1</v>
          </cell>
          <cell r="D1472" t="str">
            <v>00előirányzat</v>
          </cell>
          <cell r="G1472">
            <v>4916</v>
          </cell>
          <cell r="I1472">
            <v>22558</v>
          </cell>
          <cell r="J1472">
            <v>1500</v>
          </cell>
          <cell r="P1472">
            <v>28974</v>
          </cell>
          <cell r="Q1472">
            <v>7714</v>
          </cell>
          <cell r="R1472">
            <v>3140</v>
          </cell>
          <cell r="S1472">
            <v>18120</v>
          </cell>
          <cell r="Z1472">
            <v>28974</v>
          </cell>
          <cell r="AA1472">
            <v>0</v>
          </cell>
          <cell r="AB1472">
            <v>28974</v>
          </cell>
        </row>
        <row r="1473">
          <cell r="C1473">
            <v>2</v>
          </cell>
          <cell r="D1473" t="str">
            <v>jóváhagyott pénzmaradvány</v>
          </cell>
          <cell r="N1473">
            <v>245</v>
          </cell>
          <cell r="P1473">
            <v>245</v>
          </cell>
          <cell r="Y1473">
            <v>245</v>
          </cell>
          <cell r="Z1473">
            <v>245</v>
          </cell>
          <cell r="AA1473">
            <v>0</v>
          </cell>
          <cell r="AB1473">
            <v>245</v>
          </cell>
        </row>
        <row r="1474">
          <cell r="C1474">
            <v>3</v>
          </cell>
          <cell r="D1474" t="str">
            <v>pm.terhelő bef.kötelezettség</v>
          </cell>
          <cell r="N1474">
            <v>619</v>
          </cell>
          <cell r="P1474">
            <v>619</v>
          </cell>
          <cell r="S1474">
            <v>619</v>
          </cell>
          <cell r="Z1474">
            <v>619</v>
          </cell>
          <cell r="AA1474">
            <v>0</v>
          </cell>
          <cell r="AB1474">
            <v>619</v>
          </cell>
        </row>
        <row r="1475">
          <cell r="B1475" t="str">
            <v>művészeti támogatás</v>
          </cell>
          <cell r="D1475" t="str">
            <v>pót1(21)</v>
          </cell>
          <cell r="I1475">
            <v>6385</v>
          </cell>
          <cell r="P1475">
            <v>6385</v>
          </cell>
          <cell r="S1475">
            <v>6385</v>
          </cell>
          <cell r="Z1475">
            <v>6385</v>
          </cell>
          <cell r="AA1475">
            <v>0</v>
          </cell>
          <cell r="AB1475">
            <v>6385</v>
          </cell>
        </row>
        <row r="1476">
          <cell r="P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P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P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P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P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P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P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P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P1484">
            <v>0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P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P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P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P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B1489" t="str">
            <v>Összesen</v>
          </cell>
          <cell r="D1489" t="str">
            <v>Harmadik Szinház</v>
          </cell>
          <cell r="E1489">
            <v>0</v>
          </cell>
          <cell r="F1489">
            <v>0</v>
          </cell>
          <cell r="G1489">
            <v>4916</v>
          </cell>
          <cell r="H1489">
            <v>0</v>
          </cell>
          <cell r="I1489">
            <v>28943</v>
          </cell>
          <cell r="J1489">
            <v>1500</v>
          </cell>
          <cell r="K1489">
            <v>0</v>
          </cell>
          <cell r="L1489">
            <v>0</v>
          </cell>
          <cell r="M1489">
            <v>0</v>
          </cell>
          <cell r="N1489">
            <v>864</v>
          </cell>
          <cell r="O1489">
            <v>0</v>
          </cell>
          <cell r="P1489">
            <v>36223</v>
          </cell>
          <cell r="Q1489">
            <v>7714</v>
          </cell>
          <cell r="R1489">
            <v>3140</v>
          </cell>
          <cell r="S1489">
            <v>25124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245</v>
          </cell>
          <cell r="Z1489">
            <v>36223</v>
          </cell>
          <cell r="AA1489">
            <v>0</v>
          </cell>
          <cell r="AB1489">
            <v>36223</v>
          </cell>
        </row>
        <row r="1490">
          <cell r="B1490" t="str">
            <v>Kulturális + HarmadikSz.</v>
          </cell>
          <cell r="E1490">
            <v>0</v>
          </cell>
          <cell r="F1490">
            <v>0</v>
          </cell>
          <cell r="G1490">
            <v>27416</v>
          </cell>
          <cell r="H1490">
            <v>0</v>
          </cell>
          <cell r="I1490">
            <v>82144</v>
          </cell>
          <cell r="J1490">
            <v>14100</v>
          </cell>
          <cell r="K1490">
            <v>0</v>
          </cell>
          <cell r="L1490">
            <v>0</v>
          </cell>
          <cell r="M1490">
            <v>0</v>
          </cell>
          <cell r="N1490">
            <v>2224</v>
          </cell>
          <cell r="O1490">
            <v>0</v>
          </cell>
          <cell r="P1490">
            <v>125884</v>
          </cell>
          <cell r="Q1490">
            <v>45197</v>
          </cell>
          <cell r="R1490">
            <v>18488</v>
          </cell>
          <cell r="S1490">
            <v>59114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1050</v>
          </cell>
          <cell r="Y1490">
            <v>2035</v>
          </cell>
          <cell r="Z1490">
            <v>125884</v>
          </cell>
          <cell r="AA1490">
            <v>0</v>
          </cell>
          <cell r="AB1490">
            <v>125884</v>
          </cell>
        </row>
        <row r="1491">
          <cell r="A1491">
            <v>45</v>
          </cell>
          <cell r="B1491" t="str">
            <v>Mecseki Kultúrpark</v>
          </cell>
          <cell r="C1491">
            <v>1</v>
          </cell>
          <cell r="D1491" t="str">
            <v>00előirányzat</v>
          </cell>
          <cell r="G1491">
            <v>27029</v>
          </cell>
          <cell r="I1491">
            <v>21286</v>
          </cell>
          <cell r="P1491">
            <v>48315</v>
          </cell>
          <cell r="Q1491">
            <v>27131</v>
          </cell>
          <cell r="R1491">
            <v>12217</v>
          </cell>
          <cell r="S1491">
            <v>8967</v>
          </cell>
          <cell r="Z1491">
            <v>48315</v>
          </cell>
          <cell r="AA1491">
            <v>0</v>
          </cell>
          <cell r="AB1491">
            <v>48315</v>
          </cell>
        </row>
        <row r="1492">
          <cell r="C1492">
            <v>2</v>
          </cell>
          <cell r="D1492" t="str">
            <v>jóváhagyott pénzmaradvány</v>
          </cell>
          <cell r="N1492">
            <v>916</v>
          </cell>
          <cell r="P1492">
            <v>916</v>
          </cell>
          <cell r="Q1492">
            <v>674</v>
          </cell>
          <cell r="R1492">
            <v>242</v>
          </cell>
          <cell r="Z1492">
            <v>916</v>
          </cell>
          <cell r="AA1492">
            <v>0</v>
          </cell>
          <cell r="AB1492">
            <v>916</v>
          </cell>
        </row>
        <row r="1493">
          <cell r="C1493">
            <v>3</v>
          </cell>
          <cell r="D1493" t="str">
            <v>pm.terhelő bef.kötelezettség</v>
          </cell>
          <cell r="N1493">
            <v>798</v>
          </cell>
          <cell r="P1493">
            <v>798</v>
          </cell>
          <cell r="S1493">
            <v>798</v>
          </cell>
          <cell r="Z1493">
            <v>798</v>
          </cell>
          <cell r="AA1493">
            <v>0</v>
          </cell>
          <cell r="AB1493">
            <v>798</v>
          </cell>
        </row>
        <row r="1494">
          <cell r="B1494" t="str">
            <v>171/2000 Kgy.hat.</v>
          </cell>
          <cell r="D1494" t="str">
            <v>pót1(9)</v>
          </cell>
          <cell r="I1494">
            <v>10000</v>
          </cell>
          <cell r="P1494">
            <v>10000</v>
          </cell>
          <cell r="S1494">
            <v>10000</v>
          </cell>
          <cell r="Z1494">
            <v>10000</v>
          </cell>
          <cell r="AA1494">
            <v>0</v>
          </cell>
          <cell r="AB1494">
            <v>10000</v>
          </cell>
        </row>
        <row r="1495">
          <cell r="B1495" t="str">
            <v>58/2000 KUBI keret</v>
          </cell>
          <cell r="D1495" t="str">
            <v>pót1(12)</v>
          </cell>
          <cell r="I1495">
            <v>130</v>
          </cell>
          <cell r="P1495">
            <v>130</v>
          </cell>
          <cell r="X1495">
            <v>130</v>
          </cell>
          <cell r="Z1495">
            <v>130</v>
          </cell>
          <cell r="AA1495">
            <v>0</v>
          </cell>
          <cell r="AB1495">
            <v>130</v>
          </cell>
        </row>
        <row r="1496">
          <cell r="C1496">
            <v>13</v>
          </cell>
          <cell r="D1496" t="str">
            <v>bérfejlesztés</v>
          </cell>
          <cell r="I1496">
            <v>565</v>
          </cell>
          <cell r="P1496">
            <v>565</v>
          </cell>
          <cell r="Q1496">
            <v>416</v>
          </cell>
          <cell r="R1496">
            <v>149</v>
          </cell>
          <cell r="Z1496">
            <v>565</v>
          </cell>
          <cell r="AA1496">
            <v>0</v>
          </cell>
          <cell r="AB1496">
            <v>565</v>
          </cell>
        </row>
        <row r="1497">
          <cell r="D1497" t="str">
            <v>pót1(25)</v>
          </cell>
          <cell r="I1497">
            <v>5000</v>
          </cell>
          <cell r="P1497">
            <v>5000</v>
          </cell>
          <cell r="S1497">
            <v>5000</v>
          </cell>
          <cell r="Z1497">
            <v>5000</v>
          </cell>
          <cell r="AA1497">
            <v>0</v>
          </cell>
          <cell r="AB1497">
            <v>5000</v>
          </cell>
        </row>
        <row r="1498">
          <cell r="C1498">
            <v>14</v>
          </cell>
          <cell r="D1498" t="str">
            <v>4% bérfejlesztés</v>
          </cell>
          <cell r="I1498">
            <v>-156</v>
          </cell>
          <cell r="P1498">
            <v>-156</v>
          </cell>
          <cell r="Q1498">
            <v>-115</v>
          </cell>
          <cell r="R1498">
            <v>-41</v>
          </cell>
          <cell r="Z1498">
            <v>-156</v>
          </cell>
          <cell r="AA1498">
            <v>0</v>
          </cell>
          <cell r="AB1498">
            <v>-156</v>
          </cell>
        </row>
        <row r="1499">
          <cell r="P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P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P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P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P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P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P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P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B1507" t="str">
            <v>Összesen</v>
          </cell>
          <cell r="D1507" t="str">
            <v>Mecseki Kultúrpark</v>
          </cell>
          <cell r="E1507">
            <v>0</v>
          </cell>
          <cell r="F1507">
            <v>0</v>
          </cell>
          <cell r="G1507">
            <v>27029</v>
          </cell>
          <cell r="H1507">
            <v>0</v>
          </cell>
          <cell r="I1507">
            <v>36825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1714</v>
          </cell>
          <cell r="O1507">
            <v>0</v>
          </cell>
          <cell r="P1507">
            <v>65568</v>
          </cell>
          <cell r="Q1507">
            <v>28106</v>
          </cell>
          <cell r="R1507">
            <v>12567</v>
          </cell>
          <cell r="S1507">
            <v>24765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130</v>
          </cell>
          <cell r="Y1507">
            <v>0</v>
          </cell>
          <cell r="Z1507">
            <v>65568</v>
          </cell>
          <cell r="AA1507">
            <v>0</v>
          </cell>
          <cell r="AB1507">
            <v>65568</v>
          </cell>
        </row>
        <row r="1508">
          <cell r="A1508">
            <v>46</v>
          </cell>
          <cell r="B1508" t="str">
            <v>Pécsi Nemzeti Szinház</v>
          </cell>
          <cell r="C1508">
            <v>1</v>
          </cell>
          <cell r="D1508" t="str">
            <v>00előirányzat</v>
          </cell>
          <cell r="E1508">
            <v>100</v>
          </cell>
          <cell r="G1508">
            <v>108000</v>
          </cell>
          <cell r="I1508">
            <v>294900</v>
          </cell>
          <cell r="P1508">
            <v>403000</v>
          </cell>
          <cell r="Q1508">
            <v>212000</v>
          </cell>
          <cell r="R1508">
            <v>82900</v>
          </cell>
          <cell r="S1508">
            <v>98100</v>
          </cell>
          <cell r="X1508">
            <v>10000</v>
          </cell>
          <cell r="Z1508">
            <v>403000</v>
          </cell>
          <cell r="AA1508">
            <v>0</v>
          </cell>
          <cell r="AB1508">
            <v>403000</v>
          </cell>
        </row>
        <row r="1509">
          <cell r="C1509">
            <v>2</v>
          </cell>
          <cell r="D1509" t="str">
            <v>jóváhagyott pénzmaradvány</v>
          </cell>
          <cell r="N1509">
            <v>24405</v>
          </cell>
          <cell r="P1509">
            <v>24405</v>
          </cell>
          <cell r="Q1509">
            <v>332</v>
          </cell>
          <cell r="R1509">
            <v>120</v>
          </cell>
          <cell r="Y1509">
            <v>23953</v>
          </cell>
          <cell r="Z1509">
            <v>24405</v>
          </cell>
          <cell r="AA1509">
            <v>0</v>
          </cell>
          <cell r="AB1509">
            <v>24405</v>
          </cell>
        </row>
        <row r="1510">
          <cell r="C1510">
            <v>4</v>
          </cell>
          <cell r="D1510" t="str">
            <v>tárgyévi eir.mód.korrekció</v>
          </cell>
          <cell r="I1510">
            <v>417</v>
          </cell>
          <cell r="P1510">
            <v>417</v>
          </cell>
          <cell r="Y1510">
            <v>417</v>
          </cell>
          <cell r="Z1510">
            <v>417</v>
          </cell>
          <cell r="AA1510">
            <v>0</v>
          </cell>
          <cell r="AB1510">
            <v>417</v>
          </cell>
        </row>
        <row r="1511">
          <cell r="B1511" t="str">
            <v>művészeti támogatás</v>
          </cell>
          <cell r="D1511" t="str">
            <v>pót1(20)</v>
          </cell>
          <cell r="I1511">
            <v>105167</v>
          </cell>
          <cell r="P1511">
            <v>105167</v>
          </cell>
          <cell r="S1511">
            <v>105167</v>
          </cell>
          <cell r="Z1511">
            <v>105167</v>
          </cell>
          <cell r="AA1511">
            <v>0</v>
          </cell>
          <cell r="AB1511">
            <v>105167</v>
          </cell>
        </row>
        <row r="1512">
          <cell r="D1512" t="str">
            <v>sh1(17)</v>
          </cell>
          <cell r="P1512">
            <v>0</v>
          </cell>
          <cell r="S1512">
            <v>7953</v>
          </cell>
          <cell r="X1512">
            <v>16000</v>
          </cell>
          <cell r="Y1512">
            <v>-23953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P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P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P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P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P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P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P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P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P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P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P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P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P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B1526" t="str">
            <v>Összesen</v>
          </cell>
          <cell r="D1526" t="str">
            <v>Pécsi Nemzeti Szinház</v>
          </cell>
          <cell r="E1526">
            <v>100</v>
          </cell>
          <cell r="F1526">
            <v>0</v>
          </cell>
          <cell r="G1526">
            <v>108000</v>
          </cell>
          <cell r="H1526">
            <v>0</v>
          </cell>
          <cell r="I1526">
            <v>400484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24405</v>
          </cell>
          <cell r="O1526">
            <v>0</v>
          </cell>
          <cell r="P1526">
            <v>532989</v>
          </cell>
          <cell r="Q1526">
            <v>212332</v>
          </cell>
          <cell r="R1526">
            <v>83020</v>
          </cell>
          <cell r="S1526">
            <v>211220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26000</v>
          </cell>
          <cell r="Y1526">
            <v>417</v>
          </cell>
          <cell r="Z1526">
            <v>532989</v>
          </cell>
          <cell r="AA1526">
            <v>0</v>
          </cell>
          <cell r="AB1526">
            <v>532989</v>
          </cell>
        </row>
        <row r="1527">
          <cell r="A1527">
            <v>47</v>
          </cell>
          <cell r="B1527" t="str">
            <v>Pécsi Horvát Szinház</v>
          </cell>
          <cell r="C1527">
            <v>1</v>
          </cell>
          <cell r="D1527" t="str">
            <v>00előirányzat</v>
          </cell>
          <cell r="G1527">
            <v>4621</v>
          </cell>
          <cell r="I1527">
            <v>11297</v>
          </cell>
          <cell r="P1527">
            <v>15918</v>
          </cell>
          <cell r="Q1527">
            <v>8570</v>
          </cell>
          <cell r="R1527">
            <v>3451</v>
          </cell>
          <cell r="S1527">
            <v>3897</v>
          </cell>
          <cell r="Z1527">
            <v>15918</v>
          </cell>
          <cell r="AA1527">
            <v>0</v>
          </cell>
          <cell r="AB1527">
            <v>15918</v>
          </cell>
        </row>
        <row r="1528">
          <cell r="C1528">
            <v>2</v>
          </cell>
          <cell r="D1528" t="str">
            <v>jóváhagyott pénzmaradvány</v>
          </cell>
          <cell r="N1528">
            <v>937</v>
          </cell>
          <cell r="P1528">
            <v>937</v>
          </cell>
          <cell r="Q1528">
            <v>882</v>
          </cell>
          <cell r="R1528">
            <v>318</v>
          </cell>
          <cell r="S1528">
            <v>-263</v>
          </cell>
          <cell r="Z1528">
            <v>937</v>
          </cell>
          <cell r="AA1528">
            <v>0</v>
          </cell>
          <cell r="AB1528">
            <v>937</v>
          </cell>
        </row>
        <row r="1529">
          <cell r="C1529">
            <v>4</v>
          </cell>
          <cell r="D1529" t="str">
            <v>tárgyévi eir.mód.korrekció</v>
          </cell>
          <cell r="I1529">
            <v>982</v>
          </cell>
          <cell r="P1529">
            <v>982</v>
          </cell>
          <cell r="S1529">
            <v>263</v>
          </cell>
          <cell r="Y1529">
            <v>719</v>
          </cell>
          <cell r="Z1529">
            <v>982</v>
          </cell>
          <cell r="AA1529">
            <v>0</v>
          </cell>
          <cell r="AB1529">
            <v>982</v>
          </cell>
        </row>
        <row r="1530">
          <cell r="B1530" t="str">
            <v>művészeti támogatás</v>
          </cell>
          <cell r="D1530" t="str">
            <v>pót1(4)</v>
          </cell>
          <cell r="I1530">
            <v>25200</v>
          </cell>
          <cell r="P1530">
            <v>25200</v>
          </cell>
          <cell r="Q1530">
            <v>4500</v>
          </cell>
          <cell r="S1530">
            <v>18900</v>
          </cell>
          <cell r="X1530">
            <v>1800</v>
          </cell>
          <cell r="Z1530">
            <v>25200</v>
          </cell>
          <cell r="AA1530">
            <v>0</v>
          </cell>
          <cell r="AB1530">
            <v>25200</v>
          </cell>
        </row>
        <row r="1531">
          <cell r="P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P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P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P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P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P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P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P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P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P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P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B1542" t="str">
            <v>Összesen</v>
          </cell>
          <cell r="D1542" t="str">
            <v>Pécsi Horvát Szinház</v>
          </cell>
          <cell r="E1542">
            <v>0</v>
          </cell>
          <cell r="F1542">
            <v>0</v>
          </cell>
          <cell r="G1542">
            <v>4621</v>
          </cell>
          <cell r="H1542">
            <v>0</v>
          </cell>
          <cell r="I1542">
            <v>37479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937</v>
          </cell>
          <cell r="O1542">
            <v>0</v>
          </cell>
          <cell r="P1542">
            <v>43037</v>
          </cell>
          <cell r="Q1542">
            <v>13952</v>
          </cell>
          <cell r="R1542">
            <v>3769</v>
          </cell>
          <cell r="S1542">
            <v>22797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1800</v>
          </cell>
          <cell r="Y1542">
            <v>719</v>
          </cell>
          <cell r="Z1542">
            <v>43037</v>
          </cell>
          <cell r="AA1542">
            <v>0</v>
          </cell>
          <cell r="AB1542">
            <v>43037</v>
          </cell>
        </row>
        <row r="1543">
          <cell r="A1543">
            <v>49</v>
          </cell>
          <cell r="B1543" t="str">
            <v>Pécsi Szimfónikus Zenekar</v>
          </cell>
          <cell r="C1543">
            <v>1</v>
          </cell>
          <cell r="D1543" t="str">
            <v>00előirányzat</v>
          </cell>
          <cell r="G1543">
            <v>25000</v>
          </cell>
          <cell r="I1543">
            <v>99328</v>
          </cell>
          <cell r="P1543">
            <v>124328</v>
          </cell>
          <cell r="Q1543">
            <v>78590</v>
          </cell>
          <cell r="R1543">
            <v>32112</v>
          </cell>
          <cell r="S1543">
            <v>7476</v>
          </cell>
          <cell r="U1543">
            <v>150</v>
          </cell>
          <cell r="X1543">
            <v>6000</v>
          </cell>
          <cell r="Z1543">
            <v>124328</v>
          </cell>
          <cell r="AA1543">
            <v>0</v>
          </cell>
          <cell r="AB1543">
            <v>124328</v>
          </cell>
        </row>
        <row r="1544">
          <cell r="C1544">
            <v>2</v>
          </cell>
          <cell r="D1544" t="str">
            <v>jóváhagyott pénzmaradvány</v>
          </cell>
          <cell r="N1544">
            <v>-9100</v>
          </cell>
          <cell r="P1544">
            <v>-9100</v>
          </cell>
          <cell r="S1544">
            <v>-9100</v>
          </cell>
          <cell r="Z1544">
            <v>-9100</v>
          </cell>
          <cell r="AA1544">
            <v>0</v>
          </cell>
          <cell r="AB1544">
            <v>-9100</v>
          </cell>
        </row>
        <row r="1545">
          <cell r="C1545">
            <v>3</v>
          </cell>
          <cell r="D1545" t="str">
            <v>pm.terhelő bef.kötelezettség</v>
          </cell>
          <cell r="N1545">
            <v>9299</v>
          </cell>
          <cell r="P1545">
            <v>9299</v>
          </cell>
          <cell r="S1545">
            <v>9299</v>
          </cell>
          <cell r="Z1545">
            <v>9299</v>
          </cell>
          <cell r="AA1545">
            <v>0</v>
          </cell>
          <cell r="AB1545">
            <v>9299</v>
          </cell>
        </row>
        <row r="1546">
          <cell r="B1546" t="str">
            <v>központi támogatás</v>
          </cell>
          <cell r="D1546" t="str">
            <v>pót1(3)</v>
          </cell>
          <cell r="I1546">
            <v>44000</v>
          </cell>
          <cell r="P1546">
            <v>44000</v>
          </cell>
          <cell r="Q1546">
            <v>4600</v>
          </cell>
          <cell r="S1546">
            <v>35400</v>
          </cell>
          <cell r="X1546">
            <v>4000</v>
          </cell>
          <cell r="Z1546">
            <v>44000</v>
          </cell>
          <cell r="AA1546">
            <v>0</v>
          </cell>
          <cell r="AB1546">
            <v>44000</v>
          </cell>
        </row>
        <row r="1547">
          <cell r="D1547" t="str">
            <v>sh1(10)</v>
          </cell>
          <cell r="J1547">
            <v>1000</v>
          </cell>
          <cell r="P1547">
            <v>1000</v>
          </cell>
          <cell r="S1547">
            <v>1000</v>
          </cell>
          <cell r="Z1547">
            <v>1000</v>
          </cell>
          <cell r="AA1547">
            <v>0</v>
          </cell>
          <cell r="AB1547">
            <v>1000</v>
          </cell>
        </row>
        <row r="1548">
          <cell r="C1548">
            <v>12</v>
          </cell>
          <cell r="D1548" t="str">
            <v>elvonás</v>
          </cell>
          <cell r="I1548">
            <v>-18</v>
          </cell>
          <cell r="P1548">
            <v>-18</v>
          </cell>
          <cell r="S1548">
            <v>-18</v>
          </cell>
          <cell r="Z1548">
            <v>-18</v>
          </cell>
          <cell r="AA1548">
            <v>0</v>
          </cell>
          <cell r="AB1548">
            <v>-18</v>
          </cell>
        </row>
        <row r="1549">
          <cell r="C1549">
            <v>13</v>
          </cell>
          <cell r="D1549" t="str">
            <v>bérfejlesztés</v>
          </cell>
          <cell r="I1549">
            <v>5429</v>
          </cell>
          <cell r="P1549">
            <v>5429</v>
          </cell>
          <cell r="Q1549">
            <v>3992</v>
          </cell>
          <cell r="R1549">
            <v>1437</v>
          </cell>
          <cell r="Z1549">
            <v>5429</v>
          </cell>
          <cell r="AA1549">
            <v>0</v>
          </cell>
          <cell r="AB1549">
            <v>5429</v>
          </cell>
        </row>
        <row r="1550">
          <cell r="C1550">
            <v>14</v>
          </cell>
          <cell r="D1550" t="str">
            <v>4% bérfejlesztés</v>
          </cell>
          <cell r="I1550">
            <v>-1500</v>
          </cell>
          <cell r="P1550">
            <v>-1500</v>
          </cell>
          <cell r="Q1550">
            <v>-1103</v>
          </cell>
          <cell r="R1550">
            <v>-397</v>
          </cell>
          <cell r="Z1550">
            <v>-1500</v>
          </cell>
          <cell r="AA1550">
            <v>0</v>
          </cell>
          <cell r="AB1550">
            <v>-1500</v>
          </cell>
        </row>
        <row r="1551">
          <cell r="P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P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P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P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P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P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P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B1558" t="str">
            <v>Összesen</v>
          </cell>
          <cell r="D1558" t="str">
            <v>Pécsi Szimf. Zenekar</v>
          </cell>
          <cell r="E1558">
            <v>0</v>
          </cell>
          <cell r="F1558">
            <v>0</v>
          </cell>
          <cell r="G1558">
            <v>25000</v>
          </cell>
          <cell r="H1558">
            <v>0</v>
          </cell>
          <cell r="I1558">
            <v>147239</v>
          </cell>
          <cell r="J1558">
            <v>1000</v>
          </cell>
          <cell r="K1558">
            <v>0</v>
          </cell>
          <cell r="L1558">
            <v>0</v>
          </cell>
          <cell r="M1558">
            <v>0</v>
          </cell>
          <cell r="N1558">
            <v>199</v>
          </cell>
          <cell r="O1558">
            <v>0</v>
          </cell>
          <cell r="P1558">
            <v>173438</v>
          </cell>
          <cell r="Q1558">
            <v>86079</v>
          </cell>
          <cell r="R1558">
            <v>33152</v>
          </cell>
          <cell r="S1558">
            <v>44057</v>
          </cell>
          <cell r="T1558">
            <v>0</v>
          </cell>
          <cell r="U1558">
            <v>150</v>
          </cell>
          <cell r="V1558">
            <v>0</v>
          </cell>
          <cell r="W1558">
            <v>0</v>
          </cell>
          <cell r="X1558">
            <v>10000</v>
          </cell>
          <cell r="Y1558">
            <v>0</v>
          </cell>
          <cell r="Z1558">
            <v>173438</v>
          </cell>
          <cell r="AA1558">
            <v>0</v>
          </cell>
          <cell r="AB1558">
            <v>173438</v>
          </cell>
        </row>
        <row r="1559">
          <cell r="A1559">
            <v>50</v>
          </cell>
          <cell r="B1559" t="str">
            <v>Ifjúsági Ház</v>
          </cell>
          <cell r="C1559">
            <v>1</v>
          </cell>
          <cell r="D1559" t="str">
            <v>00előirányzat</v>
          </cell>
          <cell r="G1559">
            <v>8500</v>
          </cell>
          <cell r="I1559">
            <v>19155</v>
          </cell>
          <cell r="J1559">
            <v>300</v>
          </cell>
          <cell r="P1559">
            <v>27955</v>
          </cell>
          <cell r="Q1559">
            <v>10000</v>
          </cell>
          <cell r="R1559">
            <v>4170</v>
          </cell>
          <cell r="S1559">
            <v>13785</v>
          </cell>
          <cell r="Z1559">
            <v>27955</v>
          </cell>
          <cell r="AA1559">
            <v>0</v>
          </cell>
          <cell r="AB1559">
            <v>27955</v>
          </cell>
        </row>
        <row r="1560">
          <cell r="C1560">
            <v>2</v>
          </cell>
          <cell r="D1560" t="str">
            <v>jóváhagyott pénzmaradvány</v>
          </cell>
          <cell r="N1560">
            <v>633</v>
          </cell>
          <cell r="P1560">
            <v>633</v>
          </cell>
          <cell r="Q1560">
            <v>137</v>
          </cell>
          <cell r="R1560">
            <v>49</v>
          </cell>
          <cell r="Y1560">
            <v>447</v>
          </cell>
          <cell r="Z1560">
            <v>633</v>
          </cell>
          <cell r="AA1560">
            <v>0</v>
          </cell>
          <cell r="AB1560">
            <v>633</v>
          </cell>
        </row>
        <row r="1561">
          <cell r="C1561">
            <v>4</v>
          </cell>
          <cell r="D1561" t="str">
            <v>tárgyévi eir.mód.korrekció</v>
          </cell>
          <cell r="I1561">
            <v>15</v>
          </cell>
          <cell r="P1561">
            <v>15</v>
          </cell>
          <cell r="Y1561">
            <v>15</v>
          </cell>
          <cell r="Z1561">
            <v>15</v>
          </cell>
          <cell r="AA1561">
            <v>0</v>
          </cell>
          <cell r="AB1561">
            <v>15</v>
          </cell>
        </row>
        <row r="1562">
          <cell r="C1562">
            <v>12</v>
          </cell>
          <cell r="D1562" t="str">
            <v>elvonás</v>
          </cell>
          <cell r="I1562">
            <v>-608</v>
          </cell>
          <cell r="P1562">
            <v>-608</v>
          </cell>
          <cell r="S1562">
            <v>-608</v>
          </cell>
          <cell r="Z1562">
            <v>-608</v>
          </cell>
          <cell r="AA1562">
            <v>0</v>
          </cell>
          <cell r="AB1562">
            <v>-608</v>
          </cell>
        </row>
        <row r="1563">
          <cell r="C1563">
            <v>13</v>
          </cell>
          <cell r="D1563" t="str">
            <v>bérfejlesztés</v>
          </cell>
          <cell r="I1563">
            <v>674</v>
          </cell>
          <cell r="P1563">
            <v>674</v>
          </cell>
          <cell r="Q1563">
            <v>496</v>
          </cell>
          <cell r="R1563">
            <v>178</v>
          </cell>
          <cell r="Z1563">
            <v>674</v>
          </cell>
          <cell r="AA1563">
            <v>0</v>
          </cell>
          <cell r="AB1563">
            <v>674</v>
          </cell>
        </row>
        <row r="1564">
          <cell r="C1564">
            <v>14</v>
          </cell>
          <cell r="D1564" t="str">
            <v>4% bérfejlesztés</v>
          </cell>
          <cell r="I1564">
            <v>-186</v>
          </cell>
          <cell r="P1564">
            <v>-186</v>
          </cell>
          <cell r="Q1564">
            <v>-137</v>
          </cell>
          <cell r="R1564">
            <v>-49</v>
          </cell>
          <cell r="Z1564">
            <v>-186</v>
          </cell>
          <cell r="AA1564">
            <v>0</v>
          </cell>
          <cell r="AB1564">
            <v>-186</v>
          </cell>
        </row>
        <row r="1565">
          <cell r="P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P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P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P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P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P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P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P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P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P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B1575" t="str">
            <v>Összesen</v>
          </cell>
          <cell r="D1575" t="str">
            <v>Ifjúsági Ház</v>
          </cell>
          <cell r="E1575">
            <v>0</v>
          </cell>
          <cell r="F1575">
            <v>0</v>
          </cell>
          <cell r="G1575">
            <v>8500</v>
          </cell>
          <cell r="H1575">
            <v>0</v>
          </cell>
          <cell r="I1575">
            <v>19050</v>
          </cell>
          <cell r="J1575">
            <v>300</v>
          </cell>
          <cell r="K1575">
            <v>0</v>
          </cell>
          <cell r="L1575">
            <v>0</v>
          </cell>
          <cell r="M1575">
            <v>0</v>
          </cell>
          <cell r="N1575">
            <v>633</v>
          </cell>
          <cell r="O1575">
            <v>0</v>
          </cell>
          <cell r="P1575">
            <v>28483</v>
          </cell>
          <cell r="Q1575">
            <v>10496</v>
          </cell>
          <cell r="R1575">
            <v>4348</v>
          </cell>
          <cell r="S1575">
            <v>13177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462</v>
          </cell>
          <cell r="Z1575">
            <v>28483</v>
          </cell>
          <cell r="AA1575">
            <v>0</v>
          </cell>
          <cell r="AB1575">
            <v>28483</v>
          </cell>
        </row>
        <row r="1576">
          <cell r="B1576" t="str">
            <v xml:space="preserve">Szivárvány Gyermekház </v>
          </cell>
          <cell r="C1576">
            <v>1</v>
          </cell>
          <cell r="D1576" t="str">
            <v>00előirányzat</v>
          </cell>
          <cell r="G1576">
            <v>4000</v>
          </cell>
          <cell r="I1576">
            <v>20247</v>
          </cell>
          <cell r="J1576">
            <v>300</v>
          </cell>
          <cell r="P1576">
            <v>24547</v>
          </cell>
          <cell r="Q1576">
            <v>10097</v>
          </cell>
          <cell r="R1576">
            <v>4756</v>
          </cell>
          <cell r="S1576">
            <v>9694</v>
          </cell>
          <cell r="Z1576">
            <v>24547</v>
          </cell>
          <cell r="AA1576">
            <v>0</v>
          </cell>
          <cell r="AB1576">
            <v>24547</v>
          </cell>
        </row>
        <row r="1577">
          <cell r="C1577">
            <v>2</v>
          </cell>
          <cell r="D1577" t="str">
            <v>jóváhagyott pénzmaradvány</v>
          </cell>
          <cell r="N1577">
            <v>194</v>
          </cell>
          <cell r="P1577">
            <v>194</v>
          </cell>
          <cell r="Q1577">
            <v>80</v>
          </cell>
          <cell r="R1577">
            <v>29</v>
          </cell>
          <cell r="Y1577">
            <v>85</v>
          </cell>
          <cell r="Z1577">
            <v>194</v>
          </cell>
          <cell r="AA1577">
            <v>0</v>
          </cell>
          <cell r="AB1577">
            <v>194</v>
          </cell>
        </row>
        <row r="1578">
          <cell r="C1578">
            <v>3</v>
          </cell>
          <cell r="D1578" t="str">
            <v>pm.terhelő bef.kötelezettség</v>
          </cell>
          <cell r="N1578">
            <v>263</v>
          </cell>
          <cell r="P1578">
            <v>263</v>
          </cell>
          <cell r="S1578">
            <v>263</v>
          </cell>
          <cell r="Z1578">
            <v>263</v>
          </cell>
          <cell r="AA1578">
            <v>0</v>
          </cell>
          <cell r="AB1578">
            <v>263</v>
          </cell>
        </row>
        <row r="1579">
          <cell r="B1579" t="str">
            <v>dr.Gáspár Gabriella gyermeknap</v>
          </cell>
          <cell r="D1579" t="str">
            <v>pót1(8)</v>
          </cell>
          <cell r="I1579">
            <v>50</v>
          </cell>
          <cell r="P1579">
            <v>50</v>
          </cell>
          <cell r="S1579">
            <v>50</v>
          </cell>
          <cell r="Z1579">
            <v>50</v>
          </cell>
          <cell r="AA1579">
            <v>0</v>
          </cell>
          <cell r="AB1579">
            <v>50</v>
          </cell>
        </row>
        <row r="1580">
          <cell r="B1580" t="str">
            <v>Kablár keret</v>
          </cell>
          <cell r="D1580" t="str">
            <v>pót1(19)</v>
          </cell>
          <cell r="I1580">
            <v>184</v>
          </cell>
          <cell r="P1580">
            <v>184</v>
          </cell>
          <cell r="S1580">
            <v>184</v>
          </cell>
          <cell r="Z1580">
            <v>184</v>
          </cell>
          <cell r="AA1580">
            <v>0</v>
          </cell>
          <cell r="AB1580">
            <v>184</v>
          </cell>
        </row>
        <row r="1581">
          <cell r="C1581">
            <v>12</v>
          </cell>
          <cell r="D1581" t="str">
            <v>elvonás</v>
          </cell>
          <cell r="I1581">
            <v>-338</v>
          </cell>
          <cell r="P1581">
            <v>-338</v>
          </cell>
          <cell r="S1581">
            <v>-338</v>
          </cell>
          <cell r="Z1581">
            <v>-338</v>
          </cell>
          <cell r="AA1581">
            <v>0</v>
          </cell>
          <cell r="AB1581">
            <v>-338</v>
          </cell>
        </row>
        <row r="1582">
          <cell r="C1582">
            <v>13</v>
          </cell>
          <cell r="D1582" t="str">
            <v>bérfejlesztés</v>
          </cell>
          <cell r="I1582">
            <v>674</v>
          </cell>
          <cell r="P1582">
            <v>674</v>
          </cell>
          <cell r="Q1582">
            <v>496</v>
          </cell>
          <cell r="R1582">
            <v>178</v>
          </cell>
          <cell r="Z1582">
            <v>674</v>
          </cell>
          <cell r="AA1582">
            <v>0</v>
          </cell>
          <cell r="AB1582">
            <v>674</v>
          </cell>
        </row>
        <row r="1583">
          <cell r="C1583">
            <v>14</v>
          </cell>
          <cell r="D1583" t="str">
            <v>4% bérfejlesztés</v>
          </cell>
          <cell r="I1583">
            <v>-186</v>
          </cell>
          <cell r="P1583">
            <v>-186</v>
          </cell>
          <cell r="Q1583">
            <v>-137</v>
          </cell>
          <cell r="R1583">
            <v>-49</v>
          </cell>
          <cell r="Z1583">
            <v>-186</v>
          </cell>
          <cell r="AA1583">
            <v>0</v>
          </cell>
          <cell r="AB1583">
            <v>-186</v>
          </cell>
        </row>
        <row r="1584">
          <cell r="P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P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P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P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P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P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P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P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P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B1593" t="str">
            <v>Összesen</v>
          </cell>
          <cell r="D1593" t="str">
            <v>Szivárvány Gyermekház</v>
          </cell>
          <cell r="E1593">
            <v>0</v>
          </cell>
          <cell r="F1593">
            <v>0</v>
          </cell>
          <cell r="G1593">
            <v>4000</v>
          </cell>
          <cell r="H1593">
            <v>0</v>
          </cell>
          <cell r="I1593">
            <v>20631</v>
          </cell>
          <cell r="J1593">
            <v>300</v>
          </cell>
          <cell r="K1593">
            <v>0</v>
          </cell>
          <cell r="L1593">
            <v>0</v>
          </cell>
          <cell r="M1593">
            <v>0</v>
          </cell>
          <cell r="N1593">
            <v>457</v>
          </cell>
          <cell r="O1593">
            <v>0</v>
          </cell>
          <cell r="P1593">
            <v>25388</v>
          </cell>
          <cell r="Q1593">
            <v>10536</v>
          </cell>
          <cell r="R1593">
            <v>4914</v>
          </cell>
          <cell r="S1593">
            <v>9853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85</v>
          </cell>
          <cell r="Z1593">
            <v>25388</v>
          </cell>
          <cell r="AA1593">
            <v>0</v>
          </cell>
          <cell r="AB1593">
            <v>25388</v>
          </cell>
        </row>
        <row r="1594">
          <cell r="B1594" t="str">
            <v>Ifjúsági + Szivárvány</v>
          </cell>
          <cell r="E1594">
            <v>0</v>
          </cell>
          <cell r="F1594">
            <v>0</v>
          </cell>
          <cell r="G1594">
            <v>12500</v>
          </cell>
          <cell r="H1594">
            <v>0</v>
          </cell>
          <cell r="I1594">
            <v>39681</v>
          </cell>
          <cell r="J1594">
            <v>600</v>
          </cell>
          <cell r="K1594">
            <v>0</v>
          </cell>
          <cell r="L1594">
            <v>0</v>
          </cell>
          <cell r="M1594">
            <v>0</v>
          </cell>
          <cell r="N1594">
            <v>1090</v>
          </cell>
          <cell r="O1594">
            <v>0</v>
          </cell>
          <cell r="P1594">
            <v>53871</v>
          </cell>
          <cell r="Q1594">
            <v>21032</v>
          </cell>
          <cell r="R1594">
            <v>9262</v>
          </cell>
          <cell r="S1594">
            <v>23030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547</v>
          </cell>
          <cell r="Z1594">
            <v>53871</v>
          </cell>
          <cell r="AA1594">
            <v>0</v>
          </cell>
          <cell r="AB1594">
            <v>53871</v>
          </cell>
        </row>
        <row r="1595">
          <cell r="A1595">
            <v>52</v>
          </cell>
          <cell r="B1595" t="str">
            <v>Sportlétesitmények Igazgatósága</v>
          </cell>
          <cell r="C1595">
            <v>1</v>
          </cell>
          <cell r="D1595" t="str">
            <v>00előirányzat</v>
          </cell>
          <cell r="G1595">
            <v>23700</v>
          </cell>
          <cell r="I1595">
            <v>61257</v>
          </cell>
          <cell r="P1595">
            <v>84957</v>
          </cell>
          <cell r="Q1595">
            <v>28197</v>
          </cell>
          <cell r="R1595">
            <v>11716</v>
          </cell>
          <cell r="S1595">
            <v>45044</v>
          </cell>
          <cell r="Z1595">
            <v>84957</v>
          </cell>
          <cell r="AA1595">
            <v>0</v>
          </cell>
          <cell r="AB1595">
            <v>84957</v>
          </cell>
        </row>
        <row r="1596">
          <cell r="C1596">
            <v>2</v>
          </cell>
          <cell r="D1596" t="str">
            <v>jóváhagyott pénzmaradvány</v>
          </cell>
          <cell r="N1596">
            <v>606</v>
          </cell>
          <cell r="P1596">
            <v>606</v>
          </cell>
          <cell r="Q1596">
            <v>1876</v>
          </cell>
          <cell r="R1596">
            <v>675</v>
          </cell>
          <cell r="S1596">
            <v>-1945</v>
          </cell>
          <cell r="Z1596">
            <v>606</v>
          </cell>
          <cell r="AA1596">
            <v>0</v>
          </cell>
          <cell r="AB1596">
            <v>606</v>
          </cell>
        </row>
        <row r="1597">
          <cell r="C1597">
            <v>4</v>
          </cell>
          <cell r="D1597" t="str">
            <v>tárgyévi eir.mód.korrekció</v>
          </cell>
          <cell r="I1597">
            <v>1945</v>
          </cell>
          <cell r="P1597">
            <v>1945</v>
          </cell>
          <cell r="S1597">
            <v>1945</v>
          </cell>
          <cell r="Z1597">
            <v>1945</v>
          </cell>
          <cell r="AA1597">
            <v>0</v>
          </cell>
          <cell r="AB1597">
            <v>1945</v>
          </cell>
        </row>
        <row r="1598">
          <cell r="D1598" t="str">
            <v>sh1(11)</v>
          </cell>
          <cell r="G1598">
            <v>1629</v>
          </cell>
          <cell r="P1598">
            <v>1629</v>
          </cell>
          <cell r="S1598">
            <v>1629</v>
          </cell>
          <cell r="Z1598">
            <v>1629</v>
          </cell>
          <cell r="AA1598">
            <v>0</v>
          </cell>
          <cell r="AB1598">
            <v>1629</v>
          </cell>
        </row>
        <row r="1599">
          <cell r="B1599" t="str">
            <v>Sport felújítási keret</v>
          </cell>
          <cell r="D1599" t="str">
            <v>pót1(24)</v>
          </cell>
          <cell r="I1599">
            <v>488</v>
          </cell>
          <cell r="P1599">
            <v>488</v>
          </cell>
          <cell r="X1599">
            <v>488</v>
          </cell>
          <cell r="Z1599">
            <v>488</v>
          </cell>
          <cell r="AA1599">
            <v>0</v>
          </cell>
          <cell r="AB1599">
            <v>488</v>
          </cell>
        </row>
        <row r="1600">
          <cell r="C1600">
            <v>12</v>
          </cell>
          <cell r="D1600" t="str">
            <v>elvonás</v>
          </cell>
          <cell r="I1600">
            <v>-1726</v>
          </cell>
          <cell r="P1600">
            <v>-1726</v>
          </cell>
          <cell r="S1600">
            <v>-1726</v>
          </cell>
          <cell r="Z1600">
            <v>-1726</v>
          </cell>
          <cell r="AA1600">
            <v>0</v>
          </cell>
          <cell r="AB1600">
            <v>-1726</v>
          </cell>
        </row>
        <row r="1601">
          <cell r="C1601">
            <v>13</v>
          </cell>
          <cell r="D1601" t="str">
            <v>bérfejlesztés</v>
          </cell>
          <cell r="I1601">
            <v>2002</v>
          </cell>
          <cell r="P1601">
            <v>2002</v>
          </cell>
          <cell r="Q1601">
            <v>1472</v>
          </cell>
          <cell r="R1601">
            <v>530</v>
          </cell>
          <cell r="Z1601">
            <v>2002</v>
          </cell>
          <cell r="AA1601">
            <v>0</v>
          </cell>
          <cell r="AB1601">
            <v>2002</v>
          </cell>
        </row>
        <row r="1602">
          <cell r="C1602">
            <v>14</v>
          </cell>
          <cell r="D1602" t="str">
            <v>4% bérfejlesztés</v>
          </cell>
          <cell r="I1602">
            <v>-554</v>
          </cell>
          <cell r="P1602">
            <v>-554</v>
          </cell>
          <cell r="Q1602">
            <v>-407</v>
          </cell>
          <cell r="R1602">
            <v>-147</v>
          </cell>
          <cell r="Z1602">
            <v>-554</v>
          </cell>
          <cell r="AA1602">
            <v>0</v>
          </cell>
          <cell r="AB1602">
            <v>-554</v>
          </cell>
        </row>
        <row r="1603">
          <cell r="P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P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P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P1606">
            <v>0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P1607">
            <v>0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P1608">
            <v>0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P1609">
            <v>0</v>
          </cell>
          <cell r="Z1609">
            <v>0</v>
          </cell>
          <cell r="AA1609">
            <v>0</v>
          </cell>
          <cell r="AB1609">
            <v>0</v>
          </cell>
        </row>
        <row r="1610">
          <cell r="P1610">
            <v>0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P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P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P1613">
            <v>0</v>
          </cell>
          <cell r="Z1613">
            <v>0</v>
          </cell>
          <cell r="AA1613">
            <v>0</v>
          </cell>
          <cell r="AB1613">
            <v>0</v>
          </cell>
        </row>
        <row r="1614">
          <cell r="P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P1615">
            <v>0</v>
          </cell>
          <cell r="Z1615">
            <v>0</v>
          </cell>
          <cell r="AA1615">
            <v>0</v>
          </cell>
          <cell r="AB1615">
            <v>0</v>
          </cell>
        </row>
        <row r="1616">
          <cell r="P1616">
            <v>0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P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P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B1619" t="str">
            <v>Összesen</v>
          </cell>
          <cell r="D1619" t="str">
            <v>Sportl. Igazgatósága</v>
          </cell>
          <cell r="E1619">
            <v>0</v>
          </cell>
          <cell r="F1619">
            <v>0</v>
          </cell>
          <cell r="G1619">
            <v>25329</v>
          </cell>
          <cell r="H1619">
            <v>0</v>
          </cell>
          <cell r="I1619">
            <v>63412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606</v>
          </cell>
          <cell r="O1619">
            <v>0</v>
          </cell>
          <cell r="P1619">
            <v>89347</v>
          </cell>
          <cell r="Q1619">
            <v>31138</v>
          </cell>
          <cell r="R1619">
            <v>12774</v>
          </cell>
          <cell r="S1619">
            <v>44947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488</v>
          </cell>
          <cell r="Y1619">
            <v>0</v>
          </cell>
          <cell r="Z1619">
            <v>89347</v>
          </cell>
          <cell r="AA1619">
            <v>0</v>
          </cell>
          <cell r="AB1619">
            <v>89347</v>
          </cell>
        </row>
        <row r="1620">
          <cell r="B1620" t="str">
            <v>Sportl.vállalkozás</v>
          </cell>
          <cell r="C1620">
            <v>1</v>
          </cell>
          <cell r="D1620" t="str">
            <v>00előirányzat</v>
          </cell>
          <cell r="F1620">
            <v>1469</v>
          </cell>
          <cell r="P1620">
            <v>1469</v>
          </cell>
          <cell r="S1620">
            <v>1469</v>
          </cell>
          <cell r="Z1620">
            <v>1469</v>
          </cell>
          <cell r="AA1620">
            <v>0</v>
          </cell>
          <cell r="AB1620">
            <v>1469</v>
          </cell>
        </row>
        <row r="1621">
          <cell r="P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P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P1623">
            <v>0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P1624">
            <v>0</v>
          </cell>
          <cell r="Z1624">
            <v>0</v>
          </cell>
          <cell r="AA1624">
            <v>0</v>
          </cell>
          <cell r="AB1624">
            <v>0</v>
          </cell>
        </row>
        <row r="1625">
          <cell r="P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P1626">
            <v>0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P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P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P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B1630" t="str">
            <v>Összesen</v>
          </cell>
          <cell r="D1630" t="str">
            <v>Sportl.vállalkozás</v>
          </cell>
          <cell r="E1630">
            <v>0</v>
          </cell>
          <cell r="F1630">
            <v>1469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1469</v>
          </cell>
          <cell r="Q1630">
            <v>0</v>
          </cell>
          <cell r="R1630">
            <v>0</v>
          </cell>
          <cell r="S1630">
            <v>1469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1469</v>
          </cell>
          <cell r="AA1630">
            <v>0</v>
          </cell>
          <cell r="AB1630">
            <v>1469</v>
          </cell>
        </row>
        <row r="1631">
          <cell r="B1631" t="str">
            <v>Sportl. + vállalkozás</v>
          </cell>
          <cell r="E1631">
            <v>0</v>
          </cell>
          <cell r="F1631">
            <v>1469</v>
          </cell>
          <cell r="G1631">
            <v>25329</v>
          </cell>
          <cell r="H1631">
            <v>0</v>
          </cell>
          <cell r="I1631">
            <v>63412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606</v>
          </cell>
          <cell r="O1631">
            <v>0</v>
          </cell>
          <cell r="P1631">
            <v>90816</v>
          </cell>
          <cell r="Q1631">
            <v>31138</v>
          </cell>
          <cell r="R1631">
            <v>12774</v>
          </cell>
          <cell r="S1631">
            <v>46416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488</v>
          </cell>
          <cell r="Y1631">
            <v>0</v>
          </cell>
          <cell r="Z1631">
            <v>90816</v>
          </cell>
          <cell r="AA1631">
            <v>0</v>
          </cell>
          <cell r="AB1631">
            <v>90816</v>
          </cell>
        </row>
        <row r="1632">
          <cell r="A1632">
            <v>53</v>
          </cell>
          <cell r="B1632" t="str">
            <v>Gazd.Ell.-és Szolg.Szerv.</v>
          </cell>
          <cell r="C1632">
            <v>1</v>
          </cell>
          <cell r="D1632" t="str">
            <v>00előirányzat</v>
          </cell>
          <cell r="E1632">
            <v>300</v>
          </cell>
          <cell r="G1632">
            <v>24625</v>
          </cell>
          <cell r="I1632">
            <v>409279</v>
          </cell>
          <cell r="P1632">
            <v>434204</v>
          </cell>
          <cell r="Q1632">
            <v>75439</v>
          </cell>
          <cell r="R1632">
            <v>28962</v>
          </cell>
          <cell r="S1632">
            <v>275143</v>
          </cell>
          <cell r="T1632">
            <v>500</v>
          </cell>
          <cell r="X1632">
            <v>54160</v>
          </cell>
          <cell r="Z1632">
            <v>434204</v>
          </cell>
          <cell r="AA1632">
            <v>0</v>
          </cell>
          <cell r="AB1632">
            <v>434204</v>
          </cell>
        </row>
        <row r="1633">
          <cell r="C1633">
            <v>2</v>
          </cell>
          <cell r="D1633" t="str">
            <v>jóváhagyott pénzmaradvány</v>
          </cell>
          <cell r="N1633">
            <v>20467</v>
          </cell>
          <cell r="P1633">
            <v>20467</v>
          </cell>
          <cell r="Q1633">
            <v>3144</v>
          </cell>
          <cell r="R1633">
            <v>1132</v>
          </cell>
          <cell r="Y1633">
            <v>16191</v>
          </cell>
          <cell r="Z1633">
            <v>20467</v>
          </cell>
          <cell r="AA1633">
            <v>0</v>
          </cell>
          <cell r="AB1633">
            <v>20467</v>
          </cell>
        </row>
        <row r="1634">
          <cell r="C1634">
            <v>3</v>
          </cell>
          <cell r="D1634" t="str">
            <v>pm.terhelő bef.kötelezettség</v>
          </cell>
          <cell r="N1634">
            <v>1280</v>
          </cell>
          <cell r="P1634">
            <v>1280</v>
          </cell>
          <cell r="S1634">
            <v>1280</v>
          </cell>
          <cell r="Z1634">
            <v>1280</v>
          </cell>
          <cell r="AA1634">
            <v>0</v>
          </cell>
          <cell r="AB1634">
            <v>1280</v>
          </cell>
        </row>
        <row r="1635">
          <cell r="B1635" t="str">
            <v>Közter pénzmaradvány</v>
          </cell>
          <cell r="D1635" t="str">
            <v>pót1(22)</v>
          </cell>
          <cell r="I1635">
            <v>-2561</v>
          </cell>
          <cell r="P1635">
            <v>-2561</v>
          </cell>
          <cell r="Q1635">
            <v>-1883</v>
          </cell>
          <cell r="R1635">
            <v>-678</v>
          </cell>
          <cell r="Z1635">
            <v>-2561</v>
          </cell>
          <cell r="AA1635">
            <v>0</v>
          </cell>
          <cell r="AB1635">
            <v>-2561</v>
          </cell>
        </row>
        <row r="1636">
          <cell r="C1636">
            <v>12</v>
          </cell>
          <cell r="D1636" t="str">
            <v>elvonás</v>
          </cell>
          <cell r="I1636">
            <v>-5460</v>
          </cell>
          <cell r="P1636">
            <v>-5460</v>
          </cell>
          <cell r="S1636">
            <v>-5460</v>
          </cell>
          <cell r="Z1636">
            <v>-5460</v>
          </cell>
          <cell r="AA1636">
            <v>0</v>
          </cell>
          <cell r="AB1636">
            <v>-5460</v>
          </cell>
        </row>
        <row r="1637">
          <cell r="P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P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P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P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P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P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P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P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P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P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P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P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P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P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P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P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P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P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B1655" t="str">
            <v>Összesen</v>
          </cell>
          <cell r="D1655" t="str">
            <v>Gazd.Ell.-és Szolg.Szerv.</v>
          </cell>
          <cell r="E1655">
            <v>300</v>
          </cell>
          <cell r="F1655">
            <v>0</v>
          </cell>
          <cell r="G1655">
            <v>24625</v>
          </cell>
          <cell r="H1655">
            <v>0</v>
          </cell>
          <cell r="I1655">
            <v>401258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21747</v>
          </cell>
          <cell r="O1655">
            <v>0</v>
          </cell>
          <cell r="P1655">
            <v>447930</v>
          </cell>
          <cell r="Q1655">
            <v>76700</v>
          </cell>
          <cell r="R1655">
            <v>29416</v>
          </cell>
          <cell r="S1655">
            <v>270963</v>
          </cell>
          <cell r="T1655">
            <v>500</v>
          </cell>
          <cell r="U1655">
            <v>0</v>
          </cell>
          <cell r="V1655">
            <v>0</v>
          </cell>
          <cell r="W1655">
            <v>0</v>
          </cell>
          <cell r="X1655">
            <v>54160</v>
          </cell>
          <cell r="Y1655">
            <v>16191</v>
          </cell>
          <cell r="Z1655">
            <v>447930</v>
          </cell>
          <cell r="AA1655">
            <v>0</v>
          </cell>
          <cell r="AB1655">
            <v>447930</v>
          </cell>
        </row>
        <row r="1656">
          <cell r="A1656">
            <v>54</v>
          </cell>
          <cell r="B1656" t="str">
            <v>Hivatásos Önk.Tűzoltóság</v>
          </cell>
          <cell r="C1656">
            <v>1</v>
          </cell>
          <cell r="D1656" t="str">
            <v>00előirányzat</v>
          </cell>
          <cell r="E1656">
            <v>2160</v>
          </cell>
          <cell r="I1656">
            <v>233463</v>
          </cell>
          <cell r="P1656">
            <v>235623</v>
          </cell>
          <cell r="Q1656">
            <v>151388</v>
          </cell>
          <cell r="R1656">
            <v>58454</v>
          </cell>
          <cell r="S1656">
            <v>25781</v>
          </cell>
          <cell r="Z1656">
            <v>235623</v>
          </cell>
          <cell r="AA1656">
            <v>0</v>
          </cell>
          <cell r="AB1656">
            <v>235623</v>
          </cell>
        </row>
        <row r="1657">
          <cell r="C1657">
            <v>2</v>
          </cell>
          <cell r="D1657" t="str">
            <v>jóváhagyott pénzmaradvány</v>
          </cell>
          <cell r="N1657">
            <v>-10461</v>
          </cell>
          <cell r="P1657">
            <v>-10461</v>
          </cell>
          <cell r="S1657">
            <v>-10461</v>
          </cell>
          <cell r="Z1657">
            <v>-10461</v>
          </cell>
          <cell r="AA1657">
            <v>0</v>
          </cell>
          <cell r="AB1657">
            <v>-10461</v>
          </cell>
        </row>
        <row r="1658">
          <cell r="C1658">
            <v>3</v>
          </cell>
          <cell r="D1658" t="str">
            <v>pm.terhelő bef.kötelezettség</v>
          </cell>
          <cell r="N1658">
            <v>12551</v>
          </cell>
          <cell r="P1658">
            <v>12551</v>
          </cell>
          <cell r="S1658">
            <v>12551</v>
          </cell>
          <cell r="Z1658">
            <v>12551</v>
          </cell>
          <cell r="AA1658">
            <v>0</v>
          </cell>
          <cell r="AB1658">
            <v>12551</v>
          </cell>
        </row>
        <row r="1659">
          <cell r="C1659">
            <v>4</v>
          </cell>
          <cell r="D1659" t="str">
            <v>tárgyévi eir.mód.korrekció</v>
          </cell>
          <cell r="I1659">
            <v>240</v>
          </cell>
          <cell r="P1659">
            <v>240</v>
          </cell>
          <cell r="S1659">
            <v>240</v>
          </cell>
          <cell r="Z1659">
            <v>240</v>
          </cell>
          <cell r="AA1659">
            <v>0</v>
          </cell>
          <cell r="AB1659">
            <v>240</v>
          </cell>
        </row>
        <row r="1660">
          <cell r="P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P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P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P1663">
            <v>0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P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P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P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B1667" t="str">
            <v>Összesen</v>
          </cell>
          <cell r="D1667" t="str">
            <v>Hivatásos Önk.Tűzoltóság</v>
          </cell>
          <cell r="E1667">
            <v>2160</v>
          </cell>
          <cell r="F1667">
            <v>0</v>
          </cell>
          <cell r="G1667">
            <v>0</v>
          </cell>
          <cell r="H1667">
            <v>0</v>
          </cell>
          <cell r="I1667">
            <v>233703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2090</v>
          </cell>
          <cell r="O1667">
            <v>0</v>
          </cell>
          <cell r="P1667">
            <v>237953</v>
          </cell>
          <cell r="Q1667">
            <v>151388</v>
          </cell>
          <cell r="R1667">
            <v>58454</v>
          </cell>
          <cell r="S1667">
            <v>28111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237953</v>
          </cell>
          <cell r="AA1667">
            <v>0</v>
          </cell>
          <cell r="AB1667">
            <v>237953</v>
          </cell>
        </row>
        <row r="1668">
          <cell r="B1668" t="str">
            <v>INTÉZMÉNY ÖSSZESEN</v>
          </cell>
          <cell r="E1668">
            <v>802232</v>
          </cell>
          <cell r="F1668">
            <v>0</v>
          </cell>
          <cell r="G1668">
            <v>1008060</v>
          </cell>
          <cell r="H1668">
            <v>2250</v>
          </cell>
          <cell r="I1668">
            <v>9365515</v>
          </cell>
          <cell r="J1668">
            <v>33023</v>
          </cell>
          <cell r="K1668">
            <v>804497</v>
          </cell>
          <cell r="L1668">
            <v>0</v>
          </cell>
          <cell r="M1668">
            <v>19640</v>
          </cell>
          <cell r="N1668">
            <v>447760</v>
          </cell>
          <cell r="O1668">
            <v>0</v>
          </cell>
          <cell r="P1668">
            <v>12482977</v>
          </cell>
          <cell r="Q1668">
            <v>5860675</v>
          </cell>
          <cell r="R1668">
            <v>2369727</v>
          </cell>
          <cell r="S1668">
            <v>3689260</v>
          </cell>
          <cell r="T1668">
            <v>142000</v>
          </cell>
          <cell r="U1668">
            <v>150</v>
          </cell>
          <cell r="V1668">
            <v>0</v>
          </cell>
          <cell r="W1668">
            <v>36582</v>
          </cell>
          <cell r="X1668">
            <v>182197</v>
          </cell>
          <cell r="Y1668">
            <v>202386</v>
          </cell>
          <cell r="Z1668">
            <v>12482977</v>
          </cell>
          <cell r="AA1668">
            <v>0</v>
          </cell>
          <cell r="AB1668">
            <v>12482977</v>
          </cell>
        </row>
        <row r="1669">
          <cell r="B1669" t="str">
            <v>Sportl. Igazg.vállalkozás</v>
          </cell>
          <cell r="R1669">
            <v>0</v>
          </cell>
          <cell r="S1669">
            <v>1469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1469</v>
          </cell>
          <cell r="AA1669">
            <v>0</v>
          </cell>
        </row>
        <row r="1670">
          <cell r="B1670" t="str">
            <v>V É G Ö S S Z E S E N</v>
          </cell>
          <cell r="R1670">
            <v>2369727</v>
          </cell>
          <cell r="S1670">
            <v>3690729</v>
          </cell>
          <cell r="T1670">
            <v>142000</v>
          </cell>
          <cell r="U1670">
            <v>150</v>
          </cell>
          <cell r="V1670">
            <v>0</v>
          </cell>
          <cell r="W1670">
            <v>36582</v>
          </cell>
          <cell r="X1670">
            <v>182197</v>
          </cell>
          <cell r="Y1670">
            <v>202386</v>
          </cell>
          <cell r="Z1670">
            <v>12484446</v>
          </cell>
          <cell r="AA1670">
            <v>0</v>
          </cell>
        </row>
        <row r="1683">
          <cell r="D168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>
        <row r="1">
          <cell r="J1" t="str">
            <v xml:space="preserve"> </v>
          </cell>
          <cell r="K1" t="str">
            <v xml:space="preserve"> </v>
          </cell>
          <cell r="M1" t="str">
            <v xml:space="preserve"> </v>
          </cell>
          <cell r="N1" t="str">
            <v xml:space="preserve"> </v>
          </cell>
          <cell r="T1" t="str">
            <v>PÉNZESZK.</v>
          </cell>
          <cell r="U1" t="str">
            <v>ÁTADÁSA</v>
          </cell>
          <cell r="V1" t="str">
            <v xml:space="preserve"> </v>
          </cell>
        </row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Vállalkozási</v>
          </cell>
          <cell r="G2" t="str">
            <v>Egyéb</v>
          </cell>
          <cell r="H2" t="str">
            <v>Felhalm.</v>
          </cell>
          <cell r="I2" t="str">
            <v>Intézm.</v>
          </cell>
          <cell r="J2" t="str">
            <v>Működési</v>
          </cell>
          <cell r="K2" t="str">
            <v>TB.alapok</v>
          </cell>
          <cell r="L2" t="str">
            <v>Előző évi</v>
          </cell>
          <cell r="M2" t="str">
            <v>Felhalm.</v>
          </cell>
          <cell r="N2" t="str">
            <v>E.évi</v>
          </cell>
          <cell r="O2" t="str">
            <v>E.évi váll.</v>
          </cell>
          <cell r="P2" t="str">
            <v>BEVÉTEL</v>
          </cell>
          <cell r="Q2" t="str">
            <v>Személyi</v>
          </cell>
          <cell r="R2" t="str">
            <v>TB.</v>
          </cell>
          <cell r="S2" t="str">
            <v xml:space="preserve">Dologi </v>
          </cell>
          <cell r="W2" t="str">
            <v>Ellátottak</v>
          </cell>
          <cell r="X2" t="str">
            <v>Felújitás+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bev.</v>
          </cell>
          <cell r="G3" t="str">
            <v>különf.bev.</v>
          </cell>
          <cell r="H3" t="str">
            <v>és tőkej.</v>
          </cell>
          <cell r="I3" t="str">
            <v>finansz.</v>
          </cell>
          <cell r="J3" t="str">
            <v>célra átv.</v>
          </cell>
          <cell r="K3" t="str">
            <v>támog.</v>
          </cell>
          <cell r="L3" t="str">
            <v>visszatérülések</v>
          </cell>
          <cell r="M3" t="str">
            <v>átvett pe.</v>
          </cell>
          <cell r="N3" t="str">
            <v>pénz marad.</v>
          </cell>
          <cell r="O3" t="str">
            <v>eredm.</v>
          </cell>
          <cell r="P3" t="str">
            <v>ÖSSZESEN</v>
          </cell>
          <cell r="Q3" t="str">
            <v>juttatás</v>
          </cell>
          <cell r="R3" t="str">
            <v>járulék</v>
          </cell>
          <cell r="S3" t="str">
            <v>kiadás</v>
          </cell>
          <cell r="T3" t="str">
            <v>Működés</v>
          </cell>
          <cell r="U3" t="str">
            <v>Feljesztés</v>
          </cell>
          <cell r="V3" t="str">
            <v>Egyéb támog.</v>
          </cell>
          <cell r="W3" t="str">
            <v>pénzb.jutt.</v>
          </cell>
          <cell r="X3" t="str">
            <v>Beruházás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>
            <v>1</v>
          </cell>
          <cell r="B4" t="str">
            <v>Kényszervágó Húsüzem</v>
          </cell>
          <cell r="C4">
            <v>1</v>
          </cell>
          <cell r="D4" t="str">
            <v>00előirányzat</v>
          </cell>
          <cell r="P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P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P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P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P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P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P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P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P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P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Összesen</v>
          </cell>
          <cell r="D14" t="str">
            <v>Kényszervágó Húsüzem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2</v>
          </cell>
          <cell r="B15" t="str">
            <v>Piac-és Vásárcsarnok</v>
          </cell>
          <cell r="C15">
            <v>1</v>
          </cell>
          <cell r="D15" t="str">
            <v>00előirányzat</v>
          </cell>
          <cell r="P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P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P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P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P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P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P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P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P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P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Összesen</v>
          </cell>
          <cell r="D25" t="str">
            <v>Piac-és Vásárcsarnok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>
            <v>3</v>
          </cell>
          <cell r="B26" t="str">
            <v>Egyesitett Eü.Int.Igazg.</v>
          </cell>
          <cell r="C26">
            <v>1</v>
          </cell>
          <cell r="D26" t="str">
            <v>00előirányzat</v>
          </cell>
          <cell r="P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P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P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P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P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P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P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P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P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P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P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P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P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P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P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P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P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P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P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P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Összesen</v>
          </cell>
          <cell r="D46" t="str">
            <v>Egyesitett Eü.Int.Igazg.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A47">
            <v>4</v>
          </cell>
          <cell r="B47" t="str">
            <v>Kisgyermek Szoc.Int.Igazg.</v>
          </cell>
          <cell r="C47">
            <v>1</v>
          </cell>
          <cell r="D47" t="str">
            <v>00előirányzat</v>
          </cell>
          <cell r="P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P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P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P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P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P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P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P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P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P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P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P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P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P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P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P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P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P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P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P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P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P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Összesen</v>
          </cell>
          <cell r="D71" t="str">
            <v>Kisgyermek Szoc.Int.Igazg.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>
            <v>401</v>
          </cell>
          <cell r="B72" t="str">
            <v>Családsegitő Intézet</v>
          </cell>
          <cell r="C72">
            <v>1</v>
          </cell>
          <cell r="D72" t="str">
            <v>00előirányzat</v>
          </cell>
          <cell r="P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P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P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P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P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P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P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P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P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P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P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P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P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P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P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P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Összesen</v>
          </cell>
          <cell r="D88" t="str">
            <v>Családsegitő Intézet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B89" t="str">
            <v>Esztergár L.Családsegítő</v>
          </cell>
          <cell r="C89">
            <v>1</v>
          </cell>
          <cell r="D89" t="str">
            <v>00előirányzat</v>
          </cell>
          <cell r="P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P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P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P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P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P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P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P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P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P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P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P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P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P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P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P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P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P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P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P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Összesen</v>
          </cell>
          <cell r="D109" t="str">
            <v>Esztergár L.Családsegítő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 t="str">
            <v>Kisgyerm.+Családs.+Esztergár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A111">
            <v>5</v>
          </cell>
          <cell r="B111" t="str">
            <v>Értelmi Fogy.Nappali Int.</v>
          </cell>
          <cell r="C111">
            <v>1</v>
          </cell>
          <cell r="D111" t="str">
            <v>00előirányzat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P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P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P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P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P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P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P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P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P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P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P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P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P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P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P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P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P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P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Összesen</v>
          </cell>
          <cell r="D130" t="str">
            <v>Értelmi Fogy.Nappali Int.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>
            <v>6</v>
          </cell>
          <cell r="B131" t="str">
            <v>Xavér u.-i Egyes Szoc.Int.</v>
          </cell>
          <cell r="C131">
            <v>1</v>
          </cell>
          <cell r="D131" t="str">
            <v>00előirányzat</v>
          </cell>
          <cell r="P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P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P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P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P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P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P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P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P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P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P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P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P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P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P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P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P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P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P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P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Összesen</v>
          </cell>
          <cell r="D151" t="str">
            <v>Xavér u.-i Egyes Szoc.Int.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A152">
            <v>7</v>
          </cell>
          <cell r="B152" t="str">
            <v>Tüzér u.-i Egyes. Szoc.Int.</v>
          </cell>
          <cell r="C152">
            <v>1</v>
          </cell>
          <cell r="D152" t="str">
            <v>00előirányzat</v>
          </cell>
          <cell r="P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P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P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P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P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P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P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P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P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P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P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P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P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P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P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P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P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P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P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Összesen</v>
          </cell>
          <cell r="D171" t="str">
            <v>Tüzér u.-i Egyes. Szoc.Int.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A172">
            <v>8</v>
          </cell>
          <cell r="B172" t="str">
            <v>Timár u.-i Idősek Otthona</v>
          </cell>
          <cell r="C172">
            <v>1</v>
          </cell>
          <cell r="D172" t="str">
            <v>00előirányzat</v>
          </cell>
          <cell r="P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P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P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P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P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P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P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P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P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P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P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P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P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P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P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P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P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P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Összesen</v>
          </cell>
          <cell r="D190" t="str">
            <v>Timár u.-i Idősek Otthona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A191">
            <v>9</v>
          </cell>
          <cell r="B191" t="str">
            <v>Alkotmány u.-i Idősek Otthona</v>
          </cell>
          <cell r="C191">
            <v>1</v>
          </cell>
          <cell r="D191" t="str">
            <v>00előirányzat</v>
          </cell>
          <cell r="P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P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P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P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P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P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P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P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P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P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P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P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P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P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P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P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P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P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P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P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P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P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P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P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Összesen</v>
          </cell>
          <cell r="D215" t="str">
            <v>Alkotmány u.-i Idősek Otth.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10</v>
          </cell>
          <cell r="B216" t="str">
            <v>Integrált Szoc.Int.</v>
          </cell>
          <cell r="C216">
            <v>1</v>
          </cell>
          <cell r="D216" t="str">
            <v>00előirányzat</v>
          </cell>
          <cell r="P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P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P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P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P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P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P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P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P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P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P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P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P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P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P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P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P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P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P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P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Összesen</v>
          </cell>
          <cell r="D236" t="str">
            <v>Integrált Szoc.Int.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A237">
            <v>11</v>
          </cell>
          <cell r="B237" t="str">
            <v>Integrált Nappali Szoc.Int.</v>
          </cell>
          <cell r="C237">
            <v>1</v>
          </cell>
          <cell r="D237" t="str">
            <v>00előirányzat</v>
          </cell>
          <cell r="P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P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P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P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P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P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P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P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P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P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P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P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P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P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P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P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P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P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P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P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P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P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P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P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P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P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P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P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P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Összesen</v>
          </cell>
          <cell r="D266" t="str">
            <v>Integrált Nappali Szoc.Int.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A267">
            <v>12</v>
          </cell>
          <cell r="B267" t="str">
            <v>Pécsi Gyermekotthon</v>
          </cell>
          <cell r="C267">
            <v>1</v>
          </cell>
          <cell r="D267" t="str">
            <v>00előirányzat</v>
          </cell>
          <cell r="P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P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P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P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P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P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P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P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P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P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P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P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P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P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P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P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P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P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P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P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P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P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P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P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P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P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P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P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P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P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P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P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Összesen</v>
          </cell>
          <cell r="D299" t="str">
            <v>Pécsi Gyermekotthon és ...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A300">
            <v>14</v>
          </cell>
          <cell r="B300" t="str">
            <v>Oktátásügyi Szolgálat</v>
          </cell>
          <cell r="C300">
            <v>1</v>
          </cell>
          <cell r="D300" t="str">
            <v>00előirányzat</v>
          </cell>
          <cell r="P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P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P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P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P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P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P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P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P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P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P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P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P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P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P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P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P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P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P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P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P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P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P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P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P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P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P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P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P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P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P330">
            <v>0</v>
          </cell>
          <cell r="Z330">
            <v>0</v>
          </cell>
          <cell r="AA330">
            <v>0</v>
          </cell>
          <cell r="AB330">
            <v>0</v>
          </cell>
        </row>
        <row r="332">
          <cell r="P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P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P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P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P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P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 t="str">
            <v xml:space="preserve"> </v>
          </cell>
          <cell r="P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P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P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P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P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P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P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P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P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P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P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P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P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P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P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P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P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P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P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P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B358" t="str">
            <v>Összesen</v>
          </cell>
          <cell r="D358" t="str">
            <v>Oktatásügyi Szolgálat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A359">
            <v>1401</v>
          </cell>
          <cell r="B359" t="str">
            <v>Anikó utcai Általános Iskola</v>
          </cell>
          <cell r="C359">
            <v>1</v>
          </cell>
          <cell r="D359" t="str">
            <v>00előirányzat</v>
          </cell>
          <cell r="P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P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P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P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P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P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P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P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P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P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P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P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P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P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P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P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P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P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P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P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P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Összesen</v>
          </cell>
          <cell r="D380" t="str">
            <v>Anikó uti Általános Isk.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A381">
            <v>1402</v>
          </cell>
          <cell r="B381" t="str">
            <v>Bánki D.uti Általános Isk.</v>
          </cell>
          <cell r="C381">
            <v>1</v>
          </cell>
          <cell r="D381" t="str">
            <v>00előirányzat</v>
          </cell>
          <cell r="P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P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P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P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P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P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P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P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P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P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P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P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P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P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P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P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P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P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P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P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P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P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P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P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P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Összesen</v>
          </cell>
          <cell r="D406" t="str">
            <v>Bánki D.uti Általános Isk.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B407" t="str">
            <v>Kertváros utcai Ált.Isk.</v>
          </cell>
          <cell r="P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P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P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P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P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P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P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P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P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P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P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P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P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P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P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P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P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P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P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P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P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P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P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P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P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P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P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P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P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Összesen</v>
          </cell>
          <cell r="D436" t="str">
            <v>Kertváros utcai Ált.Isk.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A437">
            <v>1404</v>
          </cell>
          <cell r="B437" t="str">
            <v>Bártfa uti Általános Isk.</v>
          </cell>
          <cell r="C437">
            <v>1</v>
          </cell>
          <cell r="D437" t="str">
            <v>00előirányzat</v>
          </cell>
          <cell r="P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P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P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P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P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P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P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P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P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P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P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P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P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P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P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P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P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P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P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P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P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P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P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P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P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P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P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P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P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P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P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P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P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P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P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P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P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P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P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P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P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P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Összesen</v>
          </cell>
          <cell r="D479" t="str">
            <v>Bártfa uti Általános Isk.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A480">
            <v>1405</v>
          </cell>
          <cell r="B480" t="str">
            <v>Belvárosi Általános Isk.</v>
          </cell>
          <cell r="C480">
            <v>1</v>
          </cell>
          <cell r="D480" t="str">
            <v>00előirányzat</v>
          </cell>
          <cell r="P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P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P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P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P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P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P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P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P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P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P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P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P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P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P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P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P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P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P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P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P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P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P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Összesen</v>
          </cell>
          <cell r="D503" t="str">
            <v>Belvárosi Általános Isk.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A504">
            <v>1406</v>
          </cell>
          <cell r="B504" t="str">
            <v>Csokonai V.M.Ált.Isk.és Szakisk.</v>
          </cell>
          <cell r="C504">
            <v>1</v>
          </cell>
          <cell r="D504" t="str">
            <v>00előirányzat</v>
          </cell>
          <cell r="P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P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P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P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P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P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P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P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P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P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P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P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P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P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P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P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P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P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P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P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P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P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P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P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P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P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P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P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P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P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Összesen</v>
          </cell>
          <cell r="D534" t="str">
            <v>Csokonai V.M.Ált.Isk.és Szakisk.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A535">
            <v>1407</v>
          </cell>
          <cell r="B535" t="str">
            <v>Felsővámház uti Általános Isk.</v>
          </cell>
          <cell r="C535">
            <v>1</v>
          </cell>
          <cell r="D535" t="str">
            <v>00előirányzat</v>
          </cell>
          <cell r="P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P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P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P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P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P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P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P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P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P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P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P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P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P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P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P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P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P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P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P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Összesen</v>
          </cell>
          <cell r="D555" t="str">
            <v>Felsővámház uti Ált. Isk.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A556">
            <v>1408</v>
          </cell>
          <cell r="B556" t="str">
            <v>Mezőszél uti Általános Isk.</v>
          </cell>
          <cell r="C556">
            <v>1</v>
          </cell>
          <cell r="D556" t="str">
            <v>00előirányzat</v>
          </cell>
          <cell r="P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P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P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P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P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P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P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P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P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P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P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P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P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P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P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P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P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Összesen</v>
          </cell>
          <cell r="D573" t="str">
            <v>Mezőszél uti Általános Isk.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A574">
            <v>1409</v>
          </cell>
          <cell r="B574" t="str">
            <v>Jókai Mór Általános Isk.</v>
          </cell>
          <cell r="C574">
            <v>1</v>
          </cell>
          <cell r="D574" t="str">
            <v>00előirányzat</v>
          </cell>
          <cell r="P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P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P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P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P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P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P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P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P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P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P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P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P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P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P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P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P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P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P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P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P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P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P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P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Összesen</v>
          </cell>
          <cell r="D598" t="str">
            <v>Jókai Mór Általános Isk.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A599">
            <v>1410</v>
          </cell>
          <cell r="B599" t="str">
            <v xml:space="preserve">Jurisics uti Általános Isk. </v>
          </cell>
          <cell r="C599">
            <v>1</v>
          </cell>
          <cell r="D599" t="str">
            <v>00előirányzat</v>
          </cell>
          <cell r="P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P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P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P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P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P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P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P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P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P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P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P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P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P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P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P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P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P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P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P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P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Összesen</v>
          </cell>
          <cell r="D620" t="str">
            <v xml:space="preserve">Jurisics uti Általános Isk. 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A621">
            <v>1411</v>
          </cell>
          <cell r="B621" t="str">
            <v>Köztársaság téri Általános Isk.</v>
          </cell>
          <cell r="C621">
            <v>1</v>
          </cell>
          <cell r="D621" t="str">
            <v>00előirányzat</v>
          </cell>
          <cell r="P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P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P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P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P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P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P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P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P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P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P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P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P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P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P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P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P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P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P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P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P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P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P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P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B645" t="str">
            <v>Összesen</v>
          </cell>
          <cell r="D645" t="str">
            <v>Köztársaság téri Ált. Isk.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A646">
            <v>1412</v>
          </cell>
          <cell r="B646" t="str">
            <v>Mátyás Király uti Általános Isk.</v>
          </cell>
          <cell r="C646">
            <v>1</v>
          </cell>
          <cell r="D646" t="str">
            <v>00előirányzat</v>
          </cell>
          <cell r="P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P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P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P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P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P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P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P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P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P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P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P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P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P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P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P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P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P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P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P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P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P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P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B669" t="str">
            <v>Összesen</v>
          </cell>
          <cell r="D669" t="str">
            <v>Mátyás Király uti Ált. Isk.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A670">
            <v>1414</v>
          </cell>
          <cell r="B670" t="str">
            <v>Szieberth R.Általános Isk.</v>
          </cell>
          <cell r="C670">
            <v>1</v>
          </cell>
          <cell r="D670" t="str">
            <v>00előirányzat</v>
          </cell>
          <cell r="P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P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P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P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P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P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P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P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P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P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P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P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P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P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P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P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P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P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P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P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P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P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B692" t="str">
            <v>Összesen</v>
          </cell>
          <cell r="D692" t="str">
            <v>Szieberth R.Általános Isk.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>
            <v>1415</v>
          </cell>
          <cell r="B693" t="str">
            <v>Illyés Gy.uti Általános Isk.</v>
          </cell>
          <cell r="C693">
            <v>1</v>
          </cell>
          <cell r="D693" t="str">
            <v>00előirányzat</v>
          </cell>
          <cell r="P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P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P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P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P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P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P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P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P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P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P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P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P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P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P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P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P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P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P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P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P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P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P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B716" t="str">
            <v>Összesen</v>
          </cell>
          <cell r="D716" t="str">
            <v>Illyés Gy.uti Általános Isk.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>
            <v>1416</v>
          </cell>
          <cell r="B717" t="str">
            <v>Testvérvárosok terei Ált.Isk.</v>
          </cell>
          <cell r="C717">
            <v>1</v>
          </cell>
          <cell r="D717" t="str">
            <v>00előirányzat</v>
          </cell>
          <cell r="P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P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P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P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P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P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P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P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P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P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P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P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P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P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P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P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P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P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B735" t="str">
            <v>Összesen</v>
          </cell>
          <cell r="D735" t="str">
            <v>Testvérvárosok terei Ált.Isk.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A736">
            <v>1417</v>
          </cell>
          <cell r="B736" t="str">
            <v>Vasas-Somogy-Hird Iskolaközpont</v>
          </cell>
          <cell r="C736">
            <v>1</v>
          </cell>
          <cell r="D736" t="str">
            <v>00előirányzat</v>
          </cell>
          <cell r="P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P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P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P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P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P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P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P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P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P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P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P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P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P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P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P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P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P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P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P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P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P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P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P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P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P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P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B763" t="str">
            <v>Összesen</v>
          </cell>
          <cell r="D763" t="str">
            <v>Vasas-Somogy-Hird Iskolaközpont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</row>
        <row r="764">
          <cell r="A764">
            <v>1418</v>
          </cell>
          <cell r="B764" t="str">
            <v>Liszt Ferenc Zeneiskola</v>
          </cell>
          <cell r="C764">
            <v>1</v>
          </cell>
          <cell r="D764" t="str">
            <v>00előirányzat</v>
          </cell>
          <cell r="P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P765">
            <v>0</v>
          </cell>
          <cell r="Z765">
            <v>0</v>
          </cell>
          <cell r="AA765">
            <v>0</v>
          </cell>
          <cell r="AB765">
            <v>0</v>
          </cell>
        </row>
        <row r="766">
          <cell r="P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P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P768">
            <v>0</v>
          </cell>
          <cell r="Z768">
            <v>0</v>
          </cell>
          <cell r="AA768">
            <v>0</v>
          </cell>
          <cell r="AB768">
            <v>0</v>
          </cell>
        </row>
        <row r="769">
          <cell r="P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P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P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P772">
            <v>0</v>
          </cell>
          <cell r="Z772">
            <v>0</v>
          </cell>
          <cell r="AA772">
            <v>0</v>
          </cell>
          <cell r="AB772">
            <v>0</v>
          </cell>
        </row>
        <row r="773">
          <cell r="P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P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P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P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P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P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B779" t="str">
            <v>Összesen</v>
          </cell>
          <cell r="D779" t="str">
            <v>Liszt Ferenc Zeneiskola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A780">
            <v>1419</v>
          </cell>
          <cell r="B780" t="str">
            <v>Nevelési Tanácsadó</v>
          </cell>
          <cell r="C780">
            <v>1</v>
          </cell>
          <cell r="D780" t="str">
            <v>00előirányzat</v>
          </cell>
          <cell r="P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P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P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P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P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P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P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P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P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P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P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P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P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P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B794" t="str">
            <v>Összesen</v>
          </cell>
          <cell r="D794" t="str">
            <v>Nevelési Tanácsadó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B795" t="str">
            <v>Általános Isk.Egys.Összesen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A796">
            <v>14</v>
          </cell>
          <cell r="B796" t="str">
            <v>Testnev.Ált.Isk.és Közg.G.</v>
          </cell>
          <cell r="C796">
            <v>1</v>
          </cell>
          <cell r="D796" t="str">
            <v>00előirányzat</v>
          </cell>
          <cell r="P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P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P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P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P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P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P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P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P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P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P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P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P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P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P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P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P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P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P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P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P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P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P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P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P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P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P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P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 t="str">
            <v xml:space="preserve"> </v>
          </cell>
          <cell r="B824" t="str">
            <v>Összesen</v>
          </cell>
          <cell r="D824" t="str">
            <v>Testnev.Ált.Isk.és Közg.G.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A825">
            <v>15</v>
          </cell>
          <cell r="B825" t="str">
            <v>Árpád F.Gimn.és Ált.Isk.</v>
          </cell>
          <cell r="C825">
            <v>1</v>
          </cell>
          <cell r="D825" t="str">
            <v>00előirányzat</v>
          </cell>
          <cell r="P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P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P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P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P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P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P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P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P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P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P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P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P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P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P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P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P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P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P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P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P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P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B847" t="str">
            <v>Összesen</v>
          </cell>
          <cell r="D847" t="str">
            <v>Árpád F.Gimn.és Ált.Isk.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A848">
            <v>16</v>
          </cell>
          <cell r="B848" t="str">
            <v>Magyar Német Ny.Isk.Közp.</v>
          </cell>
          <cell r="C848">
            <v>1</v>
          </cell>
          <cell r="D848" t="str">
            <v>00előirányzat</v>
          </cell>
          <cell r="P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P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P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P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P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P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P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P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P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P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P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P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P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P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P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P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P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P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P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P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P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P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B870" t="str">
            <v>Összesen</v>
          </cell>
          <cell r="D870" t="str">
            <v>Magyar Német Ny.Isk.Közp.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A871">
            <v>17</v>
          </cell>
          <cell r="B871" t="str">
            <v>Apáczai Cs.J.Nevelési Kp.</v>
          </cell>
          <cell r="C871">
            <v>1</v>
          </cell>
          <cell r="D871" t="str">
            <v>00előirányzat</v>
          </cell>
          <cell r="P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P872">
            <v>0</v>
          </cell>
          <cell r="Z872">
            <v>0</v>
          </cell>
          <cell r="AA872">
            <v>0</v>
          </cell>
          <cell r="AB872">
            <v>0</v>
          </cell>
        </row>
        <row r="873">
          <cell r="P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P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P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P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P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P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P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P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P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P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P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P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P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P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P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P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P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P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P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P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P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P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P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P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P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P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P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P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P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P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P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B904" t="str">
            <v>Összesen</v>
          </cell>
          <cell r="D904" t="str">
            <v>Apáczai Cs.J.Nevelési Kp.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B905" t="str">
            <v>Rácvárosi és Istenkuti Ált.Mkp.</v>
          </cell>
          <cell r="C905">
            <v>1</v>
          </cell>
          <cell r="D905" t="str">
            <v>00előirányzat</v>
          </cell>
          <cell r="P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P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P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P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P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P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P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P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P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P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P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P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P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P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P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P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P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P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P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P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P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P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P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P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P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P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P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P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P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P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P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P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P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P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P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P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P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P942">
            <v>0</v>
          </cell>
          <cell r="Z942">
            <v>0</v>
          </cell>
          <cell r="AA942">
            <v>0</v>
          </cell>
          <cell r="AB942">
            <v>0</v>
          </cell>
        </row>
        <row r="944">
          <cell r="P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B945" t="str">
            <v>Összesen</v>
          </cell>
          <cell r="D945" t="str">
            <v>Rácvárosi és Istenk. Ált.Mkp.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A946">
            <v>19</v>
          </cell>
          <cell r="B946" t="str">
            <v>M.K.Horvát Ált.Isk.G.D.Otth.</v>
          </cell>
          <cell r="C946">
            <v>1</v>
          </cell>
          <cell r="D946" t="str">
            <v>00előirányzat</v>
          </cell>
          <cell r="P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P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P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P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P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P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P952">
            <v>0</v>
          </cell>
          <cell r="Z952">
            <v>0</v>
          </cell>
          <cell r="AA952">
            <v>0</v>
          </cell>
          <cell r="AB952">
            <v>0</v>
          </cell>
        </row>
        <row r="953">
          <cell r="P953">
            <v>0</v>
          </cell>
          <cell r="Z953">
            <v>0</v>
          </cell>
          <cell r="AA953">
            <v>0</v>
          </cell>
          <cell r="AB953">
            <v>0</v>
          </cell>
        </row>
        <row r="954">
          <cell r="P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P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P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P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P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P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P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P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P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P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P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P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P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P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P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P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P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B971" t="str">
            <v>Összesen</v>
          </cell>
          <cell r="D971" t="str">
            <v>M.K.Horvát Ált.Isk.G.D.Otth.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A972">
            <v>20</v>
          </cell>
          <cell r="B972" t="str">
            <v>Éltes Mátyás Iskolaközpont</v>
          </cell>
          <cell r="C972">
            <v>1</v>
          </cell>
          <cell r="D972" t="str">
            <v>00előirányzat</v>
          </cell>
          <cell r="P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P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P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P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P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P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P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P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P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P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P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P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P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P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P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P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P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P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P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P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P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P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P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P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P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P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P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P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B1000" t="str">
            <v>Összesen</v>
          </cell>
          <cell r="D1000" t="str">
            <v>Éltes Mátyás Iskolaközpont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</row>
        <row r="1001">
          <cell r="A1001">
            <v>21</v>
          </cell>
          <cell r="B1001" t="str">
            <v>500 sz.Szakm.Int.és Szakk.</v>
          </cell>
          <cell r="C1001">
            <v>1</v>
          </cell>
          <cell r="D1001" t="str">
            <v>00előirányzat</v>
          </cell>
          <cell r="P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P1002">
            <v>0</v>
          </cell>
          <cell r="Z1002">
            <v>0</v>
          </cell>
          <cell r="AA1002">
            <v>0</v>
          </cell>
          <cell r="AB1002">
            <v>0</v>
          </cell>
        </row>
        <row r="1003">
          <cell r="P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P1004">
            <v>0</v>
          </cell>
          <cell r="Z1004">
            <v>0</v>
          </cell>
          <cell r="AA1004">
            <v>0</v>
          </cell>
          <cell r="AB1004">
            <v>0</v>
          </cell>
        </row>
        <row r="1005">
          <cell r="P1005">
            <v>0</v>
          </cell>
          <cell r="Z1005">
            <v>0</v>
          </cell>
          <cell r="AA1005">
            <v>0</v>
          </cell>
          <cell r="AB1005">
            <v>0</v>
          </cell>
        </row>
        <row r="1006">
          <cell r="P1006">
            <v>0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P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P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P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P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P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P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P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P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P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P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P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P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P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P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P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P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P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P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P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P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P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B1028" t="str">
            <v>Összesen</v>
          </cell>
          <cell r="D1028" t="str">
            <v>500 sz.Szakm.Int.és Szakk.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A1029">
            <v>23</v>
          </cell>
          <cell r="B1029" t="str">
            <v>508 sz.Szakm.Int.és Szakk.</v>
          </cell>
          <cell r="C1029">
            <v>1</v>
          </cell>
          <cell r="D1029" t="str">
            <v>00előirányzat</v>
          </cell>
          <cell r="P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P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P1031">
            <v>0</v>
          </cell>
          <cell r="Z1031">
            <v>0</v>
          </cell>
          <cell r="AA1031">
            <v>0</v>
          </cell>
          <cell r="AB1031">
            <v>0</v>
          </cell>
        </row>
        <row r="1032">
          <cell r="P1032">
            <v>0</v>
          </cell>
          <cell r="Z1032">
            <v>0</v>
          </cell>
          <cell r="AA1032">
            <v>0</v>
          </cell>
          <cell r="AB1032">
            <v>0</v>
          </cell>
        </row>
        <row r="1033">
          <cell r="P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P1034">
            <v>0</v>
          </cell>
          <cell r="Z1034">
            <v>0</v>
          </cell>
          <cell r="AA1034">
            <v>0</v>
          </cell>
          <cell r="AB1034">
            <v>0</v>
          </cell>
        </row>
        <row r="1035">
          <cell r="P1035">
            <v>0</v>
          </cell>
          <cell r="Z1035">
            <v>0</v>
          </cell>
          <cell r="AA1035">
            <v>0</v>
          </cell>
          <cell r="AB1035">
            <v>0</v>
          </cell>
        </row>
        <row r="1036">
          <cell r="P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P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P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P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P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P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P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P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P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P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P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P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P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P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P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P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B1052" t="str">
            <v>Összesen</v>
          </cell>
          <cell r="D1052" t="str">
            <v>508 sz.Szakm.Int.és Szakk.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A1053">
            <v>24</v>
          </cell>
          <cell r="B1053" t="str">
            <v>Pécsi Ker.Id.F.és Vend.Szk.</v>
          </cell>
          <cell r="C1053">
            <v>1</v>
          </cell>
          <cell r="D1053" t="str">
            <v>00előirányzat</v>
          </cell>
          <cell r="P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P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P1055">
            <v>0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P1056">
            <v>0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P1057">
            <v>0</v>
          </cell>
          <cell r="Z1057">
            <v>0</v>
          </cell>
          <cell r="AA1057">
            <v>0</v>
          </cell>
          <cell r="AB1057">
            <v>0</v>
          </cell>
        </row>
        <row r="1058">
          <cell r="P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P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P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P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P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P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P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P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P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P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P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P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P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P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P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P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P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P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P1076">
            <v>0</v>
          </cell>
          <cell r="Z1076">
            <v>0</v>
          </cell>
          <cell r="AA1076">
            <v>0</v>
          </cell>
          <cell r="AB1076">
            <v>0</v>
          </cell>
        </row>
        <row r="1077">
          <cell r="B1077" t="str">
            <v>Összesen</v>
          </cell>
          <cell r="D1077" t="str">
            <v>Pécsi Ker.Id.F.és Vend.Szk.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A1078">
            <v>25</v>
          </cell>
          <cell r="B1078" t="str">
            <v>Leöwey K.Gimnázium</v>
          </cell>
          <cell r="C1078">
            <v>1</v>
          </cell>
          <cell r="D1078" t="str">
            <v>00előirányzat</v>
          </cell>
          <cell r="P1078">
            <v>0</v>
          </cell>
          <cell r="Z1078">
            <v>0</v>
          </cell>
          <cell r="AA1078">
            <v>0</v>
          </cell>
          <cell r="AB1078">
            <v>0</v>
          </cell>
        </row>
        <row r="1079">
          <cell r="P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P1080">
            <v>0</v>
          </cell>
          <cell r="Z1080">
            <v>0</v>
          </cell>
          <cell r="AA1080">
            <v>0</v>
          </cell>
          <cell r="AB1080">
            <v>0</v>
          </cell>
        </row>
        <row r="1081">
          <cell r="P1081">
            <v>0</v>
          </cell>
          <cell r="Z1081">
            <v>0</v>
          </cell>
          <cell r="AA1081">
            <v>0</v>
          </cell>
          <cell r="AB1081">
            <v>0</v>
          </cell>
        </row>
        <row r="1082">
          <cell r="P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P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P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P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P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P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P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P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P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P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P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P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P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P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P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P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P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P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P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P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P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P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P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B1105" t="str">
            <v>Összesen</v>
          </cell>
          <cell r="D1105" t="str">
            <v>Leöwey K.Gimnázium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A1106">
            <v>26</v>
          </cell>
          <cell r="B1106" t="str">
            <v>Kodály Zoltán Gimnázium</v>
          </cell>
          <cell r="C1106">
            <v>1</v>
          </cell>
          <cell r="D1106" t="str">
            <v>00előirányzat</v>
          </cell>
          <cell r="P1106">
            <v>0</v>
          </cell>
          <cell r="Z1106">
            <v>0</v>
          </cell>
          <cell r="AA1106">
            <v>0</v>
          </cell>
          <cell r="AB1106">
            <v>0</v>
          </cell>
        </row>
        <row r="1107">
          <cell r="P1107">
            <v>0</v>
          </cell>
          <cell r="Z1107">
            <v>0</v>
          </cell>
          <cell r="AA1107">
            <v>0</v>
          </cell>
          <cell r="AB1107">
            <v>0</v>
          </cell>
        </row>
        <row r="1108">
          <cell r="P1108">
            <v>0</v>
          </cell>
          <cell r="Z1108">
            <v>0</v>
          </cell>
          <cell r="AA1108">
            <v>0</v>
          </cell>
          <cell r="AB1108">
            <v>0</v>
          </cell>
        </row>
        <row r="1109">
          <cell r="P1109">
            <v>0</v>
          </cell>
          <cell r="Z1109">
            <v>0</v>
          </cell>
          <cell r="AA1109">
            <v>0</v>
          </cell>
          <cell r="AB1109">
            <v>0</v>
          </cell>
        </row>
        <row r="1110">
          <cell r="P1110">
            <v>0</v>
          </cell>
          <cell r="Z1110">
            <v>0</v>
          </cell>
          <cell r="AA1110">
            <v>0</v>
          </cell>
          <cell r="AB1110">
            <v>0</v>
          </cell>
        </row>
        <row r="1111">
          <cell r="P1111">
            <v>0</v>
          </cell>
          <cell r="Z1111">
            <v>0</v>
          </cell>
          <cell r="AA1111">
            <v>0</v>
          </cell>
          <cell r="AB1111">
            <v>0</v>
          </cell>
        </row>
        <row r="1112">
          <cell r="P1112">
            <v>0</v>
          </cell>
          <cell r="Z1112">
            <v>0</v>
          </cell>
          <cell r="AA1112">
            <v>0</v>
          </cell>
          <cell r="AB1112">
            <v>0</v>
          </cell>
        </row>
        <row r="1113">
          <cell r="P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P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P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P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P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P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P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P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P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P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P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P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P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P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B1127" t="str">
            <v>Összesen</v>
          </cell>
          <cell r="D1127" t="str">
            <v>Kodály Zoltán Gimnázium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</row>
        <row r="1128">
          <cell r="A1128">
            <v>28</v>
          </cell>
          <cell r="B1128" t="str">
            <v>Széchenyi I.G.és Ip.Hirk.Szk.</v>
          </cell>
          <cell r="C1128">
            <v>1</v>
          </cell>
          <cell r="D1128" t="str">
            <v>00előirányzat</v>
          </cell>
          <cell r="P1128">
            <v>0</v>
          </cell>
          <cell r="Z1128">
            <v>0</v>
          </cell>
          <cell r="AA1128">
            <v>0</v>
          </cell>
          <cell r="AB1128">
            <v>0</v>
          </cell>
        </row>
        <row r="1129">
          <cell r="P1129">
            <v>0</v>
          </cell>
          <cell r="Z1129">
            <v>0</v>
          </cell>
          <cell r="AA1129">
            <v>0</v>
          </cell>
          <cell r="AB1129">
            <v>0</v>
          </cell>
        </row>
        <row r="1130">
          <cell r="P1130">
            <v>0</v>
          </cell>
          <cell r="Z1130">
            <v>0</v>
          </cell>
          <cell r="AA1130">
            <v>0</v>
          </cell>
          <cell r="AB1130">
            <v>0</v>
          </cell>
        </row>
        <row r="1131">
          <cell r="P1131">
            <v>0</v>
          </cell>
          <cell r="Z1131">
            <v>0</v>
          </cell>
          <cell r="AA1131">
            <v>0</v>
          </cell>
          <cell r="AB1131">
            <v>0</v>
          </cell>
        </row>
        <row r="1132">
          <cell r="P1132">
            <v>0</v>
          </cell>
          <cell r="Z1132">
            <v>0</v>
          </cell>
          <cell r="AA1132">
            <v>0</v>
          </cell>
          <cell r="AB1132">
            <v>0</v>
          </cell>
        </row>
        <row r="1133">
          <cell r="P1133">
            <v>0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P1134">
            <v>0</v>
          </cell>
          <cell r="Z1134">
            <v>0</v>
          </cell>
          <cell r="AA1134">
            <v>0</v>
          </cell>
          <cell r="AB1134">
            <v>0</v>
          </cell>
        </row>
        <row r="1135">
          <cell r="P1135">
            <v>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P1136">
            <v>0</v>
          </cell>
          <cell r="Z1136">
            <v>0</v>
          </cell>
          <cell r="AA1136">
            <v>0</v>
          </cell>
          <cell r="AB1136">
            <v>0</v>
          </cell>
        </row>
        <row r="1137">
          <cell r="P1137">
            <v>0</v>
          </cell>
          <cell r="Z1137">
            <v>0</v>
          </cell>
          <cell r="AA1137">
            <v>0</v>
          </cell>
          <cell r="AB1137">
            <v>0</v>
          </cell>
        </row>
        <row r="1138">
          <cell r="P1138">
            <v>0</v>
          </cell>
          <cell r="Z1138">
            <v>0</v>
          </cell>
          <cell r="AA1138">
            <v>0</v>
          </cell>
          <cell r="AB1138">
            <v>0</v>
          </cell>
        </row>
        <row r="1139">
          <cell r="P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P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P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P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P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P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P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P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P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P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P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P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P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P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B1153" t="str">
            <v>Összesen</v>
          </cell>
          <cell r="D1153" t="str">
            <v>Széchenyi I.G.és Ip.Hirk.Szk.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</row>
        <row r="1154">
          <cell r="A1154">
            <v>30</v>
          </cell>
          <cell r="B1154" t="str">
            <v>Zipernowsky K.Ipari Szakk.</v>
          </cell>
          <cell r="C1154">
            <v>1</v>
          </cell>
          <cell r="D1154" t="str">
            <v>00előirányzat</v>
          </cell>
          <cell r="P1154">
            <v>0</v>
          </cell>
          <cell r="Z1154">
            <v>0</v>
          </cell>
          <cell r="AA1154">
            <v>0</v>
          </cell>
          <cell r="AB1154">
            <v>0</v>
          </cell>
        </row>
        <row r="1155">
          <cell r="P1155">
            <v>0</v>
          </cell>
          <cell r="Z1155">
            <v>0</v>
          </cell>
          <cell r="AA1155">
            <v>0</v>
          </cell>
          <cell r="AB1155">
            <v>0</v>
          </cell>
        </row>
        <row r="1156">
          <cell r="P1156">
            <v>0</v>
          </cell>
          <cell r="Z1156">
            <v>0</v>
          </cell>
          <cell r="AA1156">
            <v>0</v>
          </cell>
          <cell r="AB1156">
            <v>0</v>
          </cell>
        </row>
        <row r="1157">
          <cell r="P1157">
            <v>0</v>
          </cell>
          <cell r="Z1157">
            <v>0</v>
          </cell>
          <cell r="AA1157">
            <v>0</v>
          </cell>
          <cell r="AB1157">
            <v>0</v>
          </cell>
        </row>
        <row r="1158">
          <cell r="P1158">
            <v>0</v>
          </cell>
          <cell r="Z1158">
            <v>0</v>
          </cell>
          <cell r="AA1158">
            <v>0</v>
          </cell>
          <cell r="AB1158">
            <v>0</v>
          </cell>
        </row>
        <row r="1159">
          <cell r="P1159">
            <v>0</v>
          </cell>
          <cell r="Z1159">
            <v>0</v>
          </cell>
          <cell r="AA1159">
            <v>0</v>
          </cell>
          <cell r="AB1159">
            <v>0</v>
          </cell>
        </row>
        <row r="1160">
          <cell r="P1160">
            <v>0</v>
          </cell>
          <cell r="Z1160">
            <v>0</v>
          </cell>
          <cell r="AA1160">
            <v>0</v>
          </cell>
          <cell r="AB1160">
            <v>0</v>
          </cell>
        </row>
        <row r="1161">
          <cell r="P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P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P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P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P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P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P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P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P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P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P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P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P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P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P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B1176" t="str">
            <v>Összesen</v>
          </cell>
          <cell r="D1176" t="str">
            <v>Zipernowsky K.Ipari Szakk.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</row>
        <row r="1177">
          <cell r="A1177">
            <v>31</v>
          </cell>
          <cell r="B1177" t="str">
            <v>Pollack M.Épitőipari Szakk.</v>
          </cell>
          <cell r="C1177">
            <v>1</v>
          </cell>
          <cell r="D1177" t="str">
            <v>00előirányzat</v>
          </cell>
          <cell r="P1177">
            <v>0</v>
          </cell>
          <cell r="Z1177">
            <v>0</v>
          </cell>
          <cell r="AA1177">
            <v>0</v>
          </cell>
          <cell r="AB1177">
            <v>0</v>
          </cell>
        </row>
        <row r="1178">
          <cell r="P1178">
            <v>0</v>
          </cell>
          <cell r="Z1178">
            <v>0</v>
          </cell>
          <cell r="AA1178">
            <v>0</v>
          </cell>
          <cell r="AB1178">
            <v>0</v>
          </cell>
        </row>
        <row r="1179">
          <cell r="P1179">
            <v>0</v>
          </cell>
          <cell r="Z1179">
            <v>0</v>
          </cell>
          <cell r="AA1179">
            <v>0</v>
          </cell>
          <cell r="AB1179">
            <v>0</v>
          </cell>
        </row>
        <row r="1180">
          <cell r="P1180">
            <v>0</v>
          </cell>
          <cell r="Z1180">
            <v>0</v>
          </cell>
          <cell r="AA1180">
            <v>0</v>
          </cell>
          <cell r="AB1180">
            <v>0</v>
          </cell>
        </row>
        <row r="1181">
          <cell r="P1181">
            <v>0</v>
          </cell>
          <cell r="Z1181">
            <v>0</v>
          </cell>
          <cell r="AA1181">
            <v>0</v>
          </cell>
          <cell r="AB1181">
            <v>0</v>
          </cell>
        </row>
        <row r="1182">
          <cell r="P1182">
            <v>0</v>
          </cell>
          <cell r="Z1182">
            <v>0</v>
          </cell>
          <cell r="AA1182">
            <v>0</v>
          </cell>
          <cell r="AB1182">
            <v>0</v>
          </cell>
        </row>
        <row r="1183">
          <cell r="P1183">
            <v>0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P1184">
            <v>0</v>
          </cell>
          <cell r="Z1184">
            <v>0</v>
          </cell>
          <cell r="AA1184">
            <v>0</v>
          </cell>
          <cell r="AB1184">
            <v>0</v>
          </cell>
        </row>
        <row r="1185">
          <cell r="P1185">
            <v>0</v>
          </cell>
          <cell r="Z1185">
            <v>0</v>
          </cell>
          <cell r="AA1185">
            <v>0</v>
          </cell>
          <cell r="AB1185">
            <v>0</v>
          </cell>
        </row>
        <row r="1186">
          <cell r="P1186">
            <v>0</v>
          </cell>
          <cell r="Z1186">
            <v>0</v>
          </cell>
          <cell r="AA1186">
            <v>0</v>
          </cell>
          <cell r="AB1186">
            <v>0</v>
          </cell>
        </row>
        <row r="1187">
          <cell r="P1187">
            <v>0</v>
          </cell>
          <cell r="Z1187">
            <v>0</v>
          </cell>
          <cell r="AA1187">
            <v>0</v>
          </cell>
          <cell r="AB1187">
            <v>0</v>
          </cell>
        </row>
        <row r="1188">
          <cell r="P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P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P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P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P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P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P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P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P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P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P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P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P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P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P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P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P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P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P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P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P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P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B1210" t="str">
            <v>Összesen</v>
          </cell>
          <cell r="D1210" t="str">
            <v>Pollack M.Épitőipari Szakk.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</row>
        <row r="1211">
          <cell r="A1211">
            <v>32</v>
          </cell>
          <cell r="B1211" t="str">
            <v>Radnóti M.Közgazd.Szakk.</v>
          </cell>
          <cell r="C1211">
            <v>1</v>
          </cell>
          <cell r="D1211" t="str">
            <v>00előirányzat</v>
          </cell>
          <cell r="P1211">
            <v>0</v>
          </cell>
          <cell r="Z1211">
            <v>0</v>
          </cell>
          <cell r="AA1211">
            <v>0</v>
          </cell>
          <cell r="AB1211">
            <v>0</v>
          </cell>
        </row>
        <row r="1212">
          <cell r="P1212">
            <v>0</v>
          </cell>
          <cell r="Z1212">
            <v>0</v>
          </cell>
          <cell r="AA1212">
            <v>0</v>
          </cell>
          <cell r="AB1212">
            <v>0</v>
          </cell>
        </row>
        <row r="1213">
          <cell r="P1213">
            <v>0</v>
          </cell>
          <cell r="Z1213">
            <v>0</v>
          </cell>
          <cell r="AA1213">
            <v>0</v>
          </cell>
          <cell r="AB1213">
            <v>0</v>
          </cell>
        </row>
        <row r="1214">
          <cell r="P1214">
            <v>0</v>
          </cell>
          <cell r="Z1214">
            <v>0</v>
          </cell>
          <cell r="AA1214">
            <v>0</v>
          </cell>
          <cell r="AB1214">
            <v>0</v>
          </cell>
        </row>
        <row r="1215">
          <cell r="P1215">
            <v>0</v>
          </cell>
          <cell r="Z1215">
            <v>0</v>
          </cell>
          <cell r="AA1215">
            <v>0</v>
          </cell>
          <cell r="AB1215">
            <v>0</v>
          </cell>
        </row>
        <row r="1216">
          <cell r="P1216">
            <v>0</v>
          </cell>
          <cell r="Z1216">
            <v>0</v>
          </cell>
          <cell r="AA1216">
            <v>0</v>
          </cell>
          <cell r="AB1216">
            <v>0</v>
          </cell>
        </row>
        <row r="1217">
          <cell r="P1217">
            <v>0</v>
          </cell>
          <cell r="Z1217">
            <v>0</v>
          </cell>
          <cell r="AA1217">
            <v>0</v>
          </cell>
          <cell r="AB1217">
            <v>0</v>
          </cell>
        </row>
        <row r="1218">
          <cell r="P1218">
            <v>0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P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P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P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P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P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P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P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P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P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P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P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P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P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P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P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P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P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P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P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B1238" t="str">
            <v>Összesen</v>
          </cell>
          <cell r="D1238" t="str">
            <v>Radnóti M.Közgazd.Szakk.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</row>
        <row r="1239">
          <cell r="A1239">
            <v>33</v>
          </cell>
          <cell r="B1239" t="str">
            <v>Művészeti Szakközépiskola</v>
          </cell>
          <cell r="C1239">
            <v>1</v>
          </cell>
          <cell r="D1239" t="str">
            <v>00előirányzat</v>
          </cell>
          <cell r="P1239">
            <v>0</v>
          </cell>
          <cell r="Z1239">
            <v>0</v>
          </cell>
          <cell r="AA1239">
            <v>0</v>
          </cell>
          <cell r="AB1239">
            <v>0</v>
          </cell>
        </row>
        <row r="1240">
          <cell r="P1240">
            <v>0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P1241">
            <v>0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P1242">
            <v>0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P1243">
            <v>0</v>
          </cell>
          <cell r="Z1243">
            <v>0</v>
          </cell>
          <cell r="AA1243">
            <v>0</v>
          </cell>
          <cell r="AB1243">
            <v>0</v>
          </cell>
        </row>
        <row r="1244">
          <cell r="P1244">
            <v>0</v>
          </cell>
          <cell r="Z1244">
            <v>0</v>
          </cell>
          <cell r="AA1244">
            <v>0</v>
          </cell>
          <cell r="AB1244">
            <v>0</v>
          </cell>
        </row>
        <row r="1245">
          <cell r="P1245">
            <v>0</v>
          </cell>
          <cell r="Z1245">
            <v>0</v>
          </cell>
          <cell r="AA1245">
            <v>0</v>
          </cell>
          <cell r="AB1245">
            <v>0</v>
          </cell>
        </row>
        <row r="1246">
          <cell r="P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P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P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P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P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P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P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P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P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P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P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P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P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P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P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P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P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P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P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P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P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B1267" t="str">
            <v>Összesen</v>
          </cell>
          <cell r="D1267" t="str">
            <v>Művészeti Szakközépiskola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</row>
        <row r="1268">
          <cell r="A1268">
            <v>34</v>
          </cell>
          <cell r="B1268" t="str">
            <v>Janus P.Gimn.és Szakk.</v>
          </cell>
          <cell r="C1268">
            <v>1</v>
          </cell>
          <cell r="D1268" t="str">
            <v>00előirányzat</v>
          </cell>
          <cell r="P1268">
            <v>0</v>
          </cell>
          <cell r="Z1268">
            <v>0</v>
          </cell>
          <cell r="AA1268">
            <v>0</v>
          </cell>
          <cell r="AB1268">
            <v>0</v>
          </cell>
        </row>
        <row r="1269">
          <cell r="P1269">
            <v>0</v>
          </cell>
          <cell r="Z1269">
            <v>0</v>
          </cell>
          <cell r="AA1269">
            <v>0</v>
          </cell>
          <cell r="AB1269">
            <v>0</v>
          </cell>
        </row>
        <row r="1270">
          <cell r="P1270">
            <v>0</v>
          </cell>
          <cell r="Z1270">
            <v>0</v>
          </cell>
          <cell r="AA1270">
            <v>0</v>
          </cell>
          <cell r="AB1270">
            <v>0</v>
          </cell>
        </row>
        <row r="1271">
          <cell r="P1271">
            <v>0</v>
          </cell>
          <cell r="Z1271">
            <v>0</v>
          </cell>
          <cell r="AA1271">
            <v>0</v>
          </cell>
          <cell r="AB1271">
            <v>0</v>
          </cell>
        </row>
        <row r="1272">
          <cell r="P1272">
            <v>0</v>
          </cell>
          <cell r="Z1272">
            <v>0</v>
          </cell>
          <cell r="AA1272">
            <v>0</v>
          </cell>
          <cell r="AB1272">
            <v>0</v>
          </cell>
        </row>
        <row r="1273">
          <cell r="P1273">
            <v>0</v>
          </cell>
          <cell r="Z1273">
            <v>0</v>
          </cell>
          <cell r="AA1273">
            <v>0</v>
          </cell>
          <cell r="AB1273">
            <v>0</v>
          </cell>
        </row>
        <row r="1274">
          <cell r="P1274">
            <v>0</v>
          </cell>
          <cell r="Z1274">
            <v>0</v>
          </cell>
          <cell r="AA1274">
            <v>0</v>
          </cell>
          <cell r="AB1274">
            <v>0</v>
          </cell>
        </row>
        <row r="1275">
          <cell r="P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P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P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P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P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P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P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P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P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P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P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P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P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P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P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P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P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P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B1293" t="str">
            <v>Összesen</v>
          </cell>
          <cell r="D1293" t="str">
            <v>Janus P.Gimn.és Szakk.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A1294">
            <v>35</v>
          </cell>
          <cell r="B1294" t="str">
            <v>Pécsi Szociális és Eü. Szakképző Isk.</v>
          </cell>
          <cell r="C1294">
            <v>1</v>
          </cell>
          <cell r="D1294" t="str">
            <v>00előirányzat</v>
          </cell>
          <cell r="P1294">
            <v>0</v>
          </cell>
          <cell r="Z1294">
            <v>0</v>
          </cell>
          <cell r="AA1294">
            <v>0</v>
          </cell>
          <cell r="AB1294">
            <v>0</v>
          </cell>
        </row>
        <row r="1295">
          <cell r="P1295">
            <v>0</v>
          </cell>
          <cell r="Z1295">
            <v>0</v>
          </cell>
          <cell r="AA1295">
            <v>0</v>
          </cell>
          <cell r="AB1295">
            <v>0</v>
          </cell>
        </row>
        <row r="1296">
          <cell r="P1296">
            <v>0</v>
          </cell>
          <cell r="Z1296">
            <v>0</v>
          </cell>
          <cell r="AA1296">
            <v>0</v>
          </cell>
          <cell r="AB1296">
            <v>0</v>
          </cell>
        </row>
        <row r="1297">
          <cell r="P1297">
            <v>0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P1298">
            <v>0</v>
          </cell>
          <cell r="Z1298">
            <v>0</v>
          </cell>
          <cell r="AA1298">
            <v>0</v>
          </cell>
          <cell r="AB1298">
            <v>0</v>
          </cell>
        </row>
        <row r="1299">
          <cell r="P1299">
            <v>0</v>
          </cell>
          <cell r="Z1299">
            <v>0</v>
          </cell>
          <cell r="AA1299">
            <v>0</v>
          </cell>
          <cell r="AB1299">
            <v>0</v>
          </cell>
        </row>
        <row r="1300">
          <cell r="P1300">
            <v>0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P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P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P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P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P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P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P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P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P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P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P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P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P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B1314" t="str">
            <v>Összesen</v>
          </cell>
          <cell r="D1314" t="str">
            <v>Pécsi Szociális és Eü. Szakképző Isk.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</row>
        <row r="1315">
          <cell r="A1315">
            <v>36</v>
          </cell>
          <cell r="B1315" t="str">
            <v>Teleki B.K.-isk. Kollégium</v>
          </cell>
          <cell r="C1315">
            <v>1</v>
          </cell>
          <cell r="D1315" t="str">
            <v>00előirányzat</v>
          </cell>
          <cell r="P1315">
            <v>0</v>
          </cell>
          <cell r="Z1315">
            <v>0</v>
          </cell>
          <cell r="AA1315">
            <v>0</v>
          </cell>
          <cell r="AB1315">
            <v>0</v>
          </cell>
        </row>
        <row r="1316">
          <cell r="P1316">
            <v>0</v>
          </cell>
          <cell r="Z1316">
            <v>0</v>
          </cell>
          <cell r="AA1316">
            <v>0</v>
          </cell>
          <cell r="AB1316">
            <v>0</v>
          </cell>
        </row>
        <row r="1317">
          <cell r="P1317">
            <v>0</v>
          </cell>
          <cell r="Z1317">
            <v>0</v>
          </cell>
          <cell r="AA1317">
            <v>0</v>
          </cell>
          <cell r="AB1317">
            <v>0</v>
          </cell>
        </row>
        <row r="1318">
          <cell r="P1318">
            <v>0</v>
          </cell>
          <cell r="Z1318">
            <v>0</v>
          </cell>
          <cell r="AA1318">
            <v>0</v>
          </cell>
          <cell r="AB1318">
            <v>0</v>
          </cell>
        </row>
        <row r="1319">
          <cell r="P1319">
            <v>0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P1320">
            <v>0</v>
          </cell>
          <cell r="Z1320">
            <v>0</v>
          </cell>
          <cell r="AA1320">
            <v>0</v>
          </cell>
          <cell r="AB1320">
            <v>0</v>
          </cell>
        </row>
        <row r="1321">
          <cell r="P1321">
            <v>0</v>
          </cell>
          <cell r="Z1321">
            <v>0</v>
          </cell>
          <cell r="AA1321">
            <v>0</v>
          </cell>
          <cell r="AB1321">
            <v>0</v>
          </cell>
        </row>
        <row r="1322">
          <cell r="P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P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P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P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P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P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P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P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P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P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P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P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P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P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P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P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P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B1339" t="str">
            <v>Összesen</v>
          </cell>
          <cell r="D1339" t="str">
            <v>Teleki B.K.-isk. Kollégium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</row>
        <row r="1340">
          <cell r="A1340">
            <v>38</v>
          </cell>
          <cell r="B1340" t="str">
            <v>Kodály Z.uti Középisk.Koll.</v>
          </cell>
          <cell r="C1340">
            <v>1</v>
          </cell>
          <cell r="D1340" t="str">
            <v>00előirányzat</v>
          </cell>
          <cell r="P1340">
            <v>0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P1341">
            <v>0</v>
          </cell>
          <cell r="Z1341">
            <v>0</v>
          </cell>
          <cell r="AA1341">
            <v>0</v>
          </cell>
          <cell r="AB1341">
            <v>0</v>
          </cell>
        </row>
        <row r="1342">
          <cell r="P1342">
            <v>0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P1343">
            <v>0</v>
          </cell>
          <cell r="Z1343">
            <v>0</v>
          </cell>
          <cell r="AA1343">
            <v>0</v>
          </cell>
          <cell r="AB1343">
            <v>0</v>
          </cell>
        </row>
        <row r="1344">
          <cell r="P1344">
            <v>0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P1345">
            <v>0</v>
          </cell>
          <cell r="Z1345">
            <v>0</v>
          </cell>
          <cell r="AA1345">
            <v>0</v>
          </cell>
          <cell r="AB1345">
            <v>0</v>
          </cell>
        </row>
        <row r="1346">
          <cell r="P1346">
            <v>0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P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P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P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P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P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P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P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P1354">
            <v>0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P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P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P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P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B1359" t="str">
            <v>Összesen</v>
          </cell>
          <cell r="D1359" t="str">
            <v>Kodály Z.uti Középisk.Koll.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A1360">
            <v>39</v>
          </cell>
          <cell r="B1360" t="str">
            <v>Hajnóczy J.Középiskolai Koll.</v>
          </cell>
          <cell r="C1360">
            <v>1</v>
          </cell>
          <cell r="D1360" t="str">
            <v>00előirányzat</v>
          </cell>
          <cell r="P1360">
            <v>0</v>
          </cell>
          <cell r="Z1360">
            <v>0</v>
          </cell>
          <cell r="AA1360">
            <v>0</v>
          </cell>
          <cell r="AB1360">
            <v>0</v>
          </cell>
        </row>
        <row r="1361">
          <cell r="P1361">
            <v>0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P1362">
            <v>0</v>
          </cell>
          <cell r="Z1362">
            <v>0</v>
          </cell>
          <cell r="AA1362">
            <v>0</v>
          </cell>
          <cell r="AB1362">
            <v>0</v>
          </cell>
        </row>
        <row r="1363">
          <cell r="P1363">
            <v>0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P1364">
            <v>0</v>
          </cell>
          <cell r="Z1364">
            <v>0</v>
          </cell>
          <cell r="AA1364">
            <v>0</v>
          </cell>
          <cell r="AB1364">
            <v>0</v>
          </cell>
        </row>
        <row r="1365">
          <cell r="P1365">
            <v>0</v>
          </cell>
          <cell r="Z1365">
            <v>0</v>
          </cell>
          <cell r="AA1365">
            <v>0</v>
          </cell>
          <cell r="AB1365">
            <v>0</v>
          </cell>
        </row>
        <row r="1366">
          <cell r="P1366">
            <v>0</v>
          </cell>
          <cell r="Z1366">
            <v>0</v>
          </cell>
          <cell r="AA1366">
            <v>0</v>
          </cell>
          <cell r="AB1366">
            <v>0</v>
          </cell>
        </row>
        <row r="1367">
          <cell r="P1367">
            <v>0</v>
          </cell>
          <cell r="Z1367">
            <v>0</v>
          </cell>
          <cell r="AA1367">
            <v>0</v>
          </cell>
          <cell r="AB1367">
            <v>0</v>
          </cell>
        </row>
        <row r="1368">
          <cell r="P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P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P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P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P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P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P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P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P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P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P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P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P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P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P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P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P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P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P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P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P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P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P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P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B1392" t="str">
            <v>Összesen</v>
          </cell>
          <cell r="D1392" t="str">
            <v>Hajnóczy J.Középisk. Koll.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A1393">
            <v>40</v>
          </cell>
          <cell r="B1393" t="str">
            <v>Középiskolai Kp.MENZA</v>
          </cell>
          <cell r="C1393">
            <v>1</v>
          </cell>
          <cell r="D1393" t="str">
            <v>00előirányzat</v>
          </cell>
          <cell r="P1393">
            <v>0</v>
          </cell>
          <cell r="Z1393">
            <v>0</v>
          </cell>
          <cell r="AA1393">
            <v>0</v>
          </cell>
          <cell r="AB1393">
            <v>0</v>
          </cell>
        </row>
        <row r="1394">
          <cell r="P1394">
            <v>0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P1395">
            <v>0</v>
          </cell>
          <cell r="Z1395">
            <v>0</v>
          </cell>
          <cell r="AA1395">
            <v>0</v>
          </cell>
          <cell r="AB1395">
            <v>0</v>
          </cell>
        </row>
        <row r="1396">
          <cell r="P1396">
            <v>0</v>
          </cell>
          <cell r="Z1396">
            <v>0</v>
          </cell>
          <cell r="AA1396">
            <v>0</v>
          </cell>
          <cell r="AB1396">
            <v>0</v>
          </cell>
        </row>
        <row r="1397">
          <cell r="P1397">
            <v>0</v>
          </cell>
          <cell r="Z1397">
            <v>0</v>
          </cell>
          <cell r="AA1397">
            <v>0</v>
          </cell>
          <cell r="AB1397">
            <v>0</v>
          </cell>
        </row>
        <row r="1398">
          <cell r="P1398">
            <v>0</v>
          </cell>
          <cell r="Z1398">
            <v>0</v>
          </cell>
          <cell r="AA1398">
            <v>0</v>
          </cell>
          <cell r="AB1398">
            <v>0</v>
          </cell>
        </row>
        <row r="1399">
          <cell r="P1399">
            <v>0</v>
          </cell>
          <cell r="Z1399">
            <v>0</v>
          </cell>
          <cell r="AA1399">
            <v>0</v>
          </cell>
          <cell r="AB1399">
            <v>0</v>
          </cell>
        </row>
        <row r="1400">
          <cell r="P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P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P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P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P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P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B1406" t="str">
            <v>Összesen</v>
          </cell>
          <cell r="D1406" t="str">
            <v>Középiskolai Kp.MENZA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</row>
        <row r="1407">
          <cell r="A1407">
            <v>42</v>
          </cell>
          <cell r="B1407" t="str">
            <v>Városi Könyvtár</v>
          </cell>
          <cell r="C1407">
            <v>1</v>
          </cell>
          <cell r="D1407" t="str">
            <v>00előirányzat</v>
          </cell>
          <cell r="P1407">
            <v>0</v>
          </cell>
          <cell r="Z1407">
            <v>0</v>
          </cell>
          <cell r="AA1407">
            <v>0</v>
          </cell>
          <cell r="AB1407">
            <v>0</v>
          </cell>
        </row>
        <row r="1408">
          <cell r="P1408">
            <v>0</v>
          </cell>
          <cell r="Z1408">
            <v>0</v>
          </cell>
          <cell r="AA1408">
            <v>0</v>
          </cell>
          <cell r="AB1408">
            <v>0</v>
          </cell>
        </row>
        <row r="1409">
          <cell r="P1409">
            <v>0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P1410">
            <v>0</v>
          </cell>
          <cell r="Z1410">
            <v>0</v>
          </cell>
          <cell r="AA1410">
            <v>0</v>
          </cell>
          <cell r="AB1410">
            <v>0</v>
          </cell>
        </row>
        <row r="1411">
          <cell r="P1411">
            <v>0</v>
          </cell>
          <cell r="Z1411">
            <v>0</v>
          </cell>
          <cell r="AA1411">
            <v>0</v>
          </cell>
          <cell r="AB1411">
            <v>0</v>
          </cell>
        </row>
        <row r="1412">
          <cell r="P1412">
            <v>0</v>
          </cell>
          <cell r="Z1412">
            <v>0</v>
          </cell>
          <cell r="AA1412">
            <v>0</v>
          </cell>
          <cell r="AB1412">
            <v>0</v>
          </cell>
        </row>
        <row r="1413">
          <cell r="P1413">
            <v>0</v>
          </cell>
          <cell r="Z1413">
            <v>0</v>
          </cell>
          <cell r="AA1413">
            <v>0</v>
          </cell>
          <cell r="AB1413">
            <v>0</v>
          </cell>
        </row>
        <row r="1414">
          <cell r="P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P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P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P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P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P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P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P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P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B1423" t="str">
            <v>Összesen</v>
          </cell>
          <cell r="D1423" t="str">
            <v>Városi Könyvtár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</row>
        <row r="1424">
          <cell r="A1424">
            <v>43</v>
          </cell>
          <cell r="B1424" t="str">
            <v>Pécsi Galéria és Grafikai Műhely</v>
          </cell>
          <cell r="C1424">
            <v>1</v>
          </cell>
          <cell r="D1424" t="str">
            <v>00előirányzat</v>
          </cell>
          <cell r="P1424">
            <v>0</v>
          </cell>
          <cell r="Z1424">
            <v>0</v>
          </cell>
          <cell r="AA1424">
            <v>0</v>
          </cell>
          <cell r="AB1424">
            <v>0</v>
          </cell>
        </row>
        <row r="1425">
          <cell r="P1425">
            <v>0</v>
          </cell>
          <cell r="Z1425">
            <v>0</v>
          </cell>
          <cell r="AA1425">
            <v>0</v>
          </cell>
          <cell r="AB1425">
            <v>0</v>
          </cell>
        </row>
        <row r="1426">
          <cell r="P1426">
            <v>0</v>
          </cell>
          <cell r="Z1426">
            <v>0</v>
          </cell>
          <cell r="AA1426">
            <v>0</v>
          </cell>
          <cell r="AB1426">
            <v>0</v>
          </cell>
        </row>
        <row r="1427">
          <cell r="P1427">
            <v>0</v>
          </cell>
          <cell r="Z1427">
            <v>0</v>
          </cell>
          <cell r="AA1427">
            <v>0</v>
          </cell>
          <cell r="AB1427">
            <v>0</v>
          </cell>
        </row>
        <row r="1428">
          <cell r="P1428">
            <v>0</v>
          </cell>
          <cell r="Z1428">
            <v>0</v>
          </cell>
          <cell r="AA1428">
            <v>0</v>
          </cell>
          <cell r="AB1428">
            <v>0</v>
          </cell>
        </row>
        <row r="1429">
          <cell r="P1429">
            <v>0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P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P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P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P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P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P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P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P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P1438">
            <v>0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B1439" t="str">
            <v>Összesen</v>
          </cell>
          <cell r="D1439" t="str">
            <v>Pécsi Galéria és Graf. M.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</row>
        <row r="1440">
          <cell r="A1440">
            <v>44</v>
          </cell>
          <cell r="B1440" t="str">
            <v>Pécsi Kulturális Központ</v>
          </cell>
          <cell r="C1440">
            <v>1</v>
          </cell>
          <cell r="D1440" t="str">
            <v>00előirányzat</v>
          </cell>
          <cell r="P1440">
            <v>0</v>
          </cell>
          <cell r="Z1440">
            <v>0</v>
          </cell>
          <cell r="AA1440">
            <v>0</v>
          </cell>
          <cell r="AB1440">
            <v>0</v>
          </cell>
        </row>
        <row r="1441">
          <cell r="P1441">
            <v>0</v>
          </cell>
          <cell r="Z1441">
            <v>0</v>
          </cell>
          <cell r="AA1441">
            <v>0</v>
          </cell>
          <cell r="AB1441">
            <v>0</v>
          </cell>
        </row>
        <row r="1442">
          <cell r="P1442">
            <v>0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P1443">
            <v>0</v>
          </cell>
          <cell r="Z1443">
            <v>0</v>
          </cell>
          <cell r="AA1443">
            <v>0</v>
          </cell>
          <cell r="AB1443">
            <v>0</v>
          </cell>
        </row>
        <row r="1444">
          <cell r="P1444">
            <v>0</v>
          </cell>
          <cell r="Z1444">
            <v>0</v>
          </cell>
          <cell r="AA1444">
            <v>0</v>
          </cell>
          <cell r="AB1444">
            <v>0</v>
          </cell>
        </row>
        <row r="1445">
          <cell r="P1445">
            <v>0</v>
          </cell>
          <cell r="Z1445">
            <v>0</v>
          </cell>
          <cell r="AA1445">
            <v>0</v>
          </cell>
          <cell r="AB1445">
            <v>0</v>
          </cell>
        </row>
        <row r="1446">
          <cell r="P1446">
            <v>0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P1447">
            <v>0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P1448">
            <v>0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P1449">
            <v>0</v>
          </cell>
          <cell r="Z1449">
            <v>0</v>
          </cell>
          <cell r="AA1449">
            <v>0</v>
          </cell>
          <cell r="AB1449">
            <v>0</v>
          </cell>
        </row>
        <row r="1450">
          <cell r="P1450">
            <v>0</v>
          </cell>
          <cell r="Z1450">
            <v>0</v>
          </cell>
          <cell r="AA1450">
            <v>0</v>
          </cell>
          <cell r="AB1450">
            <v>0</v>
          </cell>
        </row>
        <row r="1451">
          <cell r="P1451">
            <v>0</v>
          </cell>
          <cell r="Z1451">
            <v>0</v>
          </cell>
          <cell r="AA1451">
            <v>0</v>
          </cell>
          <cell r="AB1451">
            <v>0</v>
          </cell>
        </row>
        <row r="1452">
          <cell r="P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P1453">
            <v>0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P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P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P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P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P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P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P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P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P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P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P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P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P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P1467">
            <v>0</v>
          </cell>
          <cell r="Z1467">
            <v>0</v>
          </cell>
          <cell r="AA1467">
            <v>0</v>
          </cell>
          <cell r="AB1467">
            <v>0</v>
          </cell>
        </row>
        <row r="1468">
          <cell r="P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P1469">
            <v>0</v>
          </cell>
          <cell r="Z1469">
            <v>0</v>
          </cell>
          <cell r="AA1469">
            <v>0</v>
          </cell>
          <cell r="AB1469">
            <v>0</v>
          </cell>
        </row>
        <row r="1470">
          <cell r="P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B1471" t="str">
            <v>Összesen</v>
          </cell>
          <cell r="D1471" t="str">
            <v>Pécsi Kulturális Központ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</row>
        <row r="1472">
          <cell r="A1472">
            <v>45</v>
          </cell>
          <cell r="B1472" t="str">
            <v>Harmadik Szinház  (új)</v>
          </cell>
          <cell r="C1472">
            <v>1</v>
          </cell>
          <cell r="D1472" t="str">
            <v>00előirányzat</v>
          </cell>
          <cell r="P1472">
            <v>0</v>
          </cell>
          <cell r="Z1472">
            <v>0</v>
          </cell>
          <cell r="AA1472">
            <v>0</v>
          </cell>
          <cell r="AB1472">
            <v>0</v>
          </cell>
        </row>
        <row r="1473">
          <cell r="P1473">
            <v>0</v>
          </cell>
          <cell r="Z1473">
            <v>0</v>
          </cell>
          <cell r="AA1473">
            <v>0</v>
          </cell>
          <cell r="AB1473">
            <v>0</v>
          </cell>
        </row>
        <row r="1474">
          <cell r="P1474">
            <v>0</v>
          </cell>
          <cell r="Z1474">
            <v>0</v>
          </cell>
          <cell r="AA1474">
            <v>0</v>
          </cell>
          <cell r="AB1474">
            <v>0</v>
          </cell>
        </row>
        <row r="1475">
          <cell r="P1475">
            <v>0</v>
          </cell>
          <cell r="Z1475">
            <v>0</v>
          </cell>
          <cell r="AA1475">
            <v>0</v>
          </cell>
          <cell r="AB1475">
            <v>0</v>
          </cell>
        </row>
        <row r="1476">
          <cell r="P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P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P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P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P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P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P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P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P1484">
            <v>0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P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P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P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P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B1489" t="str">
            <v>Összesen</v>
          </cell>
          <cell r="D1489" t="str">
            <v>Harmadik Szinház  (új)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B1490" t="str">
            <v>Kulturális + HarmadikSz.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</row>
        <row r="1491">
          <cell r="A1491">
            <v>45</v>
          </cell>
          <cell r="B1491" t="str">
            <v>Mecseki Kultúrpark</v>
          </cell>
          <cell r="C1491">
            <v>1</v>
          </cell>
          <cell r="D1491" t="str">
            <v>00előirányzat</v>
          </cell>
          <cell r="P1491">
            <v>0</v>
          </cell>
          <cell r="Z1491">
            <v>0</v>
          </cell>
          <cell r="AA1491">
            <v>0</v>
          </cell>
          <cell r="AB1491">
            <v>0</v>
          </cell>
        </row>
        <row r="1492">
          <cell r="P1492">
            <v>0</v>
          </cell>
          <cell r="Z1492">
            <v>0</v>
          </cell>
          <cell r="AA1492">
            <v>0</v>
          </cell>
          <cell r="AB1492">
            <v>0</v>
          </cell>
        </row>
        <row r="1493">
          <cell r="P1493">
            <v>0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P1494">
            <v>0</v>
          </cell>
          <cell r="Z1494">
            <v>0</v>
          </cell>
          <cell r="AA1494">
            <v>0</v>
          </cell>
          <cell r="AB1494">
            <v>0</v>
          </cell>
        </row>
        <row r="1495">
          <cell r="P1495">
            <v>0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P1496">
            <v>0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P1497">
            <v>0</v>
          </cell>
          <cell r="Z1497">
            <v>0</v>
          </cell>
          <cell r="AA1497">
            <v>0</v>
          </cell>
          <cell r="AB1497">
            <v>0</v>
          </cell>
        </row>
        <row r="1498">
          <cell r="P1498">
            <v>0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P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P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P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P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P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P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P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P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B1507" t="str">
            <v>Összesen</v>
          </cell>
          <cell r="D1507" t="str">
            <v>Mecseki Kultúrpark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</row>
        <row r="1508">
          <cell r="A1508">
            <v>46</v>
          </cell>
          <cell r="B1508" t="str">
            <v>Pécsi Nemzeti Szinház</v>
          </cell>
          <cell r="C1508">
            <v>1</v>
          </cell>
          <cell r="D1508" t="str">
            <v>00előirányzat</v>
          </cell>
          <cell r="P1508">
            <v>0</v>
          </cell>
          <cell r="Z1508">
            <v>0</v>
          </cell>
          <cell r="AA1508">
            <v>0</v>
          </cell>
          <cell r="AB1508">
            <v>0</v>
          </cell>
        </row>
        <row r="1509">
          <cell r="P1509">
            <v>0</v>
          </cell>
          <cell r="Z1509">
            <v>0</v>
          </cell>
          <cell r="AA1509">
            <v>0</v>
          </cell>
          <cell r="AB1509">
            <v>0</v>
          </cell>
        </row>
        <row r="1510">
          <cell r="P1510">
            <v>0</v>
          </cell>
          <cell r="Z1510">
            <v>0</v>
          </cell>
          <cell r="AA1510">
            <v>0</v>
          </cell>
          <cell r="AB1510">
            <v>0</v>
          </cell>
        </row>
        <row r="1511">
          <cell r="P1511">
            <v>0</v>
          </cell>
          <cell r="Z1511">
            <v>0</v>
          </cell>
          <cell r="AA1511">
            <v>0</v>
          </cell>
          <cell r="AB1511">
            <v>0</v>
          </cell>
        </row>
        <row r="1512">
          <cell r="P1512">
            <v>0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P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P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P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P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P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P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P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P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P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P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P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P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P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B1526" t="str">
            <v>Összesen</v>
          </cell>
          <cell r="D1526" t="str">
            <v>Pécsi Nemzeti Szinház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</row>
        <row r="1527">
          <cell r="A1527">
            <v>47</v>
          </cell>
          <cell r="B1527" t="str">
            <v>Pécsi Horvát Szinház</v>
          </cell>
          <cell r="C1527">
            <v>1</v>
          </cell>
          <cell r="D1527" t="str">
            <v>00előirányzat</v>
          </cell>
          <cell r="P1527">
            <v>0</v>
          </cell>
          <cell r="Z1527">
            <v>0</v>
          </cell>
          <cell r="AA1527">
            <v>0</v>
          </cell>
          <cell r="AB1527">
            <v>0</v>
          </cell>
        </row>
        <row r="1528">
          <cell r="P1528">
            <v>0</v>
          </cell>
          <cell r="Z1528">
            <v>0</v>
          </cell>
          <cell r="AA1528">
            <v>0</v>
          </cell>
          <cell r="AB1528">
            <v>0</v>
          </cell>
        </row>
        <row r="1529">
          <cell r="P1529">
            <v>0</v>
          </cell>
          <cell r="Z1529">
            <v>0</v>
          </cell>
          <cell r="AA1529">
            <v>0</v>
          </cell>
          <cell r="AB1529">
            <v>0</v>
          </cell>
        </row>
        <row r="1530">
          <cell r="P1530">
            <v>0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P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P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P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P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P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P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P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P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P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P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P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B1542" t="str">
            <v>Összesen</v>
          </cell>
          <cell r="D1542" t="str">
            <v>Pécsi Horvát Szinház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</row>
        <row r="1543">
          <cell r="A1543">
            <v>49</v>
          </cell>
          <cell r="B1543" t="str">
            <v>Pécsi Szimfónikus Zenekar</v>
          </cell>
          <cell r="C1543">
            <v>1</v>
          </cell>
          <cell r="D1543" t="str">
            <v>00előirányzat</v>
          </cell>
          <cell r="P1543">
            <v>0</v>
          </cell>
          <cell r="Z1543">
            <v>0</v>
          </cell>
          <cell r="AA1543">
            <v>0</v>
          </cell>
          <cell r="AB1543">
            <v>0</v>
          </cell>
        </row>
        <row r="1544">
          <cell r="P1544">
            <v>0</v>
          </cell>
          <cell r="Z1544">
            <v>0</v>
          </cell>
          <cell r="AA1544">
            <v>0</v>
          </cell>
          <cell r="AB1544">
            <v>0</v>
          </cell>
        </row>
        <row r="1545">
          <cell r="P1545">
            <v>0</v>
          </cell>
          <cell r="Z1545">
            <v>0</v>
          </cell>
          <cell r="AA1545">
            <v>0</v>
          </cell>
          <cell r="AB1545">
            <v>0</v>
          </cell>
        </row>
        <row r="1546">
          <cell r="P1546">
            <v>0</v>
          </cell>
          <cell r="Z1546">
            <v>0</v>
          </cell>
          <cell r="AA1546">
            <v>0</v>
          </cell>
          <cell r="AB1546">
            <v>0</v>
          </cell>
        </row>
        <row r="1547">
          <cell r="P1547">
            <v>0</v>
          </cell>
          <cell r="Z1547">
            <v>0</v>
          </cell>
          <cell r="AA1547">
            <v>0</v>
          </cell>
          <cell r="AB1547">
            <v>0</v>
          </cell>
        </row>
        <row r="1548">
          <cell r="P1548">
            <v>0</v>
          </cell>
          <cell r="Z1548">
            <v>0</v>
          </cell>
          <cell r="AA1548">
            <v>0</v>
          </cell>
          <cell r="AB1548">
            <v>0</v>
          </cell>
        </row>
        <row r="1549">
          <cell r="P1549">
            <v>0</v>
          </cell>
          <cell r="Z1549">
            <v>0</v>
          </cell>
          <cell r="AA1549">
            <v>0</v>
          </cell>
          <cell r="AB1549">
            <v>0</v>
          </cell>
        </row>
        <row r="1550">
          <cell r="P1550">
            <v>0</v>
          </cell>
          <cell r="Z1550">
            <v>0</v>
          </cell>
          <cell r="AA1550">
            <v>0</v>
          </cell>
          <cell r="AB1550">
            <v>0</v>
          </cell>
        </row>
        <row r="1551">
          <cell r="P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P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P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P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P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P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P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B1558" t="str">
            <v>Összesen</v>
          </cell>
          <cell r="D1558" t="str">
            <v>Pécsi Szimf. Zenekar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</row>
        <row r="1559">
          <cell r="A1559">
            <v>50</v>
          </cell>
          <cell r="B1559" t="str">
            <v>Ifjúsági Ház</v>
          </cell>
          <cell r="C1559">
            <v>1</v>
          </cell>
          <cell r="D1559" t="str">
            <v>00előirányzat</v>
          </cell>
          <cell r="P1559">
            <v>0</v>
          </cell>
          <cell r="Z1559">
            <v>0</v>
          </cell>
          <cell r="AA1559">
            <v>0</v>
          </cell>
          <cell r="AB1559">
            <v>0</v>
          </cell>
        </row>
        <row r="1560">
          <cell r="P1560">
            <v>0</v>
          </cell>
          <cell r="Z1560">
            <v>0</v>
          </cell>
          <cell r="AA1560">
            <v>0</v>
          </cell>
          <cell r="AB1560">
            <v>0</v>
          </cell>
        </row>
        <row r="1561">
          <cell r="P1561">
            <v>0</v>
          </cell>
          <cell r="Z1561">
            <v>0</v>
          </cell>
          <cell r="AA1561">
            <v>0</v>
          </cell>
          <cell r="AB1561">
            <v>0</v>
          </cell>
        </row>
        <row r="1562">
          <cell r="P1562">
            <v>0</v>
          </cell>
          <cell r="Z1562">
            <v>0</v>
          </cell>
          <cell r="AA1562">
            <v>0</v>
          </cell>
          <cell r="AB1562">
            <v>0</v>
          </cell>
        </row>
        <row r="1563">
          <cell r="P1563">
            <v>0</v>
          </cell>
          <cell r="Z1563">
            <v>0</v>
          </cell>
          <cell r="AA1563">
            <v>0</v>
          </cell>
          <cell r="AB1563">
            <v>0</v>
          </cell>
        </row>
        <row r="1564">
          <cell r="P1564">
            <v>0</v>
          </cell>
          <cell r="Z1564">
            <v>0</v>
          </cell>
          <cell r="AA1564">
            <v>0</v>
          </cell>
          <cell r="AB1564">
            <v>0</v>
          </cell>
        </row>
        <row r="1565">
          <cell r="P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P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P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P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P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P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P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P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P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P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B1575" t="str">
            <v>Összesen</v>
          </cell>
          <cell r="D1575" t="str">
            <v>Ifjúsági Ház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</row>
        <row r="1576">
          <cell r="B1576" t="str">
            <v>Szivárvány Gyermekház (új)</v>
          </cell>
          <cell r="C1576">
            <v>1</v>
          </cell>
          <cell r="D1576" t="str">
            <v>00előirányzat</v>
          </cell>
          <cell r="P1576">
            <v>0</v>
          </cell>
          <cell r="Z1576">
            <v>0</v>
          </cell>
          <cell r="AA1576">
            <v>0</v>
          </cell>
          <cell r="AB1576">
            <v>0</v>
          </cell>
        </row>
        <row r="1577">
          <cell r="P1577">
            <v>0</v>
          </cell>
          <cell r="Z1577">
            <v>0</v>
          </cell>
          <cell r="AA1577">
            <v>0</v>
          </cell>
          <cell r="AB1577">
            <v>0</v>
          </cell>
        </row>
        <row r="1578">
          <cell r="P1578">
            <v>0</v>
          </cell>
          <cell r="Z1578">
            <v>0</v>
          </cell>
          <cell r="AA1578">
            <v>0</v>
          </cell>
          <cell r="AB1578">
            <v>0</v>
          </cell>
        </row>
        <row r="1579">
          <cell r="P1579">
            <v>0</v>
          </cell>
          <cell r="Z1579">
            <v>0</v>
          </cell>
          <cell r="AA1579">
            <v>0</v>
          </cell>
          <cell r="AB1579">
            <v>0</v>
          </cell>
        </row>
        <row r="1580">
          <cell r="P1580">
            <v>0</v>
          </cell>
          <cell r="Z1580">
            <v>0</v>
          </cell>
          <cell r="AA1580">
            <v>0</v>
          </cell>
          <cell r="AB1580">
            <v>0</v>
          </cell>
        </row>
        <row r="1581">
          <cell r="P1581">
            <v>0</v>
          </cell>
          <cell r="Z1581">
            <v>0</v>
          </cell>
          <cell r="AA1581">
            <v>0</v>
          </cell>
          <cell r="AB1581">
            <v>0</v>
          </cell>
        </row>
        <row r="1582">
          <cell r="P1582">
            <v>0</v>
          </cell>
          <cell r="Z1582">
            <v>0</v>
          </cell>
          <cell r="AA1582">
            <v>0</v>
          </cell>
          <cell r="AB1582">
            <v>0</v>
          </cell>
        </row>
        <row r="1583">
          <cell r="P1583">
            <v>0</v>
          </cell>
          <cell r="Z1583">
            <v>0</v>
          </cell>
          <cell r="AA1583">
            <v>0</v>
          </cell>
          <cell r="AB1583">
            <v>0</v>
          </cell>
        </row>
        <row r="1584">
          <cell r="P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P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P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P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P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P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P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P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P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B1593" t="str">
            <v>Összesen</v>
          </cell>
          <cell r="D1593" t="str">
            <v>Szivárvány Gyermekház (új)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</row>
        <row r="1594">
          <cell r="B1594" t="str">
            <v>Ifjúsági + Szivárvány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</row>
        <row r="1595">
          <cell r="A1595">
            <v>52</v>
          </cell>
          <cell r="B1595" t="str">
            <v>Sportlétesitmények Igazgatósága</v>
          </cell>
          <cell r="C1595">
            <v>1</v>
          </cell>
          <cell r="D1595" t="str">
            <v>00előirányzat</v>
          </cell>
          <cell r="P1595">
            <v>0</v>
          </cell>
          <cell r="Z1595">
            <v>0</v>
          </cell>
          <cell r="AA1595">
            <v>0</v>
          </cell>
          <cell r="AB1595">
            <v>0</v>
          </cell>
        </row>
        <row r="1596">
          <cell r="P1596">
            <v>0</v>
          </cell>
          <cell r="Z1596">
            <v>0</v>
          </cell>
          <cell r="AA1596">
            <v>0</v>
          </cell>
          <cell r="AB1596">
            <v>0</v>
          </cell>
        </row>
        <row r="1597">
          <cell r="P1597">
            <v>0</v>
          </cell>
          <cell r="Z1597">
            <v>0</v>
          </cell>
          <cell r="AA1597">
            <v>0</v>
          </cell>
          <cell r="AB1597">
            <v>0</v>
          </cell>
        </row>
        <row r="1598">
          <cell r="P1598">
            <v>0</v>
          </cell>
          <cell r="Z1598">
            <v>0</v>
          </cell>
          <cell r="AA1598">
            <v>0</v>
          </cell>
          <cell r="AB1598">
            <v>0</v>
          </cell>
        </row>
        <row r="1599">
          <cell r="P1599">
            <v>0</v>
          </cell>
          <cell r="Z1599">
            <v>0</v>
          </cell>
          <cell r="AA1599">
            <v>0</v>
          </cell>
          <cell r="AB1599">
            <v>0</v>
          </cell>
        </row>
        <row r="1600">
          <cell r="P1600">
            <v>0</v>
          </cell>
          <cell r="Z1600">
            <v>0</v>
          </cell>
          <cell r="AA1600">
            <v>0</v>
          </cell>
          <cell r="AB1600">
            <v>0</v>
          </cell>
        </row>
        <row r="1601">
          <cell r="P1601">
            <v>0</v>
          </cell>
          <cell r="Z1601">
            <v>0</v>
          </cell>
          <cell r="AA1601">
            <v>0</v>
          </cell>
          <cell r="AB1601">
            <v>0</v>
          </cell>
        </row>
        <row r="1602">
          <cell r="P1602">
            <v>0</v>
          </cell>
          <cell r="Z1602">
            <v>0</v>
          </cell>
          <cell r="AA1602">
            <v>0</v>
          </cell>
          <cell r="AB1602">
            <v>0</v>
          </cell>
        </row>
        <row r="1603">
          <cell r="P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P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P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P1606">
            <v>0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P1607">
            <v>0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P1608">
            <v>0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P1609">
            <v>0</v>
          </cell>
          <cell r="Z1609">
            <v>0</v>
          </cell>
          <cell r="AA1609">
            <v>0</v>
          </cell>
          <cell r="AB1609">
            <v>0</v>
          </cell>
        </row>
        <row r="1610">
          <cell r="P1610">
            <v>0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P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P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P1613">
            <v>0</v>
          </cell>
          <cell r="Z1613">
            <v>0</v>
          </cell>
          <cell r="AA1613">
            <v>0</v>
          </cell>
          <cell r="AB1613">
            <v>0</v>
          </cell>
        </row>
        <row r="1614">
          <cell r="P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P1615">
            <v>0</v>
          </cell>
          <cell r="Z1615">
            <v>0</v>
          </cell>
          <cell r="AA1615">
            <v>0</v>
          </cell>
          <cell r="AB1615">
            <v>0</v>
          </cell>
        </row>
        <row r="1616">
          <cell r="P1616">
            <v>0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P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P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B1619" t="str">
            <v>Összesen</v>
          </cell>
          <cell r="D1619" t="str">
            <v>Sportl. Igazgatósága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</row>
        <row r="1620">
          <cell r="B1620" t="str">
            <v>Sportl.vállalkozás</v>
          </cell>
          <cell r="C1620">
            <v>1</v>
          </cell>
          <cell r="D1620" t="str">
            <v>00előirányzat</v>
          </cell>
          <cell r="P1620">
            <v>0</v>
          </cell>
          <cell r="Z1620">
            <v>0</v>
          </cell>
          <cell r="AA1620">
            <v>0</v>
          </cell>
          <cell r="AB1620">
            <v>0</v>
          </cell>
        </row>
        <row r="1621">
          <cell r="P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P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P1623">
            <v>0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P1624">
            <v>0</v>
          </cell>
          <cell r="Z1624">
            <v>0</v>
          </cell>
          <cell r="AA1624">
            <v>0</v>
          </cell>
          <cell r="AB1624">
            <v>0</v>
          </cell>
        </row>
        <row r="1625">
          <cell r="P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P1626">
            <v>0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P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P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P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B1630" t="str">
            <v>Összesen</v>
          </cell>
          <cell r="D1630" t="str">
            <v>Sportl.vállalkozás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</row>
        <row r="1631">
          <cell r="B1631" t="str">
            <v>Sportl. + vállalkozás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</row>
        <row r="1632">
          <cell r="A1632">
            <v>53</v>
          </cell>
          <cell r="B1632" t="str">
            <v>Gazd.Ell.-és Szolg.Szerv.</v>
          </cell>
          <cell r="C1632">
            <v>1</v>
          </cell>
          <cell r="D1632" t="str">
            <v>00előirányzat</v>
          </cell>
          <cell r="P1632">
            <v>0</v>
          </cell>
          <cell r="Z1632">
            <v>0</v>
          </cell>
          <cell r="AA1632">
            <v>0</v>
          </cell>
          <cell r="AB1632">
            <v>0</v>
          </cell>
        </row>
        <row r="1633">
          <cell r="P1633">
            <v>0</v>
          </cell>
          <cell r="Z1633">
            <v>0</v>
          </cell>
          <cell r="AA1633">
            <v>0</v>
          </cell>
          <cell r="AB1633">
            <v>0</v>
          </cell>
        </row>
        <row r="1634">
          <cell r="P1634">
            <v>0</v>
          </cell>
          <cell r="Z1634">
            <v>0</v>
          </cell>
          <cell r="AA1634">
            <v>0</v>
          </cell>
          <cell r="AB1634">
            <v>0</v>
          </cell>
        </row>
        <row r="1635">
          <cell r="P1635">
            <v>0</v>
          </cell>
          <cell r="Z1635">
            <v>0</v>
          </cell>
          <cell r="AA1635">
            <v>0</v>
          </cell>
          <cell r="AB1635">
            <v>0</v>
          </cell>
        </row>
        <row r="1636">
          <cell r="P1636">
            <v>0</v>
          </cell>
          <cell r="Z1636">
            <v>0</v>
          </cell>
          <cell r="AA1636">
            <v>0</v>
          </cell>
          <cell r="AB1636">
            <v>0</v>
          </cell>
        </row>
        <row r="1637">
          <cell r="P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P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P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P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P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P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P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P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P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P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P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P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P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P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P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P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P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P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P1655">
            <v>0</v>
          </cell>
          <cell r="Z1655">
            <v>0</v>
          </cell>
          <cell r="AA1655">
            <v>0</v>
          </cell>
          <cell r="AB1655">
            <v>0</v>
          </cell>
        </row>
        <row r="1656">
          <cell r="P1656">
            <v>0</v>
          </cell>
          <cell r="Z1656">
            <v>0</v>
          </cell>
          <cell r="AA1656">
            <v>0</v>
          </cell>
          <cell r="AB1656">
            <v>0</v>
          </cell>
        </row>
        <row r="1657">
          <cell r="P1657">
            <v>0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B1658" t="str">
            <v>Összesen</v>
          </cell>
          <cell r="D1658" t="str">
            <v>Gazd.Ell.-és Szolg.Szerv.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</row>
        <row r="1659">
          <cell r="A1659">
            <v>54</v>
          </cell>
          <cell r="B1659" t="str">
            <v>Hivatásos Önk.Tűzoltóság</v>
          </cell>
          <cell r="C1659">
            <v>1</v>
          </cell>
          <cell r="D1659" t="str">
            <v>00előirányzat</v>
          </cell>
          <cell r="P1659">
            <v>0</v>
          </cell>
          <cell r="Z1659">
            <v>0</v>
          </cell>
          <cell r="AA1659">
            <v>0</v>
          </cell>
          <cell r="AB1659">
            <v>0</v>
          </cell>
        </row>
        <row r="1660">
          <cell r="P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P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P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P1663">
            <v>0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P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P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P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P1667">
            <v>0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P1668">
            <v>0</v>
          </cell>
          <cell r="Z1668">
            <v>0</v>
          </cell>
          <cell r="AA1668">
            <v>0</v>
          </cell>
          <cell r="AB1668">
            <v>0</v>
          </cell>
        </row>
        <row r="1669">
          <cell r="P1669">
            <v>0</v>
          </cell>
          <cell r="Z1669">
            <v>0</v>
          </cell>
          <cell r="AA1669">
            <v>0</v>
          </cell>
          <cell r="AB1669">
            <v>0</v>
          </cell>
        </row>
        <row r="1670">
          <cell r="B1670" t="str">
            <v>Összesen</v>
          </cell>
          <cell r="D1670" t="str">
            <v>Hivatásos Önk.Tűzoltóság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</row>
        <row r="1671">
          <cell r="B1671" t="str">
            <v>INTÉZMÉNY ÖSSZESEN</v>
          </cell>
          <cell r="E1671" t="e">
            <v>#REF!</v>
          </cell>
          <cell r="F1671" t="e">
            <v>#REF!</v>
          </cell>
          <cell r="G1671" t="e">
            <v>#REF!</v>
          </cell>
          <cell r="H1671" t="e">
            <v>#REF!</v>
          </cell>
          <cell r="I1671" t="e">
            <v>#REF!</v>
          </cell>
          <cell r="J1671" t="e">
            <v>#REF!</v>
          </cell>
          <cell r="K1671" t="e">
            <v>#REF!</v>
          </cell>
          <cell r="L1671" t="e">
            <v>#REF!</v>
          </cell>
          <cell r="M1671" t="e">
            <v>#REF!</v>
          </cell>
          <cell r="N1671" t="e">
            <v>#REF!</v>
          </cell>
          <cell r="O1671" t="e">
            <v>#REF!</v>
          </cell>
          <cell r="P1671" t="e">
            <v>#REF!</v>
          </cell>
          <cell r="Q1671" t="e">
            <v>#REF!</v>
          </cell>
          <cell r="R1671" t="e">
            <v>#REF!</v>
          </cell>
          <cell r="S1671" t="e">
            <v>#REF!</v>
          </cell>
          <cell r="T1671" t="e">
            <v>#REF!</v>
          </cell>
          <cell r="U1671" t="e">
            <v>#REF!</v>
          </cell>
          <cell r="V1671" t="e">
            <v>#REF!</v>
          </cell>
          <cell r="W1671" t="e">
            <v>#REF!</v>
          </cell>
          <cell r="X1671" t="e">
            <v>#REF!</v>
          </cell>
          <cell r="Y1671" t="e">
            <v>#REF!</v>
          </cell>
          <cell r="Z1671" t="e">
            <v>#REF!</v>
          </cell>
          <cell r="AA1671" t="e">
            <v>#REF!</v>
          </cell>
          <cell r="AB1671" t="e">
            <v>#REF!</v>
          </cell>
        </row>
        <row r="1672"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</row>
        <row r="1673">
          <cell r="R1673" t="e">
            <v>#REF!</v>
          </cell>
          <cell r="S1673" t="e">
            <v>#REF!</v>
          </cell>
          <cell r="T1673" t="e">
            <v>#REF!</v>
          </cell>
          <cell r="U1673" t="e">
            <v>#REF!</v>
          </cell>
          <cell r="V1673" t="e">
            <v>#REF!</v>
          </cell>
          <cell r="W1673" t="e">
            <v>#REF!</v>
          </cell>
          <cell r="X1673" t="e">
            <v>#REF!</v>
          </cell>
          <cell r="Y1673" t="e">
            <v>#REF!</v>
          </cell>
          <cell r="Z1673" t="e">
            <v>#REF!</v>
          </cell>
          <cell r="AA1673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99induló"/>
      <sheetName val="összesen"/>
      <sheetName val="ágazatos összesen"/>
      <sheetName val="kritérium98"/>
      <sheetName val="Intézm.bevét"/>
      <sheetName val="Intézm.kiadás"/>
      <sheetName val="PMH.bevétel"/>
      <sheetName val="PMH.kiadás"/>
      <sheetName val="2. sz. melléklet"/>
      <sheetName val="címrend 99 költségvetéshez"/>
      <sheetName val="kv.00induló"/>
      <sheetName val="iő"/>
      <sheetName val="SZISZ"/>
      <sheetName val="ISZ"/>
      <sheetName val="ei"/>
      <sheetName val="cím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ő"/>
      <sheetName val="SZISZ"/>
      <sheetName val="ISZ"/>
      <sheetName val="ei"/>
    </sheetNames>
    <sheetDataSet>
      <sheetData sheetId="0" refreshError="1"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Egyéb</v>
          </cell>
          <cell r="G2" t="str">
            <v>Felhalm.</v>
          </cell>
          <cell r="H2" t="str">
            <v>Intézm.</v>
          </cell>
          <cell r="I2" t="str">
            <v>Működési</v>
          </cell>
          <cell r="J2" t="str">
            <v>TB.alapok</v>
          </cell>
          <cell r="K2" t="str">
            <v>Felhalm.célra</v>
          </cell>
          <cell r="L2" t="str">
            <v>Előző évi</v>
          </cell>
          <cell r="M2" t="str">
            <v>E.évi</v>
          </cell>
          <cell r="N2" t="str">
            <v>BEVÉTEL</v>
          </cell>
          <cell r="O2" t="str">
            <v>Személyi</v>
          </cell>
          <cell r="P2" t="str">
            <v>TB.</v>
          </cell>
          <cell r="Q2" t="str">
            <v xml:space="preserve">Dologi </v>
          </cell>
          <cell r="U2" t="str">
            <v>Ellátottak</v>
          </cell>
          <cell r="V2" t="str">
            <v>Beruházás</v>
          </cell>
          <cell r="W2" t="str">
            <v>Felújítás</v>
          </cell>
          <cell r="X2" t="str">
            <v>Beruházás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különf.bev.</v>
          </cell>
          <cell r="G3" t="str">
            <v>és tőkej.</v>
          </cell>
          <cell r="H3" t="str">
            <v>finansz.</v>
          </cell>
          <cell r="I3" t="str">
            <v>célra átv.</v>
          </cell>
          <cell r="J3" t="str">
            <v>támog.</v>
          </cell>
          <cell r="K3" t="str">
            <v>átvett pe.</v>
          </cell>
          <cell r="L3" t="str">
            <v>visszatérülések</v>
          </cell>
          <cell r="M3" t="str">
            <v>pénz marad.</v>
          </cell>
          <cell r="N3" t="str">
            <v>ÖSSZESEN</v>
          </cell>
          <cell r="O3" t="str">
            <v>juttatás</v>
          </cell>
          <cell r="P3" t="str">
            <v>járulék</v>
          </cell>
          <cell r="Q3" t="str">
            <v>kiadás</v>
          </cell>
          <cell r="R3" t="str">
            <v>Működés</v>
          </cell>
          <cell r="S3" t="str">
            <v>Felhalmozás</v>
          </cell>
          <cell r="T3" t="str">
            <v>Egyéb támog.</v>
          </cell>
          <cell r="U3" t="str">
            <v>pénzb.jutt.</v>
          </cell>
          <cell r="X3" t="str">
            <v>+ felújítás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 t="str">
            <v>0199</v>
          </cell>
          <cell r="B4" t="str">
            <v>GESZ</v>
          </cell>
          <cell r="C4">
            <v>1</v>
          </cell>
          <cell r="D4" t="str">
            <v>02előirányzat</v>
          </cell>
        </row>
        <row r="20">
          <cell r="B20" t="str">
            <v>Összesen</v>
          </cell>
          <cell r="D20" t="str">
            <v>GESZ</v>
          </cell>
        </row>
        <row r="21">
          <cell r="A21">
            <v>2</v>
          </cell>
          <cell r="B21" t="str">
            <v>Szociális Int.Gazd.Szolg.</v>
          </cell>
          <cell r="C21">
            <v>1</v>
          </cell>
          <cell r="D21" t="str">
            <v>02előirányzat</v>
          </cell>
        </row>
        <row r="38">
          <cell r="B38" t="str">
            <v>Összesen</v>
          </cell>
          <cell r="D38" t="str">
            <v>Szociális Int.Gazd.Szolg.</v>
          </cell>
        </row>
        <row r="39">
          <cell r="A39">
            <v>3</v>
          </cell>
          <cell r="B39" t="str">
            <v>Kisgyermek Szoc.Int.Igazg.</v>
          </cell>
          <cell r="C39">
            <v>1</v>
          </cell>
          <cell r="D39" t="str">
            <v>02előirányzat</v>
          </cell>
        </row>
        <row r="70">
          <cell r="B70" t="str">
            <v>Összesen</v>
          </cell>
          <cell r="D70" t="str">
            <v>Kisgyermek Szoc.Int.Igazg.</v>
          </cell>
        </row>
        <row r="71">
          <cell r="A71">
            <v>4</v>
          </cell>
          <cell r="B71" t="str">
            <v>Családsegitő Intézet</v>
          </cell>
          <cell r="C71">
            <v>1</v>
          </cell>
          <cell r="D71" t="str">
            <v>02előirányzat</v>
          </cell>
        </row>
        <row r="95">
          <cell r="B95" t="str">
            <v>Összesen</v>
          </cell>
          <cell r="D95" t="str">
            <v>Családsegitő Intézet</v>
          </cell>
        </row>
        <row r="96">
          <cell r="A96">
            <v>401</v>
          </cell>
          <cell r="B96" t="str">
            <v>Esztergár L.Családsegítő</v>
          </cell>
          <cell r="C96">
            <v>1</v>
          </cell>
          <cell r="D96" t="str">
            <v>02előirányzat</v>
          </cell>
        </row>
        <row r="118">
          <cell r="B118" t="str">
            <v>Összesen</v>
          </cell>
          <cell r="D118" t="str">
            <v>Esztergár L.Családsegítő</v>
          </cell>
        </row>
        <row r="119">
          <cell r="B119" t="str">
            <v>Kisgy.+Cssk.+Esztergár</v>
          </cell>
        </row>
        <row r="120">
          <cell r="B120" t="str">
            <v>Értelmi Fogy.Nappali Int.</v>
          </cell>
          <cell r="C120">
            <v>1</v>
          </cell>
          <cell r="D120" t="str">
            <v>02előirányzat</v>
          </cell>
        </row>
        <row r="148">
          <cell r="B148" t="str">
            <v>Összesen</v>
          </cell>
          <cell r="D148" t="str">
            <v>Értelmi Fogy.Nappali Int.</v>
          </cell>
        </row>
        <row r="149">
          <cell r="A149">
            <v>5</v>
          </cell>
          <cell r="B149" t="str">
            <v>Xavér u.-i Egyes Szoc.Int.</v>
          </cell>
          <cell r="C149">
            <v>1</v>
          </cell>
          <cell r="D149" t="str">
            <v>02előirányzat</v>
          </cell>
        </row>
        <row r="176">
          <cell r="B176" t="str">
            <v>Összesen</v>
          </cell>
          <cell r="D176" t="str">
            <v>Xavér u.-i Egyes Szoc.Int.</v>
          </cell>
        </row>
        <row r="177">
          <cell r="A177">
            <v>6</v>
          </cell>
          <cell r="B177" t="str">
            <v>Tüzér u.-i Egyes. Szoc.Int.</v>
          </cell>
          <cell r="C177">
            <v>1</v>
          </cell>
          <cell r="D177" t="str">
            <v>02előirányzat</v>
          </cell>
        </row>
        <row r="203">
          <cell r="B203" t="str">
            <v>Összesen</v>
          </cell>
          <cell r="D203" t="str">
            <v>Tüzér u.-i Egyes. Szoc.Int.</v>
          </cell>
        </row>
        <row r="204">
          <cell r="A204">
            <v>7</v>
          </cell>
          <cell r="B204" t="str">
            <v>Timár u.-i Idősek Otthona</v>
          </cell>
          <cell r="C204">
            <v>1</v>
          </cell>
          <cell r="D204" t="str">
            <v>02előirányzat</v>
          </cell>
        </row>
        <row r="231">
          <cell r="B231" t="str">
            <v>Összesen</v>
          </cell>
          <cell r="D231" t="str">
            <v>Timár u.-i Idősek Otthona</v>
          </cell>
        </row>
        <row r="232">
          <cell r="A232">
            <v>8</v>
          </cell>
          <cell r="B232" t="str">
            <v>Integrált Szoc.Int.</v>
          </cell>
          <cell r="C232">
            <v>1</v>
          </cell>
          <cell r="D232" t="str">
            <v>02előirányzat</v>
          </cell>
        </row>
        <row r="265">
          <cell r="B265" t="str">
            <v>Összesen</v>
          </cell>
          <cell r="D265" t="str">
            <v>Integrált Szoc.Int.</v>
          </cell>
        </row>
        <row r="266">
          <cell r="A266">
            <v>9</v>
          </cell>
          <cell r="B266" t="str">
            <v>Integrált Nappali Szoc.Int.</v>
          </cell>
          <cell r="C266">
            <v>1</v>
          </cell>
          <cell r="D266" t="str">
            <v>02előirányzat</v>
          </cell>
        </row>
        <row r="289">
          <cell r="B289" t="str">
            <v>Összesen</v>
          </cell>
          <cell r="D289" t="str">
            <v>Integrált Nappali Szoc.Int.</v>
          </cell>
        </row>
        <row r="290">
          <cell r="A290">
            <v>10</v>
          </cell>
          <cell r="B290" t="str">
            <v>Pécsi Gyermekotthon</v>
          </cell>
          <cell r="C290">
            <v>1</v>
          </cell>
          <cell r="D290" t="str">
            <v>02előirányzat</v>
          </cell>
        </row>
        <row r="326">
          <cell r="B326" t="str">
            <v>Összesen</v>
          </cell>
          <cell r="D326" t="str">
            <v>Pécsi Gyermekotthon</v>
          </cell>
        </row>
        <row r="327">
          <cell r="A327">
            <v>11</v>
          </cell>
          <cell r="B327" t="str">
            <v>Iskolaszolgálat (Gazdasági)</v>
          </cell>
          <cell r="C327">
            <v>1</v>
          </cell>
          <cell r="D327" t="str">
            <v>02előirányzat</v>
          </cell>
        </row>
        <row r="354">
          <cell r="B354" t="str">
            <v>Összesen</v>
          </cell>
          <cell r="D354" t="str">
            <v>Iskolaszolgálat (Gazdasági)</v>
          </cell>
        </row>
        <row r="355">
          <cell r="A355">
            <v>12</v>
          </cell>
          <cell r="B355" t="str">
            <v>Siklósi u.Óvoda</v>
          </cell>
          <cell r="C355">
            <v>1</v>
          </cell>
          <cell r="D355" t="str">
            <v>02előirányzat</v>
          </cell>
        </row>
        <row r="387">
          <cell r="B387" t="str">
            <v>Összesen</v>
          </cell>
          <cell r="D387" t="str">
            <v>Siklósi u.Óvoda</v>
          </cell>
        </row>
        <row r="388">
          <cell r="A388">
            <v>14</v>
          </cell>
          <cell r="B388" t="str">
            <v>Anikó u.Óvoda</v>
          </cell>
          <cell r="C388">
            <v>1</v>
          </cell>
          <cell r="D388" t="str">
            <v>02előirányzat</v>
          </cell>
        </row>
        <row r="416">
          <cell r="B416" t="str">
            <v>Összesen</v>
          </cell>
          <cell r="D416" t="str">
            <v>Anikó u.Óvoda</v>
          </cell>
        </row>
        <row r="417">
          <cell r="B417" t="str">
            <v>Enyezd u.Óvoda</v>
          </cell>
          <cell r="C417">
            <v>1</v>
          </cell>
          <cell r="D417" t="str">
            <v>02előirányzat</v>
          </cell>
        </row>
        <row r="426">
          <cell r="A426" t="str">
            <v xml:space="preserve"> </v>
          </cell>
        </row>
        <row r="445">
          <cell r="B445" t="str">
            <v>Összesen</v>
          </cell>
          <cell r="D445" t="str">
            <v>Enyezd u.Óvoda</v>
          </cell>
        </row>
        <row r="446">
          <cell r="A446">
            <v>1401</v>
          </cell>
          <cell r="B446" t="str">
            <v>Esztergár u.Óvoda</v>
          </cell>
          <cell r="C446">
            <v>1</v>
          </cell>
          <cell r="D446" t="str">
            <v>02előirányzat</v>
          </cell>
        </row>
        <row r="467">
          <cell r="B467" t="str">
            <v>Összesen</v>
          </cell>
          <cell r="D467" t="str">
            <v>Esztergár u.Óvoda</v>
          </cell>
        </row>
        <row r="468">
          <cell r="A468">
            <v>1402</v>
          </cell>
          <cell r="B468" t="str">
            <v>Hajnóczy u.Óvoda</v>
          </cell>
          <cell r="C468">
            <v>1</v>
          </cell>
          <cell r="D468" t="str">
            <v>02előirányzat</v>
          </cell>
        </row>
        <row r="492">
          <cell r="B492" t="str">
            <v>Összesen</v>
          </cell>
          <cell r="D492" t="str">
            <v>Hajnóczy u.Óvoda</v>
          </cell>
        </row>
        <row r="493">
          <cell r="B493" t="str">
            <v>Mezőszél u.Óvoda</v>
          </cell>
          <cell r="C493">
            <v>1</v>
          </cell>
          <cell r="D493" t="str">
            <v>02előirányzat</v>
          </cell>
        </row>
        <row r="517">
          <cell r="B517" t="str">
            <v>Összesen</v>
          </cell>
          <cell r="D517" t="str">
            <v>Mezőszél u.Óvoda</v>
          </cell>
        </row>
        <row r="518">
          <cell r="A518">
            <v>1404</v>
          </cell>
          <cell r="B518" t="str">
            <v>Budai N.A.u.Óvoda</v>
          </cell>
          <cell r="C518">
            <v>1</v>
          </cell>
          <cell r="D518" t="str">
            <v>02előirányzat</v>
          </cell>
        </row>
        <row r="549">
          <cell r="B549" t="str">
            <v>Összesen</v>
          </cell>
          <cell r="D549" t="str">
            <v>Budai N.A.u.Óvoda</v>
          </cell>
        </row>
        <row r="550">
          <cell r="A550">
            <v>1405</v>
          </cell>
          <cell r="B550" t="str">
            <v>Közraktár u.Óvoda (SPORT)</v>
          </cell>
          <cell r="C550">
            <v>1</v>
          </cell>
          <cell r="D550" t="str">
            <v>02előirányzat</v>
          </cell>
        </row>
        <row r="570">
          <cell r="B570" t="str">
            <v>Összesen</v>
          </cell>
          <cell r="D570" t="str">
            <v>Közraktár u.Óvoda</v>
          </cell>
        </row>
        <row r="571">
          <cell r="A571">
            <v>1406</v>
          </cell>
          <cell r="B571" t="str">
            <v>Teleki B.u.Óvoda</v>
          </cell>
          <cell r="C571">
            <v>1</v>
          </cell>
          <cell r="D571" t="str">
            <v>02előirányzat</v>
          </cell>
        </row>
        <row r="597">
          <cell r="B597" t="str">
            <v>Összesen</v>
          </cell>
          <cell r="D597" t="str">
            <v>Teleki B.u.Óvoda</v>
          </cell>
        </row>
        <row r="598">
          <cell r="A598">
            <v>1407</v>
          </cell>
          <cell r="B598" t="str">
            <v>Köztársaság téri Óvoda</v>
          </cell>
          <cell r="C598">
            <v>1</v>
          </cell>
          <cell r="D598" t="str">
            <v>02előirányzat</v>
          </cell>
        </row>
        <row r="625">
          <cell r="B625" t="str">
            <v>Összesen</v>
          </cell>
          <cell r="D625" t="str">
            <v>Köztársaság téri Óvoda</v>
          </cell>
        </row>
        <row r="626">
          <cell r="A626">
            <v>1408</v>
          </cell>
          <cell r="B626" t="str">
            <v>Belvárosi Óvoda</v>
          </cell>
          <cell r="C626">
            <v>1</v>
          </cell>
          <cell r="D626" t="str">
            <v>02előirányzat</v>
          </cell>
        </row>
        <row r="654">
          <cell r="B654" t="str">
            <v>Összesen</v>
          </cell>
          <cell r="D654" t="str">
            <v>Belvárosi Óvoda</v>
          </cell>
        </row>
        <row r="655">
          <cell r="A655">
            <v>1409</v>
          </cell>
          <cell r="B655" t="str">
            <v>Vadász u.Óvoda</v>
          </cell>
          <cell r="C655">
            <v>1</v>
          </cell>
          <cell r="D655" t="str">
            <v>02előirányzat</v>
          </cell>
        </row>
        <row r="679">
          <cell r="B679" t="str">
            <v>Összesen</v>
          </cell>
          <cell r="D679" t="str">
            <v>Vadász u.Óvoda</v>
          </cell>
        </row>
        <row r="680">
          <cell r="A680">
            <v>1410</v>
          </cell>
          <cell r="B680" t="str">
            <v>Zsolnay u.Óvoda</v>
          </cell>
          <cell r="C680">
            <v>1</v>
          </cell>
          <cell r="D680" t="str">
            <v>02előirányzat</v>
          </cell>
        </row>
        <row r="706">
          <cell r="B706" t="str">
            <v>Összesen</v>
          </cell>
          <cell r="D706" t="str">
            <v>Zsolnay u.Óvoda</v>
          </cell>
        </row>
        <row r="707">
          <cell r="B707" t="str">
            <v>Óvodák összesen</v>
          </cell>
        </row>
        <row r="708">
          <cell r="A708">
            <v>1411</v>
          </cell>
          <cell r="B708" t="str">
            <v>Anikó u.Ált Isk.</v>
          </cell>
          <cell r="C708">
            <v>1</v>
          </cell>
          <cell r="D708" t="str">
            <v>02előirányzat</v>
          </cell>
        </row>
        <row r="732">
          <cell r="B732" t="str">
            <v>Összesen</v>
          </cell>
          <cell r="D732" t="str">
            <v>Anikó u.Ált Isk.</v>
          </cell>
        </row>
        <row r="733">
          <cell r="A733">
            <v>1412</v>
          </cell>
          <cell r="B733" t="str">
            <v>Bánki D.Ált.Isk.</v>
          </cell>
          <cell r="C733">
            <v>1</v>
          </cell>
          <cell r="D733" t="str">
            <v>02előirányzat</v>
          </cell>
        </row>
        <row r="765">
          <cell r="B765" t="str">
            <v>Összesen</v>
          </cell>
          <cell r="D765" t="str">
            <v>Bánki D.Ált.Isk.</v>
          </cell>
        </row>
        <row r="766">
          <cell r="A766">
            <v>1414</v>
          </cell>
          <cell r="B766" t="str">
            <v>Kertváros u.Ált.Isk.</v>
          </cell>
          <cell r="C766">
            <v>1</v>
          </cell>
          <cell r="D766" t="str">
            <v>02előirányzat</v>
          </cell>
        </row>
        <row r="797">
          <cell r="B797" t="str">
            <v>Összesen</v>
          </cell>
          <cell r="D797" t="str">
            <v>Kertváros u.Ált.Isk.</v>
          </cell>
        </row>
        <row r="798">
          <cell r="A798">
            <v>1415</v>
          </cell>
          <cell r="B798" t="str">
            <v>Bártfa U.Ált.Isk.</v>
          </cell>
          <cell r="C798">
            <v>1</v>
          </cell>
          <cell r="D798" t="str">
            <v>02előirányzat</v>
          </cell>
        </row>
        <row r="831">
          <cell r="B831" t="str">
            <v>Összesen</v>
          </cell>
          <cell r="D831" t="str">
            <v>Bártfa U.Ált.Isk.</v>
          </cell>
        </row>
        <row r="832">
          <cell r="A832">
            <v>1416</v>
          </cell>
          <cell r="B832" t="str">
            <v>Belvárosi Ált.Isk.</v>
          </cell>
          <cell r="C832">
            <v>1</v>
          </cell>
          <cell r="D832" t="str">
            <v>02előirányzat</v>
          </cell>
        </row>
        <row r="862">
          <cell r="B862" t="str">
            <v>Összesen</v>
          </cell>
          <cell r="D862" t="str">
            <v>Belvárosi Ált.Isk.</v>
          </cell>
        </row>
        <row r="863">
          <cell r="A863">
            <v>1417</v>
          </cell>
          <cell r="B863" t="str">
            <v>Csokonai V.M.Ált.Isk.</v>
          </cell>
          <cell r="C863">
            <v>1</v>
          </cell>
          <cell r="D863" t="str">
            <v>02előirányzat</v>
          </cell>
        </row>
        <row r="894">
          <cell r="B894" t="str">
            <v>Összesen</v>
          </cell>
          <cell r="D894" t="str">
            <v>Csokonai V.M.Ált.Isk.</v>
          </cell>
        </row>
        <row r="895">
          <cell r="A895">
            <v>1418</v>
          </cell>
          <cell r="B895" t="str">
            <v>Felsővámház u.Ált.Isk.</v>
          </cell>
          <cell r="C895">
            <v>1</v>
          </cell>
          <cell r="D895" t="str">
            <v>02előirányzat</v>
          </cell>
        </row>
        <row r="919">
          <cell r="B919" t="str">
            <v>Összesen</v>
          </cell>
          <cell r="D919" t="str">
            <v>Felsővámház u.Ált.Isk.</v>
          </cell>
        </row>
        <row r="920">
          <cell r="A920">
            <v>1419</v>
          </cell>
          <cell r="B920" t="str">
            <v>Mezőszél u.Ált.Isk.</v>
          </cell>
          <cell r="C920">
            <v>1</v>
          </cell>
          <cell r="D920" t="str">
            <v>02előirányzat</v>
          </cell>
        </row>
        <row r="943">
          <cell r="B943" t="str">
            <v>Összesen</v>
          </cell>
          <cell r="D943" t="str">
            <v>Mezőszél u.Ált.Isk.</v>
          </cell>
        </row>
        <row r="944">
          <cell r="A944">
            <v>14</v>
          </cell>
          <cell r="B944" t="str">
            <v>Jókai M.Ált.Isk.</v>
          </cell>
          <cell r="C944">
            <v>1</v>
          </cell>
          <cell r="D944" t="str">
            <v>02előirányzat</v>
          </cell>
        </row>
        <row r="972">
          <cell r="A972" t="str">
            <v xml:space="preserve"> </v>
          </cell>
          <cell r="B972" t="str">
            <v>Összesen</v>
          </cell>
          <cell r="D972" t="str">
            <v>Jókai M.Ált.Isk.</v>
          </cell>
        </row>
        <row r="973">
          <cell r="A973">
            <v>15</v>
          </cell>
          <cell r="B973" t="str">
            <v>Jurisics u.Ált Isk.</v>
          </cell>
          <cell r="C973">
            <v>1</v>
          </cell>
          <cell r="D973" t="str">
            <v>02előirányzat</v>
          </cell>
        </row>
        <row r="1000">
          <cell r="B1000" t="str">
            <v>Összesen</v>
          </cell>
          <cell r="D1000" t="str">
            <v>Jurisics u.Ált Isk.</v>
          </cell>
        </row>
        <row r="1001">
          <cell r="A1001">
            <v>16</v>
          </cell>
          <cell r="B1001" t="str">
            <v>Köztársaság téri Ált.Isk.</v>
          </cell>
          <cell r="C1001">
            <v>1</v>
          </cell>
          <cell r="D1001" t="str">
            <v>02előirányzat</v>
          </cell>
        </row>
        <row r="1029">
          <cell r="B1029" t="str">
            <v>Összesen</v>
          </cell>
          <cell r="D1029" t="str">
            <v>Köztársaság téri Ált.Isk.</v>
          </cell>
        </row>
        <row r="1030">
          <cell r="A1030">
            <v>17</v>
          </cell>
          <cell r="B1030" t="str">
            <v>Mátyás Kir.u.Ált.Isk.</v>
          </cell>
          <cell r="C1030">
            <v>1</v>
          </cell>
          <cell r="D1030" t="str">
            <v>02előirányzat</v>
          </cell>
        </row>
        <row r="1069">
          <cell r="B1069" t="str">
            <v>Összesen</v>
          </cell>
          <cell r="D1069" t="str">
            <v>Mátyás Kir.u.Ált.Isk.</v>
          </cell>
        </row>
        <row r="1070">
          <cell r="B1070" t="str">
            <v>Szieberth R.Ált.Isk.</v>
          </cell>
          <cell r="C1070">
            <v>1</v>
          </cell>
          <cell r="D1070" t="str">
            <v>02előirányzat</v>
          </cell>
        </row>
        <row r="1110">
          <cell r="B1110" t="str">
            <v>Összesen</v>
          </cell>
          <cell r="D1110" t="str">
            <v>Szieberth R.Ált.Isk.</v>
          </cell>
        </row>
        <row r="1111">
          <cell r="A1111">
            <v>19</v>
          </cell>
          <cell r="B1111" t="str">
            <v>Illyés Gy.Ált.Isk.</v>
          </cell>
          <cell r="C1111">
            <v>1</v>
          </cell>
          <cell r="D1111" t="str">
            <v>02előirányzat</v>
          </cell>
        </row>
        <row r="1136">
          <cell r="B1136" t="str">
            <v>Összesen</v>
          </cell>
          <cell r="D1136" t="str">
            <v>Illyés Gy.Ált.Isk.</v>
          </cell>
        </row>
        <row r="1137">
          <cell r="A1137">
            <v>20</v>
          </cell>
          <cell r="B1137" t="str">
            <v>Testvérvárosok terei Ált.Isk.</v>
          </cell>
          <cell r="C1137">
            <v>1</v>
          </cell>
          <cell r="D1137" t="str">
            <v>02előirányzat</v>
          </cell>
        </row>
        <row r="1165">
          <cell r="B1165" t="str">
            <v>Összesen</v>
          </cell>
          <cell r="D1165" t="str">
            <v>Testvérvárosok terei Ált.Isk.</v>
          </cell>
        </row>
        <row r="1166">
          <cell r="A1166">
            <v>21</v>
          </cell>
          <cell r="B1166" t="str">
            <v>Vasas-Somogy-Hird Isk.Kp.</v>
          </cell>
          <cell r="C1166">
            <v>1</v>
          </cell>
          <cell r="D1166" t="str">
            <v>02előirányzat</v>
          </cell>
        </row>
        <row r="1197">
          <cell r="B1197" t="str">
            <v>Összesen</v>
          </cell>
          <cell r="D1197" t="str">
            <v>Vasas-Somogy-Hird Isk.Kp.</v>
          </cell>
        </row>
        <row r="1198">
          <cell r="A1198">
            <v>23</v>
          </cell>
          <cell r="B1198" t="str">
            <v>Liszt Ferenc Zeneiskola</v>
          </cell>
          <cell r="C1198">
            <v>1</v>
          </cell>
          <cell r="D1198" t="str">
            <v>02előirányzat</v>
          </cell>
        </row>
        <row r="1221">
          <cell r="B1221" t="str">
            <v>Összesen</v>
          </cell>
          <cell r="D1221" t="str">
            <v>Liszt Ferenc Zeneiskola</v>
          </cell>
        </row>
        <row r="1222">
          <cell r="B1222" t="str">
            <v>Általános Iskolák összesen</v>
          </cell>
        </row>
        <row r="1223">
          <cell r="A1223">
            <v>24</v>
          </cell>
          <cell r="B1223" t="str">
            <v>Mecsekaljai Okt.Sportközpont</v>
          </cell>
          <cell r="C1223">
            <v>1</v>
          </cell>
          <cell r="D1223" t="str">
            <v>02előirányzat</v>
          </cell>
        </row>
        <row r="1253">
          <cell r="B1253" t="str">
            <v>Összesen</v>
          </cell>
          <cell r="D1253" t="str">
            <v>Mecsekaljai Okt.Sportközpont</v>
          </cell>
        </row>
        <row r="1254">
          <cell r="A1254">
            <v>25</v>
          </cell>
          <cell r="B1254" t="str">
            <v>Árpád Fejedelem Gimn.Ált.Isk.</v>
          </cell>
          <cell r="C1254">
            <v>1</v>
          </cell>
          <cell r="D1254" t="str">
            <v>02előirányzat</v>
          </cell>
        </row>
        <row r="1281">
          <cell r="B1281" t="str">
            <v>Összesen</v>
          </cell>
          <cell r="D1281" t="str">
            <v>Árpád Fejedelem Gimn.Ált.Isk.</v>
          </cell>
        </row>
        <row r="1282">
          <cell r="A1282">
            <v>26</v>
          </cell>
          <cell r="B1282" t="str">
            <v xml:space="preserve">Magyar-Német Nyelvű </v>
          </cell>
          <cell r="C1282">
            <v>1</v>
          </cell>
          <cell r="D1282" t="str">
            <v>02előirányzat</v>
          </cell>
        </row>
        <row r="1313">
          <cell r="B1313" t="str">
            <v>Összesen</v>
          </cell>
          <cell r="D1313" t="str">
            <v xml:space="preserve">Magyar-Német Nyelvű </v>
          </cell>
        </row>
        <row r="1314">
          <cell r="A1314">
            <v>28</v>
          </cell>
          <cell r="B1314" t="str">
            <v>Pázmány P.Ált.Isk.Óvoda</v>
          </cell>
          <cell r="C1314">
            <v>1</v>
          </cell>
          <cell r="D1314" t="str">
            <v>02előirányzat</v>
          </cell>
        </row>
        <row r="1343">
          <cell r="B1343" t="str">
            <v>Összesen</v>
          </cell>
          <cell r="D1343" t="str">
            <v>Rácvárosi és Istenkúti ÁMK.</v>
          </cell>
        </row>
        <row r="1344">
          <cell r="A1344">
            <v>30</v>
          </cell>
          <cell r="B1344" t="str">
            <v>Miroslav K.Horvát….</v>
          </cell>
          <cell r="C1344">
            <v>1</v>
          </cell>
          <cell r="D1344" t="str">
            <v>02előirányzat</v>
          </cell>
        </row>
        <row r="1372">
          <cell r="B1372" t="str">
            <v>Összesen</v>
          </cell>
          <cell r="D1372" t="str">
            <v>Miroslav K.Horvát….</v>
          </cell>
        </row>
        <row r="1373">
          <cell r="A1373">
            <v>31</v>
          </cell>
          <cell r="B1373" t="str">
            <v>Éltes Mátyás Iskolakp.</v>
          </cell>
          <cell r="C1373">
            <v>1</v>
          </cell>
          <cell r="D1373" t="str">
            <v>02előirányzat</v>
          </cell>
        </row>
        <row r="1406">
          <cell r="B1406" t="str">
            <v>Összesen</v>
          </cell>
          <cell r="D1406" t="str">
            <v>Éltes Mátyás Iskolakp.</v>
          </cell>
        </row>
        <row r="1407">
          <cell r="A1407">
            <v>32</v>
          </cell>
          <cell r="B1407" t="str">
            <v>500.sz.Angster</v>
          </cell>
          <cell r="C1407">
            <v>1</v>
          </cell>
          <cell r="D1407" t="str">
            <v>02előirányzat</v>
          </cell>
        </row>
        <row r="1434">
          <cell r="B1434" t="str">
            <v>Összesen</v>
          </cell>
          <cell r="D1434" t="str">
            <v>500.sz.Angster</v>
          </cell>
        </row>
        <row r="1435">
          <cell r="A1435">
            <v>33</v>
          </cell>
          <cell r="B1435" t="str">
            <v>508.sz.Kertvárosi</v>
          </cell>
          <cell r="C1435">
            <v>1</v>
          </cell>
          <cell r="D1435" t="str">
            <v>02előirányzat</v>
          </cell>
        </row>
        <row r="1463">
          <cell r="B1463" t="str">
            <v>Összesen</v>
          </cell>
          <cell r="D1463" t="str">
            <v>508.sz.Kertvárosi</v>
          </cell>
        </row>
        <row r="1464">
          <cell r="A1464">
            <v>34</v>
          </cell>
          <cell r="B1464" t="str">
            <v>Leőwey K.Gimn.</v>
          </cell>
          <cell r="C1464">
            <v>1</v>
          </cell>
          <cell r="D1464" t="str">
            <v>02előirányzat</v>
          </cell>
        </row>
        <row r="1497">
          <cell r="B1497" t="str">
            <v>Összesen</v>
          </cell>
          <cell r="D1497" t="str">
            <v>Leőwey K.Gimn.</v>
          </cell>
        </row>
        <row r="1498">
          <cell r="A1498">
            <v>35</v>
          </cell>
          <cell r="B1498" t="str">
            <v>Kodály Z.Gimn.</v>
          </cell>
          <cell r="C1498">
            <v>1</v>
          </cell>
          <cell r="D1498" t="str">
            <v>02előirányzat</v>
          </cell>
        </row>
        <row r="1525">
          <cell r="B1525" t="str">
            <v>Összesen</v>
          </cell>
          <cell r="D1525" t="str">
            <v>Kodály Z.Gimn.</v>
          </cell>
        </row>
        <row r="1526">
          <cell r="A1526">
            <v>36</v>
          </cell>
          <cell r="B1526" t="str">
            <v>Széchenyi I.Gimn…..</v>
          </cell>
          <cell r="C1526">
            <v>1</v>
          </cell>
          <cell r="D1526" t="str">
            <v>02előirányzat</v>
          </cell>
        </row>
        <row r="1554">
          <cell r="B1554" t="str">
            <v>Összesen</v>
          </cell>
          <cell r="D1554" t="str">
            <v>Széchenyi I.Gimn…..</v>
          </cell>
        </row>
        <row r="1555">
          <cell r="A1555">
            <v>38</v>
          </cell>
          <cell r="B1555" t="str">
            <v>Zipernowsky K.Műszaki ….</v>
          </cell>
          <cell r="C1555">
            <v>1</v>
          </cell>
          <cell r="D1555" t="str">
            <v>02előirányzat</v>
          </cell>
        </row>
        <row r="1583">
          <cell r="B1583" t="str">
            <v>Összesen</v>
          </cell>
          <cell r="D1583" t="str">
            <v>Zipernowsky K.Műszaki</v>
          </cell>
        </row>
        <row r="1584">
          <cell r="A1584">
            <v>39</v>
          </cell>
          <cell r="B1584" t="str">
            <v>Pollack M.Műszaki …</v>
          </cell>
          <cell r="C1584">
            <v>1</v>
          </cell>
          <cell r="D1584" t="str">
            <v>02előirányzat</v>
          </cell>
        </row>
        <row r="1616">
          <cell r="B1616" t="str">
            <v>Összesen</v>
          </cell>
          <cell r="D1616" t="str">
            <v>Pollack M.Műszaki …</v>
          </cell>
        </row>
        <row r="1617">
          <cell r="A1617">
            <v>40</v>
          </cell>
          <cell r="B1617" t="str">
            <v>Pécsi Művészeti Szakközép</v>
          </cell>
          <cell r="C1617">
            <v>1</v>
          </cell>
          <cell r="D1617" t="str">
            <v>02előirányzat</v>
          </cell>
        </row>
        <row r="1648">
          <cell r="B1648" t="str">
            <v>Összesen</v>
          </cell>
          <cell r="D1648" t="str">
            <v>Pécsi Művészeti Szakközép</v>
          </cell>
        </row>
        <row r="1649">
          <cell r="A1649">
            <v>42</v>
          </cell>
          <cell r="B1649" t="str">
            <v>Janus P.Gimn. …</v>
          </cell>
          <cell r="C1649">
            <v>1</v>
          </cell>
          <cell r="D1649" t="str">
            <v>02előirányzat</v>
          </cell>
        </row>
        <row r="1681">
          <cell r="B1681" t="str">
            <v>Összesen</v>
          </cell>
          <cell r="D1681" t="str">
            <v>Janus P.Gimn. …</v>
          </cell>
        </row>
        <row r="1682">
          <cell r="A1682">
            <v>43</v>
          </cell>
          <cell r="B1682" t="str">
            <v>Pécsi Szociális és Eü. …</v>
          </cell>
          <cell r="C1682">
            <v>1</v>
          </cell>
          <cell r="D1682" t="str">
            <v>02előirányzat</v>
          </cell>
        </row>
        <row r="1709">
          <cell r="B1709" t="str">
            <v>Összesen</v>
          </cell>
          <cell r="D1709" t="str">
            <v>Pécsi Szociális és Eü. …</v>
          </cell>
        </row>
        <row r="1710">
          <cell r="A1710">
            <v>44</v>
          </cell>
          <cell r="B1710" t="str">
            <v>Teleki B.Leánykollégium</v>
          </cell>
          <cell r="C1710">
            <v>1</v>
          </cell>
          <cell r="D1710" t="str">
            <v>02előirányzat</v>
          </cell>
        </row>
        <row r="1747">
          <cell r="B1747" t="str">
            <v>Összesen</v>
          </cell>
          <cell r="D1747" t="str">
            <v>Teleki B.Leánykollégium</v>
          </cell>
        </row>
        <row r="1748">
          <cell r="A1748">
            <v>45</v>
          </cell>
          <cell r="B1748" t="str">
            <v>Kodály Z.Kollégium</v>
          </cell>
          <cell r="C1748">
            <v>1</v>
          </cell>
          <cell r="D1748" t="str">
            <v>02előirányzat</v>
          </cell>
        </row>
        <row r="1772">
          <cell r="B1772" t="str">
            <v>Összesen</v>
          </cell>
          <cell r="D1772" t="str">
            <v>Kodály Z.Kollégium</v>
          </cell>
        </row>
        <row r="1773">
          <cell r="A1773">
            <v>45</v>
          </cell>
          <cell r="B1773" t="str">
            <v>Hajnóczy J.Kollégium</v>
          </cell>
          <cell r="C1773">
            <v>1</v>
          </cell>
          <cell r="D1773" t="str">
            <v>02előirányzat</v>
          </cell>
        </row>
        <row r="1800">
          <cell r="B1800" t="str">
            <v>Összesen</v>
          </cell>
          <cell r="D1800" t="str">
            <v>Hajnóczy J.Kollégium</v>
          </cell>
        </row>
        <row r="1801">
          <cell r="A1801">
            <v>46</v>
          </cell>
          <cell r="B1801" t="str">
            <v>Apáczai .Nevelési és ÁMK.</v>
          </cell>
          <cell r="C1801">
            <v>1</v>
          </cell>
          <cell r="D1801" t="str">
            <v>02előirányzat</v>
          </cell>
        </row>
        <row r="1848">
          <cell r="B1848" t="str">
            <v>Összesen</v>
          </cell>
          <cell r="D1848" t="str">
            <v>Apáczai Cs.J.Nev.Kp.</v>
          </cell>
        </row>
        <row r="1849">
          <cell r="A1849">
            <v>47</v>
          </cell>
          <cell r="B1849" t="str">
            <v>Pécsi Kereskedelmi és …</v>
          </cell>
          <cell r="C1849">
            <v>1</v>
          </cell>
          <cell r="D1849" t="str">
            <v>02előirányzat</v>
          </cell>
        </row>
        <row r="1879">
          <cell r="B1879" t="str">
            <v>Összesen</v>
          </cell>
          <cell r="D1879" t="str">
            <v>Pécsi Kereskedelmi és …</v>
          </cell>
        </row>
        <row r="1880">
          <cell r="A1880">
            <v>49</v>
          </cell>
          <cell r="B1880" t="str">
            <v>Radnóti M.Közgazd.</v>
          </cell>
          <cell r="C1880">
            <v>1</v>
          </cell>
          <cell r="D1880" t="str">
            <v>02előirányzat</v>
          </cell>
        </row>
        <row r="1905">
          <cell r="B1905" t="str">
            <v>Összesen</v>
          </cell>
          <cell r="D1905" t="str">
            <v>Radnóti M.Közgazd.</v>
          </cell>
        </row>
        <row r="1906">
          <cell r="A1906">
            <v>50</v>
          </cell>
          <cell r="B1906" t="str">
            <v>Középiskolai Kp.MENZA</v>
          </cell>
          <cell r="C1906">
            <v>1</v>
          </cell>
          <cell r="D1906" t="str">
            <v>02előirányzat</v>
          </cell>
        </row>
        <row r="1931">
          <cell r="B1931" t="str">
            <v>Összesen</v>
          </cell>
          <cell r="D1931" t="str">
            <v>Középiskolai Kp.MENZA</v>
          </cell>
        </row>
        <row r="1932">
          <cell r="B1932" t="str">
            <v>Oktatás MINDÖSSZESEN</v>
          </cell>
        </row>
        <row r="1933">
          <cell r="B1933" t="str">
            <v>Városi Könyvtár</v>
          </cell>
          <cell r="C1933">
            <v>1</v>
          </cell>
          <cell r="D1933" t="str">
            <v>02előirányzat</v>
          </cell>
        </row>
        <row r="1959">
          <cell r="B1959" t="str">
            <v>Összesen</v>
          </cell>
          <cell r="D1959" t="str">
            <v>Városi Könyvtár</v>
          </cell>
        </row>
        <row r="1960">
          <cell r="A1960">
            <v>52</v>
          </cell>
          <cell r="B1960" t="str">
            <v>Pécsi Galéria és Vizuális M.</v>
          </cell>
          <cell r="C1960">
            <v>1</v>
          </cell>
          <cell r="D1960" t="str">
            <v>02előirányzat</v>
          </cell>
        </row>
        <row r="1984">
          <cell r="B1984" t="str">
            <v>Összesen</v>
          </cell>
          <cell r="D1984" t="str">
            <v>Pécsi Galéria és Vizuális M.</v>
          </cell>
        </row>
        <row r="1985">
          <cell r="B1985" t="str">
            <v>Pécsi Kulturális Kp.</v>
          </cell>
          <cell r="C1985">
            <v>1</v>
          </cell>
          <cell r="D1985" t="str">
            <v>02előirányzat</v>
          </cell>
        </row>
        <row r="2018">
          <cell r="B2018" t="str">
            <v>Összesen</v>
          </cell>
          <cell r="D2018" t="str">
            <v>Pécsi Kulturális Kp.</v>
          </cell>
        </row>
        <row r="2019">
          <cell r="A2019">
            <v>53</v>
          </cell>
          <cell r="B2019" t="str">
            <v>Nemzeti Színház</v>
          </cell>
          <cell r="C2019">
            <v>1</v>
          </cell>
          <cell r="D2019" t="str">
            <v>02előirányzat</v>
          </cell>
        </row>
        <row r="2050">
          <cell r="B2050" t="str">
            <v>Összesen</v>
          </cell>
          <cell r="D2050" t="str">
            <v>Nemzeti Színház</v>
          </cell>
        </row>
        <row r="2051">
          <cell r="A2051">
            <v>54</v>
          </cell>
          <cell r="B2051" t="str">
            <v>Pécsi Horvát Színház</v>
          </cell>
          <cell r="C2051">
            <v>1</v>
          </cell>
          <cell r="D2051" t="str">
            <v>02előirányzat</v>
          </cell>
        </row>
        <row r="2068">
          <cell r="B2068" t="str">
            <v>Összesen</v>
          </cell>
          <cell r="D2068" t="str">
            <v>Pécsi Horvát Színház</v>
          </cell>
        </row>
        <row r="2069">
          <cell r="B2069" t="str">
            <v>Pécsi Szimfonikus Zenekar</v>
          </cell>
          <cell r="C2069">
            <v>1</v>
          </cell>
          <cell r="D2069" t="str">
            <v>02előirányzat</v>
          </cell>
        </row>
        <row r="2091">
          <cell r="B2091" t="str">
            <v>Összesen</v>
          </cell>
          <cell r="D2091" t="str">
            <v>Pécsi Szimfonikus Zenekar</v>
          </cell>
        </row>
        <row r="2092">
          <cell r="B2092" t="str">
            <v>Ifjúsági Ház</v>
          </cell>
          <cell r="C2092">
            <v>1</v>
          </cell>
          <cell r="D2092" t="str">
            <v>02előirányzat</v>
          </cell>
        </row>
        <row r="2116">
          <cell r="B2116" t="str">
            <v>Összesen</v>
          </cell>
          <cell r="D2116" t="str">
            <v>Ifjúsági Ház</v>
          </cell>
        </row>
        <row r="2117">
          <cell r="B2117" t="str">
            <v>Szivárvány Gyermekház</v>
          </cell>
          <cell r="C2117">
            <v>1</v>
          </cell>
          <cell r="D2117" t="str">
            <v>02előirányzat</v>
          </cell>
        </row>
        <row r="2136">
          <cell r="B2136" t="str">
            <v>Összesen</v>
          </cell>
          <cell r="D2136" t="str">
            <v>Szivárvány Gyermekház</v>
          </cell>
        </row>
        <row r="2137">
          <cell r="B2137" t="str">
            <v>IH + Szivárvány</v>
          </cell>
        </row>
        <row r="2138">
          <cell r="B2138" t="str">
            <v>Sportlétesítmények Ig.</v>
          </cell>
          <cell r="C2138">
            <v>1</v>
          </cell>
          <cell r="D2138" t="str">
            <v>02előirányzat</v>
          </cell>
        </row>
        <row r="2162">
          <cell r="B2162" t="str">
            <v>Összesen</v>
          </cell>
          <cell r="D2162" t="str">
            <v>Sportlétesítmények Ig.</v>
          </cell>
        </row>
        <row r="2163">
          <cell r="B2163" t="str">
            <v>Tűzoltók</v>
          </cell>
          <cell r="C2163">
            <v>1</v>
          </cell>
          <cell r="D2163" t="str">
            <v>02előirányzat</v>
          </cell>
        </row>
        <row r="2181">
          <cell r="B2181" t="str">
            <v>Összesen</v>
          </cell>
          <cell r="D2181" t="str">
            <v>Tűzoltók</v>
          </cell>
        </row>
        <row r="2182">
          <cell r="B2182" t="str">
            <v>Egyesített Eü.Int.</v>
          </cell>
          <cell r="C2182">
            <v>1</v>
          </cell>
          <cell r="D2182" t="str">
            <v>02előirányzat</v>
          </cell>
        </row>
        <row r="2208">
          <cell r="B2208" t="str">
            <v>Összesen</v>
          </cell>
          <cell r="D2208" t="str">
            <v>Egyesített Eü.Int.</v>
          </cell>
        </row>
        <row r="2209">
          <cell r="C2209" t="str">
            <v>Szociális Int. Szolgálata összesen</v>
          </cell>
        </row>
        <row r="2210">
          <cell r="C2210" t="str">
            <v>Iskolaszolgálat összesen</v>
          </cell>
        </row>
        <row r="2211">
          <cell r="D2211" t="str">
            <v>Önállók összesen</v>
          </cell>
        </row>
        <row r="2212">
          <cell r="C2212" t="str">
            <v>Kultúra összesen</v>
          </cell>
        </row>
        <row r="2213">
          <cell r="C2213" t="str">
            <v>Egyéb összesen</v>
          </cell>
        </row>
        <row r="2214">
          <cell r="B2214" t="str">
            <v>V É G Ö S S Z E S E N</v>
          </cell>
        </row>
        <row r="2216">
          <cell r="D2216" t="str">
            <v>GESZ nélkül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nk"/>
      <sheetName val="hivatal"/>
      <sheetName val="HKSK"/>
      <sheetName val="vagyon2019_2"/>
      <sheetName val="német"/>
      <sheetName val="horvát"/>
      <sheetName val="szerb"/>
      <sheetName val="ovi"/>
      <sheetName val="ovi társ"/>
    </sheetNames>
    <sheetDataSet>
      <sheetData sheetId="0">
        <row r="10">
          <cell r="C10">
            <v>9606417818</v>
          </cell>
          <cell r="D10">
            <v>10929611938</v>
          </cell>
        </row>
        <row r="11">
          <cell r="C11">
            <v>5602302</v>
          </cell>
          <cell r="D11">
            <v>4220576</v>
          </cell>
        </row>
        <row r="12">
          <cell r="C12">
            <v>464168</v>
          </cell>
          <cell r="D12">
            <v>232744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647244</v>
          </cell>
          <cell r="D15">
            <v>232744</v>
          </cell>
        </row>
        <row r="16">
          <cell r="C16">
            <v>-183076</v>
          </cell>
          <cell r="D16">
            <v>0</v>
          </cell>
        </row>
        <row r="17">
          <cell r="C17">
            <v>5138134</v>
          </cell>
          <cell r="D17">
            <v>3987832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-1328245</v>
          </cell>
          <cell r="D20">
            <v>2590890</v>
          </cell>
        </row>
        <row r="21">
          <cell r="C21">
            <v>6466379</v>
          </cell>
          <cell r="D21">
            <v>1396942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7462377460</v>
          </cell>
          <cell r="D27">
            <v>8787020426</v>
          </cell>
        </row>
        <row r="28">
          <cell r="C28">
            <v>6643441050</v>
          </cell>
          <cell r="D28">
            <v>8044608463</v>
          </cell>
        </row>
        <row r="29">
          <cell r="C29">
            <v>2308201760</v>
          </cell>
          <cell r="D29">
            <v>2655962585</v>
          </cell>
        </row>
        <row r="30">
          <cell r="C30">
            <v>13264498</v>
          </cell>
          <cell r="D30">
            <v>0</v>
          </cell>
        </row>
        <row r="31">
          <cell r="C31">
            <v>2596572393</v>
          </cell>
          <cell r="D31">
            <v>2914665704</v>
          </cell>
        </row>
        <row r="32">
          <cell r="C32">
            <v>1725402399</v>
          </cell>
          <cell r="D32">
            <v>2473980174</v>
          </cell>
        </row>
        <row r="33">
          <cell r="C33">
            <v>88598752</v>
          </cell>
          <cell r="D33">
            <v>130353379</v>
          </cell>
        </row>
        <row r="34">
          <cell r="C34">
            <v>120000</v>
          </cell>
          <cell r="D34">
            <v>120000</v>
          </cell>
        </row>
        <row r="35">
          <cell r="C35">
            <v>0</v>
          </cell>
          <cell r="D35">
            <v>0</v>
          </cell>
        </row>
        <row r="36">
          <cell r="C36">
            <v>48809870</v>
          </cell>
          <cell r="D36">
            <v>63029700</v>
          </cell>
        </row>
        <row r="37">
          <cell r="C37">
            <v>39668882</v>
          </cell>
          <cell r="D37">
            <v>67203679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730337658</v>
          </cell>
          <cell r="D43">
            <v>612058584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730337658</v>
          </cell>
          <cell r="D47">
            <v>612058584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2138438056</v>
          </cell>
          <cell r="D53">
            <v>2138370936</v>
          </cell>
        </row>
        <row r="54">
          <cell r="C54">
            <v>2138438056</v>
          </cell>
          <cell r="D54">
            <v>2138370936</v>
          </cell>
        </row>
        <row r="55">
          <cell r="C55">
            <v>0</v>
          </cell>
          <cell r="D55">
            <v>0</v>
          </cell>
        </row>
        <row r="56">
          <cell r="C56">
            <v>0</v>
          </cell>
          <cell r="D56">
            <v>0</v>
          </cell>
        </row>
        <row r="57">
          <cell r="C57">
            <v>2138428056</v>
          </cell>
          <cell r="D57">
            <v>2138360936</v>
          </cell>
        </row>
        <row r="58">
          <cell r="C58">
            <v>10000</v>
          </cell>
          <cell r="D58">
            <v>10000</v>
          </cell>
        </row>
        <row r="59">
          <cell r="C59">
            <v>0</v>
          </cell>
          <cell r="D59">
            <v>0</v>
          </cell>
        </row>
        <row r="60">
          <cell r="C60">
            <v>0</v>
          </cell>
          <cell r="D60">
            <v>0</v>
          </cell>
        </row>
        <row r="61">
          <cell r="C61">
            <v>0</v>
          </cell>
          <cell r="D61">
            <v>0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0</v>
          </cell>
          <cell r="D64">
            <v>0</v>
          </cell>
        </row>
        <row r="65">
          <cell r="C65">
            <v>0</v>
          </cell>
          <cell r="D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</row>
        <row r="68">
          <cell r="C68">
            <v>0</v>
          </cell>
          <cell r="D68">
            <v>0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2">
          <cell r="C72">
            <v>0</v>
          </cell>
          <cell r="D72">
            <v>0</v>
          </cell>
        </row>
        <row r="73">
          <cell r="C73">
            <v>0</v>
          </cell>
          <cell r="D73">
            <v>0</v>
          </cell>
        </row>
        <row r="74">
          <cell r="C74">
            <v>0</v>
          </cell>
          <cell r="D74">
            <v>0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0</v>
          </cell>
          <cell r="D77">
            <v>0</v>
          </cell>
        </row>
        <row r="78">
          <cell r="C78">
            <v>0</v>
          </cell>
          <cell r="D78">
            <v>0</v>
          </cell>
        </row>
        <row r="79">
          <cell r="C79">
            <v>0</v>
          </cell>
          <cell r="D79">
            <v>0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2500131555</v>
          </cell>
          <cell r="D83">
            <v>1274108278</v>
          </cell>
        </row>
        <row r="84">
          <cell r="C84">
            <v>0</v>
          </cell>
          <cell r="D84">
            <v>0</v>
          </cell>
        </row>
        <row r="85">
          <cell r="C85">
            <v>4621560</v>
          </cell>
          <cell r="D85">
            <v>5069436</v>
          </cell>
        </row>
        <row r="86">
          <cell r="C86">
            <v>2436407311</v>
          </cell>
          <cell r="D86">
            <v>1209982561</v>
          </cell>
        </row>
        <row r="87">
          <cell r="C87">
            <v>59102684</v>
          </cell>
          <cell r="D87">
            <v>59056281</v>
          </cell>
        </row>
        <row r="88">
          <cell r="C88">
            <v>213965289</v>
          </cell>
          <cell r="D88">
            <v>506384751</v>
          </cell>
        </row>
        <row r="89">
          <cell r="C89">
            <v>206529425</v>
          </cell>
          <cell r="D89">
            <v>291280375</v>
          </cell>
        </row>
        <row r="90">
          <cell r="C90">
            <v>2640000</v>
          </cell>
          <cell r="D90">
            <v>13862767</v>
          </cell>
        </row>
        <row r="91">
          <cell r="C91">
            <v>4795864</v>
          </cell>
          <cell r="D91">
            <v>201241609</v>
          </cell>
        </row>
        <row r="92">
          <cell r="C92">
            <v>-1953689</v>
          </cell>
          <cell r="D92">
            <v>64185352</v>
          </cell>
        </row>
        <row r="93">
          <cell r="C93">
            <v>0</v>
          </cell>
          <cell r="D93">
            <v>0</v>
          </cell>
        </row>
        <row r="94">
          <cell r="C94">
            <v>12318560973</v>
          </cell>
          <cell r="D94">
            <v>12774290319</v>
          </cell>
        </row>
        <row r="97">
          <cell r="C97">
            <v>10183033137</v>
          </cell>
          <cell r="D97">
            <v>9473109786</v>
          </cell>
        </row>
        <row r="98">
          <cell r="C98">
            <v>12232790231</v>
          </cell>
          <cell r="D98">
            <v>12232790231</v>
          </cell>
        </row>
        <row r="99">
          <cell r="C99">
            <v>-165788594</v>
          </cell>
          <cell r="D99">
            <v>-165788594</v>
          </cell>
        </row>
        <row r="100">
          <cell r="C100">
            <v>68633000</v>
          </cell>
          <cell r="D100">
            <v>68633000</v>
          </cell>
        </row>
        <row r="101">
          <cell r="C101">
            <v>-1964618269</v>
          </cell>
          <cell r="D101">
            <v>-2464456613</v>
          </cell>
        </row>
        <row r="102">
          <cell r="C102">
            <v>0</v>
          </cell>
          <cell r="D102">
            <v>0</v>
          </cell>
        </row>
        <row r="103">
          <cell r="C103">
            <v>12016769</v>
          </cell>
          <cell r="D103">
            <v>-198068238</v>
          </cell>
        </row>
        <row r="104">
          <cell r="C104">
            <v>60671749</v>
          </cell>
          <cell r="D104">
            <v>75138532</v>
          </cell>
        </row>
        <row r="105">
          <cell r="C105">
            <v>16165099</v>
          </cell>
          <cell r="D105">
            <v>29035913</v>
          </cell>
        </row>
        <row r="106">
          <cell r="C106">
            <v>16920538</v>
          </cell>
          <cell r="D106">
            <v>19068717</v>
          </cell>
        </row>
        <row r="107">
          <cell r="C107">
            <v>27586112</v>
          </cell>
          <cell r="D107">
            <v>27033902</v>
          </cell>
        </row>
        <row r="108">
          <cell r="C108">
            <v>0</v>
          </cell>
          <cell r="D108">
            <v>0</v>
          </cell>
        </row>
        <row r="109">
          <cell r="C109">
            <v>2074856087</v>
          </cell>
          <cell r="D109">
            <v>3226042001</v>
          </cell>
        </row>
        <row r="110">
          <cell r="C110">
            <v>12318560973</v>
          </cell>
          <cell r="D110">
            <v>12774290319</v>
          </cell>
        </row>
        <row r="113">
          <cell r="C113">
            <v>69904078</v>
          </cell>
          <cell r="D113">
            <v>163718302</v>
          </cell>
        </row>
        <row r="114">
          <cell r="C114">
            <v>29488800</v>
          </cell>
          <cell r="D114">
            <v>79307596</v>
          </cell>
        </row>
        <row r="115">
          <cell r="C115">
            <v>0</v>
          </cell>
          <cell r="D115">
            <v>0</v>
          </cell>
        </row>
        <row r="116">
          <cell r="C116">
            <v>298382137</v>
          </cell>
          <cell r="D116">
            <v>298382137</v>
          </cell>
        </row>
        <row r="117">
          <cell r="C117">
            <v>0</v>
          </cell>
          <cell r="D117">
            <v>0</v>
          </cell>
        </row>
        <row r="118">
          <cell r="C118">
            <v>0</v>
          </cell>
          <cell r="D118">
            <v>0</v>
          </cell>
        </row>
        <row r="119">
          <cell r="C119">
            <v>0</v>
          </cell>
          <cell r="D119">
            <v>0</v>
          </cell>
        </row>
        <row r="120">
          <cell r="C120">
            <v>0</v>
          </cell>
          <cell r="D120">
            <v>0</v>
          </cell>
        </row>
      </sheetData>
      <sheetData sheetId="1">
        <row r="10">
          <cell r="C10">
            <v>3787573</v>
          </cell>
          <cell r="D10">
            <v>6432541</v>
          </cell>
        </row>
        <row r="11">
          <cell r="C11">
            <v>158689</v>
          </cell>
          <cell r="D11">
            <v>92272</v>
          </cell>
        </row>
        <row r="12">
          <cell r="C12">
            <v>158689</v>
          </cell>
          <cell r="D12">
            <v>91758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216388</v>
          </cell>
          <cell r="D15">
            <v>92028</v>
          </cell>
        </row>
        <row r="16">
          <cell r="C16">
            <v>-57699</v>
          </cell>
          <cell r="D16">
            <v>-270</v>
          </cell>
        </row>
        <row r="17">
          <cell r="C17">
            <v>0</v>
          </cell>
          <cell r="D17">
            <v>514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514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3628884</v>
          </cell>
          <cell r="D27">
            <v>6340269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3628884</v>
          </cell>
          <cell r="D33">
            <v>6340269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875619</v>
          </cell>
        </row>
        <row r="37">
          <cell r="C37">
            <v>3628884</v>
          </cell>
          <cell r="D37">
            <v>5464650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0</v>
          </cell>
          <cell r="D47">
            <v>0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0</v>
          </cell>
          <cell r="D54">
            <v>0</v>
          </cell>
        </row>
        <row r="55">
          <cell r="C55">
            <v>0</v>
          </cell>
          <cell r="D55">
            <v>0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>
            <v>0</v>
          </cell>
          <cell r="D58">
            <v>0</v>
          </cell>
        </row>
        <row r="59">
          <cell r="C59">
            <v>0</v>
          </cell>
          <cell r="D59">
            <v>0</v>
          </cell>
        </row>
        <row r="60">
          <cell r="C60">
            <v>0</v>
          </cell>
          <cell r="D60">
            <v>0</v>
          </cell>
        </row>
        <row r="61">
          <cell r="C61">
            <v>0</v>
          </cell>
          <cell r="D61">
            <v>0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0</v>
          </cell>
          <cell r="D64">
            <v>0</v>
          </cell>
        </row>
        <row r="65">
          <cell r="C65">
            <v>0</v>
          </cell>
          <cell r="D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</row>
        <row r="68">
          <cell r="C68">
            <v>0</v>
          </cell>
          <cell r="D68">
            <v>0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2">
          <cell r="C72">
            <v>0</v>
          </cell>
          <cell r="D72">
            <v>0</v>
          </cell>
        </row>
        <row r="73">
          <cell r="C73">
            <v>0</v>
          </cell>
          <cell r="D73">
            <v>0</v>
          </cell>
        </row>
        <row r="74">
          <cell r="C74">
            <v>0</v>
          </cell>
          <cell r="D74">
            <v>0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0</v>
          </cell>
          <cell r="D77">
            <v>0</v>
          </cell>
        </row>
        <row r="78">
          <cell r="C78">
            <v>0</v>
          </cell>
          <cell r="D78">
            <v>0</v>
          </cell>
        </row>
        <row r="79">
          <cell r="C79">
            <v>0</v>
          </cell>
          <cell r="D79">
            <v>0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184017</v>
          </cell>
          <cell r="D83">
            <v>430671</v>
          </cell>
        </row>
        <row r="84">
          <cell r="C84">
            <v>0</v>
          </cell>
          <cell r="D84">
            <v>0</v>
          </cell>
        </row>
        <row r="85">
          <cell r="C85">
            <v>88425</v>
          </cell>
          <cell r="D85">
            <v>267657</v>
          </cell>
        </row>
        <row r="86">
          <cell r="C86">
            <v>95592</v>
          </cell>
          <cell r="D86">
            <v>163014</v>
          </cell>
        </row>
        <row r="87">
          <cell r="C87">
            <v>0</v>
          </cell>
          <cell r="D87">
            <v>0</v>
          </cell>
        </row>
        <row r="88">
          <cell r="C88">
            <v>415448</v>
          </cell>
          <cell r="D88">
            <v>388984</v>
          </cell>
        </row>
        <row r="89">
          <cell r="C89">
            <v>141983</v>
          </cell>
          <cell r="D89">
            <v>148954</v>
          </cell>
        </row>
        <row r="90">
          <cell r="C90">
            <v>0</v>
          </cell>
          <cell r="D90">
            <v>0</v>
          </cell>
        </row>
        <row r="91">
          <cell r="C91">
            <v>273465</v>
          </cell>
          <cell r="D91">
            <v>240030</v>
          </cell>
        </row>
        <row r="92">
          <cell r="C92">
            <v>0</v>
          </cell>
          <cell r="D92">
            <v>0</v>
          </cell>
        </row>
        <row r="93">
          <cell r="C93">
            <v>0</v>
          </cell>
          <cell r="D93">
            <v>0</v>
          </cell>
        </row>
        <row r="94">
          <cell r="C94">
            <v>4387038</v>
          </cell>
          <cell r="D94">
            <v>7252196</v>
          </cell>
        </row>
        <row r="97">
          <cell r="C97">
            <v>-6535738</v>
          </cell>
          <cell r="D97">
            <v>-3301693</v>
          </cell>
        </row>
        <row r="98">
          <cell r="C98">
            <v>44696219</v>
          </cell>
          <cell r="D98">
            <v>44696219</v>
          </cell>
        </row>
        <row r="99">
          <cell r="C99">
            <v>0</v>
          </cell>
          <cell r="D99">
            <v>0</v>
          </cell>
        </row>
        <row r="100">
          <cell r="C100">
            <v>1832134</v>
          </cell>
          <cell r="D100">
            <v>1832134</v>
          </cell>
        </row>
        <row r="101">
          <cell r="C101">
            <v>-48613542</v>
          </cell>
          <cell r="D101">
            <v>-53064091</v>
          </cell>
        </row>
        <row r="102">
          <cell r="C102">
            <v>0</v>
          </cell>
          <cell r="D102">
            <v>0</v>
          </cell>
        </row>
        <row r="103">
          <cell r="C103">
            <v>-4450549</v>
          </cell>
          <cell r="D103">
            <v>3234045</v>
          </cell>
        </row>
        <row r="104">
          <cell r="C104">
            <v>1067851</v>
          </cell>
          <cell r="D104">
            <v>1245145</v>
          </cell>
        </row>
        <row r="105">
          <cell r="C105">
            <v>1067851</v>
          </cell>
          <cell r="D105">
            <v>1245145</v>
          </cell>
        </row>
        <row r="106">
          <cell r="C106">
            <v>0</v>
          </cell>
          <cell r="D106">
            <v>0</v>
          </cell>
        </row>
        <row r="107">
          <cell r="C107">
            <v>0</v>
          </cell>
          <cell r="D107">
            <v>0</v>
          </cell>
        </row>
        <row r="108">
          <cell r="C108">
            <v>0</v>
          </cell>
          <cell r="D108">
            <v>0</v>
          </cell>
        </row>
        <row r="109">
          <cell r="C109">
            <v>9854925</v>
          </cell>
          <cell r="D109">
            <v>9308744</v>
          </cell>
        </row>
        <row r="110">
          <cell r="C110">
            <v>4387038</v>
          </cell>
          <cell r="D110">
            <v>7252196</v>
          </cell>
        </row>
        <row r="113">
          <cell r="C113">
            <v>23526945</v>
          </cell>
          <cell r="D113">
            <v>27546320</v>
          </cell>
        </row>
        <row r="114">
          <cell r="C114">
            <v>4311884</v>
          </cell>
          <cell r="D114">
            <v>7147041</v>
          </cell>
        </row>
        <row r="115">
          <cell r="C115">
            <v>0</v>
          </cell>
          <cell r="D115">
            <v>0</v>
          </cell>
        </row>
        <row r="116">
          <cell r="C116">
            <v>0</v>
          </cell>
          <cell r="D116">
            <v>0</v>
          </cell>
        </row>
        <row r="117">
          <cell r="C117">
            <v>0</v>
          </cell>
          <cell r="D117">
            <v>0</v>
          </cell>
        </row>
        <row r="118">
          <cell r="C118">
            <v>0</v>
          </cell>
          <cell r="D118">
            <v>0</v>
          </cell>
        </row>
        <row r="119">
          <cell r="C119">
            <v>0</v>
          </cell>
          <cell r="D119">
            <v>0</v>
          </cell>
        </row>
        <row r="120">
          <cell r="C120">
            <v>0</v>
          </cell>
          <cell r="D120">
            <v>0</v>
          </cell>
        </row>
      </sheetData>
      <sheetData sheetId="2">
        <row r="10">
          <cell r="C10">
            <v>20330972</v>
          </cell>
          <cell r="D10">
            <v>23458388</v>
          </cell>
        </row>
        <row r="11">
          <cell r="C11">
            <v>43022</v>
          </cell>
          <cell r="D11">
            <v>0</v>
          </cell>
        </row>
        <row r="12">
          <cell r="C12">
            <v>43022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-1911866</v>
          </cell>
          <cell r="D15">
            <v>0</v>
          </cell>
        </row>
        <row r="16">
          <cell r="C16">
            <v>1954888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20287950</v>
          </cell>
          <cell r="D27">
            <v>23458388</v>
          </cell>
        </row>
        <row r="28">
          <cell r="C28">
            <v>15560008</v>
          </cell>
          <cell r="D28">
            <v>15204990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15560008</v>
          </cell>
          <cell r="D31">
            <v>15204990</v>
          </cell>
        </row>
        <row r="32">
          <cell r="C32">
            <v>0</v>
          </cell>
          <cell r="D32">
            <v>0</v>
          </cell>
        </row>
        <row r="33">
          <cell r="C33">
            <v>4727942</v>
          </cell>
          <cell r="D33">
            <v>7853398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3820407</v>
          </cell>
          <cell r="D36">
            <v>2634291</v>
          </cell>
        </row>
        <row r="37">
          <cell r="C37">
            <v>907535</v>
          </cell>
          <cell r="D37">
            <v>5219107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400000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0</v>
          </cell>
          <cell r="D47">
            <v>400000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0</v>
          </cell>
          <cell r="D54">
            <v>0</v>
          </cell>
        </row>
        <row r="55">
          <cell r="C55">
            <v>0</v>
          </cell>
          <cell r="D55">
            <v>0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>
            <v>0</v>
          </cell>
          <cell r="D58">
            <v>0</v>
          </cell>
        </row>
        <row r="59">
          <cell r="C59">
            <v>0</v>
          </cell>
          <cell r="D59">
            <v>0</v>
          </cell>
        </row>
        <row r="60">
          <cell r="C60">
            <v>0</v>
          </cell>
          <cell r="D60">
            <v>0</v>
          </cell>
        </row>
        <row r="61">
          <cell r="C61">
            <v>0</v>
          </cell>
          <cell r="D61">
            <v>0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0</v>
          </cell>
          <cell r="D64">
            <v>0</v>
          </cell>
        </row>
        <row r="65">
          <cell r="C65">
            <v>0</v>
          </cell>
          <cell r="D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</row>
        <row r="68">
          <cell r="C68">
            <v>0</v>
          </cell>
          <cell r="D68">
            <v>0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2">
          <cell r="C72">
            <v>0</v>
          </cell>
          <cell r="D72">
            <v>0</v>
          </cell>
        </row>
        <row r="73">
          <cell r="C73">
            <v>0</v>
          </cell>
          <cell r="D73">
            <v>0</v>
          </cell>
        </row>
        <row r="74">
          <cell r="C74">
            <v>0</v>
          </cell>
          <cell r="D74">
            <v>0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0</v>
          </cell>
          <cell r="D77">
            <v>0</v>
          </cell>
        </row>
        <row r="78">
          <cell r="C78">
            <v>0</v>
          </cell>
          <cell r="D78">
            <v>0</v>
          </cell>
        </row>
        <row r="79">
          <cell r="C79">
            <v>0</v>
          </cell>
          <cell r="D79">
            <v>0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2543679</v>
          </cell>
          <cell r="D83">
            <v>1325268</v>
          </cell>
        </row>
        <row r="84">
          <cell r="C84">
            <v>0</v>
          </cell>
          <cell r="D84">
            <v>0</v>
          </cell>
        </row>
        <row r="85">
          <cell r="C85">
            <v>2336910</v>
          </cell>
          <cell r="D85">
            <v>1079055</v>
          </cell>
        </row>
        <row r="86">
          <cell r="C86">
            <v>206769</v>
          </cell>
          <cell r="D86">
            <v>246213</v>
          </cell>
        </row>
        <row r="87">
          <cell r="C87">
            <v>0</v>
          </cell>
          <cell r="D87">
            <v>0</v>
          </cell>
        </row>
        <row r="88">
          <cell r="C88">
            <v>188640</v>
          </cell>
          <cell r="D88">
            <v>1088991</v>
          </cell>
        </row>
        <row r="89">
          <cell r="C89">
            <v>66600</v>
          </cell>
          <cell r="D89">
            <v>533911</v>
          </cell>
        </row>
        <row r="90">
          <cell r="C90">
            <v>0</v>
          </cell>
          <cell r="D90">
            <v>0</v>
          </cell>
        </row>
        <row r="91">
          <cell r="C91">
            <v>122040</v>
          </cell>
          <cell r="D91">
            <v>555080</v>
          </cell>
        </row>
        <row r="92">
          <cell r="C92">
            <v>-396000</v>
          </cell>
          <cell r="D92">
            <v>422530</v>
          </cell>
        </row>
        <row r="93">
          <cell r="C93">
            <v>0</v>
          </cell>
          <cell r="D93">
            <v>0</v>
          </cell>
        </row>
        <row r="94">
          <cell r="C94">
            <v>22667291</v>
          </cell>
          <cell r="D94">
            <v>26295177</v>
          </cell>
        </row>
        <row r="97">
          <cell r="C97">
            <v>16702591</v>
          </cell>
          <cell r="D97">
            <v>19849148</v>
          </cell>
        </row>
        <row r="98">
          <cell r="C98">
            <v>35044584</v>
          </cell>
          <cell r="D98">
            <v>35044584</v>
          </cell>
        </row>
        <row r="99">
          <cell r="C99">
            <v>0</v>
          </cell>
          <cell r="D99">
            <v>0</v>
          </cell>
        </row>
        <row r="100">
          <cell r="C100">
            <v>453056</v>
          </cell>
          <cell r="D100">
            <v>453056</v>
          </cell>
        </row>
        <row r="101">
          <cell r="C101">
            <v>-8243936</v>
          </cell>
          <cell r="D101">
            <v>-18795049</v>
          </cell>
        </row>
        <row r="102">
          <cell r="C102">
            <v>0</v>
          </cell>
          <cell r="D102">
            <v>0</v>
          </cell>
        </row>
        <row r="103">
          <cell r="C103">
            <v>-10551113</v>
          </cell>
          <cell r="D103">
            <v>3146557</v>
          </cell>
        </row>
        <row r="104">
          <cell r="C104">
            <v>1718963</v>
          </cell>
          <cell r="D104">
            <v>2385971</v>
          </cell>
        </row>
        <row r="105">
          <cell r="C105">
            <v>1718963</v>
          </cell>
          <cell r="D105">
            <v>2385971</v>
          </cell>
        </row>
        <row r="106">
          <cell r="C106">
            <v>0</v>
          </cell>
          <cell r="D106">
            <v>0</v>
          </cell>
        </row>
        <row r="107">
          <cell r="C107">
            <v>0</v>
          </cell>
          <cell r="D107">
            <v>0</v>
          </cell>
        </row>
        <row r="108">
          <cell r="C108">
            <v>0</v>
          </cell>
          <cell r="D108">
            <v>0</v>
          </cell>
        </row>
        <row r="109">
          <cell r="C109">
            <v>4245737</v>
          </cell>
          <cell r="D109">
            <v>4060058</v>
          </cell>
        </row>
        <row r="110">
          <cell r="C110">
            <v>22667291</v>
          </cell>
          <cell r="D110">
            <v>26295177</v>
          </cell>
        </row>
        <row r="113">
          <cell r="C113">
            <v>18462073</v>
          </cell>
          <cell r="D113">
            <v>47465068</v>
          </cell>
        </row>
        <row r="114">
          <cell r="C114">
            <v>14575122</v>
          </cell>
          <cell r="D114">
            <v>17546723</v>
          </cell>
        </row>
        <row r="115">
          <cell r="C115">
            <v>0</v>
          </cell>
          <cell r="D115">
            <v>0</v>
          </cell>
        </row>
        <row r="116">
          <cell r="C116">
            <v>0</v>
          </cell>
          <cell r="D116">
            <v>0</v>
          </cell>
        </row>
        <row r="117">
          <cell r="C117">
            <v>0</v>
          </cell>
          <cell r="D117">
            <v>0</v>
          </cell>
        </row>
        <row r="118">
          <cell r="C118">
            <v>0</v>
          </cell>
          <cell r="D118">
            <v>0</v>
          </cell>
        </row>
        <row r="119">
          <cell r="C119">
            <v>0</v>
          </cell>
          <cell r="D119">
            <v>0</v>
          </cell>
        </row>
        <row r="120">
          <cell r="C120">
            <v>0</v>
          </cell>
          <cell r="D120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13"/>
  <sheetViews>
    <sheetView tabSelected="1" workbookViewId="0">
      <selection activeCell="E28" sqref="E28"/>
    </sheetView>
  </sheetViews>
  <sheetFormatPr defaultRowHeight="15" x14ac:dyDescent="0.25"/>
  <cols>
    <col min="2" max="2" width="42.140625" bestFit="1" customWidth="1"/>
    <col min="3" max="3" width="27.85546875" bestFit="1" customWidth="1"/>
  </cols>
  <sheetData>
    <row r="1" spans="1:3" s="179" customFormat="1" x14ac:dyDescent="0.25">
      <c r="A1" s="689"/>
      <c r="B1" s="873" t="s">
        <v>1220</v>
      </c>
      <c r="C1" s="873"/>
    </row>
    <row r="2" spans="1:3" s="179" customFormat="1" x14ac:dyDescent="0.25">
      <c r="A2" s="635"/>
      <c r="B2" s="636"/>
      <c r="C2" s="636"/>
    </row>
    <row r="3" spans="1:3" s="179" customFormat="1" x14ac:dyDescent="0.25">
      <c r="A3" s="635"/>
      <c r="B3" s="636"/>
      <c r="C3" s="636"/>
    </row>
    <row r="4" spans="1:3" x14ac:dyDescent="0.25">
      <c r="A4" s="876" t="s">
        <v>0</v>
      </c>
      <c r="B4" s="876"/>
      <c r="C4" s="876"/>
    </row>
    <row r="5" spans="1:3" x14ac:dyDescent="0.25">
      <c r="A5" s="1"/>
      <c r="B5" s="1"/>
      <c r="C5" s="1"/>
    </row>
    <row r="6" spans="1:3" s="179" customFormat="1" x14ac:dyDescent="0.25">
      <c r="A6" s="635"/>
      <c r="B6" s="635"/>
      <c r="C6" s="635"/>
    </row>
    <row r="7" spans="1:3" x14ac:dyDescent="0.25">
      <c r="A7" s="2"/>
      <c r="B7" s="3" t="s">
        <v>287</v>
      </c>
      <c r="C7" s="600" t="s">
        <v>1221</v>
      </c>
    </row>
    <row r="8" spans="1:3" x14ac:dyDescent="0.25">
      <c r="A8" s="2"/>
      <c r="B8" s="2"/>
      <c r="C8" s="3"/>
    </row>
    <row r="9" spans="1:3" ht="15.75" thickBot="1" x14ac:dyDescent="0.3">
      <c r="A9" s="4"/>
      <c r="B9" s="4"/>
      <c r="C9" s="4"/>
    </row>
    <row r="10" spans="1:3" ht="15.75" thickBot="1" x14ac:dyDescent="0.3">
      <c r="A10" s="5" t="s">
        <v>1</v>
      </c>
      <c r="B10" s="877" t="s">
        <v>2</v>
      </c>
      <c r="C10" s="878"/>
    </row>
    <row r="11" spans="1:3" ht="15.75" thickBot="1" x14ac:dyDescent="0.3">
      <c r="A11" s="6" t="s">
        <v>3</v>
      </c>
      <c r="B11" s="874" t="s">
        <v>4</v>
      </c>
      <c r="C11" s="875"/>
    </row>
    <row r="12" spans="1:3" ht="15.75" thickBot="1" x14ac:dyDescent="0.3">
      <c r="A12" s="6" t="s">
        <v>5</v>
      </c>
      <c r="B12" s="874" t="s">
        <v>6</v>
      </c>
      <c r="C12" s="875"/>
    </row>
    <row r="13" spans="1:3" ht="15.75" thickBot="1" x14ac:dyDescent="0.3">
      <c r="A13" s="6" t="s">
        <v>7</v>
      </c>
      <c r="B13" s="874" t="s">
        <v>8</v>
      </c>
      <c r="C13" s="875"/>
    </row>
  </sheetData>
  <mergeCells count="6">
    <mergeCell ref="B1:C1"/>
    <mergeCell ref="B13:C13"/>
    <mergeCell ref="A4:C4"/>
    <mergeCell ref="B10:C10"/>
    <mergeCell ref="B11:C11"/>
    <mergeCell ref="B12:C12"/>
  </mergeCells>
  <pageMargins left="0.55118110236220474" right="0.15748031496062992" top="0.81" bottom="0.43307086614173229" header="0.31496062992125984" footer="0.31496062992125984"/>
  <pageSetup paperSize="9" fitToHeight="0" orientation="portrait" horizontalDpi="300" verticalDpi="300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N153"/>
  <sheetViews>
    <sheetView workbookViewId="0">
      <selection activeCell="F7" sqref="F7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10.85546875" style="179" customWidth="1"/>
    <col min="4" max="4" width="9.140625" style="179"/>
    <col min="5" max="5" width="11.5703125" style="179" customWidth="1"/>
    <col min="6" max="6" width="10.85546875" style="179" customWidth="1"/>
    <col min="7" max="7" width="9.140625" style="179"/>
    <col min="8" max="8" width="11.5703125" style="179" customWidth="1"/>
    <col min="9" max="9" width="10.85546875" style="179" customWidth="1"/>
    <col min="10" max="10" width="9.140625" style="179"/>
    <col min="11" max="11" width="11.5703125" style="179" customWidth="1"/>
    <col min="12" max="12" width="10.85546875" style="179" customWidth="1"/>
    <col min="13" max="13" width="9.140625" style="179"/>
    <col min="14" max="14" width="11.5703125" style="179" customWidth="1"/>
    <col min="15" max="16384" width="9.140625" style="179"/>
  </cols>
  <sheetData>
    <row r="1" spans="1:14" x14ac:dyDescent="0.25">
      <c r="A1" s="912" t="s">
        <v>631</v>
      </c>
      <c r="B1" s="912"/>
      <c r="C1" s="912"/>
      <c r="D1" s="912"/>
      <c r="E1" s="912"/>
    </row>
    <row r="2" spans="1:14" x14ac:dyDescent="0.25">
      <c r="A2" s="912" t="s">
        <v>271</v>
      </c>
      <c r="B2" s="912"/>
      <c r="C2" s="912"/>
      <c r="D2" s="912"/>
      <c r="E2" s="912"/>
    </row>
    <row r="3" spans="1:14" x14ac:dyDescent="0.25">
      <c r="C3" s="45" t="str">
        <f>'5.3 pályázat'!C4</f>
        <v xml:space="preserve"> 12 / 2020. (VI.15) sz rendelet</v>
      </c>
      <c r="E3" s="620"/>
      <c r="H3" s="620"/>
      <c r="K3" s="638"/>
      <c r="N3" s="704"/>
    </row>
    <row r="4" spans="1:14" x14ac:dyDescent="0.25">
      <c r="A4" s="79" t="s">
        <v>270</v>
      </c>
      <c r="E4" s="620"/>
      <c r="H4" s="620"/>
      <c r="K4" s="638"/>
      <c r="N4" s="704"/>
    </row>
    <row r="5" spans="1:14" x14ac:dyDescent="0.25">
      <c r="A5" s="243" t="s">
        <v>828</v>
      </c>
      <c r="B5" s="621" t="s">
        <v>829</v>
      </c>
      <c r="E5" s="620"/>
      <c r="H5" s="620"/>
      <c r="K5" s="638"/>
      <c r="N5" s="704"/>
    </row>
    <row r="6" spans="1:14" x14ac:dyDescent="0.25">
      <c r="C6" s="45"/>
      <c r="D6" s="45"/>
      <c r="E6" s="519" t="s">
        <v>827</v>
      </c>
      <c r="F6" s="914" t="str">
        <f>'5.3 pályázat'!D6</f>
        <v xml:space="preserve"> melléklet az 12/2020. (VI.15.) rendelethez</v>
      </c>
      <c r="G6" s="883"/>
      <c r="H6" s="883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183" t="s">
        <v>43</v>
      </c>
      <c r="B9" s="189" t="s">
        <v>44</v>
      </c>
      <c r="C9" s="244">
        <f t="shared" ref="C9:G9" si="0">SUM(C10,C17,C18,C20,C21,C19)</f>
        <v>0</v>
      </c>
      <c r="D9" s="244">
        <f t="shared" si="0"/>
        <v>0</v>
      </c>
      <c r="E9" s="245">
        <f>SUM(C9:D9)</f>
        <v>0</v>
      </c>
      <c r="F9" s="244">
        <f t="shared" si="0"/>
        <v>2206049</v>
      </c>
      <c r="G9" s="244">
        <f t="shared" si="0"/>
        <v>0</v>
      </c>
      <c r="H9" s="245">
        <f>SUM(F9:G9)</f>
        <v>2206049</v>
      </c>
      <c r="I9" s="244">
        <f t="shared" ref="I9:J9" si="1">SUM(I10,I17,I18,I20,I21,I19)</f>
        <v>2206049</v>
      </c>
      <c r="J9" s="244">
        <f t="shared" si="1"/>
        <v>0</v>
      </c>
      <c r="K9" s="245">
        <f>SUM(I9:J9)</f>
        <v>2206049</v>
      </c>
      <c r="L9" s="244">
        <f t="shared" ref="L9:M9" si="2">SUM(L10,L17,L18,L20,L21,L19)</f>
        <v>6216023</v>
      </c>
      <c r="M9" s="244">
        <f t="shared" si="2"/>
        <v>0</v>
      </c>
      <c r="N9" s="245">
        <f>SUM(L9:M9)</f>
        <v>6216023</v>
      </c>
    </row>
    <row r="10" spans="1:14" hidden="1" x14ac:dyDescent="0.25">
      <c r="A10" s="184" t="s">
        <v>45</v>
      </c>
      <c r="B10" s="180" t="s">
        <v>46</v>
      </c>
      <c r="C10" s="246">
        <f t="shared" ref="C10:D10" si="3">SUM(C11:C16)</f>
        <v>0</v>
      </c>
      <c r="D10" s="246">
        <f t="shared" si="3"/>
        <v>0</v>
      </c>
      <c r="E10" s="247">
        <f t="shared" ref="E10:E73" si="4">SUM(C10:D10)</f>
        <v>0</v>
      </c>
      <c r="F10" s="246">
        <f t="shared" ref="F10:G10" si="5">SUM(F11:F16)</f>
        <v>0</v>
      </c>
      <c r="G10" s="246">
        <f t="shared" si="5"/>
        <v>0</v>
      </c>
      <c r="H10" s="247">
        <f>SUM(F10:G10)</f>
        <v>0</v>
      </c>
      <c r="I10" s="246">
        <f t="shared" ref="I10:J10" si="6">SUM(I11:I16)</f>
        <v>0</v>
      </c>
      <c r="J10" s="246">
        <f t="shared" si="6"/>
        <v>0</v>
      </c>
      <c r="K10" s="247">
        <f>SUM(I10:J10)</f>
        <v>0</v>
      </c>
      <c r="L10" s="246">
        <f t="shared" ref="L10:M10" si="7">SUM(L11:L16)</f>
        <v>0</v>
      </c>
      <c r="M10" s="246">
        <f t="shared" si="7"/>
        <v>0</v>
      </c>
      <c r="N10" s="247">
        <f>SUM(L10:M10)</f>
        <v>0</v>
      </c>
    </row>
    <row r="11" spans="1:14" hidden="1" x14ac:dyDescent="0.25">
      <c r="A11" s="184" t="s">
        <v>47</v>
      </c>
      <c r="B11" s="180" t="s">
        <v>48</v>
      </c>
      <c r="C11" s="246"/>
      <c r="D11" s="246"/>
      <c r="E11" s="247">
        <f t="shared" si="4"/>
        <v>0</v>
      </c>
      <c r="F11" s="246"/>
      <c r="G11" s="246"/>
      <c r="H11" s="247">
        <f t="shared" ref="H11:H73" si="8">SUM(F11:G11)</f>
        <v>0</v>
      </c>
      <c r="I11" s="246"/>
      <c r="J11" s="246"/>
      <c r="K11" s="247">
        <f t="shared" ref="K11:K73" si="9">SUM(I11:J11)</f>
        <v>0</v>
      </c>
      <c r="L11" s="246"/>
      <c r="M11" s="246"/>
      <c r="N11" s="247">
        <f t="shared" ref="N11:N73" si="10">SUM(L11:M11)</f>
        <v>0</v>
      </c>
    </row>
    <row r="12" spans="1:14" hidden="1" x14ac:dyDescent="0.25">
      <c r="A12" s="184" t="s">
        <v>49</v>
      </c>
      <c r="B12" s="180" t="s">
        <v>50</v>
      </c>
      <c r="C12" s="246"/>
      <c r="D12" s="246"/>
      <c r="E12" s="247">
        <f t="shared" si="4"/>
        <v>0</v>
      </c>
      <c r="F12" s="246"/>
      <c r="G12" s="246"/>
      <c r="H12" s="247">
        <f t="shared" si="8"/>
        <v>0</v>
      </c>
      <c r="I12" s="246"/>
      <c r="J12" s="246"/>
      <c r="K12" s="247">
        <f t="shared" si="9"/>
        <v>0</v>
      </c>
      <c r="L12" s="246"/>
      <c r="M12" s="246"/>
      <c r="N12" s="247">
        <f t="shared" si="10"/>
        <v>0</v>
      </c>
    </row>
    <row r="13" spans="1:14" hidden="1" x14ac:dyDescent="0.25">
      <c r="A13" s="184" t="s">
        <v>51</v>
      </c>
      <c r="B13" s="180" t="s">
        <v>52</v>
      </c>
      <c r="C13" s="246"/>
      <c r="D13" s="246"/>
      <c r="E13" s="247">
        <f t="shared" si="4"/>
        <v>0</v>
      </c>
      <c r="F13" s="246"/>
      <c r="G13" s="246"/>
      <c r="H13" s="247">
        <f t="shared" si="8"/>
        <v>0</v>
      </c>
      <c r="I13" s="246"/>
      <c r="J13" s="246"/>
      <c r="K13" s="247">
        <f t="shared" si="9"/>
        <v>0</v>
      </c>
      <c r="L13" s="246"/>
      <c r="M13" s="246"/>
      <c r="N13" s="247">
        <f t="shared" si="10"/>
        <v>0</v>
      </c>
    </row>
    <row r="14" spans="1:14" hidden="1" x14ac:dyDescent="0.25">
      <c r="A14" s="184" t="s">
        <v>53</v>
      </c>
      <c r="B14" s="180" t="s">
        <v>54</v>
      </c>
      <c r="C14" s="246"/>
      <c r="D14" s="246"/>
      <c r="E14" s="247">
        <f t="shared" si="4"/>
        <v>0</v>
      </c>
      <c r="F14" s="246"/>
      <c r="G14" s="246"/>
      <c r="H14" s="247">
        <f t="shared" si="8"/>
        <v>0</v>
      </c>
      <c r="I14" s="246"/>
      <c r="J14" s="246"/>
      <c r="K14" s="247">
        <f t="shared" si="9"/>
        <v>0</v>
      </c>
      <c r="L14" s="246"/>
      <c r="M14" s="246"/>
      <c r="N14" s="247">
        <f t="shared" si="10"/>
        <v>0</v>
      </c>
    </row>
    <row r="15" spans="1:14" hidden="1" x14ac:dyDescent="0.25">
      <c r="A15" s="184" t="s">
        <v>55</v>
      </c>
      <c r="B15" s="180" t="s">
        <v>56</v>
      </c>
      <c r="C15" s="246"/>
      <c r="D15" s="246"/>
      <c r="E15" s="247">
        <f t="shared" si="4"/>
        <v>0</v>
      </c>
      <c r="F15" s="246"/>
      <c r="G15" s="246"/>
      <c r="H15" s="247">
        <f t="shared" si="8"/>
        <v>0</v>
      </c>
      <c r="I15" s="246"/>
      <c r="J15" s="246"/>
      <c r="K15" s="247">
        <f t="shared" si="9"/>
        <v>0</v>
      </c>
      <c r="L15" s="246"/>
      <c r="M15" s="246"/>
      <c r="N15" s="247">
        <f t="shared" si="10"/>
        <v>0</v>
      </c>
    </row>
    <row r="16" spans="1:14" hidden="1" x14ac:dyDescent="0.25">
      <c r="A16" s="184" t="s">
        <v>57</v>
      </c>
      <c r="B16" s="180" t="s">
        <v>58</v>
      </c>
      <c r="C16" s="246"/>
      <c r="D16" s="246"/>
      <c r="E16" s="247">
        <f t="shared" si="4"/>
        <v>0</v>
      </c>
      <c r="F16" s="246"/>
      <c r="G16" s="246"/>
      <c r="H16" s="247">
        <f t="shared" si="8"/>
        <v>0</v>
      </c>
      <c r="I16" s="246"/>
      <c r="J16" s="246"/>
      <c r="K16" s="247">
        <f t="shared" si="9"/>
        <v>0</v>
      </c>
      <c r="L16" s="246"/>
      <c r="M16" s="246"/>
      <c r="N16" s="247">
        <f t="shared" si="10"/>
        <v>0</v>
      </c>
    </row>
    <row r="17" spans="1:14" hidden="1" x14ac:dyDescent="0.25">
      <c r="A17" s="184" t="s">
        <v>59</v>
      </c>
      <c r="B17" s="180" t="s">
        <v>60</v>
      </c>
      <c r="C17" s="246"/>
      <c r="D17" s="246"/>
      <c r="E17" s="247">
        <f t="shared" si="4"/>
        <v>0</v>
      </c>
      <c r="F17" s="246"/>
      <c r="G17" s="246"/>
      <c r="H17" s="247">
        <f t="shared" si="8"/>
        <v>0</v>
      </c>
      <c r="I17" s="246"/>
      <c r="J17" s="246"/>
      <c r="K17" s="247">
        <f t="shared" si="9"/>
        <v>0</v>
      </c>
      <c r="L17" s="246"/>
      <c r="M17" s="246"/>
      <c r="N17" s="247">
        <f t="shared" si="10"/>
        <v>0</v>
      </c>
    </row>
    <row r="18" spans="1:14" hidden="1" x14ac:dyDescent="0.25">
      <c r="A18" s="184" t="s">
        <v>61</v>
      </c>
      <c r="B18" s="180" t="s">
        <v>62</v>
      </c>
      <c r="C18" s="246"/>
      <c r="D18" s="246"/>
      <c r="E18" s="247">
        <f t="shared" si="4"/>
        <v>0</v>
      </c>
      <c r="F18" s="246"/>
      <c r="G18" s="246"/>
      <c r="H18" s="247">
        <f t="shared" si="8"/>
        <v>0</v>
      </c>
      <c r="I18" s="246"/>
      <c r="J18" s="246"/>
      <c r="K18" s="247">
        <f t="shared" si="9"/>
        <v>0</v>
      </c>
      <c r="L18" s="246"/>
      <c r="M18" s="246"/>
      <c r="N18" s="247">
        <f t="shared" si="10"/>
        <v>0</v>
      </c>
    </row>
    <row r="19" spans="1:14" hidden="1" x14ac:dyDescent="0.25">
      <c r="A19" s="185" t="s">
        <v>266</v>
      </c>
      <c r="B19" s="192" t="s">
        <v>267</v>
      </c>
      <c r="C19" s="246"/>
      <c r="D19" s="246"/>
      <c r="E19" s="247">
        <f t="shared" si="4"/>
        <v>0</v>
      </c>
      <c r="F19" s="246"/>
      <c r="G19" s="246"/>
      <c r="H19" s="247">
        <f t="shared" si="8"/>
        <v>0</v>
      </c>
      <c r="I19" s="246"/>
      <c r="J19" s="246"/>
      <c r="K19" s="247">
        <f t="shared" si="9"/>
        <v>0</v>
      </c>
      <c r="L19" s="246"/>
      <c r="M19" s="246"/>
      <c r="N19" s="247">
        <f t="shared" si="10"/>
        <v>0</v>
      </c>
    </row>
    <row r="20" spans="1:14" hidden="1" x14ac:dyDescent="0.25">
      <c r="A20" s="185" t="s">
        <v>63</v>
      </c>
      <c r="B20" s="192" t="s">
        <v>64</v>
      </c>
      <c r="C20" s="246"/>
      <c r="D20" s="246"/>
      <c r="E20" s="247">
        <f t="shared" si="4"/>
        <v>0</v>
      </c>
      <c r="F20" s="246"/>
      <c r="G20" s="246"/>
      <c r="H20" s="247">
        <f t="shared" si="8"/>
        <v>0</v>
      </c>
      <c r="I20" s="246"/>
      <c r="J20" s="246"/>
      <c r="K20" s="247">
        <f t="shared" si="9"/>
        <v>0</v>
      </c>
      <c r="L20" s="246"/>
      <c r="M20" s="246"/>
      <c r="N20" s="247">
        <f t="shared" si="10"/>
        <v>0</v>
      </c>
    </row>
    <row r="21" spans="1:14" ht="15.75" thickBot="1" x14ac:dyDescent="0.3">
      <c r="A21" s="185" t="s">
        <v>65</v>
      </c>
      <c r="B21" s="192" t="s">
        <v>66</v>
      </c>
      <c r="C21" s="248"/>
      <c r="D21" s="248"/>
      <c r="E21" s="249">
        <f t="shared" si="4"/>
        <v>0</v>
      </c>
      <c r="F21" s="248">
        <v>2206049</v>
      </c>
      <c r="G21" s="248"/>
      <c r="H21" s="249">
        <f t="shared" si="8"/>
        <v>2206049</v>
      </c>
      <c r="I21" s="248">
        <v>2206049</v>
      </c>
      <c r="J21" s="248"/>
      <c r="K21" s="249">
        <f t="shared" si="9"/>
        <v>2206049</v>
      </c>
      <c r="L21" s="248">
        <v>6216023</v>
      </c>
      <c r="M21" s="248"/>
      <c r="N21" s="249">
        <f t="shared" si="10"/>
        <v>6216023</v>
      </c>
    </row>
    <row r="22" spans="1:14" x14ac:dyDescent="0.25">
      <c r="A22" s="75" t="s">
        <v>67</v>
      </c>
      <c r="B22" s="196" t="s">
        <v>27</v>
      </c>
      <c r="C22" s="244">
        <f t="shared" ref="C22:D22" si="11">SUM(C23:C24)</f>
        <v>0</v>
      </c>
      <c r="D22" s="244">
        <f t="shared" si="11"/>
        <v>0</v>
      </c>
      <c r="E22" s="245">
        <f t="shared" si="4"/>
        <v>0</v>
      </c>
      <c r="F22" s="244">
        <f t="shared" ref="F22:G22" si="12">SUM(F23:F24)</f>
        <v>0</v>
      </c>
      <c r="G22" s="244">
        <f t="shared" si="12"/>
        <v>0</v>
      </c>
      <c r="H22" s="245">
        <f t="shared" si="8"/>
        <v>0</v>
      </c>
      <c r="I22" s="244">
        <f t="shared" ref="I22:J22" si="13">SUM(I23:I24)</f>
        <v>0</v>
      </c>
      <c r="J22" s="244">
        <f t="shared" si="13"/>
        <v>0</v>
      </c>
      <c r="K22" s="245">
        <f t="shared" si="9"/>
        <v>0</v>
      </c>
      <c r="L22" s="244">
        <f t="shared" ref="L22:M22" si="14">SUM(L23:L24)</f>
        <v>0</v>
      </c>
      <c r="M22" s="244">
        <f t="shared" si="14"/>
        <v>0</v>
      </c>
      <c r="N22" s="245">
        <f t="shared" si="10"/>
        <v>0</v>
      </c>
    </row>
    <row r="23" spans="1:14" x14ac:dyDescent="0.25">
      <c r="A23" s="76"/>
      <c r="B23" s="201" t="s">
        <v>268</v>
      </c>
      <c r="C23" s="246"/>
      <c r="D23" s="246"/>
      <c r="E23" s="247">
        <f t="shared" si="4"/>
        <v>0</v>
      </c>
      <c r="F23" s="246"/>
      <c r="G23" s="246"/>
      <c r="H23" s="247">
        <f t="shared" si="8"/>
        <v>0</v>
      </c>
      <c r="I23" s="246"/>
      <c r="J23" s="246"/>
      <c r="K23" s="247">
        <f t="shared" si="9"/>
        <v>0</v>
      </c>
      <c r="L23" s="246"/>
      <c r="M23" s="246"/>
      <c r="N23" s="247">
        <f t="shared" si="10"/>
        <v>0</v>
      </c>
    </row>
    <row r="24" spans="1:14" ht="15.75" thickBot="1" x14ac:dyDescent="0.3">
      <c r="A24" s="77"/>
      <c r="B24" s="206" t="s">
        <v>269</v>
      </c>
      <c r="C24" s="248"/>
      <c r="D24" s="248"/>
      <c r="E24" s="249">
        <f t="shared" si="4"/>
        <v>0</v>
      </c>
      <c r="F24" s="248"/>
      <c r="G24" s="248"/>
      <c r="H24" s="249">
        <f t="shared" si="8"/>
        <v>0</v>
      </c>
      <c r="I24" s="248"/>
      <c r="J24" s="248"/>
      <c r="K24" s="249">
        <f t="shared" si="9"/>
        <v>0</v>
      </c>
      <c r="L24" s="248"/>
      <c r="M24" s="248"/>
      <c r="N24" s="249">
        <f t="shared" si="10"/>
        <v>0</v>
      </c>
    </row>
    <row r="25" spans="1:14" ht="15.75" thickBot="1" x14ac:dyDescent="0.3">
      <c r="A25" s="187" t="s">
        <v>68</v>
      </c>
      <c r="B25" s="198" t="s">
        <v>25</v>
      </c>
      <c r="C25" s="244">
        <f t="shared" ref="C25:D25" si="15">C26+C30+C38</f>
        <v>0</v>
      </c>
      <c r="D25" s="244">
        <f t="shared" si="15"/>
        <v>0</v>
      </c>
      <c r="E25" s="245">
        <f t="shared" si="4"/>
        <v>0</v>
      </c>
      <c r="F25" s="244">
        <f t="shared" ref="F25:G25" si="16">F26+F30+F38</f>
        <v>0</v>
      </c>
      <c r="G25" s="244">
        <f t="shared" si="16"/>
        <v>0</v>
      </c>
      <c r="H25" s="245">
        <f t="shared" si="8"/>
        <v>0</v>
      </c>
      <c r="I25" s="244">
        <f t="shared" ref="I25:J25" si="17">I26+I30+I38</f>
        <v>0</v>
      </c>
      <c r="J25" s="244">
        <f t="shared" si="17"/>
        <v>0</v>
      </c>
      <c r="K25" s="245">
        <f t="shared" si="9"/>
        <v>0</v>
      </c>
      <c r="L25" s="244">
        <f t="shared" ref="L25:M25" si="18">L26+L30+L38</f>
        <v>0</v>
      </c>
      <c r="M25" s="244">
        <f t="shared" si="18"/>
        <v>0</v>
      </c>
      <c r="N25" s="245">
        <f t="shared" si="10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 t="shared" ref="C26:D26" si="19">SUM(C27:C29)</f>
        <v>0</v>
      </c>
      <c r="D26" s="246">
        <f t="shared" si="19"/>
        <v>0</v>
      </c>
      <c r="E26" s="247">
        <f t="shared" si="4"/>
        <v>0</v>
      </c>
      <c r="F26" s="246">
        <f t="shared" ref="F26:G26" si="20">SUM(F27:F29)</f>
        <v>0</v>
      </c>
      <c r="G26" s="246">
        <f t="shared" si="20"/>
        <v>0</v>
      </c>
      <c r="H26" s="247">
        <f t="shared" si="8"/>
        <v>0</v>
      </c>
      <c r="I26" s="246">
        <f t="shared" ref="I26:J26" si="21">SUM(I27:I29)</f>
        <v>0</v>
      </c>
      <c r="J26" s="246">
        <f t="shared" si="21"/>
        <v>0</v>
      </c>
      <c r="K26" s="247">
        <f t="shared" si="9"/>
        <v>0</v>
      </c>
      <c r="L26" s="246">
        <f t="shared" ref="L26:M26" si="22">SUM(L27:L29)</f>
        <v>0</v>
      </c>
      <c r="M26" s="246">
        <f t="shared" si="22"/>
        <v>0</v>
      </c>
      <c r="N26" s="247">
        <f t="shared" si="10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4"/>
        <v>0</v>
      </c>
      <c r="F27" s="246"/>
      <c r="G27" s="246"/>
      <c r="H27" s="247">
        <f t="shared" si="8"/>
        <v>0</v>
      </c>
      <c r="I27" s="246"/>
      <c r="J27" s="246"/>
      <c r="K27" s="247">
        <f t="shared" si="9"/>
        <v>0</v>
      </c>
      <c r="L27" s="246"/>
      <c r="M27" s="246"/>
      <c r="N27" s="247">
        <f t="shared" si="10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4"/>
        <v>0</v>
      </c>
      <c r="F28" s="246"/>
      <c r="G28" s="246"/>
      <c r="H28" s="247">
        <f t="shared" si="8"/>
        <v>0</v>
      </c>
      <c r="I28" s="246"/>
      <c r="J28" s="246"/>
      <c r="K28" s="247">
        <f t="shared" si="9"/>
        <v>0</v>
      </c>
      <c r="L28" s="246"/>
      <c r="M28" s="246"/>
      <c r="N28" s="247">
        <f t="shared" si="10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4"/>
        <v>0</v>
      </c>
      <c r="F29" s="246"/>
      <c r="G29" s="246"/>
      <c r="H29" s="247">
        <f t="shared" si="8"/>
        <v>0</v>
      </c>
      <c r="I29" s="246"/>
      <c r="J29" s="246"/>
      <c r="K29" s="247">
        <f t="shared" si="9"/>
        <v>0</v>
      </c>
      <c r="L29" s="246"/>
      <c r="M29" s="246"/>
      <c r="N29" s="247">
        <f t="shared" si="10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 t="shared" ref="C30:D30" si="23">C31+C33+C34</f>
        <v>0</v>
      </c>
      <c r="D30" s="246">
        <f t="shared" si="23"/>
        <v>0</v>
      </c>
      <c r="E30" s="247">
        <f t="shared" si="4"/>
        <v>0</v>
      </c>
      <c r="F30" s="246">
        <f t="shared" ref="F30:G30" si="24">F31+F33+F34</f>
        <v>0</v>
      </c>
      <c r="G30" s="246">
        <f t="shared" si="24"/>
        <v>0</v>
      </c>
      <c r="H30" s="247">
        <f t="shared" si="8"/>
        <v>0</v>
      </c>
      <c r="I30" s="246">
        <f t="shared" ref="I30:J30" si="25">I31+I33+I34</f>
        <v>0</v>
      </c>
      <c r="J30" s="246">
        <f t="shared" si="25"/>
        <v>0</v>
      </c>
      <c r="K30" s="247">
        <f t="shared" si="9"/>
        <v>0</v>
      </c>
      <c r="L30" s="246">
        <f t="shared" ref="L30:M30" si="26">L31+L33+L34</f>
        <v>0</v>
      </c>
      <c r="M30" s="246">
        <f t="shared" si="26"/>
        <v>0</v>
      </c>
      <c r="N30" s="247">
        <f t="shared" si="10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 t="shared" ref="C31:M31" si="27">C32</f>
        <v>0</v>
      </c>
      <c r="D31" s="246">
        <f t="shared" si="27"/>
        <v>0</v>
      </c>
      <c r="E31" s="247">
        <f t="shared" si="4"/>
        <v>0</v>
      </c>
      <c r="F31" s="246">
        <f t="shared" si="27"/>
        <v>0</v>
      </c>
      <c r="G31" s="246">
        <f t="shared" si="27"/>
        <v>0</v>
      </c>
      <c r="H31" s="247">
        <f t="shared" si="8"/>
        <v>0</v>
      </c>
      <c r="I31" s="246">
        <f t="shared" si="27"/>
        <v>0</v>
      </c>
      <c r="J31" s="246">
        <f t="shared" si="27"/>
        <v>0</v>
      </c>
      <c r="K31" s="247">
        <f t="shared" si="9"/>
        <v>0</v>
      </c>
      <c r="L31" s="246">
        <f t="shared" si="27"/>
        <v>0</v>
      </c>
      <c r="M31" s="246">
        <f t="shared" si="27"/>
        <v>0</v>
      </c>
      <c r="N31" s="247">
        <f t="shared" si="10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4"/>
        <v>0</v>
      </c>
      <c r="F32" s="246"/>
      <c r="G32" s="246"/>
      <c r="H32" s="247">
        <f t="shared" si="8"/>
        <v>0</v>
      </c>
      <c r="I32" s="246"/>
      <c r="J32" s="246"/>
      <c r="K32" s="247">
        <f t="shared" si="9"/>
        <v>0</v>
      </c>
      <c r="L32" s="246"/>
      <c r="M32" s="246"/>
      <c r="N32" s="247">
        <f t="shared" si="10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4"/>
        <v>0</v>
      </c>
      <c r="F33" s="246"/>
      <c r="G33" s="246"/>
      <c r="H33" s="247">
        <f t="shared" si="8"/>
        <v>0</v>
      </c>
      <c r="I33" s="246"/>
      <c r="J33" s="246"/>
      <c r="K33" s="247">
        <f t="shared" si="9"/>
        <v>0</v>
      </c>
      <c r="L33" s="246"/>
      <c r="M33" s="246"/>
      <c r="N33" s="247">
        <f t="shared" si="10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 t="shared" ref="C34:D34" si="28">SUM(C35:C37)</f>
        <v>0</v>
      </c>
      <c r="D34" s="246">
        <f t="shared" si="28"/>
        <v>0</v>
      </c>
      <c r="E34" s="247">
        <f t="shared" si="4"/>
        <v>0</v>
      </c>
      <c r="F34" s="246">
        <f t="shared" ref="F34:G34" si="29">SUM(F35:F37)</f>
        <v>0</v>
      </c>
      <c r="G34" s="246">
        <f t="shared" si="29"/>
        <v>0</v>
      </c>
      <c r="H34" s="247">
        <f t="shared" si="8"/>
        <v>0</v>
      </c>
      <c r="I34" s="246">
        <f t="shared" ref="I34:J34" si="30">SUM(I35:I37)</f>
        <v>0</v>
      </c>
      <c r="J34" s="246">
        <f t="shared" si="30"/>
        <v>0</v>
      </c>
      <c r="K34" s="247">
        <f t="shared" si="9"/>
        <v>0</v>
      </c>
      <c r="L34" s="246">
        <f t="shared" ref="L34:M34" si="31">SUM(L35:L37)</f>
        <v>0</v>
      </c>
      <c r="M34" s="246">
        <f t="shared" si="31"/>
        <v>0</v>
      </c>
      <c r="N34" s="247">
        <f t="shared" si="10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4"/>
        <v>0</v>
      </c>
      <c r="F35" s="246"/>
      <c r="G35" s="246"/>
      <c r="H35" s="247">
        <f t="shared" si="8"/>
        <v>0</v>
      </c>
      <c r="I35" s="246"/>
      <c r="J35" s="246"/>
      <c r="K35" s="247">
        <f t="shared" si="9"/>
        <v>0</v>
      </c>
      <c r="L35" s="246"/>
      <c r="M35" s="246"/>
      <c r="N35" s="247">
        <f t="shared" si="10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4"/>
        <v>0</v>
      </c>
      <c r="F36" s="246"/>
      <c r="G36" s="246"/>
      <c r="H36" s="247">
        <f t="shared" si="8"/>
        <v>0</v>
      </c>
      <c r="I36" s="246"/>
      <c r="J36" s="246"/>
      <c r="K36" s="247">
        <f t="shared" si="9"/>
        <v>0</v>
      </c>
      <c r="L36" s="246"/>
      <c r="M36" s="246"/>
      <c r="N36" s="247">
        <f t="shared" si="10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4"/>
        <v>0</v>
      </c>
      <c r="F37" s="246"/>
      <c r="G37" s="246"/>
      <c r="H37" s="247">
        <f t="shared" si="8"/>
        <v>0</v>
      </c>
      <c r="I37" s="246"/>
      <c r="J37" s="246"/>
      <c r="K37" s="247">
        <f t="shared" si="9"/>
        <v>0</v>
      </c>
      <c r="L37" s="246"/>
      <c r="M37" s="246"/>
      <c r="N37" s="247">
        <f t="shared" si="10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 t="shared" ref="C38:D38" si="32">SUM(C39:C44)</f>
        <v>0</v>
      </c>
      <c r="D38" s="246">
        <f t="shared" si="32"/>
        <v>0</v>
      </c>
      <c r="E38" s="247">
        <f t="shared" si="4"/>
        <v>0</v>
      </c>
      <c r="F38" s="246">
        <f t="shared" ref="F38:G38" si="33">SUM(F39:F44)</f>
        <v>0</v>
      </c>
      <c r="G38" s="246">
        <f t="shared" si="33"/>
        <v>0</v>
      </c>
      <c r="H38" s="247">
        <f t="shared" si="8"/>
        <v>0</v>
      </c>
      <c r="I38" s="246">
        <f t="shared" ref="I38:J38" si="34">SUM(I39:I44)</f>
        <v>0</v>
      </c>
      <c r="J38" s="246">
        <f t="shared" si="34"/>
        <v>0</v>
      </c>
      <c r="K38" s="247">
        <f t="shared" si="9"/>
        <v>0</v>
      </c>
      <c r="L38" s="246">
        <f t="shared" ref="L38:M38" si="35">SUM(L39:L44)</f>
        <v>0</v>
      </c>
      <c r="M38" s="246">
        <f t="shared" si="35"/>
        <v>0</v>
      </c>
      <c r="N38" s="247">
        <f t="shared" si="10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4"/>
        <v>0</v>
      </c>
      <c r="F39" s="246"/>
      <c r="G39" s="246"/>
      <c r="H39" s="247">
        <f t="shared" si="8"/>
        <v>0</v>
      </c>
      <c r="I39" s="246"/>
      <c r="J39" s="246"/>
      <c r="K39" s="247">
        <f t="shared" si="9"/>
        <v>0</v>
      </c>
      <c r="L39" s="246"/>
      <c r="M39" s="246"/>
      <c r="N39" s="247">
        <f t="shared" si="10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4"/>
        <v>0</v>
      </c>
      <c r="F40" s="246"/>
      <c r="G40" s="246"/>
      <c r="H40" s="247">
        <f t="shared" si="8"/>
        <v>0</v>
      </c>
      <c r="I40" s="246"/>
      <c r="J40" s="246"/>
      <c r="K40" s="247">
        <f t="shared" si="9"/>
        <v>0</v>
      </c>
      <c r="L40" s="246"/>
      <c r="M40" s="246"/>
      <c r="N40" s="247">
        <f t="shared" si="10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4"/>
        <v>0</v>
      </c>
      <c r="F41" s="246"/>
      <c r="G41" s="246"/>
      <c r="H41" s="247">
        <f t="shared" si="8"/>
        <v>0</v>
      </c>
      <c r="I41" s="246"/>
      <c r="J41" s="246"/>
      <c r="K41" s="247">
        <f t="shared" si="9"/>
        <v>0</v>
      </c>
      <c r="L41" s="246"/>
      <c r="M41" s="246"/>
      <c r="N41" s="247">
        <f t="shared" si="10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4"/>
        <v>0</v>
      </c>
      <c r="F42" s="246"/>
      <c r="G42" s="246"/>
      <c r="H42" s="247">
        <f t="shared" si="8"/>
        <v>0</v>
      </c>
      <c r="I42" s="246"/>
      <c r="J42" s="246"/>
      <c r="K42" s="247">
        <f t="shared" si="9"/>
        <v>0</v>
      </c>
      <c r="L42" s="246"/>
      <c r="M42" s="246"/>
      <c r="N42" s="247">
        <f t="shared" si="10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4"/>
        <v>0</v>
      </c>
      <c r="F43" s="246"/>
      <c r="G43" s="246"/>
      <c r="H43" s="247">
        <f t="shared" si="8"/>
        <v>0</v>
      </c>
      <c r="I43" s="246"/>
      <c r="J43" s="246"/>
      <c r="K43" s="247">
        <f t="shared" si="9"/>
        <v>0</v>
      </c>
      <c r="L43" s="246"/>
      <c r="M43" s="246"/>
      <c r="N43" s="247">
        <f t="shared" si="10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4"/>
        <v>0</v>
      </c>
      <c r="F44" s="248"/>
      <c r="G44" s="248"/>
      <c r="H44" s="249">
        <f t="shared" si="8"/>
        <v>0</v>
      </c>
      <c r="I44" s="248"/>
      <c r="J44" s="248"/>
      <c r="K44" s="249">
        <f t="shared" si="9"/>
        <v>0</v>
      </c>
      <c r="L44" s="248"/>
      <c r="M44" s="248"/>
      <c r="N44" s="249">
        <f t="shared" si="10"/>
        <v>0</v>
      </c>
    </row>
    <row r="45" spans="1:14" ht="15.75" thickBot="1" x14ac:dyDescent="0.3">
      <c r="A45" s="183" t="s">
        <v>94</v>
      </c>
      <c r="B45" s="189" t="s">
        <v>26</v>
      </c>
      <c r="C45" s="244">
        <f t="shared" ref="C45:D45" si="36">C46+C47+C48+C49+C54+C55+C56+C57+C58+C59+C60</f>
        <v>0</v>
      </c>
      <c r="D45" s="244">
        <f t="shared" si="36"/>
        <v>0</v>
      </c>
      <c r="E45" s="245">
        <f t="shared" si="4"/>
        <v>0</v>
      </c>
      <c r="F45" s="244">
        <f t="shared" ref="F45:G45" si="37">F46+F47+F48+F49+F54+F55+F56+F57+F58+F59+F60</f>
        <v>0</v>
      </c>
      <c r="G45" s="244">
        <f t="shared" si="37"/>
        <v>0</v>
      </c>
      <c r="H45" s="245">
        <f t="shared" si="8"/>
        <v>0</v>
      </c>
      <c r="I45" s="244">
        <f t="shared" ref="I45:J45" si="38">I46+I47+I48+I49+I54+I55+I56+I57+I58+I59+I60</f>
        <v>0</v>
      </c>
      <c r="J45" s="244">
        <f t="shared" si="38"/>
        <v>0</v>
      </c>
      <c r="K45" s="245">
        <f t="shared" si="9"/>
        <v>0</v>
      </c>
      <c r="L45" s="244">
        <f t="shared" ref="L45:M45" si="39">L46+L47+L48+L49+L54+L55+L56+L57+L58+L59+L60</f>
        <v>0</v>
      </c>
      <c r="M45" s="244">
        <f t="shared" si="39"/>
        <v>0</v>
      </c>
      <c r="N45" s="245">
        <f t="shared" si="10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4"/>
        <v>0</v>
      </c>
      <c r="F46" s="246"/>
      <c r="G46" s="246"/>
      <c r="H46" s="247">
        <f t="shared" si="8"/>
        <v>0</v>
      </c>
      <c r="I46" s="246"/>
      <c r="J46" s="246"/>
      <c r="K46" s="247">
        <f t="shared" si="9"/>
        <v>0</v>
      </c>
      <c r="L46" s="246"/>
      <c r="M46" s="246"/>
      <c r="N46" s="247">
        <f t="shared" si="10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4"/>
        <v>0</v>
      </c>
      <c r="F47" s="246"/>
      <c r="G47" s="246"/>
      <c r="H47" s="247">
        <f t="shared" si="8"/>
        <v>0</v>
      </c>
      <c r="I47" s="246"/>
      <c r="J47" s="246"/>
      <c r="K47" s="247">
        <f t="shared" si="9"/>
        <v>0</v>
      </c>
      <c r="L47" s="246"/>
      <c r="M47" s="246"/>
      <c r="N47" s="247">
        <f t="shared" si="10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4"/>
        <v>0</v>
      </c>
      <c r="F48" s="246"/>
      <c r="G48" s="246"/>
      <c r="H48" s="247">
        <f t="shared" si="8"/>
        <v>0</v>
      </c>
      <c r="I48" s="246"/>
      <c r="J48" s="246"/>
      <c r="K48" s="247">
        <f t="shared" si="9"/>
        <v>0</v>
      </c>
      <c r="L48" s="246"/>
      <c r="M48" s="246"/>
      <c r="N48" s="247">
        <f t="shared" si="10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 t="shared" ref="C49:D49" si="40">SUM(C50:C53)</f>
        <v>0</v>
      </c>
      <c r="D49" s="246">
        <f t="shared" si="40"/>
        <v>0</v>
      </c>
      <c r="E49" s="247">
        <f t="shared" si="4"/>
        <v>0</v>
      </c>
      <c r="F49" s="246">
        <f t="shared" ref="F49:G49" si="41">SUM(F50:F53)</f>
        <v>0</v>
      </c>
      <c r="G49" s="246">
        <f t="shared" si="41"/>
        <v>0</v>
      </c>
      <c r="H49" s="247">
        <f t="shared" si="8"/>
        <v>0</v>
      </c>
      <c r="I49" s="246">
        <f t="shared" ref="I49:J49" si="42">SUM(I50:I53)</f>
        <v>0</v>
      </c>
      <c r="J49" s="246">
        <f t="shared" si="42"/>
        <v>0</v>
      </c>
      <c r="K49" s="247">
        <f t="shared" si="9"/>
        <v>0</v>
      </c>
      <c r="L49" s="246">
        <f t="shared" ref="L49:M49" si="43">SUM(L50:L53)</f>
        <v>0</v>
      </c>
      <c r="M49" s="246">
        <f t="shared" si="43"/>
        <v>0</v>
      </c>
      <c r="N49" s="247">
        <f t="shared" si="10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4"/>
        <v>0</v>
      </c>
      <c r="F50" s="246"/>
      <c r="G50" s="246"/>
      <c r="H50" s="247">
        <f t="shared" si="8"/>
        <v>0</v>
      </c>
      <c r="I50" s="246"/>
      <c r="J50" s="246"/>
      <c r="K50" s="247">
        <f t="shared" si="9"/>
        <v>0</v>
      </c>
      <c r="L50" s="246"/>
      <c r="M50" s="246"/>
      <c r="N50" s="247">
        <f t="shared" si="10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4"/>
        <v>0</v>
      </c>
      <c r="F51" s="246"/>
      <c r="G51" s="246"/>
      <c r="H51" s="247">
        <f t="shared" si="8"/>
        <v>0</v>
      </c>
      <c r="I51" s="246"/>
      <c r="J51" s="246"/>
      <c r="K51" s="247">
        <f t="shared" si="9"/>
        <v>0</v>
      </c>
      <c r="L51" s="246"/>
      <c r="M51" s="246"/>
      <c r="N51" s="247">
        <f t="shared" si="10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4"/>
        <v>0</v>
      </c>
      <c r="F52" s="246"/>
      <c r="G52" s="246"/>
      <c r="H52" s="247">
        <f t="shared" si="8"/>
        <v>0</v>
      </c>
      <c r="I52" s="246"/>
      <c r="J52" s="246"/>
      <c r="K52" s="247">
        <f t="shared" si="9"/>
        <v>0</v>
      </c>
      <c r="L52" s="246"/>
      <c r="M52" s="246"/>
      <c r="N52" s="247">
        <f t="shared" si="10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4"/>
        <v>0</v>
      </c>
      <c r="F53" s="246"/>
      <c r="G53" s="246"/>
      <c r="H53" s="247">
        <f t="shared" si="8"/>
        <v>0</v>
      </c>
      <c r="I53" s="246"/>
      <c r="J53" s="246"/>
      <c r="K53" s="247">
        <f t="shared" si="9"/>
        <v>0</v>
      </c>
      <c r="L53" s="246"/>
      <c r="M53" s="246"/>
      <c r="N53" s="247">
        <f t="shared" si="10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4"/>
        <v>0</v>
      </c>
      <c r="F54" s="246"/>
      <c r="G54" s="246"/>
      <c r="H54" s="247">
        <f t="shared" si="8"/>
        <v>0</v>
      </c>
      <c r="I54" s="246"/>
      <c r="J54" s="246"/>
      <c r="K54" s="247">
        <f t="shared" si="9"/>
        <v>0</v>
      </c>
      <c r="L54" s="246"/>
      <c r="M54" s="246"/>
      <c r="N54" s="247">
        <f t="shared" si="10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4"/>
        <v>0</v>
      </c>
      <c r="F55" s="246"/>
      <c r="G55" s="246"/>
      <c r="H55" s="247">
        <f t="shared" si="8"/>
        <v>0</v>
      </c>
      <c r="I55" s="246"/>
      <c r="J55" s="246"/>
      <c r="K55" s="247">
        <f t="shared" si="9"/>
        <v>0</v>
      </c>
      <c r="L55" s="246"/>
      <c r="M55" s="246"/>
      <c r="N55" s="247">
        <f t="shared" si="10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4"/>
        <v>0</v>
      </c>
      <c r="F56" s="246"/>
      <c r="G56" s="246"/>
      <c r="H56" s="247">
        <f t="shared" si="8"/>
        <v>0</v>
      </c>
      <c r="I56" s="246"/>
      <c r="J56" s="246"/>
      <c r="K56" s="247">
        <f t="shared" si="9"/>
        <v>0</v>
      </c>
      <c r="L56" s="246"/>
      <c r="M56" s="246"/>
      <c r="N56" s="247">
        <f t="shared" si="10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4"/>
        <v>0</v>
      </c>
      <c r="F57" s="246"/>
      <c r="G57" s="246"/>
      <c r="H57" s="247">
        <f t="shared" si="8"/>
        <v>0</v>
      </c>
      <c r="I57" s="246"/>
      <c r="J57" s="246"/>
      <c r="K57" s="247">
        <f t="shared" si="9"/>
        <v>0</v>
      </c>
      <c r="L57" s="246"/>
      <c r="M57" s="246"/>
      <c r="N57" s="247">
        <f t="shared" si="10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4"/>
        <v>0</v>
      </c>
      <c r="F58" s="246"/>
      <c r="G58" s="246"/>
      <c r="H58" s="247">
        <f t="shared" si="8"/>
        <v>0</v>
      </c>
      <c r="I58" s="246"/>
      <c r="J58" s="246"/>
      <c r="K58" s="247">
        <f t="shared" si="9"/>
        <v>0</v>
      </c>
      <c r="L58" s="246"/>
      <c r="M58" s="246"/>
      <c r="N58" s="247">
        <f t="shared" si="10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4"/>
        <v>0</v>
      </c>
      <c r="F59" s="246"/>
      <c r="G59" s="246"/>
      <c r="H59" s="247">
        <f t="shared" si="8"/>
        <v>0</v>
      </c>
      <c r="I59" s="246"/>
      <c r="J59" s="246"/>
      <c r="K59" s="247">
        <f t="shared" si="9"/>
        <v>0</v>
      </c>
      <c r="L59" s="246"/>
      <c r="M59" s="246"/>
      <c r="N59" s="247">
        <f t="shared" si="10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4"/>
        <v>0</v>
      </c>
      <c r="F60" s="248"/>
      <c r="G60" s="248"/>
      <c r="H60" s="249">
        <f t="shared" si="8"/>
        <v>0</v>
      </c>
      <c r="I60" s="248"/>
      <c r="J60" s="248"/>
      <c r="K60" s="249">
        <f t="shared" si="9"/>
        <v>0</v>
      </c>
      <c r="L60" s="248"/>
      <c r="M60" s="248"/>
      <c r="N60" s="249">
        <f t="shared" si="10"/>
        <v>0</v>
      </c>
    </row>
    <row r="61" spans="1:14" ht="15.75" thickBot="1" x14ac:dyDescent="0.3">
      <c r="A61" s="183" t="s">
        <v>121</v>
      </c>
      <c r="B61" s="189" t="s">
        <v>28</v>
      </c>
      <c r="C61" s="244">
        <f t="shared" ref="C61:D61" si="44">SUM(C62:C66)</f>
        <v>0</v>
      </c>
      <c r="D61" s="244">
        <f t="shared" si="44"/>
        <v>0</v>
      </c>
      <c r="E61" s="245">
        <f t="shared" si="4"/>
        <v>0</v>
      </c>
      <c r="F61" s="244">
        <f t="shared" ref="F61:G61" si="45">SUM(F62:F66)</f>
        <v>0</v>
      </c>
      <c r="G61" s="244">
        <f t="shared" si="45"/>
        <v>0</v>
      </c>
      <c r="H61" s="245">
        <f t="shared" si="8"/>
        <v>0</v>
      </c>
      <c r="I61" s="244">
        <f t="shared" ref="I61:J61" si="46">SUM(I62:I66)</f>
        <v>0</v>
      </c>
      <c r="J61" s="244">
        <f t="shared" si="46"/>
        <v>0</v>
      </c>
      <c r="K61" s="245">
        <f t="shared" si="9"/>
        <v>0</v>
      </c>
      <c r="L61" s="244">
        <f t="shared" ref="L61:M61" si="47">SUM(L62:L66)</f>
        <v>0</v>
      </c>
      <c r="M61" s="244">
        <f t="shared" si="47"/>
        <v>0</v>
      </c>
      <c r="N61" s="245">
        <f t="shared" si="10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4"/>
        <v>0</v>
      </c>
      <c r="F62" s="246"/>
      <c r="G62" s="246"/>
      <c r="H62" s="247">
        <f t="shared" si="8"/>
        <v>0</v>
      </c>
      <c r="I62" s="246"/>
      <c r="J62" s="246"/>
      <c r="K62" s="247">
        <f t="shared" si="9"/>
        <v>0</v>
      </c>
      <c r="L62" s="246"/>
      <c r="M62" s="246"/>
      <c r="N62" s="247">
        <f t="shared" si="10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4"/>
        <v>0</v>
      </c>
      <c r="F63" s="246"/>
      <c r="G63" s="246"/>
      <c r="H63" s="247">
        <f t="shared" si="8"/>
        <v>0</v>
      </c>
      <c r="I63" s="246"/>
      <c r="J63" s="246"/>
      <c r="K63" s="247">
        <f t="shared" si="9"/>
        <v>0</v>
      </c>
      <c r="L63" s="246"/>
      <c r="M63" s="246"/>
      <c r="N63" s="247">
        <f t="shared" si="10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4"/>
        <v>0</v>
      </c>
      <c r="F64" s="246"/>
      <c r="G64" s="246"/>
      <c r="H64" s="247">
        <f t="shared" si="8"/>
        <v>0</v>
      </c>
      <c r="I64" s="246"/>
      <c r="J64" s="246"/>
      <c r="K64" s="247">
        <f t="shared" si="9"/>
        <v>0</v>
      </c>
      <c r="L64" s="246"/>
      <c r="M64" s="246"/>
      <c r="N64" s="247">
        <f t="shared" si="10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4"/>
        <v>0</v>
      </c>
      <c r="F65" s="246"/>
      <c r="G65" s="246"/>
      <c r="H65" s="247">
        <f t="shared" si="8"/>
        <v>0</v>
      </c>
      <c r="I65" s="246"/>
      <c r="J65" s="246"/>
      <c r="K65" s="247">
        <f t="shared" si="9"/>
        <v>0</v>
      </c>
      <c r="L65" s="246"/>
      <c r="M65" s="246"/>
      <c r="N65" s="247">
        <f t="shared" si="10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4"/>
        <v>0</v>
      </c>
      <c r="F66" s="248"/>
      <c r="G66" s="248"/>
      <c r="H66" s="249">
        <f t="shared" si="8"/>
        <v>0</v>
      </c>
      <c r="I66" s="248"/>
      <c r="J66" s="248"/>
      <c r="K66" s="249">
        <f t="shared" si="9"/>
        <v>0</v>
      </c>
      <c r="L66" s="248"/>
      <c r="M66" s="248"/>
      <c r="N66" s="249">
        <f t="shared" si="10"/>
        <v>0</v>
      </c>
    </row>
    <row r="67" spans="1:14" ht="15.75" thickBot="1" x14ac:dyDescent="0.3">
      <c r="A67" s="183" t="s">
        <v>132</v>
      </c>
      <c r="B67" s="189" t="s">
        <v>133</v>
      </c>
      <c r="C67" s="244">
        <f t="shared" ref="C67:D67" si="48">SUM(C68:C69)</f>
        <v>0</v>
      </c>
      <c r="D67" s="244">
        <f t="shared" si="48"/>
        <v>0</v>
      </c>
      <c r="E67" s="245">
        <f t="shared" si="4"/>
        <v>0</v>
      </c>
      <c r="F67" s="244">
        <f t="shared" ref="F67:G67" si="49">SUM(F68:F69)</f>
        <v>0</v>
      </c>
      <c r="G67" s="244">
        <f t="shared" si="49"/>
        <v>0</v>
      </c>
      <c r="H67" s="245">
        <f t="shared" si="8"/>
        <v>0</v>
      </c>
      <c r="I67" s="244">
        <f t="shared" ref="I67:J67" si="50">SUM(I68:I69)</f>
        <v>0</v>
      </c>
      <c r="J67" s="244">
        <f t="shared" si="50"/>
        <v>0</v>
      </c>
      <c r="K67" s="245">
        <f t="shared" si="9"/>
        <v>0</v>
      </c>
      <c r="L67" s="244">
        <f t="shared" ref="L67:M67" si="51">SUM(L68:L69)</f>
        <v>0</v>
      </c>
      <c r="M67" s="244">
        <f t="shared" si="51"/>
        <v>0</v>
      </c>
      <c r="N67" s="245">
        <f t="shared" si="10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4"/>
        <v>0</v>
      </c>
      <c r="F68" s="246"/>
      <c r="G68" s="246"/>
      <c r="H68" s="247">
        <f t="shared" si="8"/>
        <v>0</v>
      </c>
      <c r="I68" s="246"/>
      <c r="J68" s="246"/>
      <c r="K68" s="247">
        <f t="shared" si="9"/>
        <v>0</v>
      </c>
      <c r="L68" s="246"/>
      <c r="M68" s="246"/>
      <c r="N68" s="247">
        <f t="shared" si="10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4"/>
        <v>0</v>
      </c>
      <c r="F69" s="248"/>
      <c r="G69" s="248"/>
      <c r="H69" s="249">
        <f t="shared" si="8"/>
        <v>0</v>
      </c>
      <c r="I69" s="248"/>
      <c r="J69" s="248"/>
      <c r="K69" s="249">
        <f t="shared" si="9"/>
        <v>0</v>
      </c>
      <c r="L69" s="248"/>
      <c r="M69" s="248"/>
      <c r="N69" s="249">
        <f t="shared" si="10"/>
        <v>0</v>
      </c>
    </row>
    <row r="70" spans="1:14" x14ac:dyDescent="0.25">
      <c r="A70" s="183" t="s">
        <v>138</v>
      </c>
      <c r="B70" s="189" t="s">
        <v>139</v>
      </c>
      <c r="C70" s="244">
        <f t="shared" ref="C70:M70" si="52">C71</f>
        <v>0</v>
      </c>
      <c r="D70" s="244">
        <f t="shared" si="52"/>
        <v>0</v>
      </c>
      <c r="E70" s="245">
        <f t="shared" si="4"/>
        <v>0</v>
      </c>
      <c r="F70" s="244">
        <f t="shared" si="52"/>
        <v>0</v>
      </c>
      <c r="G70" s="244">
        <f t="shared" si="52"/>
        <v>0</v>
      </c>
      <c r="H70" s="245">
        <f t="shared" si="8"/>
        <v>0</v>
      </c>
      <c r="I70" s="244">
        <f t="shared" si="52"/>
        <v>0</v>
      </c>
      <c r="J70" s="244">
        <f t="shared" si="52"/>
        <v>0</v>
      </c>
      <c r="K70" s="245">
        <f t="shared" si="9"/>
        <v>0</v>
      </c>
      <c r="L70" s="244">
        <f t="shared" si="52"/>
        <v>0</v>
      </c>
      <c r="M70" s="244">
        <f t="shared" si="52"/>
        <v>0</v>
      </c>
      <c r="N70" s="245">
        <f t="shared" si="10"/>
        <v>0</v>
      </c>
    </row>
    <row r="71" spans="1:14" ht="15.75" hidden="1" thickBot="1" x14ac:dyDescent="0.3">
      <c r="A71" s="185"/>
      <c r="B71" s="192" t="s">
        <v>140</v>
      </c>
      <c r="C71" s="248"/>
      <c r="D71" s="248"/>
      <c r="E71" s="249">
        <f t="shared" si="4"/>
        <v>0</v>
      </c>
      <c r="F71" s="248"/>
      <c r="G71" s="248"/>
      <c r="H71" s="249">
        <f t="shared" si="8"/>
        <v>0</v>
      </c>
      <c r="I71" s="248"/>
      <c r="J71" s="248"/>
      <c r="K71" s="249">
        <f t="shared" si="9"/>
        <v>0</v>
      </c>
      <c r="L71" s="248"/>
      <c r="M71" s="248"/>
      <c r="N71" s="249">
        <f t="shared" si="10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8"/>
        <v>0</v>
      </c>
      <c r="I72" s="254"/>
      <c r="J72" s="254"/>
      <c r="K72" s="249">
        <f t="shared" si="9"/>
        <v>0</v>
      </c>
      <c r="L72" s="254"/>
      <c r="M72" s="254"/>
      <c r="N72" s="249">
        <f t="shared" si="10"/>
        <v>0</v>
      </c>
    </row>
    <row r="73" spans="1:14" ht="15.75" thickBot="1" x14ac:dyDescent="0.3">
      <c r="A73" s="186" t="s">
        <v>141</v>
      </c>
      <c r="B73" s="194" t="s">
        <v>142</v>
      </c>
      <c r="C73" s="250">
        <f t="shared" ref="C73:D73" si="53">C9+C22+C25+C45+C61+C67+C70</f>
        <v>0</v>
      </c>
      <c r="D73" s="250">
        <f t="shared" si="53"/>
        <v>0</v>
      </c>
      <c r="E73" s="251">
        <f t="shared" si="4"/>
        <v>0</v>
      </c>
      <c r="F73" s="250">
        <f t="shared" ref="F73:G73" si="54">F9+F22+F25+F45+F61+F67+F70</f>
        <v>2206049</v>
      </c>
      <c r="G73" s="250">
        <f t="shared" si="54"/>
        <v>0</v>
      </c>
      <c r="H73" s="251">
        <f t="shared" si="8"/>
        <v>2206049</v>
      </c>
      <c r="I73" s="250">
        <f t="shared" ref="I73:J73" si="55">I9+I22+I25+I45+I61+I67+I70</f>
        <v>2206049</v>
      </c>
      <c r="J73" s="250">
        <f t="shared" si="55"/>
        <v>0</v>
      </c>
      <c r="K73" s="251">
        <f t="shared" si="9"/>
        <v>2206049</v>
      </c>
      <c r="L73" s="250">
        <f t="shared" ref="L73:M73" si="56">L9+L22+L25+L45+L61+L67+L70</f>
        <v>6216023</v>
      </c>
      <c r="M73" s="250">
        <f t="shared" si="56"/>
        <v>0</v>
      </c>
      <c r="N73" s="251">
        <f t="shared" si="10"/>
        <v>6216023</v>
      </c>
    </row>
    <row r="74" spans="1:14" x14ac:dyDescent="0.25">
      <c r="A74" s="187" t="s">
        <v>143</v>
      </c>
      <c r="B74" s="198" t="s">
        <v>144</v>
      </c>
      <c r="C74" s="244">
        <f t="shared" ref="C74:M74" si="57">C75</f>
        <v>0</v>
      </c>
      <c r="D74" s="244">
        <f t="shared" si="57"/>
        <v>0</v>
      </c>
      <c r="E74" s="245">
        <f t="shared" ref="E74:E85" si="58">SUM(C74:D74)</f>
        <v>0</v>
      </c>
      <c r="F74" s="244">
        <f t="shared" si="57"/>
        <v>0</v>
      </c>
      <c r="G74" s="244">
        <f t="shared" si="57"/>
        <v>0</v>
      </c>
      <c r="H74" s="245">
        <f t="shared" ref="H74:H81" si="59">SUM(F74:G74)</f>
        <v>0</v>
      </c>
      <c r="I74" s="244">
        <f t="shared" si="57"/>
        <v>0</v>
      </c>
      <c r="J74" s="244">
        <f t="shared" si="57"/>
        <v>0</v>
      </c>
      <c r="K74" s="245">
        <f t="shared" ref="K74:K81" si="60">SUM(I74:J74)</f>
        <v>0</v>
      </c>
      <c r="L74" s="244">
        <f t="shared" si="57"/>
        <v>0</v>
      </c>
      <c r="M74" s="244">
        <f t="shared" si="57"/>
        <v>0</v>
      </c>
      <c r="N74" s="245">
        <f t="shared" ref="N74:N81" si="61">SUM(L74:M74)</f>
        <v>0</v>
      </c>
    </row>
    <row r="75" spans="1:14" x14ac:dyDescent="0.25">
      <c r="A75" s="184" t="s">
        <v>145</v>
      </c>
      <c r="B75" s="180" t="s">
        <v>146</v>
      </c>
      <c r="C75" s="246">
        <f t="shared" ref="C75:D75" si="62">SUM(C76:C77,C78,C79,C83,C82)</f>
        <v>0</v>
      </c>
      <c r="D75" s="246">
        <f t="shared" si="62"/>
        <v>0</v>
      </c>
      <c r="E75" s="247">
        <f t="shared" si="58"/>
        <v>0</v>
      </c>
      <c r="F75" s="246">
        <f t="shared" ref="F75:G75" si="63">SUM(F76:F77,F78,F79,F83,F82)</f>
        <v>0</v>
      </c>
      <c r="G75" s="246">
        <f t="shared" si="63"/>
        <v>0</v>
      </c>
      <c r="H75" s="247">
        <f t="shared" si="59"/>
        <v>0</v>
      </c>
      <c r="I75" s="246">
        <f t="shared" ref="I75:J75" si="64">SUM(I76:I77,I78,I79,I83,I82)</f>
        <v>0</v>
      </c>
      <c r="J75" s="246">
        <f t="shared" si="64"/>
        <v>0</v>
      </c>
      <c r="K75" s="247">
        <f t="shared" si="60"/>
        <v>0</v>
      </c>
      <c r="L75" s="246">
        <f t="shared" ref="L75:M75" si="65">SUM(L76:L77,L78,L79,L83,L82)</f>
        <v>0</v>
      </c>
      <c r="M75" s="246">
        <f t="shared" si="65"/>
        <v>0</v>
      </c>
      <c r="N75" s="247">
        <f t="shared" si="61"/>
        <v>0</v>
      </c>
    </row>
    <row r="76" spans="1:14" hidden="1" x14ac:dyDescent="0.25">
      <c r="A76" s="184" t="s">
        <v>147</v>
      </c>
      <c r="B76" s="180" t="s">
        <v>148</v>
      </c>
      <c r="C76" s="246"/>
      <c r="D76" s="246"/>
      <c r="E76" s="247">
        <f t="shared" si="58"/>
        <v>0</v>
      </c>
      <c r="F76" s="246"/>
      <c r="G76" s="246"/>
      <c r="H76" s="247">
        <f t="shared" si="59"/>
        <v>0</v>
      </c>
      <c r="I76" s="246"/>
      <c r="J76" s="246"/>
      <c r="K76" s="247">
        <f t="shared" si="60"/>
        <v>0</v>
      </c>
      <c r="L76" s="246"/>
      <c r="M76" s="246"/>
      <c r="N76" s="247">
        <f t="shared" si="61"/>
        <v>0</v>
      </c>
    </row>
    <row r="77" spans="1:14" hidden="1" x14ac:dyDescent="0.25">
      <c r="A77" s="184" t="s">
        <v>149</v>
      </c>
      <c r="B77" s="180" t="s">
        <v>150</v>
      </c>
      <c r="C77" s="246"/>
      <c r="D77" s="246"/>
      <c r="E77" s="247">
        <f t="shared" si="58"/>
        <v>0</v>
      </c>
      <c r="F77" s="246"/>
      <c r="G77" s="246"/>
      <c r="H77" s="247">
        <f t="shared" si="59"/>
        <v>0</v>
      </c>
      <c r="I77" s="246"/>
      <c r="J77" s="246"/>
      <c r="K77" s="247">
        <f t="shared" si="60"/>
        <v>0</v>
      </c>
      <c r="L77" s="246"/>
      <c r="M77" s="246"/>
      <c r="N77" s="247">
        <f t="shared" si="61"/>
        <v>0</v>
      </c>
    </row>
    <row r="78" spans="1:14" hidden="1" x14ac:dyDescent="0.25">
      <c r="A78" s="184" t="s">
        <v>151</v>
      </c>
      <c r="B78" s="180" t="s">
        <v>152</v>
      </c>
      <c r="C78" s="246"/>
      <c r="D78" s="246"/>
      <c r="E78" s="247">
        <f t="shared" si="58"/>
        <v>0</v>
      </c>
      <c r="F78" s="246"/>
      <c r="G78" s="246"/>
      <c r="H78" s="247">
        <f t="shared" si="59"/>
        <v>0</v>
      </c>
      <c r="I78" s="246"/>
      <c r="J78" s="246"/>
      <c r="K78" s="247">
        <f t="shared" si="60"/>
        <v>0</v>
      </c>
      <c r="L78" s="246"/>
      <c r="M78" s="246"/>
      <c r="N78" s="247">
        <f t="shared" si="61"/>
        <v>0</v>
      </c>
    </row>
    <row r="79" spans="1:14" x14ac:dyDescent="0.25">
      <c r="A79" s="184" t="s">
        <v>153</v>
      </c>
      <c r="B79" s="180" t="s">
        <v>154</v>
      </c>
      <c r="C79" s="246">
        <f t="shared" ref="C79:D79" si="66">SUM(C80:C81)</f>
        <v>0</v>
      </c>
      <c r="D79" s="246">
        <f t="shared" si="66"/>
        <v>0</v>
      </c>
      <c r="E79" s="247">
        <f t="shared" si="58"/>
        <v>0</v>
      </c>
      <c r="F79" s="246">
        <f t="shared" ref="F79:G79" si="67">SUM(F80:F81)</f>
        <v>0</v>
      </c>
      <c r="G79" s="246">
        <f t="shared" si="67"/>
        <v>0</v>
      </c>
      <c r="H79" s="247">
        <f t="shared" si="59"/>
        <v>0</v>
      </c>
      <c r="I79" s="246">
        <f t="shared" ref="I79:J79" si="68">SUM(I80:I81)</f>
        <v>0</v>
      </c>
      <c r="J79" s="246">
        <f t="shared" si="68"/>
        <v>0</v>
      </c>
      <c r="K79" s="247">
        <f t="shared" si="60"/>
        <v>0</v>
      </c>
      <c r="L79" s="246">
        <f t="shared" ref="L79:M79" si="69">SUM(L80:L81)</f>
        <v>0</v>
      </c>
      <c r="M79" s="246">
        <f t="shared" si="69"/>
        <v>0</v>
      </c>
      <c r="N79" s="247">
        <f t="shared" si="61"/>
        <v>0</v>
      </c>
    </row>
    <row r="80" spans="1:14" x14ac:dyDescent="0.25">
      <c r="A80" s="184"/>
      <c r="B80" s="180" t="s">
        <v>29</v>
      </c>
      <c r="C80" s="246"/>
      <c r="D80" s="246"/>
      <c r="E80" s="247">
        <f t="shared" si="58"/>
        <v>0</v>
      </c>
      <c r="F80" s="246"/>
      <c r="G80" s="246"/>
      <c r="H80" s="247">
        <f t="shared" si="59"/>
        <v>0</v>
      </c>
      <c r="I80" s="246"/>
      <c r="J80" s="246"/>
      <c r="K80" s="247">
        <f t="shared" si="60"/>
        <v>0</v>
      </c>
      <c r="L80" s="246"/>
      <c r="M80" s="246"/>
      <c r="N80" s="247">
        <f t="shared" si="61"/>
        <v>0</v>
      </c>
    </row>
    <row r="81" spans="1:14" x14ac:dyDescent="0.25">
      <c r="A81" s="184"/>
      <c r="B81" s="180" t="s">
        <v>30</v>
      </c>
      <c r="C81" s="246"/>
      <c r="D81" s="246"/>
      <c r="E81" s="247">
        <f t="shared" si="58"/>
        <v>0</v>
      </c>
      <c r="F81" s="246"/>
      <c r="G81" s="246"/>
      <c r="H81" s="247">
        <f t="shared" si="59"/>
        <v>0</v>
      </c>
      <c r="I81" s="246"/>
      <c r="J81" s="246"/>
      <c r="K81" s="247">
        <f t="shared" si="60"/>
        <v>0</v>
      </c>
      <c r="L81" s="246"/>
      <c r="M81" s="246"/>
      <c r="N81" s="247">
        <f t="shared" si="61"/>
        <v>0</v>
      </c>
    </row>
    <row r="82" spans="1:14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thickBot="1" x14ac:dyDescent="0.3">
      <c r="A83" s="184" t="s">
        <v>155</v>
      </c>
      <c r="B83" s="180" t="s">
        <v>156</v>
      </c>
      <c r="C83" s="246"/>
      <c r="D83" s="246"/>
      <c r="E83" s="247">
        <f t="shared" si="58"/>
        <v>0</v>
      </c>
      <c r="F83" s="246"/>
      <c r="G83" s="246"/>
      <c r="H83" s="247">
        <f t="shared" ref="H83:H85" si="70">SUM(F83:G83)</f>
        <v>0</v>
      </c>
      <c r="I83" s="246"/>
      <c r="J83" s="246"/>
      <c r="K83" s="247">
        <f t="shared" ref="K83:K85" si="71">SUM(I83:J83)</f>
        <v>0</v>
      </c>
      <c r="L83" s="246"/>
      <c r="M83" s="246"/>
      <c r="N83" s="247">
        <f t="shared" ref="N83:N85" si="72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58"/>
        <v>0</v>
      </c>
      <c r="F84" s="248"/>
      <c r="G84" s="248"/>
      <c r="H84" s="249">
        <f t="shared" si="70"/>
        <v>0</v>
      </c>
      <c r="I84" s="248"/>
      <c r="J84" s="248"/>
      <c r="K84" s="249">
        <f t="shared" si="71"/>
        <v>0</v>
      </c>
      <c r="L84" s="248"/>
      <c r="M84" s="248"/>
      <c r="N84" s="249">
        <f t="shared" si="72"/>
        <v>0</v>
      </c>
    </row>
    <row r="85" spans="1:14" ht="15.75" thickBot="1" x14ac:dyDescent="0.3">
      <c r="A85" s="186" t="s">
        <v>264</v>
      </c>
      <c r="B85" s="194" t="s">
        <v>159</v>
      </c>
      <c r="C85" s="250">
        <f t="shared" ref="C85:D85" si="73">C73+C74</f>
        <v>0</v>
      </c>
      <c r="D85" s="250">
        <f t="shared" si="73"/>
        <v>0</v>
      </c>
      <c r="E85" s="251">
        <f t="shared" si="58"/>
        <v>0</v>
      </c>
      <c r="F85" s="250">
        <f t="shared" ref="F85:G85" si="74">F73+F74</f>
        <v>2206049</v>
      </c>
      <c r="G85" s="250">
        <f t="shared" si="74"/>
        <v>0</v>
      </c>
      <c r="H85" s="251">
        <f t="shared" si="70"/>
        <v>2206049</v>
      </c>
      <c r="I85" s="250">
        <f t="shared" ref="I85:J85" si="75">I73+I74</f>
        <v>2206049</v>
      </c>
      <c r="J85" s="250">
        <f t="shared" si="75"/>
        <v>0</v>
      </c>
      <c r="K85" s="251">
        <f t="shared" si="71"/>
        <v>2206049</v>
      </c>
      <c r="L85" s="250">
        <f t="shared" ref="L85:M85" si="76">L73+L74</f>
        <v>6216023</v>
      </c>
      <c r="M85" s="250">
        <f t="shared" si="76"/>
        <v>0</v>
      </c>
      <c r="N85" s="251">
        <f t="shared" si="72"/>
        <v>6216023</v>
      </c>
    </row>
    <row r="86" spans="1:14" x14ac:dyDescent="0.25">
      <c r="A86" s="202"/>
      <c r="B86" s="203"/>
      <c r="E86" s="148"/>
      <c r="H86" s="148"/>
      <c r="K86" s="148"/>
      <c r="N86" s="148"/>
    </row>
    <row r="87" spans="1:14" ht="15.75" thickBot="1" x14ac:dyDescent="0.3">
      <c r="A87" s="204"/>
      <c r="B87" s="205"/>
      <c r="C87" s="394"/>
      <c r="D87" s="394"/>
      <c r="E87" s="252"/>
      <c r="F87" s="394"/>
      <c r="G87" s="394"/>
      <c r="H87" s="252"/>
      <c r="I87" s="394"/>
      <c r="J87" s="394"/>
      <c r="K87" s="252"/>
      <c r="L87" s="394"/>
      <c r="M87" s="394"/>
      <c r="N87" s="252"/>
    </row>
    <row r="88" spans="1:14" x14ac:dyDescent="0.25">
      <c r="A88" s="188" t="s">
        <v>160</v>
      </c>
      <c r="B88" s="189" t="s">
        <v>34</v>
      </c>
      <c r="C88" s="244">
        <f t="shared" ref="C88:D88" si="77">C89+C101</f>
        <v>0</v>
      </c>
      <c r="D88" s="244">
        <f t="shared" si="77"/>
        <v>0</v>
      </c>
      <c r="E88" s="253">
        <f t="shared" ref="E88:E150" si="78">SUM(C88:D88)</f>
        <v>0</v>
      </c>
      <c r="F88" s="244">
        <f t="shared" ref="F88:G88" si="79">F89+F101</f>
        <v>1751413</v>
      </c>
      <c r="G88" s="244">
        <f t="shared" si="79"/>
        <v>0</v>
      </c>
      <c r="H88" s="253">
        <f t="shared" ref="H88:H90" si="80">SUM(F88:G88)</f>
        <v>1751413</v>
      </c>
      <c r="I88" s="244">
        <f t="shared" ref="I88:J88" si="81">I89+I101</f>
        <v>3794221</v>
      </c>
      <c r="J88" s="244">
        <f t="shared" si="81"/>
        <v>0</v>
      </c>
      <c r="K88" s="253">
        <f t="shared" ref="K88:K90" si="82">SUM(I88:J88)</f>
        <v>3794221</v>
      </c>
      <c r="L88" s="244">
        <f t="shared" ref="L88:M88" si="83">L89+L101</f>
        <v>4980221</v>
      </c>
      <c r="M88" s="244">
        <f t="shared" si="83"/>
        <v>0</v>
      </c>
      <c r="N88" s="253">
        <f t="shared" ref="N88:N90" si="84">SUM(L88:M88)</f>
        <v>4980221</v>
      </c>
    </row>
    <row r="89" spans="1:14" x14ac:dyDescent="0.25">
      <c r="A89" s="190" t="s">
        <v>161</v>
      </c>
      <c r="B89" s="180" t="s">
        <v>162</v>
      </c>
      <c r="C89" s="246">
        <f t="shared" ref="C89:D89" si="85">SUM(C90:C100)</f>
        <v>0</v>
      </c>
      <c r="D89" s="246">
        <f t="shared" si="85"/>
        <v>0</v>
      </c>
      <c r="E89" s="247">
        <f t="shared" si="78"/>
        <v>0</v>
      </c>
      <c r="F89" s="246">
        <f t="shared" ref="F89:G89" si="86">SUM(F90:F100)</f>
        <v>483000</v>
      </c>
      <c r="G89" s="246">
        <f t="shared" si="86"/>
        <v>0</v>
      </c>
      <c r="H89" s="247">
        <f t="shared" si="80"/>
        <v>483000</v>
      </c>
      <c r="I89" s="246">
        <f t="shared" ref="I89:J89" si="87">SUM(I90:I100)</f>
        <v>483000</v>
      </c>
      <c r="J89" s="246">
        <f t="shared" si="87"/>
        <v>0</v>
      </c>
      <c r="K89" s="247">
        <f t="shared" si="82"/>
        <v>483000</v>
      </c>
      <c r="L89" s="246">
        <f t="shared" ref="L89:M89" si="88">SUM(L90:L100)</f>
        <v>1669000</v>
      </c>
      <c r="M89" s="246">
        <f t="shared" si="88"/>
        <v>0</v>
      </c>
      <c r="N89" s="247">
        <f t="shared" si="84"/>
        <v>1669000</v>
      </c>
    </row>
    <row r="90" spans="1:14" x14ac:dyDescent="0.25">
      <c r="A90" s="190" t="s">
        <v>163</v>
      </c>
      <c r="B90" s="180" t="s">
        <v>164</v>
      </c>
      <c r="C90" s="246"/>
      <c r="D90" s="246"/>
      <c r="E90" s="247">
        <f t="shared" si="78"/>
        <v>0</v>
      </c>
      <c r="F90" s="246"/>
      <c r="G90" s="246"/>
      <c r="H90" s="247">
        <f t="shared" si="80"/>
        <v>0</v>
      </c>
      <c r="I90" s="246"/>
      <c r="J90" s="246"/>
      <c r="K90" s="247">
        <f t="shared" si="82"/>
        <v>0</v>
      </c>
      <c r="L90" s="246"/>
      <c r="M90" s="246"/>
      <c r="N90" s="247">
        <f t="shared" si="84"/>
        <v>0</v>
      </c>
    </row>
    <row r="91" spans="1:14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190" t="s">
        <v>165</v>
      </c>
      <c r="B92" s="180" t="s">
        <v>166</v>
      </c>
      <c r="C92" s="246"/>
      <c r="D92" s="246"/>
      <c r="E92" s="247">
        <f t="shared" si="78"/>
        <v>0</v>
      </c>
      <c r="F92" s="246">
        <v>483000</v>
      </c>
      <c r="G92" s="246"/>
      <c r="H92" s="247">
        <f t="shared" ref="H92:H145" si="89">SUM(F92:G92)</f>
        <v>483000</v>
      </c>
      <c r="I92" s="246">
        <f>483000</f>
        <v>483000</v>
      </c>
      <c r="J92" s="246"/>
      <c r="K92" s="247">
        <f t="shared" ref="K92:K145" si="90">SUM(I92:J92)</f>
        <v>483000</v>
      </c>
      <c r="L92" s="246">
        <v>1669000</v>
      </c>
      <c r="M92" s="246"/>
      <c r="N92" s="247">
        <f t="shared" ref="N92:N145" si="91">SUM(L92:M92)</f>
        <v>1669000</v>
      </c>
    </row>
    <row r="93" spans="1:14" hidden="1" x14ac:dyDescent="0.25">
      <c r="A93" s="190" t="s">
        <v>167</v>
      </c>
      <c r="B93" s="180" t="s">
        <v>168</v>
      </c>
      <c r="C93" s="246"/>
      <c r="D93" s="246"/>
      <c r="E93" s="247">
        <f t="shared" si="78"/>
        <v>0</v>
      </c>
      <c r="F93" s="246"/>
      <c r="G93" s="246"/>
      <c r="H93" s="247">
        <f t="shared" si="89"/>
        <v>0</v>
      </c>
      <c r="I93" s="246"/>
      <c r="J93" s="246"/>
      <c r="K93" s="247">
        <f t="shared" si="90"/>
        <v>0</v>
      </c>
      <c r="L93" s="246"/>
      <c r="M93" s="246"/>
      <c r="N93" s="247">
        <f t="shared" si="91"/>
        <v>0</v>
      </c>
    </row>
    <row r="94" spans="1:14" hidden="1" x14ac:dyDescent="0.25">
      <c r="A94" s="190" t="s">
        <v>169</v>
      </c>
      <c r="B94" s="180" t="s">
        <v>170</v>
      </c>
      <c r="C94" s="246"/>
      <c r="D94" s="246"/>
      <c r="E94" s="247">
        <f t="shared" si="78"/>
        <v>0</v>
      </c>
      <c r="F94" s="246"/>
      <c r="G94" s="246"/>
      <c r="H94" s="247">
        <f t="shared" si="89"/>
        <v>0</v>
      </c>
      <c r="I94" s="246"/>
      <c r="J94" s="246"/>
      <c r="K94" s="247">
        <f t="shared" si="90"/>
        <v>0</v>
      </c>
      <c r="L94" s="246"/>
      <c r="M94" s="246"/>
      <c r="N94" s="247">
        <f t="shared" si="91"/>
        <v>0</v>
      </c>
    </row>
    <row r="95" spans="1:14" hidden="1" x14ac:dyDescent="0.25">
      <c r="A95" s="190" t="s">
        <v>171</v>
      </c>
      <c r="B95" s="180" t="s">
        <v>172</v>
      </c>
      <c r="C95" s="246"/>
      <c r="D95" s="246"/>
      <c r="E95" s="247">
        <f t="shared" si="78"/>
        <v>0</v>
      </c>
      <c r="F95" s="246"/>
      <c r="G95" s="246"/>
      <c r="H95" s="247">
        <f t="shared" si="89"/>
        <v>0</v>
      </c>
      <c r="I95" s="246"/>
      <c r="J95" s="246"/>
      <c r="K95" s="247">
        <f t="shared" si="90"/>
        <v>0</v>
      </c>
      <c r="L95" s="246"/>
      <c r="M95" s="246"/>
      <c r="N95" s="247">
        <f t="shared" si="91"/>
        <v>0</v>
      </c>
    </row>
    <row r="96" spans="1:14" hidden="1" x14ac:dyDescent="0.25">
      <c r="A96" s="190" t="s">
        <v>173</v>
      </c>
      <c r="B96" s="180" t="s">
        <v>174</v>
      </c>
      <c r="C96" s="246"/>
      <c r="D96" s="246"/>
      <c r="E96" s="247">
        <f t="shared" si="78"/>
        <v>0</v>
      </c>
      <c r="F96" s="246"/>
      <c r="G96" s="246"/>
      <c r="H96" s="247">
        <f t="shared" si="89"/>
        <v>0</v>
      </c>
      <c r="I96" s="246"/>
      <c r="J96" s="246"/>
      <c r="K96" s="247">
        <f t="shared" si="90"/>
        <v>0</v>
      </c>
      <c r="L96" s="246"/>
      <c r="M96" s="246"/>
      <c r="N96" s="247">
        <f t="shared" si="91"/>
        <v>0</v>
      </c>
    </row>
    <row r="97" spans="1:14" hidden="1" x14ac:dyDescent="0.25">
      <c r="A97" s="190" t="s">
        <v>175</v>
      </c>
      <c r="B97" s="180" t="s">
        <v>176</v>
      </c>
      <c r="C97" s="246"/>
      <c r="D97" s="246"/>
      <c r="E97" s="247">
        <f t="shared" si="78"/>
        <v>0</v>
      </c>
      <c r="F97" s="246"/>
      <c r="G97" s="246"/>
      <c r="H97" s="247">
        <f t="shared" si="89"/>
        <v>0</v>
      </c>
      <c r="I97" s="246"/>
      <c r="J97" s="246"/>
      <c r="K97" s="247">
        <f t="shared" si="90"/>
        <v>0</v>
      </c>
      <c r="L97" s="246"/>
      <c r="M97" s="246"/>
      <c r="N97" s="247">
        <f t="shared" si="91"/>
        <v>0</v>
      </c>
    </row>
    <row r="98" spans="1:14" hidden="1" x14ac:dyDescent="0.25">
      <c r="A98" s="190" t="s">
        <v>177</v>
      </c>
      <c r="B98" s="180" t="s">
        <v>178</v>
      </c>
      <c r="C98" s="246"/>
      <c r="D98" s="246"/>
      <c r="E98" s="247">
        <f t="shared" si="78"/>
        <v>0</v>
      </c>
      <c r="F98" s="246"/>
      <c r="G98" s="246"/>
      <c r="H98" s="247">
        <f t="shared" si="89"/>
        <v>0</v>
      </c>
      <c r="I98" s="246"/>
      <c r="J98" s="246"/>
      <c r="K98" s="247">
        <f t="shared" si="90"/>
        <v>0</v>
      </c>
      <c r="L98" s="246"/>
      <c r="M98" s="246"/>
      <c r="N98" s="247">
        <f t="shared" si="91"/>
        <v>0</v>
      </c>
    </row>
    <row r="99" spans="1:14" hidden="1" x14ac:dyDescent="0.25">
      <c r="A99" s="190" t="s">
        <v>179</v>
      </c>
      <c r="B99" s="180" t="s">
        <v>180</v>
      </c>
      <c r="C99" s="246"/>
      <c r="D99" s="246"/>
      <c r="E99" s="247">
        <f t="shared" si="78"/>
        <v>0</v>
      </c>
      <c r="F99" s="246"/>
      <c r="G99" s="246"/>
      <c r="H99" s="247">
        <f t="shared" si="89"/>
        <v>0</v>
      </c>
      <c r="I99" s="246"/>
      <c r="J99" s="246"/>
      <c r="K99" s="247">
        <f t="shared" si="90"/>
        <v>0</v>
      </c>
      <c r="L99" s="246"/>
      <c r="M99" s="246"/>
      <c r="N99" s="247">
        <f t="shared" si="91"/>
        <v>0</v>
      </c>
    </row>
    <row r="100" spans="1:14" hidden="1" x14ac:dyDescent="0.25">
      <c r="A100" s="190" t="s">
        <v>181</v>
      </c>
      <c r="B100" s="180" t="s">
        <v>182</v>
      </c>
      <c r="C100" s="246"/>
      <c r="D100" s="246"/>
      <c r="E100" s="247">
        <f t="shared" si="78"/>
        <v>0</v>
      </c>
      <c r="F100" s="246"/>
      <c r="G100" s="246"/>
      <c r="H100" s="247">
        <f t="shared" si="89"/>
        <v>0</v>
      </c>
      <c r="I100" s="246"/>
      <c r="J100" s="246"/>
      <c r="K100" s="247">
        <f t="shared" si="90"/>
        <v>0</v>
      </c>
      <c r="L100" s="246"/>
      <c r="M100" s="246"/>
      <c r="N100" s="247">
        <f t="shared" si="91"/>
        <v>0</v>
      </c>
    </row>
    <row r="101" spans="1:14" x14ac:dyDescent="0.25">
      <c r="A101" s="190" t="s">
        <v>183</v>
      </c>
      <c r="B101" s="180" t="s">
        <v>184</v>
      </c>
      <c r="C101" s="246">
        <f t="shared" ref="C101:D101" si="92">SUM(C102:C104)</f>
        <v>0</v>
      </c>
      <c r="D101" s="246">
        <f t="shared" si="92"/>
        <v>0</v>
      </c>
      <c r="E101" s="247">
        <f t="shared" si="78"/>
        <v>0</v>
      </c>
      <c r="F101" s="246">
        <f t="shared" ref="F101:G101" si="93">SUM(F102:F104)</f>
        <v>1268413</v>
      </c>
      <c r="G101" s="246">
        <f t="shared" si="93"/>
        <v>0</v>
      </c>
      <c r="H101" s="247">
        <f t="shared" si="89"/>
        <v>1268413</v>
      </c>
      <c r="I101" s="246">
        <f t="shared" ref="I101:J101" si="94">SUM(I102:I104)</f>
        <v>3311221</v>
      </c>
      <c r="J101" s="246">
        <f t="shared" si="94"/>
        <v>0</v>
      </c>
      <c r="K101" s="247">
        <f t="shared" si="90"/>
        <v>3311221</v>
      </c>
      <c r="L101" s="246">
        <f t="shared" ref="L101:M101" si="95">SUM(L102:L104)</f>
        <v>3311221</v>
      </c>
      <c r="M101" s="246">
        <f t="shared" si="95"/>
        <v>0</v>
      </c>
      <c r="N101" s="247">
        <f t="shared" si="91"/>
        <v>3311221</v>
      </c>
    </row>
    <row r="102" spans="1:14" x14ac:dyDescent="0.25">
      <c r="A102" s="190" t="s">
        <v>185</v>
      </c>
      <c r="B102" s="180" t="s">
        <v>186</v>
      </c>
      <c r="C102" s="246"/>
      <c r="D102" s="246"/>
      <c r="E102" s="247">
        <f t="shared" si="78"/>
        <v>0</v>
      </c>
      <c r="F102" s="246"/>
      <c r="G102" s="246"/>
      <c r="H102" s="247">
        <f t="shared" si="89"/>
        <v>0</v>
      </c>
      <c r="I102" s="246"/>
      <c r="J102" s="246"/>
      <c r="K102" s="247">
        <f t="shared" si="90"/>
        <v>0</v>
      </c>
      <c r="L102" s="246"/>
      <c r="M102" s="246"/>
      <c r="N102" s="247">
        <f t="shared" si="91"/>
        <v>0</v>
      </c>
    </row>
    <row r="103" spans="1:14" x14ac:dyDescent="0.25">
      <c r="A103" s="190" t="s">
        <v>187</v>
      </c>
      <c r="B103" s="180" t="s">
        <v>188</v>
      </c>
      <c r="C103" s="246"/>
      <c r="D103" s="246"/>
      <c r="E103" s="247">
        <f t="shared" si="78"/>
        <v>0</v>
      </c>
      <c r="F103" s="246"/>
      <c r="G103" s="246"/>
      <c r="H103" s="247">
        <f t="shared" si="89"/>
        <v>0</v>
      </c>
      <c r="I103" s="246"/>
      <c r="J103" s="246"/>
      <c r="K103" s="247">
        <f t="shared" si="90"/>
        <v>0</v>
      </c>
      <c r="L103" s="246"/>
      <c r="M103" s="246"/>
      <c r="N103" s="247">
        <f t="shared" si="91"/>
        <v>0</v>
      </c>
    </row>
    <row r="104" spans="1:14" ht="15.75" thickBot="1" x14ac:dyDescent="0.3">
      <c r="A104" s="191" t="s">
        <v>189</v>
      </c>
      <c r="B104" s="192" t="s">
        <v>190</v>
      </c>
      <c r="C104" s="248"/>
      <c r="D104" s="248"/>
      <c r="E104" s="249">
        <f t="shared" si="78"/>
        <v>0</v>
      </c>
      <c r="F104" s="248">
        <v>1268413</v>
      </c>
      <c r="G104" s="248"/>
      <c r="H104" s="249">
        <f t="shared" si="89"/>
        <v>1268413</v>
      </c>
      <c r="I104" s="248">
        <f>1268413+1859433+183375</f>
        <v>3311221</v>
      </c>
      <c r="J104" s="248"/>
      <c r="K104" s="249">
        <f t="shared" si="90"/>
        <v>3311221</v>
      </c>
      <c r="L104" s="248">
        <f>1268413+1859433+183375</f>
        <v>3311221</v>
      </c>
      <c r="M104" s="248"/>
      <c r="N104" s="249">
        <f t="shared" si="91"/>
        <v>3311221</v>
      </c>
    </row>
    <row r="105" spans="1:14" x14ac:dyDescent="0.25">
      <c r="A105" s="188" t="s">
        <v>191</v>
      </c>
      <c r="B105" s="189" t="s">
        <v>192</v>
      </c>
      <c r="C105" s="244">
        <f t="shared" ref="C105:D105" si="96">SUM(C106:C110)</f>
        <v>0</v>
      </c>
      <c r="D105" s="244">
        <f t="shared" si="96"/>
        <v>0</v>
      </c>
      <c r="E105" s="245">
        <f t="shared" si="78"/>
        <v>0</v>
      </c>
      <c r="F105" s="244">
        <f t="shared" ref="F105:G105" si="97">SUM(F106:F110)</f>
        <v>365909</v>
      </c>
      <c r="G105" s="244">
        <f t="shared" si="97"/>
        <v>0</v>
      </c>
      <c r="H105" s="245">
        <f t="shared" si="89"/>
        <v>365909</v>
      </c>
      <c r="I105" s="244">
        <f t="shared" ref="I105:J105" si="98">SUM(I106:I110)</f>
        <v>992186</v>
      </c>
      <c r="J105" s="244">
        <f t="shared" si="98"/>
        <v>0</v>
      </c>
      <c r="K105" s="245">
        <f t="shared" si="90"/>
        <v>992186</v>
      </c>
      <c r="L105" s="244">
        <f t="shared" ref="L105:M105" si="99">SUM(L106:L110)</f>
        <v>992186</v>
      </c>
      <c r="M105" s="244">
        <f t="shared" si="99"/>
        <v>0</v>
      </c>
      <c r="N105" s="245">
        <f t="shared" si="91"/>
        <v>992186</v>
      </c>
    </row>
    <row r="106" spans="1:14" x14ac:dyDescent="0.25">
      <c r="A106" s="190"/>
      <c r="B106" s="180" t="s">
        <v>193</v>
      </c>
      <c r="C106" s="246"/>
      <c r="D106" s="246"/>
      <c r="E106" s="247">
        <f t="shared" si="78"/>
        <v>0</v>
      </c>
      <c r="F106" s="246">
        <v>365909</v>
      </c>
      <c r="G106" s="246"/>
      <c r="H106" s="247">
        <f t="shared" si="89"/>
        <v>365909</v>
      </c>
      <c r="I106" s="246">
        <f>365909+567389</f>
        <v>933298</v>
      </c>
      <c r="J106" s="246"/>
      <c r="K106" s="247">
        <f t="shared" si="90"/>
        <v>933298</v>
      </c>
      <c r="L106" s="246">
        <f>365909+567389</f>
        <v>933298</v>
      </c>
      <c r="M106" s="246"/>
      <c r="N106" s="247">
        <f t="shared" si="91"/>
        <v>933298</v>
      </c>
    </row>
    <row r="107" spans="1:14" x14ac:dyDescent="0.25">
      <c r="A107" s="190"/>
      <c r="B107" s="180" t="s">
        <v>194</v>
      </c>
      <c r="C107" s="246"/>
      <c r="D107" s="246"/>
      <c r="E107" s="247">
        <f t="shared" si="78"/>
        <v>0</v>
      </c>
      <c r="F107" s="246"/>
      <c r="G107" s="246"/>
      <c r="H107" s="247">
        <f t="shared" si="89"/>
        <v>0</v>
      </c>
      <c r="I107" s="246"/>
      <c r="J107" s="246"/>
      <c r="K107" s="247">
        <f t="shared" si="90"/>
        <v>0</v>
      </c>
      <c r="L107" s="246"/>
      <c r="M107" s="246"/>
      <c r="N107" s="247">
        <f t="shared" si="91"/>
        <v>0</v>
      </c>
    </row>
    <row r="108" spans="1:14" x14ac:dyDescent="0.25">
      <c r="A108" s="191"/>
      <c r="B108" s="192" t="s">
        <v>195</v>
      </c>
      <c r="C108" s="246"/>
      <c r="D108" s="246"/>
      <c r="E108" s="247">
        <f t="shared" si="78"/>
        <v>0</v>
      </c>
      <c r="F108" s="246"/>
      <c r="G108" s="246"/>
      <c r="H108" s="247">
        <f t="shared" si="89"/>
        <v>0</v>
      </c>
      <c r="I108" s="246"/>
      <c r="J108" s="246"/>
      <c r="K108" s="247">
        <f t="shared" si="90"/>
        <v>0</v>
      </c>
      <c r="L108" s="246"/>
      <c r="M108" s="246"/>
      <c r="N108" s="247">
        <f t="shared" si="91"/>
        <v>0</v>
      </c>
    </row>
    <row r="109" spans="1:14" x14ac:dyDescent="0.25">
      <c r="A109" s="191"/>
      <c r="B109" s="192" t="s">
        <v>196</v>
      </c>
      <c r="C109" s="246"/>
      <c r="D109" s="246"/>
      <c r="E109" s="247">
        <f t="shared" si="78"/>
        <v>0</v>
      </c>
      <c r="F109" s="246"/>
      <c r="G109" s="246"/>
      <c r="H109" s="247">
        <f t="shared" si="89"/>
        <v>0</v>
      </c>
      <c r="I109" s="246"/>
      <c r="J109" s="246"/>
      <c r="K109" s="247">
        <f t="shared" si="90"/>
        <v>0</v>
      </c>
      <c r="L109" s="246"/>
      <c r="M109" s="246"/>
      <c r="N109" s="247">
        <f t="shared" si="91"/>
        <v>0</v>
      </c>
    </row>
    <row r="110" spans="1:14" ht="15.75" thickBot="1" x14ac:dyDescent="0.3">
      <c r="A110" s="191"/>
      <c r="B110" s="192" t="s">
        <v>197</v>
      </c>
      <c r="C110" s="248"/>
      <c r="D110" s="248"/>
      <c r="E110" s="249">
        <f t="shared" si="78"/>
        <v>0</v>
      </c>
      <c r="F110" s="248"/>
      <c r="G110" s="248"/>
      <c r="H110" s="249">
        <f t="shared" si="89"/>
        <v>0</v>
      </c>
      <c r="I110" s="248">
        <v>58888</v>
      </c>
      <c r="J110" s="248"/>
      <c r="K110" s="249">
        <f t="shared" si="90"/>
        <v>58888</v>
      </c>
      <c r="L110" s="248">
        <v>58888</v>
      </c>
      <c r="M110" s="248"/>
      <c r="N110" s="249">
        <f t="shared" si="91"/>
        <v>58888</v>
      </c>
    </row>
    <row r="111" spans="1:14" x14ac:dyDescent="0.25">
      <c r="A111" s="188" t="s">
        <v>198</v>
      </c>
      <c r="B111" s="189" t="s">
        <v>35</v>
      </c>
      <c r="C111" s="244">
        <f t="shared" ref="C111:D111" si="100">SUM(C112:C113,C114,C123,C122)</f>
        <v>0</v>
      </c>
      <c r="D111" s="244">
        <f t="shared" si="100"/>
        <v>0</v>
      </c>
      <c r="E111" s="245">
        <f t="shared" si="78"/>
        <v>0</v>
      </c>
      <c r="F111" s="244">
        <f t="shared" ref="F111:G111" si="101">SUM(F112:F113,F114,F123,F122)</f>
        <v>88727</v>
      </c>
      <c r="G111" s="244">
        <f t="shared" si="101"/>
        <v>0</v>
      </c>
      <c r="H111" s="245">
        <f t="shared" si="89"/>
        <v>88727</v>
      </c>
      <c r="I111" s="244">
        <f t="shared" ref="I111:J111" si="102">SUM(I112:I113,I114,I123,I122)</f>
        <v>150074</v>
      </c>
      <c r="J111" s="244">
        <f t="shared" si="102"/>
        <v>0</v>
      </c>
      <c r="K111" s="245">
        <f t="shared" si="90"/>
        <v>150074</v>
      </c>
      <c r="L111" s="244">
        <f t="shared" ref="L111:M111" si="103">SUM(L112:L113,L114,L123,L122)</f>
        <v>230648</v>
      </c>
      <c r="M111" s="244">
        <f t="shared" si="103"/>
        <v>0</v>
      </c>
      <c r="N111" s="245">
        <f t="shared" si="91"/>
        <v>230648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78"/>
        <v>0</v>
      </c>
      <c r="F112" s="246">
        <v>68900</v>
      </c>
      <c r="G112" s="246"/>
      <c r="H112" s="247">
        <f t="shared" si="89"/>
        <v>68900</v>
      </c>
      <c r="I112" s="246">
        <f>68900+49347</f>
        <v>118247</v>
      </c>
      <c r="J112" s="246"/>
      <c r="K112" s="247">
        <f t="shared" si="90"/>
        <v>118247</v>
      </c>
      <c r="L112" s="246">
        <f>68900+49347</f>
        <v>118247</v>
      </c>
      <c r="M112" s="246"/>
      <c r="N112" s="247">
        <f t="shared" si="91"/>
        <v>118247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78"/>
        <v>0</v>
      </c>
      <c r="F113" s="246"/>
      <c r="G113" s="246"/>
      <c r="H113" s="247">
        <f t="shared" si="89"/>
        <v>0</v>
      </c>
      <c r="I113" s="246"/>
      <c r="J113" s="246"/>
      <c r="K113" s="247">
        <f t="shared" si="90"/>
        <v>0</v>
      </c>
      <c r="L113" s="246"/>
      <c r="M113" s="246"/>
      <c r="N113" s="247">
        <f t="shared" si="91"/>
        <v>0</v>
      </c>
    </row>
    <row r="114" spans="1:14" x14ac:dyDescent="0.25">
      <c r="A114" s="190" t="s">
        <v>203</v>
      </c>
      <c r="B114" s="180" t="s">
        <v>204</v>
      </c>
      <c r="C114" s="246">
        <f t="shared" ref="C114:D114" si="104">SUM(C115:C121)</f>
        <v>0</v>
      </c>
      <c r="D114" s="246">
        <f t="shared" si="104"/>
        <v>0</v>
      </c>
      <c r="E114" s="247">
        <f t="shared" si="78"/>
        <v>0</v>
      </c>
      <c r="F114" s="246">
        <f t="shared" ref="F114:G114" si="105">SUM(F115:F121)</f>
        <v>0</v>
      </c>
      <c r="G114" s="246">
        <f t="shared" si="105"/>
        <v>0</v>
      </c>
      <c r="H114" s="247">
        <f t="shared" si="89"/>
        <v>0</v>
      </c>
      <c r="I114" s="246">
        <f t="shared" ref="I114:J114" si="106">SUM(I115:I121)</f>
        <v>12000</v>
      </c>
      <c r="J114" s="246">
        <f t="shared" si="106"/>
        <v>0</v>
      </c>
      <c r="K114" s="247">
        <f t="shared" si="90"/>
        <v>12000</v>
      </c>
      <c r="L114" s="246">
        <f t="shared" ref="L114:M114" si="107">SUM(L115:L121)</f>
        <v>12000</v>
      </c>
      <c r="M114" s="246">
        <f t="shared" si="107"/>
        <v>0</v>
      </c>
      <c r="N114" s="247">
        <f t="shared" si="91"/>
        <v>12000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78"/>
        <v>0</v>
      </c>
      <c r="F115" s="246"/>
      <c r="G115" s="246"/>
      <c r="H115" s="247">
        <f t="shared" si="89"/>
        <v>0</v>
      </c>
      <c r="I115" s="246"/>
      <c r="J115" s="246"/>
      <c r="K115" s="247">
        <f t="shared" si="90"/>
        <v>0</v>
      </c>
      <c r="L115" s="246"/>
      <c r="M115" s="246"/>
      <c r="N115" s="247">
        <f t="shared" si="91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78"/>
        <v>0</v>
      </c>
      <c r="F116" s="246"/>
      <c r="G116" s="246"/>
      <c r="H116" s="247">
        <f t="shared" si="89"/>
        <v>0</v>
      </c>
      <c r="I116" s="246"/>
      <c r="J116" s="246"/>
      <c r="K116" s="247">
        <f t="shared" si="90"/>
        <v>0</v>
      </c>
      <c r="L116" s="246"/>
      <c r="M116" s="246"/>
      <c r="N116" s="247">
        <f t="shared" si="91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78"/>
        <v>0</v>
      </c>
      <c r="F117" s="246"/>
      <c r="G117" s="246"/>
      <c r="H117" s="247">
        <f t="shared" si="89"/>
        <v>0</v>
      </c>
      <c r="I117" s="246"/>
      <c r="J117" s="246"/>
      <c r="K117" s="247">
        <f t="shared" si="90"/>
        <v>0</v>
      </c>
      <c r="L117" s="246"/>
      <c r="M117" s="246"/>
      <c r="N117" s="247">
        <f t="shared" si="91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78"/>
        <v>0</v>
      </c>
      <c r="F118" s="246"/>
      <c r="G118" s="246"/>
      <c r="H118" s="247">
        <f t="shared" si="89"/>
        <v>0</v>
      </c>
      <c r="I118" s="246"/>
      <c r="J118" s="246"/>
      <c r="K118" s="247">
        <f t="shared" si="90"/>
        <v>0</v>
      </c>
      <c r="L118" s="246"/>
      <c r="M118" s="246"/>
      <c r="N118" s="247">
        <f t="shared" si="91"/>
        <v>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78"/>
        <v>0</v>
      </c>
      <c r="F119" s="246"/>
      <c r="G119" s="246"/>
      <c r="H119" s="247">
        <f t="shared" si="89"/>
        <v>0</v>
      </c>
      <c r="I119" s="246"/>
      <c r="J119" s="246"/>
      <c r="K119" s="247">
        <f t="shared" si="90"/>
        <v>0</v>
      </c>
      <c r="L119" s="246"/>
      <c r="M119" s="246"/>
      <c r="N119" s="247">
        <f t="shared" si="91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78"/>
        <v>0</v>
      </c>
      <c r="F120" s="246"/>
      <c r="G120" s="246"/>
      <c r="H120" s="247">
        <f t="shared" si="89"/>
        <v>0</v>
      </c>
      <c r="I120" s="246"/>
      <c r="J120" s="246"/>
      <c r="K120" s="247">
        <f t="shared" si="90"/>
        <v>0</v>
      </c>
      <c r="L120" s="246"/>
      <c r="M120" s="246"/>
      <c r="N120" s="247">
        <f t="shared" si="91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78"/>
        <v>0</v>
      </c>
      <c r="F121" s="246"/>
      <c r="G121" s="246"/>
      <c r="H121" s="247">
        <f t="shared" si="89"/>
        <v>0</v>
      </c>
      <c r="I121" s="246">
        <v>12000</v>
      </c>
      <c r="J121" s="246"/>
      <c r="K121" s="247">
        <f t="shared" si="90"/>
        <v>12000</v>
      </c>
      <c r="L121" s="246">
        <v>12000</v>
      </c>
      <c r="M121" s="246"/>
      <c r="N121" s="247">
        <f t="shared" si="91"/>
        <v>12000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78"/>
        <v>0</v>
      </c>
      <c r="F122" s="246"/>
      <c r="G122" s="246"/>
      <c r="H122" s="247">
        <f t="shared" si="89"/>
        <v>0</v>
      </c>
      <c r="I122" s="246"/>
      <c r="J122" s="246"/>
      <c r="K122" s="247">
        <f t="shared" si="90"/>
        <v>0</v>
      </c>
      <c r="L122" s="246"/>
      <c r="M122" s="246"/>
      <c r="N122" s="247">
        <f t="shared" si="91"/>
        <v>0</v>
      </c>
    </row>
    <row r="123" spans="1:14" x14ac:dyDescent="0.25">
      <c r="A123" s="190" t="s">
        <v>221</v>
      </c>
      <c r="B123" s="180" t="s">
        <v>222</v>
      </c>
      <c r="C123" s="246">
        <f t="shared" ref="C123:D123" si="108">SUM(C124:C126)</f>
        <v>0</v>
      </c>
      <c r="D123" s="246">
        <f t="shared" si="108"/>
        <v>0</v>
      </c>
      <c r="E123" s="247">
        <f t="shared" si="78"/>
        <v>0</v>
      </c>
      <c r="F123" s="246">
        <f t="shared" ref="F123:G123" si="109">SUM(F124:F126)</f>
        <v>19827</v>
      </c>
      <c r="G123" s="246">
        <f t="shared" si="109"/>
        <v>0</v>
      </c>
      <c r="H123" s="247">
        <f t="shared" si="89"/>
        <v>19827</v>
      </c>
      <c r="I123" s="246">
        <f t="shared" ref="I123:J123" si="110">SUM(I124:I126)</f>
        <v>19827</v>
      </c>
      <c r="J123" s="246">
        <f t="shared" si="110"/>
        <v>0</v>
      </c>
      <c r="K123" s="247">
        <f t="shared" si="90"/>
        <v>19827</v>
      </c>
      <c r="L123" s="246">
        <f t="shared" ref="L123:M123" si="111">SUM(L124:L126)</f>
        <v>100401</v>
      </c>
      <c r="M123" s="246">
        <f t="shared" si="111"/>
        <v>0</v>
      </c>
      <c r="N123" s="247">
        <f t="shared" si="91"/>
        <v>100401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78"/>
        <v>0</v>
      </c>
      <c r="F124" s="246">
        <v>19827</v>
      </c>
      <c r="G124" s="246"/>
      <c r="H124" s="247">
        <f t="shared" si="89"/>
        <v>19827</v>
      </c>
      <c r="I124" s="246">
        <v>19827</v>
      </c>
      <c r="J124" s="246"/>
      <c r="K124" s="247">
        <f t="shared" si="90"/>
        <v>19827</v>
      </c>
      <c r="L124" s="246">
        <v>100401</v>
      </c>
      <c r="M124" s="246"/>
      <c r="N124" s="247">
        <f t="shared" si="91"/>
        <v>100401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78"/>
        <v>0</v>
      </c>
      <c r="F125" s="246"/>
      <c r="G125" s="246"/>
      <c r="H125" s="247">
        <f t="shared" si="89"/>
        <v>0</v>
      </c>
      <c r="I125" s="246"/>
      <c r="J125" s="246"/>
      <c r="K125" s="247">
        <f t="shared" si="90"/>
        <v>0</v>
      </c>
      <c r="L125" s="246"/>
      <c r="M125" s="246"/>
      <c r="N125" s="247">
        <f t="shared" si="91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78"/>
        <v>0</v>
      </c>
      <c r="F126" s="248"/>
      <c r="G126" s="248"/>
      <c r="H126" s="249">
        <f t="shared" si="89"/>
        <v>0</v>
      </c>
      <c r="I126" s="248"/>
      <c r="J126" s="248"/>
      <c r="K126" s="249">
        <f t="shared" si="90"/>
        <v>0</v>
      </c>
      <c r="L126" s="248"/>
      <c r="M126" s="248"/>
      <c r="N126" s="249">
        <f t="shared" si="91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78"/>
        <v>0</v>
      </c>
      <c r="F127" s="250"/>
      <c r="G127" s="250"/>
      <c r="H127" s="251">
        <f t="shared" si="89"/>
        <v>0</v>
      </c>
      <c r="I127" s="250"/>
      <c r="J127" s="250"/>
      <c r="K127" s="251">
        <f t="shared" si="90"/>
        <v>0</v>
      </c>
      <c r="L127" s="250"/>
      <c r="M127" s="250"/>
      <c r="N127" s="251">
        <f t="shared" si="91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 t="shared" ref="C128:D128" si="112">SUM(C129:C134)</f>
        <v>0</v>
      </c>
      <c r="D128" s="244">
        <f t="shared" si="112"/>
        <v>0</v>
      </c>
      <c r="E128" s="245">
        <f t="shared" si="78"/>
        <v>0</v>
      </c>
      <c r="F128" s="244">
        <f t="shared" ref="F128:G128" si="113">SUM(F129:F134)</f>
        <v>0</v>
      </c>
      <c r="G128" s="244">
        <f t="shared" si="113"/>
        <v>0</v>
      </c>
      <c r="H128" s="245">
        <f t="shared" si="89"/>
        <v>0</v>
      </c>
      <c r="I128" s="244">
        <f t="shared" ref="I128:J128" si="114">SUM(I129:I134)</f>
        <v>0</v>
      </c>
      <c r="J128" s="244">
        <f t="shared" si="114"/>
        <v>0</v>
      </c>
      <c r="K128" s="245">
        <f t="shared" si="90"/>
        <v>0</v>
      </c>
      <c r="L128" s="244">
        <f t="shared" ref="L128:M128" si="115">SUM(L129:L134)</f>
        <v>0</v>
      </c>
      <c r="M128" s="244">
        <f t="shared" si="115"/>
        <v>0</v>
      </c>
      <c r="N128" s="245">
        <f t="shared" si="91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78"/>
        <v>0</v>
      </c>
      <c r="F129" s="246"/>
      <c r="G129" s="246"/>
      <c r="H129" s="247">
        <f t="shared" si="89"/>
        <v>0</v>
      </c>
      <c r="I129" s="246"/>
      <c r="J129" s="246"/>
      <c r="K129" s="247">
        <f t="shared" si="90"/>
        <v>0</v>
      </c>
      <c r="L129" s="246"/>
      <c r="M129" s="246"/>
      <c r="N129" s="247">
        <f t="shared" si="9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78"/>
        <v>0</v>
      </c>
      <c r="F130" s="246"/>
      <c r="G130" s="246"/>
      <c r="H130" s="247">
        <f t="shared" si="89"/>
        <v>0</v>
      </c>
      <c r="I130" s="246"/>
      <c r="J130" s="246"/>
      <c r="K130" s="247">
        <f t="shared" si="90"/>
        <v>0</v>
      </c>
      <c r="L130" s="246"/>
      <c r="M130" s="246"/>
      <c r="N130" s="247">
        <f t="shared" si="91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78"/>
        <v>0</v>
      </c>
      <c r="F131" s="246"/>
      <c r="G131" s="246"/>
      <c r="H131" s="247">
        <f t="shared" si="89"/>
        <v>0</v>
      </c>
      <c r="I131" s="246"/>
      <c r="J131" s="246"/>
      <c r="K131" s="247">
        <f t="shared" si="90"/>
        <v>0</v>
      </c>
      <c r="L131" s="246"/>
      <c r="M131" s="246"/>
      <c r="N131" s="247">
        <f t="shared" si="91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78"/>
        <v>0</v>
      </c>
      <c r="F132" s="246"/>
      <c r="G132" s="246"/>
      <c r="H132" s="247">
        <f t="shared" si="89"/>
        <v>0</v>
      </c>
      <c r="I132" s="246"/>
      <c r="J132" s="246"/>
      <c r="K132" s="247">
        <f t="shared" si="90"/>
        <v>0</v>
      </c>
      <c r="L132" s="246"/>
      <c r="M132" s="246"/>
      <c r="N132" s="247">
        <f t="shared" si="91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78"/>
        <v>0</v>
      </c>
      <c r="F133" s="246"/>
      <c r="G133" s="246"/>
      <c r="H133" s="247">
        <f t="shared" si="89"/>
        <v>0</v>
      </c>
      <c r="I133" s="246"/>
      <c r="J133" s="246"/>
      <c r="K133" s="247">
        <f t="shared" si="90"/>
        <v>0</v>
      </c>
      <c r="L133" s="246"/>
      <c r="M133" s="246"/>
      <c r="N133" s="247">
        <f t="shared" si="91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 t="shared" ref="C134:D134" si="116">SUM(C135:C136)</f>
        <v>0</v>
      </c>
      <c r="D134" s="246">
        <f t="shared" si="116"/>
        <v>0</v>
      </c>
      <c r="E134" s="247">
        <f t="shared" si="78"/>
        <v>0</v>
      </c>
      <c r="F134" s="246">
        <f t="shared" ref="F134:G134" si="117">SUM(F135:F136)</f>
        <v>0</v>
      </c>
      <c r="G134" s="246">
        <f t="shared" si="117"/>
        <v>0</v>
      </c>
      <c r="H134" s="247">
        <f t="shared" si="89"/>
        <v>0</v>
      </c>
      <c r="I134" s="246">
        <f t="shared" ref="I134:J134" si="118">SUM(I135:I136)</f>
        <v>0</v>
      </c>
      <c r="J134" s="246">
        <f t="shared" si="118"/>
        <v>0</v>
      </c>
      <c r="K134" s="247">
        <f t="shared" si="90"/>
        <v>0</v>
      </c>
      <c r="L134" s="246">
        <f t="shared" ref="L134:M134" si="119">SUM(L135:L136)</f>
        <v>0</v>
      </c>
      <c r="M134" s="246">
        <f t="shared" si="119"/>
        <v>0</v>
      </c>
      <c r="N134" s="247">
        <f t="shared" si="91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78"/>
        <v>0</v>
      </c>
      <c r="F135" s="246"/>
      <c r="G135" s="246"/>
      <c r="H135" s="247">
        <f t="shared" si="89"/>
        <v>0</v>
      </c>
      <c r="I135" s="246"/>
      <c r="J135" s="246"/>
      <c r="K135" s="247">
        <f t="shared" si="90"/>
        <v>0</v>
      </c>
      <c r="L135" s="246"/>
      <c r="M135" s="246"/>
      <c r="N135" s="247">
        <f t="shared" si="91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78"/>
        <v>0</v>
      </c>
      <c r="F136" s="248"/>
      <c r="G136" s="248"/>
      <c r="H136" s="249">
        <f t="shared" si="89"/>
        <v>0</v>
      </c>
      <c r="I136" s="248"/>
      <c r="J136" s="248"/>
      <c r="K136" s="249">
        <f t="shared" si="90"/>
        <v>0</v>
      </c>
      <c r="L136" s="248"/>
      <c r="M136" s="248"/>
      <c r="N136" s="249">
        <f t="shared" si="91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78"/>
        <v>0</v>
      </c>
      <c r="F137" s="244"/>
      <c r="G137" s="244"/>
      <c r="H137" s="245">
        <f t="shared" si="89"/>
        <v>0</v>
      </c>
      <c r="I137" s="244"/>
      <c r="J137" s="244"/>
      <c r="K137" s="245">
        <f t="shared" si="90"/>
        <v>0</v>
      </c>
      <c r="L137" s="244">
        <v>91121</v>
      </c>
      <c r="M137" s="244"/>
      <c r="N137" s="245">
        <f t="shared" si="91"/>
        <v>91121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78"/>
        <v>0</v>
      </c>
      <c r="F138" s="248"/>
      <c r="G138" s="248"/>
      <c r="H138" s="249">
        <f t="shared" si="89"/>
        <v>0</v>
      </c>
      <c r="I138" s="248"/>
      <c r="J138" s="248"/>
      <c r="K138" s="249">
        <f t="shared" si="90"/>
        <v>0</v>
      </c>
      <c r="L138" s="248">
        <v>8079</v>
      </c>
      <c r="M138" s="248"/>
      <c r="N138" s="249">
        <f t="shared" si="91"/>
        <v>8079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78"/>
        <v>0</v>
      </c>
      <c r="F139" s="244"/>
      <c r="G139" s="244"/>
      <c r="H139" s="245">
        <f t="shared" si="89"/>
        <v>0</v>
      </c>
      <c r="I139" s="244"/>
      <c r="J139" s="244"/>
      <c r="K139" s="245">
        <f t="shared" si="90"/>
        <v>0</v>
      </c>
      <c r="L139" s="244"/>
      <c r="M139" s="244"/>
      <c r="N139" s="245">
        <f t="shared" si="91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78"/>
        <v>0</v>
      </c>
      <c r="F140" s="248"/>
      <c r="G140" s="248"/>
      <c r="H140" s="249">
        <f t="shared" si="89"/>
        <v>0</v>
      </c>
      <c r="I140" s="248"/>
      <c r="J140" s="248"/>
      <c r="K140" s="249">
        <f t="shared" si="90"/>
        <v>0</v>
      </c>
      <c r="L140" s="248"/>
      <c r="M140" s="248"/>
      <c r="N140" s="249">
        <f t="shared" si="91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78"/>
        <v>0</v>
      </c>
      <c r="F141" s="254"/>
      <c r="G141" s="254"/>
      <c r="H141" s="255">
        <f t="shared" si="89"/>
        <v>0</v>
      </c>
      <c r="I141" s="254"/>
      <c r="J141" s="254"/>
      <c r="K141" s="255">
        <f t="shared" si="90"/>
        <v>0</v>
      </c>
      <c r="L141" s="254"/>
      <c r="M141" s="254"/>
      <c r="N141" s="255">
        <f t="shared" si="9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 t="shared" ref="C142:D142" si="120">C141+C140+C139+C138+C137+C128+C127+C111+C105+C88</f>
        <v>0</v>
      </c>
      <c r="D142" s="250">
        <f t="shared" si="120"/>
        <v>0</v>
      </c>
      <c r="E142" s="251">
        <f t="shared" si="78"/>
        <v>0</v>
      </c>
      <c r="F142" s="250">
        <f t="shared" ref="F142:G142" si="121">F141+F140+F139+F138+F137+F128+F127+F111+F105+F88</f>
        <v>2206049</v>
      </c>
      <c r="G142" s="250">
        <f t="shared" si="121"/>
        <v>0</v>
      </c>
      <c r="H142" s="251">
        <f t="shared" si="89"/>
        <v>2206049</v>
      </c>
      <c r="I142" s="250">
        <f t="shared" ref="I142:J142" si="122">I141+I140+I139+I138+I137+I128+I127+I111+I105+I88</f>
        <v>4936481</v>
      </c>
      <c r="J142" s="250">
        <f t="shared" si="122"/>
        <v>0</v>
      </c>
      <c r="K142" s="251">
        <f t="shared" si="90"/>
        <v>4936481</v>
      </c>
      <c r="L142" s="250">
        <f t="shared" ref="L142:M142" si="123">L141+L140+L139+L138+L137+L128+L127+L111+L105+L88</f>
        <v>6302255</v>
      </c>
      <c r="M142" s="250">
        <f t="shared" si="123"/>
        <v>0</v>
      </c>
      <c r="N142" s="251">
        <f t="shared" si="91"/>
        <v>6302255</v>
      </c>
    </row>
    <row r="143" spans="1:14" ht="15.75" thickBot="1" x14ac:dyDescent="0.3">
      <c r="A143" s="197" t="s">
        <v>250</v>
      </c>
      <c r="B143" s="198" t="s">
        <v>251</v>
      </c>
      <c r="C143" s="244">
        <f t="shared" ref="C143:D143" si="124">SUM(C144:C150)</f>
        <v>0</v>
      </c>
      <c r="D143" s="244">
        <f t="shared" si="124"/>
        <v>0</v>
      </c>
      <c r="E143" s="245">
        <f t="shared" si="78"/>
        <v>0</v>
      </c>
      <c r="F143" s="244">
        <f t="shared" ref="F143:G143" si="125">SUM(F144:F150)</f>
        <v>0</v>
      </c>
      <c r="G143" s="244">
        <f t="shared" si="125"/>
        <v>0</v>
      </c>
      <c r="H143" s="245">
        <f t="shared" si="89"/>
        <v>0</v>
      </c>
      <c r="I143" s="244">
        <f t="shared" ref="I143:J143" si="126">SUM(I144:I150)</f>
        <v>0</v>
      </c>
      <c r="J143" s="244">
        <f t="shared" si="126"/>
        <v>0</v>
      </c>
      <c r="K143" s="245">
        <f t="shared" si="90"/>
        <v>0</v>
      </c>
      <c r="L143" s="244">
        <f t="shared" ref="L143:M143" si="127">SUM(L144:L150)</f>
        <v>0</v>
      </c>
      <c r="M143" s="244">
        <f t="shared" si="127"/>
        <v>0</v>
      </c>
      <c r="N143" s="245">
        <f t="shared" si="9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78"/>
        <v>0</v>
      </c>
      <c r="F144" s="246"/>
      <c r="G144" s="246"/>
      <c r="H144" s="247">
        <f t="shared" si="89"/>
        <v>0</v>
      </c>
      <c r="I144" s="246"/>
      <c r="J144" s="246"/>
      <c r="K144" s="247">
        <f t="shared" si="90"/>
        <v>0</v>
      </c>
      <c r="L144" s="246"/>
      <c r="M144" s="246"/>
      <c r="N144" s="247">
        <f t="shared" si="9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78"/>
        <v>0</v>
      </c>
      <c r="F145" s="246"/>
      <c r="G145" s="246"/>
      <c r="H145" s="247">
        <f t="shared" si="89"/>
        <v>0</v>
      </c>
      <c r="I145" s="246"/>
      <c r="J145" s="246"/>
      <c r="K145" s="247">
        <f t="shared" si="90"/>
        <v>0</v>
      </c>
      <c r="L145" s="246"/>
      <c r="M145" s="246"/>
      <c r="N145" s="247">
        <f t="shared" si="9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78"/>
        <v>0</v>
      </c>
      <c r="F147" s="246"/>
      <c r="G147" s="246"/>
      <c r="H147" s="247">
        <f t="shared" ref="H147:H150" si="128">SUM(F147:G147)</f>
        <v>0</v>
      </c>
      <c r="I147" s="246"/>
      <c r="J147" s="246"/>
      <c r="K147" s="247">
        <f t="shared" ref="K147:K150" si="129">SUM(I147:J147)</f>
        <v>0</v>
      </c>
      <c r="L147" s="246"/>
      <c r="M147" s="246"/>
      <c r="N147" s="247">
        <f t="shared" ref="N147:N150" si="130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78"/>
        <v>0</v>
      </c>
      <c r="F148" s="246"/>
      <c r="G148" s="246"/>
      <c r="H148" s="247">
        <f t="shared" si="128"/>
        <v>0</v>
      </c>
      <c r="I148" s="246"/>
      <c r="J148" s="246"/>
      <c r="K148" s="247">
        <f t="shared" si="129"/>
        <v>0</v>
      </c>
      <c r="L148" s="246"/>
      <c r="M148" s="246"/>
      <c r="N148" s="247">
        <f t="shared" si="130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78"/>
        <v>0</v>
      </c>
      <c r="F149" s="246"/>
      <c r="G149" s="246"/>
      <c r="H149" s="247">
        <f t="shared" si="128"/>
        <v>0</v>
      </c>
      <c r="I149" s="246"/>
      <c r="J149" s="246"/>
      <c r="K149" s="247">
        <f t="shared" si="129"/>
        <v>0</v>
      </c>
      <c r="L149" s="246"/>
      <c r="M149" s="246"/>
      <c r="N149" s="247">
        <f t="shared" si="130"/>
        <v>0</v>
      </c>
    </row>
    <row r="150" spans="1:14" ht="15.75" hidden="1" thickBot="1" x14ac:dyDescent="0.3">
      <c r="A150" s="191"/>
      <c r="B150" s="192" t="s">
        <v>262</v>
      </c>
      <c r="C150" s="256"/>
      <c r="D150" s="256"/>
      <c r="E150" s="249">
        <f t="shared" si="78"/>
        <v>0</v>
      </c>
      <c r="F150" s="256"/>
      <c r="G150" s="256"/>
      <c r="H150" s="249">
        <f t="shared" si="128"/>
        <v>0</v>
      </c>
      <c r="I150" s="256"/>
      <c r="J150" s="256"/>
      <c r="K150" s="249">
        <f t="shared" si="129"/>
        <v>0</v>
      </c>
      <c r="L150" s="256"/>
      <c r="M150" s="256"/>
      <c r="N150" s="249">
        <f t="shared" si="130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 t="shared" ref="C151:D151" si="131">C143+C142</f>
        <v>0</v>
      </c>
      <c r="D151" s="250">
        <f t="shared" si="131"/>
        <v>0</v>
      </c>
      <c r="E151" s="258">
        <f>SUM(C151:D151)</f>
        <v>0</v>
      </c>
      <c r="F151" s="250">
        <f t="shared" ref="F151:G151" si="132">F143+F142</f>
        <v>2206049</v>
      </c>
      <c r="G151" s="250">
        <f t="shared" si="132"/>
        <v>0</v>
      </c>
      <c r="H151" s="258">
        <f>SUM(F151:G151)</f>
        <v>2206049</v>
      </c>
      <c r="I151" s="250">
        <f t="shared" ref="I151:J151" si="133">I143+I142</f>
        <v>4936481</v>
      </c>
      <c r="J151" s="250">
        <f t="shared" si="133"/>
        <v>0</v>
      </c>
      <c r="K151" s="258">
        <f>SUM(I151:J151)</f>
        <v>4936481</v>
      </c>
      <c r="L151" s="250">
        <f t="shared" ref="L151:M151" si="134">L143+L142</f>
        <v>6302255</v>
      </c>
      <c r="M151" s="250">
        <f t="shared" si="134"/>
        <v>0</v>
      </c>
      <c r="N151" s="258">
        <f>SUM(L151:M151)</f>
        <v>6302255</v>
      </c>
    </row>
    <row r="152" spans="1:14" x14ac:dyDescent="0.25">
      <c r="E152" s="78"/>
      <c r="H152" s="78"/>
      <c r="K152" s="78"/>
      <c r="N152" s="78"/>
    </row>
    <row r="153" spans="1:14" x14ac:dyDescent="0.25">
      <c r="C153" s="148"/>
      <c r="D153" s="148"/>
      <c r="E153" s="148"/>
      <c r="F153" s="148"/>
      <c r="G153" s="148"/>
      <c r="H153" s="148">
        <f t="shared" ref="H153" si="135">H85-H151</f>
        <v>0</v>
      </c>
      <c r="I153" s="148"/>
      <c r="J153" s="148"/>
      <c r="K153" s="148">
        <f t="shared" ref="K153" si="136">K85-K151</f>
        <v>-2730432</v>
      </c>
      <c r="L153" s="148"/>
      <c r="M153" s="148"/>
      <c r="N153" s="148">
        <f t="shared" ref="N153" si="137">N85-N151</f>
        <v>-86232</v>
      </c>
    </row>
  </sheetData>
  <mergeCells count="5">
    <mergeCell ref="A1:E1"/>
    <mergeCell ref="A2:E2"/>
    <mergeCell ref="F6:H6"/>
    <mergeCell ref="I6:K6"/>
    <mergeCell ref="L6:N6"/>
  </mergeCells>
  <pageMargins left="0.45" right="0.21" top="0.18" bottom="0.38" header="0.22" footer="0.3"/>
  <pageSetup paperSize="9" scale="50" fitToHeight="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O153"/>
  <sheetViews>
    <sheetView zoomScaleNormal="100" workbookViewId="0">
      <pane ySplit="8" topLeftCell="A57" activePane="bottomLeft" state="frozen"/>
      <selection activeCell="AB159" sqref="AB159"/>
      <selection pane="bottomLeft" activeCell="D6" sqref="D6:H6"/>
    </sheetView>
  </sheetViews>
  <sheetFormatPr defaultRowHeight="15" x14ac:dyDescent="0.25"/>
  <cols>
    <col min="1" max="1" width="9.140625" style="44"/>
    <col min="2" max="2" width="53.42578125" style="44" customWidth="1"/>
    <col min="3" max="3" width="14" style="44" customWidth="1"/>
    <col min="4" max="4" width="9.140625" style="44"/>
    <col min="5" max="5" width="14.5703125" style="44" customWidth="1"/>
    <col min="6" max="6" width="14" style="179" customWidth="1"/>
    <col min="7" max="7" width="9.140625" style="179"/>
    <col min="8" max="8" width="14.5703125" style="179" customWidth="1"/>
    <col min="9" max="9" width="14" style="179" customWidth="1"/>
    <col min="10" max="10" width="9.140625" style="179"/>
    <col min="11" max="11" width="14.5703125" style="179" customWidth="1"/>
    <col min="12" max="12" width="14" style="179" customWidth="1"/>
    <col min="13" max="13" width="9.140625" style="179"/>
    <col min="14" max="14" width="14.5703125" style="179" customWidth="1"/>
    <col min="15" max="15" width="9.140625" style="148"/>
    <col min="16" max="16" width="11.85546875" customWidth="1"/>
  </cols>
  <sheetData>
    <row r="1" spans="1:15" s="44" customFormat="1" x14ac:dyDescent="0.25">
      <c r="A1" s="912" t="s">
        <v>810</v>
      </c>
      <c r="B1" s="912"/>
      <c r="C1" s="912"/>
      <c r="D1" s="912"/>
      <c r="E1" s="912"/>
      <c r="I1" s="179"/>
      <c r="J1" s="179"/>
      <c r="K1" s="179"/>
      <c r="L1" s="179"/>
      <c r="M1" s="179"/>
      <c r="N1" s="179"/>
      <c r="O1" s="148"/>
    </row>
    <row r="2" spans="1:15" s="44" customFormat="1" x14ac:dyDescent="0.25">
      <c r="A2" s="912" t="s">
        <v>271</v>
      </c>
      <c r="B2" s="912"/>
      <c r="C2" s="912"/>
      <c r="D2" s="912"/>
      <c r="E2" s="912"/>
      <c r="I2" s="179"/>
      <c r="J2" s="179"/>
      <c r="K2" s="179"/>
      <c r="L2" s="179"/>
      <c r="M2" s="179"/>
      <c r="N2" s="179"/>
      <c r="O2" s="148"/>
    </row>
    <row r="3" spans="1:15" s="44" customFormat="1" x14ac:dyDescent="0.25">
      <c r="F3" s="179"/>
      <c r="G3" s="179"/>
      <c r="H3" s="179"/>
      <c r="I3" s="179"/>
      <c r="J3" s="179"/>
      <c r="K3" s="179"/>
      <c r="L3" s="179"/>
      <c r="M3" s="179"/>
      <c r="N3" s="179"/>
      <c r="O3" s="148"/>
    </row>
    <row r="4" spans="1:15" x14ac:dyDescent="0.25">
      <c r="D4" s="45" t="str">
        <f>'5.4 ogy, ep választás'!C3</f>
        <v xml:space="preserve"> 12 / 2020. (VI.15) sz rendelet</v>
      </c>
    </row>
    <row r="6" spans="1:15" x14ac:dyDescent="0.25">
      <c r="C6" s="519" t="s">
        <v>809</v>
      </c>
      <c r="D6" s="622" t="str">
        <f>'5.4 ogy, ep választás'!F6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5" ht="15.75" thickBot="1" x14ac:dyDescent="0.3"/>
    <row r="8" spans="1:15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5" x14ac:dyDescent="0.25">
      <c r="A9" s="52" t="s">
        <v>43</v>
      </c>
      <c r="B9" s="48" t="s">
        <v>44</v>
      </c>
      <c r="C9" s="246">
        <f>'6.1 műv ház'!C9+'6.2 HH'!C9+'6.3 könyvtár'!C9+'6.4 sportcsarnok'!C9+'6.5 pályázat_1'!C9</f>
        <v>1932315</v>
      </c>
      <c r="D9" s="246">
        <f>'6.1 műv ház'!D9+'6.2 HH'!D9+'6.3 könyvtár'!D9+'6.4 sportcsarnok'!D9+'6.5 pályázat_1'!D9</f>
        <v>0</v>
      </c>
      <c r="E9" s="246">
        <f>'6.1 műv ház'!E9+'6.2 HH'!E9+'6.3 könyvtár'!E9+'6.4 sportcsarnok'!E9+'6.5 pályázat_1'!E9</f>
        <v>1932315</v>
      </c>
      <c r="F9" s="246">
        <f>'6.1 műv ház'!F9+'6.2 HH'!F9+'6.3 könyvtár'!F9+'6.4 sportcsarnok'!F9+'6.5 pályázat_1'!F9</f>
        <v>4030501</v>
      </c>
      <c r="G9" s="246">
        <f>'6.1 műv ház'!G9+'6.2 HH'!G9+'6.3 könyvtár'!G9+'6.4 sportcsarnok'!G9+'6.5 pályázat_1'!G9</f>
        <v>0</v>
      </c>
      <c r="H9" s="246">
        <f>'6.1 műv ház'!H9+'6.2 HH'!H9+'6.3 könyvtár'!H9+'6.4 sportcsarnok'!H9+'6.5 pályázat_1'!H9</f>
        <v>4030501</v>
      </c>
      <c r="I9" s="246">
        <f>'6.1 műv ház'!I9+'6.2 HH'!I9+'6.3 könyvtár'!I9+'6.4 sportcsarnok'!I9+'6.5 pályázat_1'!I9</f>
        <v>4302734</v>
      </c>
      <c r="J9" s="246">
        <f>'6.1 műv ház'!J9+'6.2 HH'!J9+'6.3 könyvtár'!J9+'6.4 sportcsarnok'!J9+'6.5 pályázat_1'!J9</f>
        <v>0</v>
      </c>
      <c r="K9" s="246">
        <f>'6.1 műv ház'!K9+'6.2 HH'!K9+'6.3 könyvtár'!K9+'6.4 sportcsarnok'!K9+'6.5 pályázat_1'!K9</f>
        <v>4302734</v>
      </c>
      <c r="L9" s="246">
        <f>'6.1 műv ház'!L9+'6.2 HH'!L9+'6.3 könyvtár'!L9+'6.4 sportcsarnok'!L9+'6.5 pályázat_1'!L9</f>
        <v>4152248</v>
      </c>
      <c r="M9" s="246">
        <f>'6.1 műv ház'!M9+'6.2 HH'!M9+'6.3 könyvtár'!M9+'6.4 sportcsarnok'!M9+'6.5 pályázat_1'!M9</f>
        <v>0</v>
      </c>
      <c r="N9" s="246">
        <f>'6.1 műv ház'!N9+'6.2 HH'!N9+'6.3 könyvtár'!N9+'6.4 sportcsarnok'!N9+'6.5 pályázat_1'!N9</f>
        <v>4152248</v>
      </c>
    </row>
    <row r="10" spans="1:15" x14ac:dyDescent="0.25">
      <c r="A10" s="53" t="s">
        <v>45</v>
      </c>
      <c r="B10" s="62" t="s">
        <v>46</v>
      </c>
      <c r="C10" s="246">
        <f>'6.1 műv ház'!C10+'6.2 HH'!C10+'6.3 könyvtár'!C10+'6.4 sportcsarnok'!C10+'6.5 pályázat_1'!C10</f>
        <v>0</v>
      </c>
      <c r="D10" s="246">
        <f>'6.1 műv ház'!D10+'6.2 HH'!D10+'6.3 könyvtár'!D10+'6.4 sportcsarnok'!D10+'6.5 pályázat_1'!D10</f>
        <v>0</v>
      </c>
      <c r="E10" s="246">
        <f>'6.1 műv ház'!E10+'6.2 HH'!E10+'6.3 könyvtár'!E10+'6.4 sportcsarnok'!E10+'6.5 pályázat_1'!E10</f>
        <v>0</v>
      </c>
      <c r="F10" s="246">
        <f>'6.1 műv ház'!F10+'6.2 HH'!F10+'6.3 könyvtár'!F10+'6.4 sportcsarnok'!F10+'6.5 pályázat_1'!F10</f>
        <v>2098186</v>
      </c>
      <c r="G10" s="246">
        <f>'6.1 műv ház'!G10+'6.2 HH'!G10+'6.3 könyvtár'!G10+'6.4 sportcsarnok'!G10+'6.5 pályázat_1'!G10</f>
        <v>0</v>
      </c>
      <c r="H10" s="246">
        <f>'6.1 műv ház'!H10+'6.2 HH'!H10+'6.3 könyvtár'!H10+'6.4 sportcsarnok'!H10+'6.5 pályázat_1'!H10</f>
        <v>2098186</v>
      </c>
      <c r="I10" s="246">
        <f>'6.1 műv ház'!I10+'6.2 HH'!I10+'6.3 könyvtár'!I10+'6.4 sportcsarnok'!I10+'6.5 pályázat_1'!I10</f>
        <v>2370419</v>
      </c>
      <c r="J10" s="246">
        <f>'6.1 műv ház'!J10+'6.2 HH'!J10+'6.3 könyvtár'!J10+'6.4 sportcsarnok'!J10+'6.5 pályázat_1'!J10</f>
        <v>0</v>
      </c>
      <c r="K10" s="316">
        <f>'6.1 műv ház'!K10+'6.2 HH'!K10+'6.3 könyvtár'!K10+'6.4 sportcsarnok'!K10+'6.5 pályázat_1'!K10</f>
        <v>2370419</v>
      </c>
      <c r="L10" s="246">
        <f>'6.1 műv ház'!L10+'6.2 HH'!L10+'6.3 könyvtár'!L10+'6.4 sportcsarnok'!L10+'6.5 pályázat_1'!L10</f>
        <v>2370419</v>
      </c>
      <c r="M10" s="246">
        <f>'6.1 műv ház'!M10+'6.2 HH'!M10+'6.3 könyvtár'!M10+'6.4 sportcsarnok'!M10+'6.5 pályázat_1'!M10</f>
        <v>0</v>
      </c>
      <c r="N10" s="316">
        <f>'6.1 műv ház'!N10+'6.2 HH'!N10+'6.3 könyvtár'!N10+'6.4 sportcsarnok'!N10+'6.5 pályázat_1'!N10</f>
        <v>2370419</v>
      </c>
    </row>
    <row r="11" spans="1:15" x14ac:dyDescent="0.25">
      <c r="A11" s="53" t="s">
        <v>47</v>
      </c>
      <c r="B11" s="62" t="s">
        <v>48</v>
      </c>
      <c r="C11" s="246">
        <f>'6.1 műv ház'!C11+'6.2 HH'!C11+'6.3 könyvtár'!C11+'6.4 sportcsarnok'!C11+'6.5 pályázat_1'!C11</f>
        <v>0</v>
      </c>
      <c r="D11" s="246">
        <f>'6.1 műv ház'!D11+'6.2 HH'!D11+'6.3 könyvtár'!D11+'6.4 sportcsarnok'!D11+'6.5 pályázat_1'!D11</f>
        <v>0</v>
      </c>
      <c r="E11" s="246">
        <f>'6.1 műv ház'!E11+'6.2 HH'!E11+'6.3 könyvtár'!E11+'6.4 sportcsarnok'!E11+'6.5 pályázat_1'!E11</f>
        <v>0</v>
      </c>
      <c r="F11" s="246">
        <f>'6.1 műv ház'!F11+'6.2 HH'!F11+'6.3 könyvtár'!F11+'6.4 sportcsarnok'!F11+'6.5 pályázat_1'!F11</f>
        <v>358</v>
      </c>
      <c r="G11" s="246">
        <f>'6.1 műv ház'!G11+'6.2 HH'!G11+'6.3 könyvtár'!G11+'6.4 sportcsarnok'!G11+'6.5 pályázat_1'!G11</f>
        <v>0</v>
      </c>
      <c r="H11" s="246">
        <f>'6.1 műv ház'!H11+'6.2 HH'!H11+'6.3 könyvtár'!H11+'6.4 sportcsarnok'!H11+'6.5 pályázat_1'!H11</f>
        <v>358</v>
      </c>
      <c r="I11" s="246">
        <f>'6.1 műv ház'!I11+'6.2 HH'!I11+'6.3 könyvtár'!I11+'6.4 sportcsarnok'!I11+'6.5 pályázat_1'!I11</f>
        <v>358</v>
      </c>
      <c r="J11" s="246">
        <f>'6.1 műv ház'!J11+'6.2 HH'!J11+'6.3 könyvtár'!J11+'6.4 sportcsarnok'!J11+'6.5 pályázat_1'!J11</f>
        <v>0</v>
      </c>
      <c r="K11" s="316">
        <f>'6.1 műv ház'!K11+'6.2 HH'!K11+'6.3 könyvtár'!K11+'6.4 sportcsarnok'!K11+'6.5 pályázat_1'!K11</f>
        <v>358</v>
      </c>
      <c r="L11" s="246">
        <f>'6.1 műv ház'!L11+'6.2 HH'!L11+'6.3 könyvtár'!L11+'6.4 sportcsarnok'!L11+'6.5 pályázat_1'!L11</f>
        <v>358</v>
      </c>
      <c r="M11" s="246">
        <f>'6.1 műv ház'!M11+'6.2 HH'!M11+'6.3 könyvtár'!M11+'6.4 sportcsarnok'!M11+'6.5 pályázat_1'!M11</f>
        <v>0</v>
      </c>
      <c r="N11" s="316">
        <f>'6.1 műv ház'!N11+'6.2 HH'!N11+'6.3 könyvtár'!N11+'6.4 sportcsarnok'!N11+'6.5 pályázat_1'!N11</f>
        <v>358</v>
      </c>
    </row>
    <row r="12" spans="1:15" x14ac:dyDescent="0.25">
      <c r="A12" s="53" t="s">
        <v>49</v>
      </c>
      <c r="B12" s="62" t="s">
        <v>50</v>
      </c>
      <c r="C12" s="246">
        <f>'6.1 műv ház'!C12+'6.2 HH'!C12+'6.3 könyvtár'!C12+'6.4 sportcsarnok'!C12+'6.5 pályázat_1'!C12</f>
        <v>0</v>
      </c>
      <c r="D12" s="246">
        <f>'6.1 műv ház'!D12+'6.2 HH'!D12+'6.3 könyvtár'!D12+'6.4 sportcsarnok'!D12+'6.5 pályázat_1'!D12</f>
        <v>0</v>
      </c>
      <c r="E12" s="246">
        <f>'6.1 műv ház'!E12+'6.2 HH'!E12+'6.3 könyvtár'!E12+'6.4 sportcsarnok'!E12+'6.5 pályázat_1'!E12</f>
        <v>0</v>
      </c>
      <c r="F12" s="246">
        <f>'6.1 műv ház'!F12+'6.2 HH'!F12+'6.3 könyvtár'!F12+'6.4 sportcsarnok'!F12+'6.5 pályázat_1'!F12</f>
        <v>0</v>
      </c>
      <c r="G12" s="246">
        <f>'6.1 műv ház'!G12+'6.2 HH'!G12+'6.3 könyvtár'!G12+'6.4 sportcsarnok'!G12+'6.5 pályázat_1'!G12</f>
        <v>0</v>
      </c>
      <c r="H12" s="246">
        <f>'6.1 műv ház'!H12+'6.2 HH'!H12+'6.3 könyvtár'!H12+'6.4 sportcsarnok'!H12+'6.5 pályázat_1'!H12</f>
        <v>0</v>
      </c>
      <c r="I12" s="246">
        <f>'6.1 műv ház'!I12+'6.2 HH'!I12+'6.3 könyvtár'!I12+'6.4 sportcsarnok'!I12+'6.5 pályázat_1'!I12</f>
        <v>0</v>
      </c>
      <c r="J12" s="246">
        <f>'6.1 műv ház'!J12+'6.2 HH'!J12+'6.3 könyvtár'!J12+'6.4 sportcsarnok'!J12+'6.5 pályázat_1'!J12</f>
        <v>0</v>
      </c>
      <c r="K12" s="316">
        <f>'6.1 műv ház'!K12+'6.2 HH'!K12+'6.3 könyvtár'!K12+'6.4 sportcsarnok'!K12+'6.5 pályázat_1'!K12</f>
        <v>0</v>
      </c>
      <c r="L12" s="246">
        <f>'6.1 műv ház'!L12+'6.2 HH'!L12+'6.3 könyvtár'!L12+'6.4 sportcsarnok'!L12+'6.5 pályázat_1'!L12</f>
        <v>0</v>
      </c>
      <c r="M12" s="246">
        <f>'6.1 műv ház'!M12+'6.2 HH'!M12+'6.3 könyvtár'!M12+'6.4 sportcsarnok'!M12+'6.5 pályázat_1'!M12</f>
        <v>0</v>
      </c>
      <c r="N12" s="316">
        <f>'6.1 műv ház'!N12+'6.2 HH'!N12+'6.3 könyvtár'!N12+'6.4 sportcsarnok'!N12+'6.5 pályázat_1'!N12</f>
        <v>0</v>
      </c>
    </row>
    <row r="13" spans="1:15" x14ac:dyDescent="0.25">
      <c r="A13" s="53" t="s">
        <v>51</v>
      </c>
      <c r="B13" s="62" t="s">
        <v>52</v>
      </c>
      <c r="C13" s="246">
        <f>'6.1 műv ház'!C13+'6.2 HH'!C13+'6.3 könyvtár'!C13+'6.4 sportcsarnok'!C13+'6.5 pályázat_1'!C13</f>
        <v>0</v>
      </c>
      <c r="D13" s="246">
        <f>'6.1 műv ház'!D13+'6.2 HH'!D13+'6.3 könyvtár'!D13+'6.4 sportcsarnok'!D13+'6.5 pályázat_1'!D13</f>
        <v>0</v>
      </c>
      <c r="E13" s="246">
        <f>'6.1 műv ház'!E13+'6.2 HH'!E13+'6.3 könyvtár'!E13+'6.4 sportcsarnok'!E13+'6.5 pályázat_1'!E13</f>
        <v>0</v>
      </c>
      <c r="F13" s="246">
        <f>'6.1 műv ház'!F13+'6.2 HH'!F13+'6.3 könyvtár'!F13+'6.4 sportcsarnok'!F13+'6.5 pályázat_1'!F13</f>
        <v>0</v>
      </c>
      <c r="G13" s="246">
        <f>'6.1 műv ház'!G13+'6.2 HH'!G13+'6.3 könyvtár'!G13+'6.4 sportcsarnok'!G13+'6.5 pályázat_1'!G13</f>
        <v>0</v>
      </c>
      <c r="H13" s="246">
        <f>'6.1 műv ház'!H13+'6.2 HH'!H13+'6.3 könyvtár'!H13+'6.4 sportcsarnok'!H13+'6.5 pályázat_1'!H13</f>
        <v>0</v>
      </c>
      <c r="I13" s="246">
        <f>'6.1 műv ház'!I13+'6.2 HH'!I13+'6.3 könyvtár'!I13+'6.4 sportcsarnok'!I13+'6.5 pályázat_1'!I13</f>
        <v>0</v>
      </c>
      <c r="J13" s="246">
        <f>'6.1 műv ház'!J13+'6.2 HH'!J13+'6.3 könyvtár'!J13+'6.4 sportcsarnok'!J13+'6.5 pályázat_1'!J13</f>
        <v>0</v>
      </c>
      <c r="K13" s="316">
        <f>'6.1 műv ház'!K13+'6.2 HH'!K13+'6.3 könyvtár'!K13+'6.4 sportcsarnok'!K13+'6.5 pályázat_1'!K13</f>
        <v>0</v>
      </c>
      <c r="L13" s="246">
        <f>'6.1 műv ház'!L13+'6.2 HH'!L13+'6.3 könyvtár'!L13+'6.4 sportcsarnok'!L13+'6.5 pályázat_1'!L13</f>
        <v>0</v>
      </c>
      <c r="M13" s="246">
        <f>'6.1 műv ház'!M13+'6.2 HH'!M13+'6.3 könyvtár'!M13+'6.4 sportcsarnok'!M13+'6.5 pályázat_1'!M13</f>
        <v>0</v>
      </c>
      <c r="N13" s="316">
        <f>'6.1 műv ház'!N13+'6.2 HH'!N13+'6.3 könyvtár'!N13+'6.4 sportcsarnok'!N13+'6.5 pályázat_1'!N13</f>
        <v>0</v>
      </c>
    </row>
    <row r="14" spans="1:15" x14ac:dyDescent="0.25">
      <c r="A14" s="53" t="s">
        <v>53</v>
      </c>
      <c r="B14" s="62" t="s">
        <v>54</v>
      </c>
      <c r="C14" s="246">
        <f>'6.1 műv ház'!C14+'6.2 HH'!C14+'6.3 könyvtár'!C14+'6.4 sportcsarnok'!C14+'6.5 pályázat_1'!C14</f>
        <v>0</v>
      </c>
      <c r="D14" s="246">
        <f>'6.1 műv ház'!D14+'6.2 HH'!D14+'6.3 könyvtár'!D14+'6.4 sportcsarnok'!D14+'6.5 pályázat_1'!D14</f>
        <v>0</v>
      </c>
      <c r="E14" s="246">
        <f>'6.1 műv ház'!E14+'6.2 HH'!E14+'6.3 könyvtár'!E14+'6.4 sportcsarnok'!E14+'6.5 pályázat_1'!E14</f>
        <v>0</v>
      </c>
      <c r="F14" s="246">
        <f>'6.1 műv ház'!F14+'6.2 HH'!F14+'6.3 könyvtár'!F14+'6.4 sportcsarnok'!F14+'6.5 pályázat_1'!F14</f>
        <v>2097828</v>
      </c>
      <c r="G14" s="246">
        <f>'6.1 műv ház'!G14+'6.2 HH'!G14+'6.3 könyvtár'!G14+'6.4 sportcsarnok'!G14+'6.5 pályázat_1'!G14</f>
        <v>0</v>
      </c>
      <c r="H14" s="246">
        <f>'6.1 műv ház'!H14+'6.2 HH'!H14+'6.3 könyvtár'!H14+'6.4 sportcsarnok'!H14+'6.5 pályázat_1'!H14</f>
        <v>2097828</v>
      </c>
      <c r="I14" s="246">
        <f>'6.1 műv ház'!I14+'6.2 HH'!I14+'6.3 könyvtár'!I14+'6.4 sportcsarnok'!I14+'6.5 pályázat_1'!I14</f>
        <v>2370061</v>
      </c>
      <c r="J14" s="246">
        <f>'6.1 műv ház'!J14+'6.2 HH'!J14+'6.3 könyvtár'!J14+'6.4 sportcsarnok'!J14+'6.5 pályázat_1'!J14</f>
        <v>0</v>
      </c>
      <c r="K14" s="316">
        <f>'6.1 műv ház'!K14+'6.2 HH'!K14+'6.3 könyvtár'!K14+'6.4 sportcsarnok'!K14+'6.5 pályázat_1'!K14</f>
        <v>2370061</v>
      </c>
      <c r="L14" s="246">
        <f>'6.1 műv ház'!L14+'6.2 HH'!L14+'6.3 könyvtár'!L14+'6.4 sportcsarnok'!L14+'6.5 pályázat_1'!L14</f>
        <v>2370061</v>
      </c>
      <c r="M14" s="246">
        <f>'6.1 műv ház'!M14+'6.2 HH'!M14+'6.3 könyvtár'!M14+'6.4 sportcsarnok'!M14+'6.5 pályázat_1'!M14</f>
        <v>0</v>
      </c>
      <c r="N14" s="316">
        <f>'6.1 műv ház'!N14+'6.2 HH'!N14+'6.3 könyvtár'!N14+'6.4 sportcsarnok'!N14+'6.5 pályázat_1'!N14</f>
        <v>2370061</v>
      </c>
    </row>
    <row r="15" spans="1:15" x14ac:dyDescent="0.25">
      <c r="A15" s="53" t="s">
        <v>55</v>
      </c>
      <c r="B15" s="62" t="s">
        <v>56</v>
      </c>
      <c r="C15" s="246">
        <f>'6.1 műv ház'!C15+'6.2 HH'!C15+'6.3 könyvtár'!C15+'6.4 sportcsarnok'!C15+'6.5 pályázat_1'!C15</f>
        <v>0</v>
      </c>
      <c r="D15" s="246">
        <f>'6.1 műv ház'!D15+'6.2 HH'!D15+'6.3 könyvtár'!D15+'6.4 sportcsarnok'!D15+'6.5 pályázat_1'!D15</f>
        <v>0</v>
      </c>
      <c r="E15" s="246">
        <f>'6.1 műv ház'!E15+'6.2 HH'!E15+'6.3 könyvtár'!E15+'6.4 sportcsarnok'!E15+'6.5 pályázat_1'!E15</f>
        <v>0</v>
      </c>
      <c r="F15" s="246">
        <f>'6.1 műv ház'!F15+'6.2 HH'!F15+'6.3 könyvtár'!F15+'6.4 sportcsarnok'!F15+'6.5 pályázat_1'!F15</f>
        <v>0</v>
      </c>
      <c r="G15" s="246">
        <f>'6.1 műv ház'!G15+'6.2 HH'!G15+'6.3 könyvtár'!G15+'6.4 sportcsarnok'!G15+'6.5 pályázat_1'!G15</f>
        <v>0</v>
      </c>
      <c r="H15" s="246">
        <f>'6.1 műv ház'!H15+'6.2 HH'!H15+'6.3 könyvtár'!H15+'6.4 sportcsarnok'!H15+'6.5 pályázat_1'!H15</f>
        <v>0</v>
      </c>
      <c r="I15" s="246">
        <f>'6.1 műv ház'!I15+'6.2 HH'!I15+'6.3 könyvtár'!I15+'6.4 sportcsarnok'!I15+'6.5 pályázat_1'!I15</f>
        <v>0</v>
      </c>
      <c r="J15" s="246">
        <f>'6.1 műv ház'!J15+'6.2 HH'!J15+'6.3 könyvtár'!J15+'6.4 sportcsarnok'!J15+'6.5 pályázat_1'!J15</f>
        <v>0</v>
      </c>
      <c r="K15" s="316">
        <f>'6.1 műv ház'!K15+'6.2 HH'!K15+'6.3 könyvtár'!K15+'6.4 sportcsarnok'!K15+'6.5 pályázat_1'!K15</f>
        <v>0</v>
      </c>
      <c r="L15" s="246">
        <f>'6.1 műv ház'!L15+'6.2 HH'!L15+'6.3 könyvtár'!L15+'6.4 sportcsarnok'!L15+'6.5 pályázat_1'!L15</f>
        <v>0</v>
      </c>
      <c r="M15" s="246">
        <f>'6.1 műv ház'!M15+'6.2 HH'!M15+'6.3 könyvtár'!M15+'6.4 sportcsarnok'!M15+'6.5 pályázat_1'!M15</f>
        <v>0</v>
      </c>
      <c r="N15" s="316">
        <f>'6.1 műv ház'!N15+'6.2 HH'!N15+'6.3 könyvtár'!N15+'6.4 sportcsarnok'!N15+'6.5 pályázat_1'!N15</f>
        <v>0</v>
      </c>
    </row>
    <row r="16" spans="1:15" x14ac:dyDescent="0.25">
      <c r="A16" s="53" t="s">
        <v>57</v>
      </c>
      <c r="B16" s="62" t="s">
        <v>58</v>
      </c>
      <c r="C16" s="246">
        <f>'6.1 műv ház'!C16+'6.2 HH'!C16+'6.3 könyvtár'!C16+'6.4 sportcsarnok'!C16+'6.5 pályázat_1'!C16</f>
        <v>0</v>
      </c>
      <c r="D16" s="246">
        <f>'6.1 műv ház'!D16+'6.2 HH'!D16+'6.3 könyvtár'!D16+'6.4 sportcsarnok'!D16+'6.5 pályázat_1'!D16</f>
        <v>0</v>
      </c>
      <c r="E16" s="246">
        <f>'6.1 műv ház'!E16+'6.2 HH'!E16+'6.3 könyvtár'!E16+'6.4 sportcsarnok'!E16+'6.5 pályázat_1'!E16</f>
        <v>0</v>
      </c>
      <c r="F16" s="246">
        <f>'6.1 műv ház'!F16+'6.2 HH'!F16+'6.3 könyvtár'!F16+'6.4 sportcsarnok'!F16+'6.5 pályázat_1'!F16</f>
        <v>0</v>
      </c>
      <c r="G16" s="246">
        <f>'6.1 műv ház'!G16+'6.2 HH'!G16+'6.3 könyvtár'!G16+'6.4 sportcsarnok'!G16+'6.5 pályázat_1'!G16</f>
        <v>0</v>
      </c>
      <c r="H16" s="246">
        <f>'6.1 műv ház'!H16+'6.2 HH'!H16+'6.3 könyvtár'!H16+'6.4 sportcsarnok'!H16+'6.5 pályázat_1'!H16</f>
        <v>0</v>
      </c>
      <c r="I16" s="246">
        <f>'6.1 műv ház'!I16+'6.2 HH'!I16+'6.3 könyvtár'!I16+'6.4 sportcsarnok'!I16+'6.5 pályázat_1'!I16</f>
        <v>0</v>
      </c>
      <c r="J16" s="246">
        <f>'6.1 műv ház'!J16+'6.2 HH'!J16+'6.3 könyvtár'!J16+'6.4 sportcsarnok'!J16+'6.5 pályázat_1'!J16</f>
        <v>0</v>
      </c>
      <c r="K16" s="316">
        <f>'6.1 műv ház'!K16+'6.2 HH'!K16+'6.3 könyvtár'!K16+'6.4 sportcsarnok'!K16+'6.5 pályázat_1'!K16</f>
        <v>0</v>
      </c>
      <c r="L16" s="246">
        <f>'6.1 műv ház'!L16+'6.2 HH'!L16+'6.3 könyvtár'!L16+'6.4 sportcsarnok'!L16+'6.5 pályázat_1'!L16</f>
        <v>0</v>
      </c>
      <c r="M16" s="246">
        <f>'6.1 műv ház'!M16+'6.2 HH'!M16+'6.3 könyvtár'!M16+'6.4 sportcsarnok'!M16+'6.5 pályázat_1'!M16</f>
        <v>0</v>
      </c>
      <c r="N16" s="316">
        <f>'6.1 műv ház'!N16+'6.2 HH'!N16+'6.3 könyvtár'!N16+'6.4 sportcsarnok'!N16+'6.5 pályázat_1'!N16</f>
        <v>0</v>
      </c>
    </row>
    <row r="17" spans="1:14" x14ac:dyDescent="0.25">
      <c r="A17" s="53" t="s">
        <v>59</v>
      </c>
      <c r="B17" s="62" t="s">
        <v>60</v>
      </c>
      <c r="C17" s="246">
        <f>'6.1 műv ház'!C17+'6.2 HH'!C17+'6.3 könyvtár'!C17+'6.4 sportcsarnok'!C17+'6.5 pályázat_1'!C17</f>
        <v>0</v>
      </c>
      <c r="D17" s="246">
        <f>'6.1 műv ház'!D17+'6.2 HH'!D17+'6.3 könyvtár'!D17+'6.4 sportcsarnok'!D17+'6.5 pályázat_1'!D17</f>
        <v>0</v>
      </c>
      <c r="E17" s="246">
        <f>'6.1 műv ház'!E17+'6.2 HH'!E17+'6.3 könyvtár'!E17+'6.4 sportcsarnok'!E17+'6.5 pályázat_1'!E17</f>
        <v>0</v>
      </c>
      <c r="F17" s="246">
        <f>'6.1 műv ház'!F17+'6.2 HH'!F17+'6.3 könyvtár'!F17+'6.4 sportcsarnok'!F17+'6.5 pályázat_1'!F17</f>
        <v>0</v>
      </c>
      <c r="G17" s="246">
        <f>'6.1 műv ház'!G17+'6.2 HH'!G17+'6.3 könyvtár'!G17+'6.4 sportcsarnok'!G17+'6.5 pályázat_1'!G17</f>
        <v>0</v>
      </c>
      <c r="H17" s="246">
        <f>'6.1 műv ház'!H17+'6.2 HH'!H17+'6.3 könyvtár'!H17+'6.4 sportcsarnok'!H17+'6.5 pályázat_1'!H17</f>
        <v>0</v>
      </c>
      <c r="I17" s="246">
        <f>'6.1 műv ház'!I17+'6.2 HH'!I17+'6.3 könyvtár'!I17+'6.4 sportcsarnok'!I17+'6.5 pályázat_1'!I17</f>
        <v>0</v>
      </c>
      <c r="J17" s="246">
        <f>'6.1 műv ház'!J17+'6.2 HH'!J17+'6.3 könyvtár'!J17+'6.4 sportcsarnok'!J17+'6.5 pályázat_1'!J17</f>
        <v>0</v>
      </c>
      <c r="K17" s="316">
        <f>'6.1 műv ház'!K17+'6.2 HH'!K17+'6.3 könyvtár'!K17+'6.4 sportcsarnok'!K17+'6.5 pályázat_1'!K17</f>
        <v>0</v>
      </c>
      <c r="L17" s="246">
        <f>'6.1 műv ház'!L17+'6.2 HH'!L17+'6.3 könyvtár'!L17+'6.4 sportcsarnok'!L17+'6.5 pályázat_1'!L17</f>
        <v>0</v>
      </c>
      <c r="M17" s="246">
        <f>'6.1 műv ház'!M17+'6.2 HH'!M17+'6.3 könyvtár'!M17+'6.4 sportcsarnok'!M17+'6.5 pályázat_1'!M17</f>
        <v>0</v>
      </c>
      <c r="N17" s="316">
        <f>'6.1 műv ház'!N17+'6.2 HH'!N17+'6.3 könyvtár'!N17+'6.4 sportcsarnok'!N17+'6.5 pályázat_1'!N17</f>
        <v>0</v>
      </c>
    </row>
    <row r="18" spans="1:14" x14ac:dyDescent="0.25">
      <c r="A18" s="53" t="s">
        <v>61</v>
      </c>
      <c r="B18" s="62" t="s">
        <v>62</v>
      </c>
      <c r="C18" s="246">
        <f>'6.1 műv ház'!C18+'6.2 HH'!C18+'6.3 könyvtár'!C18+'6.4 sportcsarnok'!C18+'6.5 pályázat_1'!C18</f>
        <v>0</v>
      </c>
      <c r="D18" s="246">
        <f>'6.1 műv ház'!D18+'6.2 HH'!D18+'6.3 könyvtár'!D18+'6.4 sportcsarnok'!D18+'6.5 pályázat_1'!D18</f>
        <v>0</v>
      </c>
      <c r="E18" s="246">
        <f>'6.1 műv ház'!E18+'6.2 HH'!E18+'6.3 könyvtár'!E18+'6.4 sportcsarnok'!E18+'6.5 pályázat_1'!E18</f>
        <v>0</v>
      </c>
      <c r="F18" s="246">
        <f>'6.1 műv ház'!F18+'6.2 HH'!F18+'6.3 könyvtár'!F18+'6.4 sportcsarnok'!F18+'6.5 pályázat_1'!F18</f>
        <v>0</v>
      </c>
      <c r="G18" s="246">
        <f>'6.1 műv ház'!G18+'6.2 HH'!G18+'6.3 könyvtár'!G18+'6.4 sportcsarnok'!G18+'6.5 pályázat_1'!G18</f>
        <v>0</v>
      </c>
      <c r="H18" s="246">
        <f>'6.1 műv ház'!H18+'6.2 HH'!H18+'6.3 könyvtár'!H18+'6.4 sportcsarnok'!H18+'6.5 pályázat_1'!H18</f>
        <v>0</v>
      </c>
      <c r="I18" s="246">
        <f>'6.1 műv ház'!I18+'6.2 HH'!I18+'6.3 könyvtár'!I18+'6.4 sportcsarnok'!I18+'6.5 pályázat_1'!I18</f>
        <v>0</v>
      </c>
      <c r="J18" s="246">
        <f>'6.1 műv ház'!J18+'6.2 HH'!J18+'6.3 könyvtár'!J18+'6.4 sportcsarnok'!J18+'6.5 pályázat_1'!J18</f>
        <v>0</v>
      </c>
      <c r="K18" s="316">
        <f>'6.1 műv ház'!K18+'6.2 HH'!K18+'6.3 könyvtár'!K18+'6.4 sportcsarnok'!K18+'6.5 pályázat_1'!K18</f>
        <v>0</v>
      </c>
      <c r="L18" s="246">
        <f>'6.1 műv ház'!L18+'6.2 HH'!L18+'6.3 könyvtár'!L18+'6.4 sportcsarnok'!L18+'6.5 pályázat_1'!L18</f>
        <v>0</v>
      </c>
      <c r="M18" s="246">
        <f>'6.1 műv ház'!M18+'6.2 HH'!M18+'6.3 könyvtár'!M18+'6.4 sportcsarnok'!M18+'6.5 pályázat_1'!M18</f>
        <v>0</v>
      </c>
      <c r="N18" s="316">
        <f>'6.1 műv ház'!N18+'6.2 HH'!N18+'6.3 könyvtár'!N18+'6.4 sportcsarnok'!N18+'6.5 pályázat_1'!N18</f>
        <v>0</v>
      </c>
    </row>
    <row r="19" spans="1:14" x14ac:dyDescent="0.25">
      <c r="A19" s="55" t="s">
        <v>266</v>
      </c>
      <c r="B19" s="64" t="s">
        <v>267</v>
      </c>
      <c r="C19" s="246">
        <f>'6.1 műv ház'!C19+'6.2 HH'!C19+'6.3 könyvtár'!C19+'6.4 sportcsarnok'!C19+'6.5 pályázat_1'!C19</f>
        <v>0</v>
      </c>
      <c r="D19" s="246">
        <f>'6.1 műv ház'!D19+'6.2 HH'!D19+'6.3 könyvtár'!D19+'6.4 sportcsarnok'!D19+'6.5 pályázat_1'!D19</f>
        <v>0</v>
      </c>
      <c r="E19" s="246">
        <f>'6.1 műv ház'!E19+'6.2 HH'!E19+'6.3 könyvtár'!E19+'6.4 sportcsarnok'!E19+'6.5 pályázat_1'!E19</f>
        <v>0</v>
      </c>
      <c r="F19" s="246">
        <f>'6.1 műv ház'!F19+'6.2 HH'!F19+'6.3 könyvtár'!F19+'6.4 sportcsarnok'!F19+'6.5 pályázat_1'!F19</f>
        <v>0</v>
      </c>
      <c r="G19" s="246">
        <f>'6.1 műv ház'!G19+'6.2 HH'!G19+'6.3 könyvtár'!G19+'6.4 sportcsarnok'!G19+'6.5 pályázat_1'!G19</f>
        <v>0</v>
      </c>
      <c r="H19" s="246">
        <f>'6.1 műv ház'!H19+'6.2 HH'!H19+'6.3 könyvtár'!H19+'6.4 sportcsarnok'!H19+'6.5 pályázat_1'!H19</f>
        <v>0</v>
      </c>
      <c r="I19" s="246">
        <f>'6.1 műv ház'!I19+'6.2 HH'!I19+'6.3 könyvtár'!I19+'6.4 sportcsarnok'!I19+'6.5 pályázat_1'!I19</f>
        <v>0</v>
      </c>
      <c r="J19" s="246">
        <f>'6.1 műv ház'!J19+'6.2 HH'!J19+'6.3 könyvtár'!J19+'6.4 sportcsarnok'!J19+'6.5 pályázat_1'!J19</f>
        <v>0</v>
      </c>
      <c r="K19" s="316">
        <f>'6.1 műv ház'!K19+'6.2 HH'!K19+'6.3 könyvtár'!K19+'6.4 sportcsarnok'!K19+'6.5 pályázat_1'!K19</f>
        <v>0</v>
      </c>
      <c r="L19" s="246">
        <f>'6.1 műv ház'!L19+'6.2 HH'!L19+'6.3 könyvtár'!L19+'6.4 sportcsarnok'!L19+'6.5 pályázat_1'!L19</f>
        <v>0</v>
      </c>
      <c r="M19" s="246">
        <f>'6.1 műv ház'!M19+'6.2 HH'!M19+'6.3 könyvtár'!M19+'6.4 sportcsarnok'!M19+'6.5 pályázat_1'!M19</f>
        <v>0</v>
      </c>
      <c r="N19" s="316">
        <f>'6.1 műv ház'!N19+'6.2 HH'!N19+'6.3 könyvtár'!N19+'6.4 sportcsarnok'!N19+'6.5 pályázat_1'!N19</f>
        <v>0</v>
      </c>
    </row>
    <row r="20" spans="1:14" x14ac:dyDescent="0.25">
      <c r="A20" s="55" t="s">
        <v>63</v>
      </c>
      <c r="B20" s="64" t="s">
        <v>64</v>
      </c>
      <c r="C20" s="246">
        <f>'6.1 műv ház'!C20+'6.2 HH'!C20+'6.3 könyvtár'!C20+'6.4 sportcsarnok'!C20+'6.5 pályázat_1'!C20</f>
        <v>0</v>
      </c>
      <c r="D20" s="246">
        <f>'6.1 műv ház'!D20+'6.2 HH'!D20+'6.3 könyvtár'!D20+'6.4 sportcsarnok'!D20+'6.5 pályázat_1'!D20</f>
        <v>0</v>
      </c>
      <c r="E20" s="246">
        <f>'6.1 műv ház'!E20+'6.2 HH'!E20+'6.3 könyvtár'!E20+'6.4 sportcsarnok'!E20+'6.5 pályázat_1'!E20</f>
        <v>0</v>
      </c>
      <c r="F20" s="246">
        <f>'6.1 műv ház'!F20+'6.2 HH'!F20+'6.3 könyvtár'!F20+'6.4 sportcsarnok'!F20+'6.5 pályázat_1'!F20</f>
        <v>0</v>
      </c>
      <c r="G20" s="246">
        <f>'6.1 műv ház'!G20+'6.2 HH'!G20+'6.3 könyvtár'!G20+'6.4 sportcsarnok'!G20+'6.5 pályázat_1'!G20</f>
        <v>0</v>
      </c>
      <c r="H20" s="246">
        <f>'6.1 műv ház'!H20+'6.2 HH'!H20+'6.3 könyvtár'!H20+'6.4 sportcsarnok'!H20+'6.5 pályázat_1'!H20</f>
        <v>0</v>
      </c>
      <c r="I20" s="246">
        <f>'6.1 műv ház'!I20+'6.2 HH'!I20+'6.3 könyvtár'!I20+'6.4 sportcsarnok'!I20+'6.5 pályázat_1'!I20</f>
        <v>0</v>
      </c>
      <c r="J20" s="246">
        <f>'6.1 műv ház'!J20+'6.2 HH'!J20+'6.3 könyvtár'!J20+'6.4 sportcsarnok'!J20+'6.5 pályázat_1'!J20</f>
        <v>0</v>
      </c>
      <c r="K20" s="316">
        <f>'6.1 műv ház'!K20+'6.2 HH'!K20+'6.3 könyvtár'!K20+'6.4 sportcsarnok'!K20+'6.5 pályázat_1'!K20</f>
        <v>0</v>
      </c>
      <c r="L20" s="246">
        <f>'6.1 műv ház'!L20+'6.2 HH'!L20+'6.3 könyvtár'!L20+'6.4 sportcsarnok'!L20+'6.5 pályázat_1'!L20</f>
        <v>0</v>
      </c>
      <c r="M20" s="246">
        <f>'6.1 műv ház'!M20+'6.2 HH'!M20+'6.3 könyvtár'!M20+'6.4 sportcsarnok'!M20+'6.5 pályázat_1'!M20</f>
        <v>0</v>
      </c>
      <c r="N20" s="316">
        <f>'6.1 műv ház'!N20+'6.2 HH'!N20+'6.3 könyvtár'!N20+'6.4 sportcsarnok'!N20+'6.5 pályázat_1'!N20</f>
        <v>0</v>
      </c>
    </row>
    <row r="21" spans="1:14" ht="15.75" thickBot="1" x14ac:dyDescent="0.3">
      <c r="A21" s="55" t="s">
        <v>65</v>
      </c>
      <c r="B21" s="64" t="s">
        <v>66</v>
      </c>
      <c r="C21" s="248">
        <f>'6.1 műv ház'!C21+'6.2 HH'!C21+'6.3 könyvtár'!C21+'6.4 sportcsarnok'!C21+'6.5 pályázat_1'!C21</f>
        <v>1932315</v>
      </c>
      <c r="D21" s="248">
        <f>'6.1 műv ház'!D21+'6.2 HH'!D21+'6.3 könyvtár'!D21+'6.4 sportcsarnok'!D21+'6.5 pályázat_1'!D21</f>
        <v>0</v>
      </c>
      <c r="E21" s="248">
        <f>'6.1 műv ház'!E21+'6.2 HH'!E21+'6.3 könyvtár'!E21+'6.4 sportcsarnok'!E21+'6.5 pályázat_1'!E21</f>
        <v>1932315</v>
      </c>
      <c r="F21" s="248">
        <f>'6.1 műv ház'!F21+'6.2 HH'!F21+'6.3 könyvtár'!F21+'6.4 sportcsarnok'!F21+'6.5 pályázat_1'!F21</f>
        <v>1932315</v>
      </c>
      <c r="G21" s="248">
        <f>'6.1 műv ház'!G21+'6.2 HH'!G21+'6.3 könyvtár'!G21+'6.4 sportcsarnok'!G21+'6.5 pályázat_1'!G21</f>
        <v>0</v>
      </c>
      <c r="H21" s="248">
        <f>'6.1 műv ház'!H21+'6.2 HH'!H21+'6.3 könyvtár'!H21+'6.4 sportcsarnok'!H21+'6.5 pályázat_1'!H21</f>
        <v>1932315</v>
      </c>
      <c r="I21" s="248">
        <f>'6.1 műv ház'!I21+'6.2 HH'!I21+'6.3 könyvtár'!I21+'6.4 sportcsarnok'!I21+'6.5 pályázat_1'!I21</f>
        <v>1932315</v>
      </c>
      <c r="J21" s="248">
        <f>'6.1 műv ház'!J21+'6.2 HH'!J21+'6.3 könyvtár'!J21+'6.4 sportcsarnok'!J21+'6.5 pályázat_1'!J21</f>
        <v>0</v>
      </c>
      <c r="K21" s="317">
        <f>'6.1 műv ház'!K21+'6.2 HH'!K21+'6.3 könyvtár'!K21+'6.4 sportcsarnok'!K21+'6.5 pályázat_1'!K21</f>
        <v>1932315</v>
      </c>
      <c r="L21" s="248">
        <f>'6.1 műv ház'!L21+'6.2 HH'!L21+'6.3 könyvtár'!L21+'6.4 sportcsarnok'!L21+'6.5 pályázat_1'!L21</f>
        <v>1781829</v>
      </c>
      <c r="M21" s="248">
        <f>'6.1 műv ház'!M21+'6.2 HH'!M21+'6.3 könyvtár'!M21+'6.4 sportcsarnok'!M21+'6.5 pályázat_1'!M21</f>
        <v>0</v>
      </c>
      <c r="N21" s="317">
        <f>'6.1 műv ház'!N21+'6.2 HH'!N21+'6.3 könyvtár'!N21+'6.4 sportcsarnok'!N21+'6.5 pályázat_1'!N21</f>
        <v>1781829</v>
      </c>
    </row>
    <row r="22" spans="1:14" x14ac:dyDescent="0.25">
      <c r="A22" s="75" t="s">
        <v>67</v>
      </c>
      <c r="B22" s="49" t="s">
        <v>27</v>
      </c>
      <c r="C22" s="244">
        <f>'6.1 műv ház'!C22+'6.2 HH'!C22+'6.3 könyvtár'!C22+'6.4 sportcsarnok'!C22+'6.5 pályázat_1'!C22</f>
        <v>0</v>
      </c>
      <c r="D22" s="244">
        <f>'6.1 műv ház'!D22+'6.2 HH'!D22+'6.3 könyvtár'!D22+'6.4 sportcsarnok'!D22+'6.5 pályázat_1'!D22</f>
        <v>0</v>
      </c>
      <c r="E22" s="244">
        <f>'6.1 műv ház'!E22+'6.2 HH'!E22+'6.3 könyvtár'!E22+'6.4 sportcsarnok'!E22+'6.5 pályázat_1'!E22</f>
        <v>0</v>
      </c>
      <c r="F22" s="244">
        <f>'6.1 műv ház'!F22+'6.2 HH'!F22+'6.3 könyvtár'!F22+'6.4 sportcsarnok'!F22+'6.5 pályázat_1'!F22</f>
        <v>0</v>
      </c>
      <c r="G22" s="244">
        <f>'6.1 műv ház'!G22+'6.2 HH'!G22+'6.3 könyvtár'!G22+'6.4 sportcsarnok'!G22+'6.5 pályázat_1'!G22</f>
        <v>0</v>
      </c>
      <c r="H22" s="244">
        <f>'6.1 műv ház'!H22+'6.2 HH'!H22+'6.3 könyvtár'!H22+'6.4 sportcsarnok'!H22+'6.5 pályázat_1'!H22</f>
        <v>0</v>
      </c>
      <c r="I22" s="244">
        <f>'6.1 műv ház'!I22+'6.2 HH'!I22+'6.3 könyvtár'!I22+'6.4 sportcsarnok'!I22+'6.5 pályázat_1'!I22</f>
        <v>0</v>
      </c>
      <c r="J22" s="244">
        <f>'6.1 műv ház'!J22+'6.2 HH'!J22+'6.3 könyvtár'!J22+'6.4 sportcsarnok'!J22+'6.5 pályázat_1'!J22</f>
        <v>0</v>
      </c>
      <c r="K22" s="365">
        <f>'6.1 műv ház'!K22+'6.2 HH'!K22+'6.3 könyvtár'!K22+'6.4 sportcsarnok'!K22+'6.5 pályázat_1'!K22</f>
        <v>0</v>
      </c>
      <c r="L22" s="244">
        <f>'6.1 műv ház'!L22+'6.2 HH'!L22+'6.3 könyvtár'!L22+'6.4 sportcsarnok'!L22+'6.5 pályázat_1'!L22</f>
        <v>0</v>
      </c>
      <c r="M22" s="244">
        <f>'6.1 műv ház'!M22+'6.2 HH'!M22+'6.3 könyvtár'!M22+'6.4 sportcsarnok'!M22+'6.5 pályázat_1'!M22</f>
        <v>0</v>
      </c>
      <c r="N22" s="365">
        <f>'6.1 műv ház'!N22+'6.2 HH'!N22+'6.3 könyvtár'!N22+'6.4 sportcsarnok'!N22+'6.5 pályázat_1'!N22</f>
        <v>0</v>
      </c>
    </row>
    <row r="23" spans="1:14" hidden="1" x14ac:dyDescent="0.25">
      <c r="A23" s="76"/>
      <c r="B23" s="54" t="s">
        <v>268</v>
      </c>
      <c r="C23" s="246">
        <f>'6.1 műv ház'!C23+'6.2 HH'!C23+'6.3 könyvtár'!C23+'6.4 sportcsarnok'!C23+'6.5 pályázat_1'!C23</f>
        <v>0</v>
      </c>
      <c r="D23" s="246">
        <f>'6.1 műv ház'!D23+'6.2 HH'!D23+'6.3 könyvtár'!D23+'6.4 sportcsarnok'!D23+'6.5 pályázat_1'!D23</f>
        <v>0</v>
      </c>
      <c r="E23" s="246">
        <f>'6.1 műv ház'!E23+'6.2 HH'!E23+'6.3 könyvtár'!E23+'6.4 sportcsarnok'!E23+'6.5 pályázat_1'!E23</f>
        <v>0</v>
      </c>
      <c r="F23" s="246">
        <f>'6.1 műv ház'!F23+'6.2 HH'!F23+'6.3 könyvtár'!F23+'6.4 sportcsarnok'!F23+'6.5 pályázat_1'!F23</f>
        <v>0</v>
      </c>
      <c r="G23" s="246">
        <f>'6.1 műv ház'!G23+'6.2 HH'!G23+'6.3 könyvtár'!G23+'6.4 sportcsarnok'!G23+'6.5 pályázat_1'!G23</f>
        <v>0</v>
      </c>
      <c r="H23" s="246">
        <f>'6.1 műv ház'!H23+'6.2 HH'!H23+'6.3 könyvtár'!H23+'6.4 sportcsarnok'!H23+'6.5 pályázat_1'!H23</f>
        <v>0</v>
      </c>
      <c r="I23" s="246">
        <f>'6.1 műv ház'!I23+'6.2 HH'!I23+'6.3 könyvtár'!I23+'6.4 sportcsarnok'!I23+'6.5 pályázat_1'!I23</f>
        <v>0</v>
      </c>
      <c r="J23" s="246">
        <f>'6.1 műv ház'!J23+'6.2 HH'!J23+'6.3 könyvtár'!J23+'6.4 sportcsarnok'!J23+'6.5 pályázat_1'!J23</f>
        <v>0</v>
      </c>
      <c r="K23" s="316">
        <f>'6.1 műv ház'!K23+'6.2 HH'!K23+'6.3 könyvtár'!K23+'6.4 sportcsarnok'!K23+'6.5 pályázat_1'!K23</f>
        <v>0</v>
      </c>
      <c r="L23" s="246">
        <f>'6.1 műv ház'!L23+'6.2 HH'!L23+'6.3 könyvtár'!L23+'6.4 sportcsarnok'!L23+'6.5 pályázat_1'!L23</f>
        <v>0</v>
      </c>
      <c r="M23" s="246">
        <f>'6.1 műv ház'!M23+'6.2 HH'!M23+'6.3 könyvtár'!M23+'6.4 sportcsarnok'!M23+'6.5 pályázat_1'!M23</f>
        <v>0</v>
      </c>
      <c r="N23" s="316">
        <f>'6.1 műv ház'!N23+'6.2 HH'!N23+'6.3 könyvtár'!N23+'6.4 sportcsarnok'!N23+'6.5 pályázat_1'!N23</f>
        <v>0</v>
      </c>
    </row>
    <row r="24" spans="1:14" ht="15.75" hidden="1" thickBot="1" x14ac:dyDescent="0.3">
      <c r="A24" s="77"/>
      <c r="B24" s="74" t="s">
        <v>269</v>
      </c>
      <c r="C24" s="248">
        <f>'6.1 műv ház'!C24+'6.2 HH'!C24+'6.3 könyvtár'!C24+'6.4 sportcsarnok'!C24+'6.5 pályázat_1'!C24</f>
        <v>0</v>
      </c>
      <c r="D24" s="248">
        <f>'6.1 műv ház'!D24+'6.2 HH'!D24+'6.3 könyvtár'!D24+'6.4 sportcsarnok'!D24+'6.5 pályázat_1'!D24</f>
        <v>0</v>
      </c>
      <c r="E24" s="248">
        <f>'6.1 műv ház'!E24+'6.2 HH'!E24+'6.3 könyvtár'!E24+'6.4 sportcsarnok'!E24+'6.5 pályázat_1'!E24</f>
        <v>0</v>
      </c>
      <c r="F24" s="248">
        <f>'6.1 műv ház'!F24+'6.2 HH'!F24+'6.3 könyvtár'!F24+'6.4 sportcsarnok'!F24+'6.5 pályázat_1'!F24</f>
        <v>0</v>
      </c>
      <c r="G24" s="248">
        <f>'6.1 műv ház'!G24+'6.2 HH'!G24+'6.3 könyvtár'!G24+'6.4 sportcsarnok'!G24+'6.5 pályázat_1'!G24</f>
        <v>0</v>
      </c>
      <c r="H24" s="248">
        <f>'6.1 műv ház'!H24+'6.2 HH'!H24+'6.3 könyvtár'!H24+'6.4 sportcsarnok'!H24+'6.5 pályázat_1'!H24</f>
        <v>0</v>
      </c>
      <c r="I24" s="248">
        <f>'6.1 műv ház'!I24+'6.2 HH'!I24+'6.3 könyvtár'!I24+'6.4 sportcsarnok'!I24+'6.5 pályázat_1'!I24</f>
        <v>0</v>
      </c>
      <c r="J24" s="248">
        <f>'6.1 műv ház'!J24+'6.2 HH'!J24+'6.3 könyvtár'!J24+'6.4 sportcsarnok'!J24+'6.5 pályázat_1'!J24</f>
        <v>0</v>
      </c>
      <c r="K24" s="317">
        <f>'6.1 műv ház'!K24+'6.2 HH'!K24+'6.3 könyvtár'!K24+'6.4 sportcsarnok'!K24+'6.5 pályázat_1'!K24</f>
        <v>0</v>
      </c>
      <c r="L24" s="248">
        <f>'6.1 műv ház'!L24+'6.2 HH'!L24+'6.3 könyvtár'!L24+'6.4 sportcsarnok'!L24+'6.5 pályázat_1'!L24</f>
        <v>0</v>
      </c>
      <c r="M24" s="248">
        <f>'6.1 műv ház'!M24+'6.2 HH'!M24+'6.3 könyvtár'!M24+'6.4 sportcsarnok'!M24+'6.5 pályázat_1'!M24</f>
        <v>0</v>
      </c>
      <c r="N24" s="317">
        <f>'6.1 műv ház'!N24+'6.2 HH'!N24+'6.3 könyvtár'!N24+'6.4 sportcsarnok'!N24+'6.5 pályázat_1'!N24</f>
        <v>0</v>
      </c>
    </row>
    <row r="25" spans="1:14" ht="15.75" thickBot="1" x14ac:dyDescent="0.3">
      <c r="A25" s="57" t="s">
        <v>68</v>
      </c>
      <c r="B25" s="68" t="s">
        <v>25</v>
      </c>
      <c r="C25" s="244">
        <f>'6.1 műv ház'!C25+'6.2 HH'!C25+'6.3 könyvtár'!C25+'6.4 sportcsarnok'!C25+'6.5 pályázat_1'!C25</f>
        <v>0</v>
      </c>
      <c r="D25" s="244">
        <f>'6.1 műv ház'!D25+'6.2 HH'!D25+'6.3 könyvtár'!D25+'6.4 sportcsarnok'!D25+'6.5 pályázat_1'!D25</f>
        <v>0</v>
      </c>
      <c r="E25" s="244">
        <f>'6.1 műv ház'!E25+'6.2 HH'!E25+'6.3 könyvtár'!E25+'6.4 sportcsarnok'!E25+'6.5 pályázat_1'!E25</f>
        <v>0</v>
      </c>
      <c r="F25" s="244">
        <f>'6.1 műv ház'!F25+'6.2 HH'!F25+'6.3 könyvtár'!F25+'6.4 sportcsarnok'!F25+'6.5 pályázat_1'!F25</f>
        <v>0</v>
      </c>
      <c r="G25" s="244">
        <f>'6.1 műv ház'!G25+'6.2 HH'!G25+'6.3 könyvtár'!G25+'6.4 sportcsarnok'!G25+'6.5 pályázat_1'!G25</f>
        <v>0</v>
      </c>
      <c r="H25" s="244">
        <f>'6.1 műv ház'!H25+'6.2 HH'!H25+'6.3 könyvtár'!H25+'6.4 sportcsarnok'!H25+'6.5 pályázat_1'!H25</f>
        <v>0</v>
      </c>
      <c r="I25" s="244">
        <f>'6.1 műv ház'!I25+'6.2 HH'!I25+'6.3 könyvtár'!I25+'6.4 sportcsarnok'!I25+'6.5 pályázat_1'!I25</f>
        <v>0</v>
      </c>
      <c r="J25" s="244">
        <f>'6.1 műv ház'!J25+'6.2 HH'!J25+'6.3 könyvtár'!J25+'6.4 sportcsarnok'!J25+'6.5 pályázat_1'!J25</f>
        <v>0</v>
      </c>
      <c r="K25" s="365">
        <f>'6.1 műv ház'!K25+'6.2 HH'!K25+'6.3 könyvtár'!K25+'6.4 sportcsarnok'!K25+'6.5 pályázat_1'!K25</f>
        <v>0</v>
      </c>
      <c r="L25" s="244">
        <f>'6.1 műv ház'!L25+'6.2 HH'!L25+'6.3 könyvtár'!L25+'6.4 sportcsarnok'!L25+'6.5 pályázat_1'!L25</f>
        <v>0</v>
      </c>
      <c r="M25" s="244">
        <f>'6.1 műv ház'!M25+'6.2 HH'!M25+'6.3 könyvtár'!M25+'6.4 sportcsarnok'!M25+'6.5 pályázat_1'!M25</f>
        <v>0</v>
      </c>
      <c r="N25" s="365">
        <f>'6.1 műv ház'!N25+'6.2 HH'!N25+'6.3 könyvtár'!N25+'6.4 sportcsarnok'!N25+'6.5 pályázat_1'!N25</f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'6.1 műv ház'!C26+'6.2 HH'!C26+'6.3 könyvtár'!C26+'6.4 sportcsarnok'!C26+'6.5 pályázat_1'!C26</f>
        <v>0</v>
      </c>
      <c r="D26" s="246">
        <f>'6.1 műv ház'!D26+'6.2 HH'!D26+'6.3 könyvtár'!D26+'6.4 sportcsarnok'!D26+'6.5 pályázat_1'!D26</f>
        <v>0</v>
      </c>
      <c r="E26" s="246">
        <f>'6.1 műv ház'!E26+'6.2 HH'!E26+'6.3 könyvtár'!E26+'6.4 sportcsarnok'!E26+'6.5 pályázat_1'!E26</f>
        <v>0</v>
      </c>
      <c r="F26" s="246">
        <f>'6.1 műv ház'!F26+'6.2 HH'!F26+'6.3 könyvtár'!F26+'6.4 sportcsarnok'!F26+'6.5 pályázat_1'!F26</f>
        <v>0</v>
      </c>
      <c r="G26" s="246">
        <f>'6.1 műv ház'!G26+'6.2 HH'!G26+'6.3 könyvtár'!G26+'6.4 sportcsarnok'!G26+'6.5 pályázat_1'!G26</f>
        <v>0</v>
      </c>
      <c r="H26" s="246">
        <f>'6.1 műv ház'!H26+'6.2 HH'!H26+'6.3 könyvtár'!H26+'6.4 sportcsarnok'!H26+'6.5 pályázat_1'!H26</f>
        <v>0</v>
      </c>
      <c r="I26" s="246">
        <f>'6.1 műv ház'!I26+'6.2 HH'!I26+'6.3 könyvtár'!I26+'6.4 sportcsarnok'!I26+'6.5 pályázat_1'!I26</f>
        <v>0</v>
      </c>
      <c r="J26" s="246">
        <f>'6.1 műv ház'!J26+'6.2 HH'!J26+'6.3 könyvtár'!J26+'6.4 sportcsarnok'!J26+'6.5 pályázat_1'!J26</f>
        <v>0</v>
      </c>
      <c r="K26" s="316">
        <f>'6.1 műv ház'!K26+'6.2 HH'!K26+'6.3 könyvtár'!K26+'6.4 sportcsarnok'!K26+'6.5 pályázat_1'!K26</f>
        <v>0</v>
      </c>
      <c r="L26" s="246">
        <f>'6.1 műv ház'!L26+'6.2 HH'!L26+'6.3 könyvtár'!L26+'6.4 sportcsarnok'!L26+'6.5 pályázat_1'!L26</f>
        <v>0</v>
      </c>
      <c r="M26" s="246">
        <f>'6.1 műv ház'!M26+'6.2 HH'!M26+'6.3 könyvtár'!M26+'6.4 sportcsarnok'!M26+'6.5 pályázat_1'!M26</f>
        <v>0</v>
      </c>
      <c r="N26" s="316">
        <f>'6.1 műv ház'!N26+'6.2 HH'!N26+'6.3 könyvtár'!N26+'6.4 sportcsarnok'!N26+'6.5 pályázat_1'!N26</f>
        <v>0</v>
      </c>
    </row>
    <row r="27" spans="1:14" ht="15.75" hidden="1" thickBot="1" x14ac:dyDescent="0.3">
      <c r="A27" s="53"/>
      <c r="B27" s="62" t="s">
        <v>71</v>
      </c>
      <c r="C27" s="246">
        <f>'6.1 műv ház'!C27+'6.2 HH'!C27+'6.3 könyvtár'!C27+'6.4 sportcsarnok'!C27+'6.5 pályázat_1'!C27</f>
        <v>0</v>
      </c>
      <c r="D27" s="246">
        <f>'6.1 műv ház'!D27+'6.2 HH'!D27+'6.3 könyvtár'!D27+'6.4 sportcsarnok'!D27+'6.5 pályázat_1'!D27</f>
        <v>0</v>
      </c>
      <c r="E27" s="246">
        <f>'6.1 műv ház'!E27+'6.2 HH'!E27+'6.3 könyvtár'!E27+'6.4 sportcsarnok'!E27+'6.5 pályázat_1'!E27</f>
        <v>0</v>
      </c>
      <c r="F27" s="246">
        <f>'6.1 műv ház'!F27+'6.2 HH'!F27+'6.3 könyvtár'!F27+'6.4 sportcsarnok'!F27+'6.5 pályázat_1'!F27</f>
        <v>0</v>
      </c>
      <c r="G27" s="246">
        <f>'6.1 műv ház'!G27+'6.2 HH'!G27+'6.3 könyvtár'!G27+'6.4 sportcsarnok'!G27+'6.5 pályázat_1'!G27</f>
        <v>0</v>
      </c>
      <c r="H27" s="246">
        <f>'6.1 műv ház'!H27+'6.2 HH'!H27+'6.3 könyvtár'!H27+'6.4 sportcsarnok'!H27+'6.5 pályázat_1'!H27</f>
        <v>0</v>
      </c>
      <c r="I27" s="246">
        <f>'6.1 műv ház'!I27+'6.2 HH'!I27+'6.3 könyvtár'!I27+'6.4 sportcsarnok'!I27+'6.5 pályázat_1'!I27</f>
        <v>0</v>
      </c>
      <c r="J27" s="246">
        <f>'6.1 műv ház'!J27+'6.2 HH'!J27+'6.3 könyvtár'!J27+'6.4 sportcsarnok'!J27+'6.5 pályázat_1'!J27</f>
        <v>0</v>
      </c>
      <c r="K27" s="316">
        <f>'6.1 műv ház'!K27+'6.2 HH'!K27+'6.3 könyvtár'!K27+'6.4 sportcsarnok'!K27+'6.5 pályázat_1'!K27</f>
        <v>0</v>
      </c>
      <c r="L27" s="246">
        <f>'6.1 műv ház'!L27+'6.2 HH'!L27+'6.3 könyvtár'!L27+'6.4 sportcsarnok'!L27+'6.5 pályázat_1'!L27</f>
        <v>0</v>
      </c>
      <c r="M27" s="246">
        <f>'6.1 műv ház'!M27+'6.2 HH'!M27+'6.3 könyvtár'!M27+'6.4 sportcsarnok'!M27+'6.5 pályázat_1'!M27</f>
        <v>0</v>
      </c>
      <c r="N27" s="316">
        <f>'6.1 műv ház'!N27+'6.2 HH'!N27+'6.3 könyvtár'!N27+'6.4 sportcsarnok'!N27+'6.5 pályázat_1'!N27</f>
        <v>0</v>
      </c>
    </row>
    <row r="28" spans="1:14" ht="15.75" hidden="1" thickBot="1" x14ac:dyDescent="0.3">
      <c r="A28" s="53"/>
      <c r="B28" s="62" t="s">
        <v>72</v>
      </c>
      <c r="C28" s="246">
        <f>'6.1 műv ház'!C28+'6.2 HH'!C28+'6.3 könyvtár'!C28+'6.4 sportcsarnok'!C28+'6.5 pályázat_1'!C28</f>
        <v>0</v>
      </c>
      <c r="D28" s="246">
        <f>'6.1 műv ház'!D28+'6.2 HH'!D28+'6.3 könyvtár'!D28+'6.4 sportcsarnok'!D28+'6.5 pályázat_1'!D28</f>
        <v>0</v>
      </c>
      <c r="E28" s="246">
        <f>'6.1 műv ház'!E28+'6.2 HH'!E28+'6.3 könyvtár'!E28+'6.4 sportcsarnok'!E28+'6.5 pályázat_1'!E28</f>
        <v>0</v>
      </c>
      <c r="F28" s="246">
        <f>'6.1 műv ház'!F28+'6.2 HH'!F28+'6.3 könyvtár'!F28+'6.4 sportcsarnok'!F28+'6.5 pályázat_1'!F28</f>
        <v>0</v>
      </c>
      <c r="G28" s="246">
        <f>'6.1 műv ház'!G28+'6.2 HH'!G28+'6.3 könyvtár'!G28+'6.4 sportcsarnok'!G28+'6.5 pályázat_1'!G28</f>
        <v>0</v>
      </c>
      <c r="H28" s="246">
        <f>'6.1 műv ház'!H28+'6.2 HH'!H28+'6.3 könyvtár'!H28+'6.4 sportcsarnok'!H28+'6.5 pályázat_1'!H28</f>
        <v>0</v>
      </c>
      <c r="I28" s="246">
        <f>'6.1 műv ház'!I28+'6.2 HH'!I28+'6.3 könyvtár'!I28+'6.4 sportcsarnok'!I28+'6.5 pályázat_1'!I28</f>
        <v>0</v>
      </c>
      <c r="J28" s="246">
        <f>'6.1 műv ház'!J28+'6.2 HH'!J28+'6.3 könyvtár'!J28+'6.4 sportcsarnok'!J28+'6.5 pályázat_1'!J28</f>
        <v>0</v>
      </c>
      <c r="K28" s="316">
        <f>'6.1 műv ház'!K28+'6.2 HH'!K28+'6.3 könyvtár'!K28+'6.4 sportcsarnok'!K28+'6.5 pályázat_1'!K28</f>
        <v>0</v>
      </c>
      <c r="L28" s="246">
        <f>'6.1 műv ház'!L28+'6.2 HH'!L28+'6.3 könyvtár'!L28+'6.4 sportcsarnok'!L28+'6.5 pályázat_1'!L28</f>
        <v>0</v>
      </c>
      <c r="M28" s="246">
        <f>'6.1 műv ház'!M28+'6.2 HH'!M28+'6.3 könyvtár'!M28+'6.4 sportcsarnok'!M28+'6.5 pályázat_1'!M28</f>
        <v>0</v>
      </c>
      <c r="N28" s="316">
        <f>'6.1 műv ház'!N28+'6.2 HH'!N28+'6.3 könyvtár'!N28+'6.4 sportcsarnok'!N28+'6.5 pályázat_1'!N28</f>
        <v>0</v>
      </c>
    </row>
    <row r="29" spans="1:14" ht="15.75" hidden="1" thickBot="1" x14ac:dyDescent="0.3">
      <c r="A29" s="53"/>
      <c r="B29" s="62" t="s">
        <v>73</v>
      </c>
      <c r="C29" s="246">
        <f>'6.1 műv ház'!C29+'6.2 HH'!C29+'6.3 könyvtár'!C29+'6.4 sportcsarnok'!C29+'6.5 pályázat_1'!C29</f>
        <v>0</v>
      </c>
      <c r="D29" s="246">
        <f>'6.1 műv ház'!D29+'6.2 HH'!D29+'6.3 könyvtár'!D29+'6.4 sportcsarnok'!D29+'6.5 pályázat_1'!D29</f>
        <v>0</v>
      </c>
      <c r="E29" s="246">
        <f>'6.1 műv ház'!E29+'6.2 HH'!E29+'6.3 könyvtár'!E29+'6.4 sportcsarnok'!E29+'6.5 pályázat_1'!E29</f>
        <v>0</v>
      </c>
      <c r="F29" s="246">
        <f>'6.1 műv ház'!F29+'6.2 HH'!F29+'6.3 könyvtár'!F29+'6.4 sportcsarnok'!F29+'6.5 pályázat_1'!F29</f>
        <v>0</v>
      </c>
      <c r="G29" s="246">
        <f>'6.1 műv ház'!G29+'6.2 HH'!G29+'6.3 könyvtár'!G29+'6.4 sportcsarnok'!G29+'6.5 pályázat_1'!G29</f>
        <v>0</v>
      </c>
      <c r="H29" s="246">
        <f>'6.1 műv ház'!H29+'6.2 HH'!H29+'6.3 könyvtár'!H29+'6.4 sportcsarnok'!H29+'6.5 pályázat_1'!H29</f>
        <v>0</v>
      </c>
      <c r="I29" s="246">
        <f>'6.1 műv ház'!I29+'6.2 HH'!I29+'6.3 könyvtár'!I29+'6.4 sportcsarnok'!I29+'6.5 pályázat_1'!I29</f>
        <v>0</v>
      </c>
      <c r="J29" s="246">
        <f>'6.1 műv ház'!J29+'6.2 HH'!J29+'6.3 könyvtár'!J29+'6.4 sportcsarnok'!J29+'6.5 pályázat_1'!J29</f>
        <v>0</v>
      </c>
      <c r="K29" s="316">
        <f>'6.1 műv ház'!K29+'6.2 HH'!K29+'6.3 könyvtár'!K29+'6.4 sportcsarnok'!K29+'6.5 pályázat_1'!K29</f>
        <v>0</v>
      </c>
      <c r="L29" s="246">
        <f>'6.1 műv ház'!L29+'6.2 HH'!L29+'6.3 könyvtár'!L29+'6.4 sportcsarnok'!L29+'6.5 pályázat_1'!L29</f>
        <v>0</v>
      </c>
      <c r="M29" s="246">
        <f>'6.1 műv ház'!M29+'6.2 HH'!M29+'6.3 könyvtár'!M29+'6.4 sportcsarnok'!M29+'6.5 pályázat_1'!M29</f>
        <v>0</v>
      </c>
      <c r="N29" s="316">
        <f>'6.1 műv ház'!N29+'6.2 HH'!N29+'6.3 könyvtár'!N29+'6.4 sportcsarnok'!N29+'6.5 pályázat_1'!N29</f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'6.1 műv ház'!C30+'6.2 HH'!C30+'6.3 könyvtár'!C30+'6.4 sportcsarnok'!C30+'6.5 pályázat_1'!C30</f>
        <v>0</v>
      </c>
      <c r="D30" s="246">
        <f>'6.1 műv ház'!D30+'6.2 HH'!D30+'6.3 könyvtár'!D30+'6.4 sportcsarnok'!D30+'6.5 pályázat_1'!D30</f>
        <v>0</v>
      </c>
      <c r="E30" s="246">
        <f>'6.1 műv ház'!E30+'6.2 HH'!E30+'6.3 könyvtár'!E30+'6.4 sportcsarnok'!E30+'6.5 pályázat_1'!E30</f>
        <v>0</v>
      </c>
      <c r="F30" s="246">
        <f>'6.1 műv ház'!F30+'6.2 HH'!F30+'6.3 könyvtár'!F30+'6.4 sportcsarnok'!F30+'6.5 pályázat_1'!F30</f>
        <v>0</v>
      </c>
      <c r="G30" s="246">
        <f>'6.1 műv ház'!G30+'6.2 HH'!G30+'6.3 könyvtár'!G30+'6.4 sportcsarnok'!G30+'6.5 pályázat_1'!G30</f>
        <v>0</v>
      </c>
      <c r="H30" s="246">
        <f>'6.1 műv ház'!H30+'6.2 HH'!H30+'6.3 könyvtár'!H30+'6.4 sportcsarnok'!H30+'6.5 pályázat_1'!H30</f>
        <v>0</v>
      </c>
      <c r="I30" s="246">
        <f>'6.1 műv ház'!I30+'6.2 HH'!I30+'6.3 könyvtár'!I30+'6.4 sportcsarnok'!I30+'6.5 pályázat_1'!I30</f>
        <v>0</v>
      </c>
      <c r="J30" s="246">
        <f>'6.1 műv ház'!J30+'6.2 HH'!J30+'6.3 könyvtár'!J30+'6.4 sportcsarnok'!J30+'6.5 pályázat_1'!J30</f>
        <v>0</v>
      </c>
      <c r="K30" s="316">
        <f>'6.1 műv ház'!K30+'6.2 HH'!K30+'6.3 könyvtár'!K30+'6.4 sportcsarnok'!K30+'6.5 pályázat_1'!K30</f>
        <v>0</v>
      </c>
      <c r="L30" s="246">
        <f>'6.1 műv ház'!L30+'6.2 HH'!L30+'6.3 könyvtár'!L30+'6.4 sportcsarnok'!L30+'6.5 pályázat_1'!L30</f>
        <v>0</v>
      </c>
      <c r="M30" s="246">
        <f>'6.1 műv ház'!M30+'6.2 HH'!M30+'6.3 könyvtár'!M30+'6.4 sportcsarnok'!M30+'6.5 pályázat_1'!M30</f>
        <v>0</v>
      </c>
      <c r="N30" s="316">
        <f>'6.1 műv ház'!N30+'6.2 HH'!N30+'6.3 könyvtár'!N30+'6.4 sportcsarnok'!N30+'6.5 pályázat_1'!N30</f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'6.1 műv ház'!C31+'6.2 HH'!C31+'6.3 könyvtár'!C31+'6.4 sportcsarnok'!C31+'6.5 pályázat_1'!C31</f>
        <v>0</v>
      </c>
      <c r="D31" s="246">
        <f>'6.1 műv ház'!D31+'6.2 HH'!D31+'6.3 könyvtár'!D31+'6.4 sportcsarnok'!D31+'6.5 pályázat_1'!D31</f>
        <v>0</v>
      </c>
      <c r="E31" s="246">
        <f>'6.1 műv ház'!E31+'6.2 HH'!E31+'6.3 könyvtár'!E31+'6.4 sportcsarnok'!E31+'6.5 pályázat_1'!E31</f>
        <v>0</v>
      </c>
      <c r="F31" s="246">
        <f>'6.1 műv ház'!F31+'6.2 HH'!F31+'6.3 könyvtár'!F31+'6.4 sportcsarnok'!F31+'6.5 pályázat_1'!F31</f>
        <v>0</v>
      </c>
      <c r="G31" s="246">
        <f>'6.1 műv ház'!G31+'6.2 HH'!G31+'6.3 könyvtár'!G31+'6.4 sportcsarnok'!G31+'6.5 pályázat_1'!G31</f>
        <v>0</v>
      </c>
      <c r="H31" s="246">
        <f>'6.1 műv ház'!H31+'6.2 HH'!H31+'6.3 könyvtár'!H31+'6.4 sportcsarnok'!H31+'6.5 pályázat_1'!H31</f>
        <v>0</v>
      </c>
      <c r="I31" s="246">
        <f>'6.1 műv ház'!I31+'6.2 HH'!I31+'6.3 könyvtár'!I31+'6.4 sportcsarnok'!I31+'6.5 pályázat_1'!I31</f>
        <v>0</v>
      </c>
      <c r="J31" s="246">
        <f>'6.1 műv ház'!J31+'6.2 HH'!J31+'6.3 könyvtár'!J31+'6.4 sportcsarnok'!J31+'6.5 pályázat_1'!J31</f>
        <v>0</v>
      </c>
      <c r="K31" s="316">
        <f>'6.1 műv ház'!K31+'6.2 HH'!K31+'6.3 könyvtár'!K31+'6.4 sportcsarnok'!K31+'6.5 pályázat_1'!K31</f>
        <v>0</v>
      </c>
      <c r="L31" s="246">
        <f>'6.1 műv ház'!L31+'6.2 HH'!L31+'6.3 könyvtár'!L31+'6.4 sportcsarnok'!L31+'6.5 pályázat_1'!L31</f>
        <v>0</v>
      </c>
      <c r="M31" s="246">
        <f>'6.1 műv ház'!M31+'6.2 HH'!M31+'6.3 könyvtár'!M31+'6.4 sportcsarnok'!M31+'6.5 pályázat_1'!M31</f>
        <v>0</v>
      </c>
      <c r="N31" s="316">
        <f>'6.1 műv ház'!N31+'6.2 HH'!N31+'6.3 könyvtár'!N31+'6.4 sportcsarnok'!N31+'6.5 pályázat_1'!N31</f>
        <v>0</v>
      </c>
    </row>
    <row r="32" spans="1:14" ht="15.75" hidden="1" thickBot="1" x14ac:dyDescent="0.3">
      <c r="A32" s="53"/>
      <c r="B32" s="62" t="s">
        <v>78</v>
      </c>
      <c r="C32" s="246">
        <f>'6.1 műv ház'!C32+'6.2 HH'!C32+'6.3 könyvtár'!C32+'6.4 sportcsarnok'!C32+'6.5 pályázat_1'!C32</f>
        <v>0</v>
      </c>
      <c r="D32" s="246">
        <f>'6.1 műv ház'!D32+'6.2 HH'!D32+'6.3 könyvtár'!D32+'6.4 sportcsarnok'!D32+'6.5 pályázat_1'!D32</f>
        <v>0</v>
      </c>
      <c r="E32" s="246">
        <f>'6.1 műv ház'!E32+'6.2 HH'!E32+'6.3 könyvtár'!E32+'6.4 sportcsarnok'!E32+'6.5 pályázat_1'!E32</f>
        <v>0</v>
      </c>
      <c r="F32" s="246">
        <f>'6.1 műv ház'!F32+'6.2 HH'!F32+'6.3 könyvtár'!F32+'6.4 sportcsarnok'!F32+'6.5 pályázat_1'!F32</f>
        <v>0</v>
      </c>
      <c r="G32" s="246">
        <f>'6.1 műv ház'!G32+'6.2 HH'!G32+'6.3 könyvtár'!G32+'6.4 sportcsarnok'!G32+'6.5 pályázat_1'!G32</f>
        <v>0</v>
      </c>
      <c r="H32" s="246">
        <f>'6.1 műv ház'!H32+'6.2 HH'!H32+'6.3 könyvtár'!H32+'6.4 sportcsarnok'!H32+'6.5 pályázat_1'!H32</f>
        <v>0</v>
      </c>
      <c r="I32" s="246">
        <f>'6.1 műv ház'!I32+'6.2 HH'!I32+'6.3 könyvtár'!I32+'6.4 sportcsarnok'!I32+'6.5 pályázat_1'!I32</f>
        <v>0</v>
      </c>
      <c r="J32" s="246">
        <f>'6.1 műv ház'!J32+'6.2 HH'!J32+'6.3 könyvtár'!J32+'6.4 sportcsarnok'!J32+'6.5 pályázat_1'!J32</f>
        <v>0</v>
      </c>
      <c r="K32" s="316">
        <f>'6.1 műv ház'!K32+'6.2 HH'!K32+'6.3 könyvtár'!K32+'6.4 sportcsarnok'!K32+'6.5 pályázat_1'!K32</f>
        <v>0</v>
      </c>
      <c r="L32" s="246">
        <f>'6.1 műv ház'!L32+'6.2 HH'!L32+'6.3 könyvtár'!L32+'6.4 sportcsarnok'!L32+'6.5 pályázat_1'!L32</f>
        <v>0</v>
      </c>
      <c r="M32" s="246">
        <f>'6.1 műv ház'!M32+'6.2 HH'!M32+'6.3 könyvtár'!M32+'6.4 sportcsarnok'!M32+'6.5 pályázat_1'!M32</f>
        <v>0</v>
      </c>
      <c r="N32" s="316">
        <f>'6.1 műv ház'!N32+'6.2 HH'!N32+'6.3 könyvtár'!N32+'6.4 sportcsarnok'!N32+'6.5 pályázat_1'!N32</f>
        <v>0</v>
      </c>
    </row>
    <row r="33" spans="1:14" ht="15.75" hidden="1" thickBot="1" x14ac:dyDescent="0.3">
      <c r="A33" s="53" t="s">
        <v>79</v>
      </c>
      <c r="B33" s="62" t="s">
        <v>80</v>
      </c>
      <c r="C33" s="246">
        <f>'6.1 műv ház'!C33+'6.2 HH'!C33+'6.3 könyvtár'!C33+'6.4 sportcsarnok'!C33+'6.5 pályázat_1'!C33</f>
        <v>0</v>
      </c>
      <c r="D33" s="246">
        <f>'6.1 műv ház'!D33+'6.2 HH'!D33+'6.3 könyvtár'!D33+'6.4 sportcsarnok'!D33+'6.5 pályázat_1'!D33</f>
        <v>0</v>
      </c>
      <c r="E33" s="246">
        <f>'6.1 műv ház'!E33+'6.2 HH'!E33+'6.3 könyvtár'!E33+'6.4 sportcsarnok'!E33+'6.5 pályázat_1'!E33</f>
        <v>0</v>
      </c>
      <c r="F33" s="246">
        <f>'6.1 műv ház'!F33+'6.2 HH'!F33+'6.3 könyvtár'!F33+'6.4 sportcsarnok'!F33+'6.5 pályázat_1'!F33</f>
        <v>0</v>
      </c>
      <c r="G33" s="246">
        <f>'6.1 műv ház'!G33+'6.2 HH'!G33+'6.3 könyvtár'!G33+'6.4 sportcsarnok'!G33+'6.5 pályázat_1'!G33</f>
        <v>0</v>
      </c>
      <c r="H33" s="246">
        <f>'6.1 műv ház'!H33+'6.2 HH'!H33+'6.3 könyvtár'!H33+'6.4 sportcsarnok'!H33+'6.5 pályázat_1'!H33</f>
        <v>0</v>
      </c>
      <c r="I33" s="246">
        <f>'6.1 műv ház'!I33+'6.2 HH'!I33+'6.3 könyvtár'!I33+'6.4 sportcsarnok'!I33+'6.5 pályázat_1'!I33</f>
        <v>0</v>
      </c>
      <c r="J33" s="246">
        <f>'6.1 műv ház'!J33+'6.2 HH'!J33+'6.3 könyvtár'!J33+'6.4 sportcsarnok'!J33+'6.5 pályázat_1'!J33</f>
        <v>0</v>
      </c>
      <c r="K33" s="316">
        <f>'6.1 műv ház'!K33+'6.2 HH'!K33+'6.3 könyvtár'!K33+'6.4 sportcsarnok'!K33+'6.5 pályázat_1'!K33</f>
        <v>0</v>
      </c>
      <c r="L33" s="246">
        <f>'6.1 műv ház'!L33+'6.2 HH'!L33+'6.3 könyvtár'!L33+'6.4 sportcsarnok'!L33+'6.5 pályázat_1'!L33</f>
        <v>0</v>
      </c>
      <c r="M33" s="246">
        <f>'6.1 műv ház'!M33+'6.2 HH'!M33+'6.3 könyvtár'!M33+'6.4 sportcsarnok'!M33+'6.5 pályázat_1'!M33</f>
        <v>0</v>
      </c>
      <c r="N33" s="316">
        <f>'6.1 műv ház'!N33+'6.2 HH'!N33+'6.3 könyvtár'!N33+'6.4 sportcsarnok'!N33+'6.5 pályázat_1'!N33</f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'6.1 műv ház'!C34+'6.2 HH'!C34+'6.3 könyvtár'!C34+'6.4 sportcsarnok'!C34+'6.5 pályázat_1'!C34</f>
        <v>0</v>
      </c>
      <c r="D34" s="246">
        <f>'6.1 műv ház'!D34+'6.2 HH'!D34+'6.3 könyvtár'!D34+'6.4 sportcsarnok'!D34+'6.5 pályázat_1'!D34</f>
        <v>0</v>
      </c>
      <c r="E34" s="246">
        <f>'6.1 műv ház'!E34+'6.2 HH'!E34+'6.3 könyvtár'!E34+'6.4 sportcsarnok'!E34+'6.5 pályázat_1'!E34</f>
        <v>0</v>
      </c>
      <c r="F34" s="246">
        <f>'6.1 műv ház'!F34+'6.2 HH'!F34+'6.3 könyvtár'!F34+'6.4 sportcsarnok'!F34+'6.5 pályázat_1'!F34</f>
        <v>0</v>
      </c>
      <c r="G34" s="246">
        <f>'6.1 műv ház'!G34+'6.2 HH'!G34+'6.3 könyvtár'!G34+'6.4 sportcsarnok'!G34+'6.5 pályázat_1'!G34</f>
        <v>0</v>
      </c>
      <c r="H34" s="246">
        <f>'6.1 műv ház'!H34+'6.2 HH'!H34+'6.3 könyvtár'!H34+'6.4 sportcsarnok'!H34+'6.5 pályázat_1'!H34</f>
        <v>0</v>
      </c>
      <c r="I34" s="246">
        <f>'6.1 műv ház'!I34+'6.2 HH'!I34+'6.3 könyvtár'!I34+'6.4 sportcsarnok'!I34+'6.5 pályázat_1'!I34</f>
        <v>0</v>
      </c>
      <c r="J34" s="246">
        <f>'6.1 műv ház'!J34+'6.2 HH'!J34+'6.3 könyvtár'!J34+'6.4 sportcsarnok'!J34+'6.5 pályázat_1'!J34</f>
        <v>0</v>
      </c>
      <c r="K34" s="316">
        <f>'6.1 műv ház'!K34+'6.2 HH'!K34+'6.3 könyvtár'!K34+'6.4 sportcsarnok'!K34+'6.5 pályázat_1'!K34</f>
        <v>0</v>
      </c>
      <c r="L34" s="246">
        <f>'6.1 műv ház'!L34+'6.2 HH'!L34+'6.3 könyvtár'!L34+'6.4 sportcsarnok'!L34+'6.5 pályázat_1'!L34</f>
        <v>0</v>
      </c>
      <c r="M34" s="246">
        <f>'6.1 műv ház'!M34+'6.2 HH'!M34+'6.3 könyvtár'!M34+'6.4 sportcsarnok'!M34+'6.5 pályázat_1'!M34</f>
        <v>0</v>
      </c>
      <c r="N34" s="316">
        <f>'6.1 műv ház'!N34+'6.2 HH'!N34+'6.3 könyvtár'!N34+'6.4 sportcsarnok'!N34+'6.5 pályázat_1'!N34</f>
        <v>0</v>
      </c>
    </row>
    <row r="35" spans="1:14" ht="15.75" hidden="1" thickBot="1" x14ac:dyDescent="0.3">
      <c r="A35" s="53"/>
      <c r="B35" s="62" t="s">
        <v>83</v>
      </c>
      <c r="C35" s="246">
        <f>'6.1 műv ház'!C35+'6.2 HH'!C35+'6.3 könyvtár'!C35+'6.4 sportcsarnok'!C35+'6.5 pályázat_1'!C35</f>
        <v>0</v>
      </c>
      <c r="D35" s="246">
        <f>'6.1 műv ház'!D35+'6.2 HH'!D35+'6.3 könyvtár'!D35+'6.4 sportcsarnok'!D35+'6.5 pályázat_1'!D35</f>
        <v>0</v>
      </c>
      <c r="E35" s="246">
        <f>'6.1 műv ház'!E35+'6.2 HH'!E35+'6.3 könyvtár'!E35+'6.4 sportcsarnok'!E35+'6.5 pályázat_1'!E35</f>
        <v>0</v>
      </c>
      <c r="F35" s="246">
        <f>'6.1 műv ház'!F35+'6.2 HH'!F35+'6.3 könyvtár'!F35+'6.4 sportcsarnok'!F35+'6.5 pályázat_1'!F35</f>
        <v>0</v>
      </c>
      <c r="G35" s="246">
        <f>'6.1 műv ház'!G35+'6.2 HH'!G35+'6.3 könyvtár'!G35+'6.4 sportcsarnok'!G35+'6.5 pályázat_1'!G35</f>
        <v>0</v>
      </c>
      <c r="H35" s="246">
        <f>'6.1 műv ház'!H35+'6.2 HH'!H35+'6.3 könyvtár'!H35+'6.4 sportcsarnok'!H35+'6.5 pályázat_1'!H35</f>
        <v>0</v>
      </c>
      <c r="I35" s="246">
        <f>'6.1 műv ház'!I35+'6.2 HH'!I35+'6.3 könyvtár'!I35+'6.4 sportcsarnok'!I35+'6.5 pályázat_1'!I35</f>
        <v>0</v>
      </c>
      <c r="J35" s="246">
        <f>'6.1 műv ház'!J35+'6.2 HH'!J35+'6.3 könyvtár'!J35+'6.4 sportcsarnok'!J35+'6.5 pályázat_1'!J35</f>
        <v>0</v>
      </c>
      <c r="K35" s="316">
        <f>'6.1 műv ház'!K35+'6.2 HH'!K35+'6.3 könyvtár'!K35+'6.4 sportcsarnok'!K35+'6.5 pályázat_1'!K35</f>
        <v>0</v>
      </c>
      <c r="L35" s="246">
        <f>'6.1 műv ház'!L35+'6.2 HH'!L35+'6.3 könyvtár'!L35+'6.4 sportcsarnok'!L35+'6.5 pályázat_1'!L35</f>
        <v>0</v>
      </c>
      <c r="M35" s="246">
        <f>'6.1 műv ház'!M35+'6.2 HH'!M35+'6.3 könyvtár'!M35+'6.4 sportcsarnok'!M35+'6.5 pályázat_1'!M35</f>
        <v>0</v>
      </c>
      <c r="N35" s="316">
        <f>'6.1 műv ház'!N35+'6.2 HH'!N35+'6.3 könyvtár'!N35+'6.4 sportcsarnok'!N35+'6.5 pályázat_1'!N35</f>
        <v>0</v>
      </c>
    </row>
    <row r="36" spans="1:14" ht="15.75" hidden="1" thickBot="1" x14ac:dyDescent="0.3">
      <c r="A36" s="53"/>
      <c r="B36" s="62" t="s">
        <v>84</v>
      </c>
      <c r="C36" s="246">
        <f>'6.1 műv ház'!C36+'6.2 HH'!C36+'6.3 könyvtár'!C36+'6.4 sportcsarnok'!C36+'6.5 pályázat_1'!C36</f>
        <v>0</v>
      </c>
      <c r="D36" s="246">
        <f>'6.1 műv ház'!D36+'6.2 HH'!D36+'6.3 könyvtár'!D36+'6.4 sportcsarnok'!D36+'6.5 pályázat_1'!D36</f>
        <v>0</v>
      </c>
      <c r="E36" s="246">
        <f>'6.1 műv ház'!E36+'6.2 HH'!E36+'6.3 könyvtár'!E36+'6.4 sportcsarnok'!E36+'6.5 pályázat_1'!E36</f>
        <v>0</v>
      </c>
      <c r="F36" s="246">
        <f>'6.1 műv ház'!F36+'6.2 HH'!F36+'6.3 könyvtár'!F36+'6.4 sportcsarnok'!F36+'6.5 pályázat_1'!F36</f>
        <v>0</v>
      </c>
      <c r="G36" s="246">
        <f>'6.1 műv ház'!G36+'6.2 HH'!G36+'6.3 könyvtár'!G36+'6.4 sportcsarnok'!G36+'6.5 pályázat_1'!G36</f>
        <v>0</v>
      </c>
      <c r="H36" s="246">
        <f>'6.1 műv ház'!H36+'6.2 HH'!H36+'6.3 könyvtár'!H36+'6.4 sportcsarnok'!H36+'6.5 pályázat_1'!H36</f>
        <v>0</v>
      </c>
      <c r="I36" s="246">
        <f>'6.1 műv ház'!I36+'6.2 HH'!I36+'6.3 könyvtár'!I36+'6.4 sportcsarnok'!I36+'6.5 pályázat_1'!I36</f>
        <v>0</v>
      </c>
      <c r="J36" s="246">
        <f>'6.1 műv ház'!J36+'6.2 HH'!J36+'6.3 könyvtár'!J36+'6.4 sportcsarnok'!J36+'6.5 pályázat_1'!J36</f>
        <v>0</v>
      </c>
      <c r="K36" s="316">
        <f>'6.1 műv ház'!K36+'6.2 HH'!K36+'6.3 könyvtár'!K36+'6.4 sportcsarnok'!K36+'6.5 pályázat_1'!K36</f>
        <v>0</v>
      </c>
      <c r="L36" s="246">
        <f>'6.1 műv ház'!L36+'6.2 HH'!L36+'6.3 könyvtár'!L36+'6.4 sportcsarnok'!L36+'6.5 pályázat_1'!L36</f>
        <v>0</v>
      </c>
      <c r="M36" s="246">
        <f>'6.1 műv ház'!M36+'6.2 HH'!M36+'6.3 könyvtár'!M36+'6.4 sportcsarnok'!M36+'6.5 pályázat_1'!M36</f>
        <v>0</v>
      </c>
      <c r="N36" s="316">
        <f>'6.1 műv ház'!N36+'6.2 HH'!N36+'6.3 könyvtár'!N36+'6.4 sportcsarnok'!N36+'6.5 pályázat_1'!N36</f>
        <v>0</v>
      </c>
    </row>
    <row r="37" spans="1:14" ht="15.75" hidden="1" thickBot="1" x14ac:dyDescent="0.3">
      <c r="A37" s="53"/>
      <c r="B37" s="62" t="s">
        <v>85</v>
      </c>
      <c r="C37" s="246">
        <f>'6.1 műv ház'!C37+'6.2 HH'!C37+'6.3 könyvtár'!C37+'6.4 sportcsarnok'!C37+'6.5 pályázat_1'!C37</f>
        <v>0</v>
      </c>
      <c r="D37" s="246">
        <f>'6.1 műv ház'!D37+'6.2 HH'!D37+'6.3 könyvtár'!D37+'6.4 sportcsarnok'!D37+'6.5 pályázat_1'!D37</f>
        <v>0</v>
      </c>
      <c r="E37" s="246">
        <f>'6.1 műv ház'!E37+'6.2 HH'!E37+'6.3 könyvtár'!E37+'6.4 sportcsarnok'!E37+'6.5 pályázat_1'!E37</f>
        <v>0</v>
      </c>
      <c r="F37" s="246">
        <f>'6.1 műv ház'!F37+'6.2 HH'!F37+'6.3 könyvtár'!F37+'6.4 sportcsarnok'!F37+'6.5 pályázat_1'!F37</f>
        <v>0</v>
      </c>
      <c r="G37" s="246">
        <f>'6.1 műv ház'!G37+'6.2 HH'!G37+'6.3 könyvtár'!G37+'6.4 sportcsarnok'!G37+'6.5 pályázat_1'!G37</f>
        <v>0</v>
      </c>
      <c r="H37" s="246">
        <f>'6.1 műv ház'!H37+'6.2 HH'!H37+'6.3 könyvtár'!H37+'6.4 sportcsarnok'!H37+'6.5 pályázat_1'!H37</f>
        <v>0</v>
      </c>
      <c r="I37" s="246">
        <f>'6.1 műv ház'!I37+'6.2 HH'!I37+'6.3 könyvtár'!I37+'6.4 sportcsarnok'!I37+'6.5 pályázat_1'!I37</f>
        <v>0</v>
      </c>
      <c r="J37" s="246">
        <f>'6.1 műv ház'!J37+'6.2 HH'!J37+'6.3 könyvtár'!J37+'6.4 sportcsarnok'!J37+'6.5 pályázat_1'!J37</f>
        <v>0</v>
      </c>
      <c r="K37" s="316">
        <f>'6.1 műv ház'!K37+'6.2 HH'!K37+'6.3 könyvtár'!K37+'6.4 sportcsarnok'!K37+'6.5 pályázat_1'!K37</f>
        <v>0</v>
      </c>
      <c r="L37" s="246">
        <f>'6.1 műv ház'!L37+'6.2 HH'!L37+'6.3 könyvtár'!L37+'6.4 sportcsarnok'!L37+'6.5 pályázat_1'!L37</f>
        <v>0</v>
      </c>
      <c r="M37" s="246">
        <f>'6.1 műv ház'!M37+'6.2 HH'!M37+'6.3 könyvtár'!M37+'6.4 sportcsarnok'!M37+'6.5 pályázat_1'!M37</f>
        <v>0</v>
      </c>
      <c r="N37" s="316">
        <f>'6.1 műv ház'!N37+'6.2 HH'!N37+'6.3 könyvtár'!N37+'6.4 sportcsarnok'!N37+'6.5 pályázat_1'!N37</f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'6.1 műv ház'!C38+'6.2 HH'!C38+'6.3 könyvtár'!C38+'6.4 sportcsarnok'!C38+'6.5 pályázat_1'!C38</f>
        <v>0</v>
      </c>
      <c r="D38" s="246">
        <f>'6.1 műv ház'!D38+'6.2 HH'!D38+'6.3 könyvtár'!D38+'6.4 sportcsarnok'!D38+'6.5 pályázat_1'!D38</f>
        <v>0</v>
      </c>
      <c r="E38" s="246">
        <f>'6.1 műv ház'!E38+'6.2 HH'!E38+'6.3 könyvtár'!E38+'6.4 sportcsarnok'!E38+'6.5 pályázat_1'!E38</f>
        <v>0</v>
      </c>
      <c r="F38" s="246">
        <f>'6.1 műv ház'!F38+'6.2 HH'!F38+'6.3 könyvtár'!F38+'6.4 sportcsarnok'!F38+'6.5 pályázat_1'!F38</f>
        <v>0</v>
      </c>
      <c r="G38" s="246">
        <f>'6.1 műv ház'!G38+'6.2 HH'!G38+'6.3 könyvtár'!G38+'6.4 sportcsarnok'!G38+'6.5 pályázat_1'!G38</f>
        <v>0</v>
      </c>
      <c r="H38" s="246">
        <f>'6.1 műv ház'!H38+'6.2 HH'!H38+'6.3 könyvtár'!H38+'6.4 sportcsarnok'!H38+'6.5 pályázat_1'!H38</f>
        <v>0</v>
      </c>
      <c r="I38" s="246">
        <f>'6.1 műv ház'!I38+'6.2 HH'!I38+'6.3 könyvtár'!I38+'6.4 sportcsarnok'!I38+'6.5 pályázat_1'!I38</f>
        <v>0</v>
      </c>
      <c r="J38" s="246">
        <f>'6.1 műv ház'!J38+'6.2 HH'!J38+'6.3 könyvtár'!J38+'6.4 sportcsarnok'!J38+'6.5 pályázat_1'!J38</f>
        <v>0</v>
      </c>
      <c r="K38" s="316">
        <f>'6.1 műv ház'!K38+'6.2 HH'!K38+'6.3 könyvtár'!K38+'6.4 sportcsarnok'!K38+'6.5 pályázat_1'!K38</f>
        <v>0</v>
      </c>
      <c r="L38" s="246">
        <f>'6.1 műv ház'!L38+'6.2 HH'!L38+'6.3 könyvtár'!L38+'6.4 sportcsarnok'!L38+'6.5 pályázat_1'!L38</f>
        <v>0</v>
      </c>
      <c r="M38" s="246">
        <f>'6.1 műv ház'!M38+'6.2 HH'!M38+'6.3 könyvtár'!M38+'6.4 sportcsarnok'!M38+'6.5 pályázat_1'!M38</f>
        <v>0</v>
      </c>
      <c r="N38" s="316">
        <f>'6.1 műv ház'!N38+'6.2 HH'!N38+'6.3 könyvtár'!N38+'6.4 sportcsarnok'!N38+'6.5 pályázat_1'!N38</f>
        <v>0</v>
      </c>
    </row>
    <row r="39" spans="1:14" ht="15.75" hidden="1" thickBot="1" x14ac:dyDescent="0.3">
      <c r="A39" s="53"/>
      <c r="B39" s="62" t="s">
        <v>88</v>
      </c>
      <c r="C39" s="246">
        <f>'6.1 műv ház'!C39+'6.2 HH'!C39+'6.3 könyvtár'!C39+'6.4 sportcsarnok'!C39+'6.5 pályázat_1'!C39</f>
        <v>0</v>
      </c>
      <c r="D39" s="246">
        <f>'6.1 műv ház'!D39+'6.2 HH'!D39+'6.3 könyvtár'!D39+'6.4 sportcsarnok'!D39+'6.5 pályázat_1'!D39</f>
        <v>0</v>
      </c>
      <c r="E39" s="246">
        <f>'6.1 műv ház'!E39+'6.2 HH'!E39+'6.3 könyvtár'!E39+'6.4 sportcsarnok'!E39+'6.5 pályázat_1'!E39</f>
        <v>0</v>
      </c>
      <c r="F39" s="246">
        <f>'6.1 műv ház'!F39+'6.2 HH'!F39+'6.3 könyvtár'!F39+'6.4 sportcsarnok'!F39+'6.5 pályázat_1'!F39</f>
        <v>0</v>
      </c>
      <c r="G39" s="246">
        <f>'6.1 műv ház'!G39+'6.2 HH'!G39+'6.3 könyvtár'!G39+'6.4 sportcsarnok'!G39+'6.5 pályázat_1'!G39</f>
        <v>0</v>
      </c>
      <c r="H39" s="246">
        <f>'6.1 műv ház'!H39+'6.2 HH'!H39+'6.3 könyvtár'!H39+'6.4 sportcsarnok'!H39+'6.5 pályázat_1'!H39</f>
        <v>0</v>
      </c>
      <c r="I39" s="246">
        <f>'6.1 műv ház'!I39+'6.2 HH'!I39+'6.3 könyvtár'!I39+'6.4 sportcsarnok'!I39+'6.5 pályázat_1'!I39</f>
        <v>0</v>
      </c>
      <c r="J39" s="246">
        <f>'6.1 műv ház'!J39+'6.2 HH'!J39+'6.3 könyvtár'!J39+'6.4 sportcsarnok'!J39+'6.5 pályázat_1'!J39</f>
        <v>0</v>
      </c>
      <c r="K39" s="316">
        <f>'6.1 műv ház'!K39+'6.2 HH'!K39+'6.3 könyvtár'!K39+'6.4 sportcsarnok'!K39+'6.5 pályázat_1'!K39</f>
        <v>0</v>
      </c>
      <c r="L39" s="246">
        <f>'6.1 műv ház'!L39+'6.2 HH'!L39+'6.3 könyvtár'!L39+'6.4 sportcsarnok'!L39+'6.5 pályázat_1'!L39</f>
        <v>0</v>
      </c>
      <c r="M39" s="246">
        <f>'6.1 műv ház'!M39+'6.2 HH'!M39+'6.3 könyvtár'!M39+'6.4 sportcsarnok'!M39+'6.5 pályázat_1'!M39</f>
        <v>0</v>
      </c>
      <c r="N39" s="316">
        <f>'6.1 műv ház'!N39+'6.2 HH'!N39+'6.3 könyvtár'!N39+'6.4 sportcsarnok'!N39+'6.5 pályázat_1'!N39</f>
        <v>0</v>
      </c>
    </row>
    <row r="40" spans="1:14" ht="15.75" hidden="1" thickBot="1" x14ac:dyDescent="0.3">
      <c r="A40" s="53"/>
      <c r="B40" s="62" t="s">
        <v>89</v>
      </c>
      <c r="C40" s="246">
        <f>'6.1 műv ház'!C40+'6.2 HH'!C40+'6.3 könyvtár'!C40+'6.4 sportcsarnok'!C40+'6.5 pályázat_1'!C40</f>
        <v>0</v>
      </c>
      <c r="D40" s="246">
        <f>'6.1 műv ház'!D40+'6.2 HH'!D40+'6.3 könyvtár'!D40+'6.4 sportcsarnok'!D40+'6.5 pályázat_1'!D40</f>
        <v>0</v>
      </c>
      <c r="E40" s="246">
        <f>'6.1 műv ház'!E40+'6.2 HH'!E40+'6.3 könyvtár'!E40+'6.4 sportcsarnok'!E40+'6.5 pályázat_1'!E40</f>
        <v>0</v>
      </c>
      <c r="F40" s="246">
        <f>'6.1 műv ház'!F40+'6.2 HH'!F40+'6.3 könyvtár'!F40+'6.4 sportcsarnok'!F40+'6.5 pályázat_1'!F40</f>
        <v>0</v>
      </c>
      <c r="G40" s="246">
        <f>'6.1 műv ház'!G40+'6.2 HH'!G40+'6.3 könyvtár'!G40+'6.4 sportcsarnok'!G40+'6.5 pályázat_1'!G40</f>
        <v>0</v>
      </c>
      <c r="H40" s="246">
        <f>'6.1 műv ház'!H40+'6.2 HH'!H40+'6.3 könyvtár'!H40+'6.4 sportcsarnok'!H40+'6.5 pályázat_1'!H40</f>
        <v>0</v>
      </c>
      <c r="I40" s="246">
        <f>'6.1 műv ház'!I40+'6.2 HH'!I40+'6.3 könyvtár'!I40+'6.4 sportcsarnok'!I40+'6.5 pályázat_1'!I40</f>
        <v>0</v>
      </c>
      <c r="J40" s="246">
        <f>'6.1 műv ház'!J40+'6.2 HH'!J40+'6.3 könyvtár'!J40+'6.4 sportcsarnok'!J40+'6.5 pályázat_1'!J40</f>
        <v>0</v>
      </c>
      <c r="K40" s="316">
        <f>'6.1 műv ház'!K40+'6.2 HH'!K40+'6.3 könyvtár'!K40+'6.4 sportcsarnok'!K40+'6.5 pályázat_1'!K40</f>
        <v>0</v>
      </c>
      <c r="L40" s="246">
        <f>'6.1 műv ház'!L40+'6.2 HH'!L40+'6.3 könyvtár'!L40+'6.4 sportcsarnok'!L40+'6.5 pályázat_1'!L40</f>
        <v>0</v>
      </c>
      <c r="M40" s="246">
        <f>'6.1 műv ház'!M40+'6.2 HH'!M40+'6.3 könyvtár'!M40+'6.4 sportcsarnok'!M40+'6.5 pályázat_1'!M40</f>
        <v>0</v>
      </c>
      <c r="N40" s="316">
        <f>'6.1 műv ház'!N40+'6.2 HH'!N40+'6.3 könyvtár'!N40+'6.4 sportcsarnok'!N40+'6.5 pályázat_1'!N40</f>
        <v>0</v>
      </c>
    </row>
    <row r="41" spans="1:14" ht="15.75" hidden="1" thickBot="1" x14ac:dyDescent="0.3">
      <c r="A41" s="53"/>
      <c r="B41" s="62" t="s">
        <v>90</v>
      </c>
      <c r="C41" s="246">
        <f>'6.1 műv ház'!C41+'6.2 HH'!C41+'6.3 könyvtár'!C41+'6.4 sportcsarnok'!C41+'6.5 pályázat_1'!C41</f>
        <v>0</v>
      </c>
      <c r="D41" s="246">
        <f>'6.1 műv ház'!D41+'6.2 HH'!D41+'6.3 könyvtár'!D41+'6.4 sportcsarnok'!D41+'6.5 pályázat_1'!D41</f>
        <v>0</v>
      </c>
      <c r="E41" s="246">
        <f>'6.1 műv ház'!E41+'6.2 HH'!E41+'6.3 könyvtár'!E41+'6.4 sportcsarnok'!E41+'6.5 pályázat_1'!E41</f>
        <v>0</v>
      </c>
      <c r="F41" s="246">
        <f>'6.1 műv ház'!F41+'6.2 HH'!F41+'6.3 könyvtár'!F41+'6.4 sportcsarnok'!F41+'6.5 pályázat_1'!F41</f>
        <v>0</v>
      </c>
      <c r="G41" s="246">
        <f>'6.1 műv ház'!G41+'6.2 HH'!G41+'6.3 könyvtár'!G41+'6.4 sportcsarnok'!G41+'6.5 pályázat_1'!G41</f>
        <v>0</v>
      </c>
      <c r="H41" s="246">
        <f>'6.1 műv ház'!H41+'6.2 HH'!H41+'6.3 könyvtár'!H41+'6.4 sportcsarnok'!H41+'6.5 pályázat_1'!H41</f>
        <v>0</v>
      </c>
      <c r="I41" s="246">
        <f>'6.1 műv ház'!I41+'6.2 HH'!I41+'6.3 könyvtár'!I41+'6.4 sportcsarnok'!I41+'6.5 pályázat_1'!I41</f>
        <v>0</v>
      </c>
      <c r="J41" s="246">
        <f>'6.1 műv ház'!J41+'6.2 HH'!J41+'6.3 könyvtár'!J41+'6.4 sportcsarnok'!J41+'6.5 pályázat_1'!J41</f>
        <v>0</v>
      </c>
      <c r="K41" s="316">
        <f>'6.1 műv ház'!K41+'6.2 HH'!K41+'6.3 könyvtár'!K41+'6.4 sportcsarnok'!K41+'6.5 pályázat_1'!K41</f>
        <v>0</v>
      </c>
      <c r="L41" s="246">
        <f>'6.1 műv ház'!L41+'6.2 HH'!L41+'6.3 könyvtár'!L41+'6.4 sportcsarnok'!L41+'6.5 pályázat_1'!L41</f>
        <v>0</v>
      </c>
      <c r="M41" s="246">
        <f>'6.1 műv ház'!M41+'6.2 HH'!M41+'6.3 könyvtár'!M41+'6.4 sportcsarnok'!M41+'6.5 pályázat_1'!M41</f>
        <v>0</v>
      </c>
      <c r="N41" s="316">
        <f>'6.1 műv ház'!N41+'6.2 HH'!N41+'6.3 könyvtár'!N41+'6.4 sportcsarnok'!N41+'6.5 pályázat_1'!N41</f>
        <v>0</v>
      </c>
    </row>
    <row r="42" spans="1:14" ht="15.75" hidden="1" thickBot="1" x14ac:dyDescent="0.3">
      <c r="A42" s="53"/>
      <c r="B42" s="62" t="s">
        <v>91</v>
      </c>
      <c r="C42" s="246">
        <f>'6.1 műv ház'!C42+'6.2 HH'!C42+'6.3 könyvtár'!C42+'6.4 sportcsarnok'!C42+'6.5 pályázat_1'!C42</f>
        <v>0</v>
      </c>
      <c r="D42" s="246">
        <f>'6.1 műv ház'!D42+'6.2 HH'!D42+'6.3 könyvtár'!D42+'6.4 sportcsarnok'!D42+'6.5 pályázat_1'!D42</f>
        <v>0</v>
      </c>
      <c r="E42" s="246">
        <f>'6.1 műv ház'!E42+'6.2 HH'!E42+'6.3 könyvtár'!E42+'6.4 sportcsarnok'!E42+'6.5 pályázat_1'!E42</f>
        <v>0</v>
      </c>
      <c r="F42" s="246">
        <f>'6.1 műv ház'!F42+'6.2 HH'!F42+'6.3 könyvtár'!F42+'6.4 sportcsarnok'!F42+'6.5 pályázat_1'!F42</f>
        <v>0</v>
      </c>
      <c r="G42" s="246">
        <f>'6.1 műv ház'!G42+'6.2 HH'!G42+'6.3 könyvtár'!G42+'6.4 sportcsarnok'!G42+'6.5 pályázat_1'!G42</f>
        <v>0</v>
      </c>
      <c r="H42" s="246">
        <f>'6.1 műv ház'!H42+'6.2 HH'!H42+'6.3 könyvtár'!H42+'6.4 sportcsarnok'!H42+'6.5 pályázat_1'!H42</f>
        <v>0</v>
      </c>
      <c r="I42" s="246">
        <f>'6.1 műv ház'!I42+'6.2 HH'!I42+'6.3 könyvtár'!I42+'6.4 sportcsarnok'!I42+'6.5 pályázat_1'!I42</f>
        <v>0</v>
      </c>
      <c r="J42" s="246">
        <f>'6.1 műv ház'!J42+'6.2 HH'!J42+'6.3 könyvtár'!J42+'6.4 sportcsarnok'!J42+'6.5 pályázat_1'!J42</f>
        <v>0</v>
      </c>
      <c r="K42" s="316">
        <f>'6.1 műv ház'!K42+'6.2 HH'!K42+'6.3 könyvtár'!K42+'6.4 sportcsarnok'!K42+'6.5 pályázat_1'!K42</f>
        <v>0</v>
      </c>
      <c r="L42" s="246">
        <f>'6.1 műv ház'!L42+'6.2 HH'!L42+'6.3 könyvtár'!L42+'6.4 sportcsarnok'!L42+'6.5 pályázat_1'!L42</f>
        <v>0</v>
      </c>
      <c r="M42" s="246">
        <f>'6.1 műv ház'!M42+'6.2 HH'!M42+'6.3 könyvtár'!M42+'6.4 sportcsarnok'!M42+'6.5 pályázat_1'!M42</f>
        <v>0</v>
      </c>
      <c r="N42" s="316">
        <f>'6.1 műv ház'!N42+'6.2 HH'!N42+'6.3 könyvtár'!N42+'6.4 sportcsarnok'!N42+'6.5 pályázat_1'!N42</f>
        <v>0</v>
      </c>
    </row>
    <row r="43" spans="1:14" ht="15.75" hidden="1" thickBot="1" x14ac:dyDescent="0.3">
      <c r="A43" s="53"/>
      <c r="B43" s="62" t="s">
        <v>92</v>
      </c>
      <c r="C43" s="246">
        <f>'6.1 műv ház'!C43+'6.2 HH'!C43+'6.3 könyvtár'!C43+'6.4 sportcsarnok'!C43+'6.5 pályázat_1'!C43</f>
        <v>0</v>
      </c>
      <c r="D43" s="246">
        <f>'6.1 műv ház'!D43+'6.2 HH'!D43+'6.3 könyvtár'!D43+'6.4 sportcsarnok'!D43+'6.5 pályázat_1'!D43</f>
        <v>0</v>
      </c>
      <c r="E43" s="246">
        <f>'6.1 műv ház'!E43+'6.2 HH'!E43+'6.3 könyvtár'!E43+'6.4 sportcsarnok'!E43+'6.5 pályázat_1'!E43</f>
        <v>0</v>
      </c>
      <c r="F43" s="246">
        <f>'6.1 műv ház'!F43+'6.2 HH'!F43+'6.3 könyvtár'!F43+'6.4 sportcsarnok'!F43+'6.5 pályázat_1'!F43</f>
        <v>0</v>
      </c>
      <c r="G43" s="246">
        <f>'6.1 műv ház'!G43+'6.2 HH'!G43+'6.3 könyvtár'!G43+'6.4 sportcsarnok'!G43+'6.5 pályázat_1'!G43</f>
        <v>0</v>
      </c>
      <c r="H43" s="246">
        <f>'6.1 műv ház'!H43+'6.2 HH'!H43+'6.3 könyvtár'!H43+'6.4 sportcsarnok'!H43+'6.5 pályázat_1'!H43</f>
        <v>0</v>
      </c>
      <c r="I43" s="246">
        <f>'6.1 műv ház'!I43+'6.2 HH'!I43+'6.3 könyvtár'!I43+'6.4 sportcsarnok'!I43+'6.5 pályázat_1'!I43</f>
        <v>0</v>
      </c>
      <c r="J43" s="246">
        <f>'6.1 műv ház'!J43+'6.2 HH'!J43+'6.3 könyvtár'!J43+'6.4 sportcsarnok'!J43+'6.5 pályázat_1'!J43</f>
        <v>0</v>
      </c>
      <c r="K43" s="316">
        <f>'6.1 műv ház'!K43+'6.2 HH'!K43+'6.3 könyvtár'!K43+'6.4 sportcsarnok'!K43+'6.5 pályázat_1'!K43</f>
        <v>0</v>
      </c>
      <c r="L43" s="246">
        <f>'6.1 műv ház'!L43+'6.2 HH'!L43+'6.3 könyvtár'!L43+'6.4 sportcsarnok'!L43+'6.5 pályázat_1'!L43</f>
        <v>0</v>
      </c>
      <c r="M43" s="246">
        <f>'6.1 műv ház'!M43+'6.2 HH'!M43+'6.3 könyvtár'!M43+'6.4 sportcsarnok'!M43+'6.5 pályázat_1'!M43</f>
        <v>0</v>
      </c>
      <c r="N43" s="316">
        <f>'6.1 műv ház'!N43+'6.2 HH'!N43+'6.3 könyvtár'!N43+'6.4 sportcsarnok'!N43+'6.5 pályázat_1'!N43</f>
        <v>0</v>
      </c>
    </row>
    <row r="44" spans="1:14" ht="15.75" hidden="1" thickBot="1" x14ac:dyDescent="0.3">
      <c r="A44" s="55"/>
      <c r="B44" s="64" t="s">
        <v>93</v>
      </c>
      <c r="C44" s="248">
        <f>'6.1 műv ház'!C44+'6.2 HH'!C44+'6.3 könyvtár'!C44+'6.4 sportcsarnok'!C44+'6.5 pályázat_1'!C44</f>
        <v>0</v>
      </c>
      <c r="D44" s="248">
        <f>'6.1 műv ház'!D44+'6.2 HH'!D44+'6.3 könyvtár'!D44+'6.4 sportcsarnok'!D44+'6.5 pályázat_1'!D44</f>
        <v>0</v>
      </c>
      <c r="E44" s="248">
        <f>'6.1 műv ház'!E44+'6.2 HH'!E44+'6.3 könyvtár'!E44+'6.4 sportcsarnok'!E44+'6.5 pályázat_1'!E44</f>
        <v>0</v>
      </c>
      <c r="F44" s="248">
        <f>'6.1 műv ház'!F44+'6.2 HH'!F44+'6.3 könyvtár'!F44+'6.4 sportcsarnok'!F44+'6.5 pályázat_1'!F44</f>
        <v>0</v>
      </c>
      <c r="G44" s="248">
        <f>'6.1 műv ház'!G44+'6.2 HH'!G44+'6.3 könyvtár'!G44+'6.4 sportcsarnok'!G44+'6.5 pályázat_1'!G44</f>
        <v>0</v>
      </c>
      <c r="H44" s="248">
        <f>'6.1 műv ház'!H44+'6.2 HH'!H44+'6.3 könyvtár'!H44+'6.4 sportcsarnok'!H44+'6.5 pályázat_1'!H44</f>
        <v>0</v>
      </c>
      <c r="I44" s="248">
        <f>'6.1 műv ház'!I44+'6.2 HH'!I44+'6.3 könyvtár'!I44+'6.4 sportcsarnok'!I44+'6.5 pályázat_1'!I44</f>
        <v>0</v>
      </c>
      <c r="J44" s="248">
        <f>'6.1 műv ház'!J44+'6.2 HH'!J44+'6.3 könyvtár'!J44+'6.4 sportcsarnok'!J44+'6.5 pályázat_1'!J44</f>
        <v>0</v>
      </c>
      <c r="K44" s="317">
        <f>'6.1 műv ház'!K44+'6.2 HH'!K44+'6.3 könyvtár'!K44+'6.4 sportcsarnok'!K44+'6.5 pályázat_1'!K44</f>
        <v>0</v>
      </c>
      <c r="L44" s="248">
        <f>'6.1 műv ház'!L44+'6.2 HH'!L44+'6.3 könyvtár'!L44+'6.4 sportcsarnok'!L44+'6.5 pályázat_1'!L44</f>
        <v>0</v>
      </c>
      <c r="M44" s="248">
        <f>'6.1 műv ház'!M44+'6.2 HH'!M44+'6.3 könyvtár'!M44+'6.4 sportcsarnok'!M44+'6.5 pályázat_1'!M44</f>
        <v>0</v>
      </c>
      <c r="N44" s="317">
        <f>'6.1 műv ház'!N44+'6.2 HH'!N44+'6.3 könyvtár'!N44+'6.4 sportcsarnok'!N44+'6.5 pályázat_1'!N44</f>
        <v>0</v>
      </c>
    </row>
    <row r="45" spans="1:14" x14ac:dyDescent="0.25">
      <c r="A45" s="52" t="s">
        <v>94</v>
      </c>
      <c r="B45" s="48" t="s">
        <v>26</v>
      </c>
      <c r="C45" s="244">
        <f>'6.1 műv ház'!C45+'6.2 HH'!C45+'6.3 könyvtár'!C45+'6.4 sportcsarnok'!C45+'6.5 pályázat_1'!C45</f>
        <v>18935490</v>
      </c>
      <c r="D45" s="244">
        <f>'6.1 műv ház'!D45+'6.2 HH'!D45+'6.3 könyvtár'!D45+'6.4 sportcsarnok'!D45+'6.5 pályázat_1'!D45</f>
        <v>0</v>
      </c>
      <c r="E45" s="244">
        <f>'6.1 műv ház'!E45+'6.2 HH'!E45+'6.3 könyvtár'!E45+'6.4 sportcsarnok'!E45+'6.5 pályázat_1'!E45</f>
        <v>18935490</v>
      </c>
      <c r="F45" s="244">
        <f>'6.1 műv ház'!F45+'6.2 HH'!F45+'6.3 könyvtár'!F45+'6.4 sportcsarnok'!F45+'6.5 pályázat_1'!F45</f>
        <v>21473055</v>
      </c>
      <c r="G45" s="244">
        <f>'6.1 műv ház'!G45+'6.2 HH'!G45+'6.3 könyvtár'!G45+'6.4 sportcsarnok'!G45+'6.5 pályázat_1'!G45</f>
        <v>0</v>
      </c>
      <c r="H45" s="244">
        <f>'6.1 műv ház'!H45+'6.2 HH'!H45+'6.3 könyvtár'!H45+'6.4 sportcsarnok'!H45+'6.5 pályázat_1'!H45</f>
        <v>21473055</v>
      </c>
      <c r="I45" s="244">
        <f>'6.1 műv ház'!I45+'6.2 HH'!I45+'6.3 könyvtár'!I45+'6.4 sportcsarnok'!I45+'6.5 pályázat_1'!I45</f>
        <v>21689057</v>
      </c>
      <c r="J45" s="244">
        <f>'6.1 műv ház'!J45+'6.2 HH'!J45+'6.3 könyvtár'!J45+'6.4 sportcsarnok'!J45+'6.5 pályázat_1'!J45</f>
        <v>0</v>
      </c>
      <c r="K45" s="365">
        <f>'6.1 műv ház'!K45+'6.2 HH'!K45+'6.3 könyvtár'!K45+'6.4 sportcsarnok'!K45+'6.5 pályázat_1'!K45</f>
        <v>21689057</v>
      </c>
      <c r="L45" s="244">
        <f>'6.1 műv ház'!L45+'6.2 HH'!L45+'6.3 könyvtár'!L45+'6.4 sportcsarnok'!L45+'6.5 pályázat_1'!L45</f>
        <v>12927148</v>
      </c>
      <c r="M45" s="244">
        <f>'6.1 műv ház'!M45+'6.2 HH'!M45+'6.3 könyvtár'!M45+'6.4 sportcsarnok'!M45+'6.5 pályázat_1'!M45</f>
        <v>0</v>
      </c>
      <c r="N45" s="365">
        <f>'6.1 műv ház'!N45+'6.2 HH'!N45+'6.3 könyvtár'!N45+'6.4 sportcsarnok'!N45+'6.5 pályázat_1'!N45</f>
        <v>12927148</v>
      </c>
    </row>
    <row r="46" spans="1:14" x14ac:dyDescent="0.25">
      <c r="A46" s="53" t="s">
        <v>95</v>
      </c>
      <c r="B46" s="62" t="s">
        <v>96</v>
      </c>
      <c r="C46" s="246">
        <f>'6.1 műv ház'!C46+'6.2 HH'!C46+'6.3 könyvtár'!C46+'6.4 sportcsarnok'!C46+'6.5 pályázat_1'!C46</f>
        <v>341515</v>
      </c>
      <c r="D46" s="246">
        <f>'6.1 műv ház'!D46+'6.2 HH'!D46+'6.3 könyvtár'!D46+'6.4 sportcsarnok'!D46+'6.5 pályázat_1'!D46</f>
        <v>0</v>
      </c>
      <c r="E46" s="246">
        <f>'6.1 műv ház'!E46+'6.2 HH'!E46+'6.3 könyvtár'!E46+'6.4 sportcsarnok'!E46+'6.5 pályázat_1'!E46</f>
        <v>341515</v>
      </c>
      <c r="F46" s="246">
        <f>'6.1 műv ház'!F46+'6.2 HH'!F46+'6.3 könyvtár'!F46+'6.4 sportcsarnok'!F46+'6.5 pályázat_1'!F46</f>
        <v>341515</v>
      </c>
      <c r="G46" s="246">
        <f>'6.1 műv ház'!G46+'6.2 HH'!G46+'6.3 könyvtár'!G46+'6.4 sportcsarnok'!G46+'6.5 pályázat_1'!G46</f>
        <v>0</v>
      </c>
      <c r="H46" s="246">
        <f>'6.1 műv ház'!H46+'6.2 HH'!H46+'6.3 könyvtár'!H46+'6.4 sportcsarnok'!H46+'6.5 pályázat_1'!H46</f>
        <v>341515</v>
      </c>
      <c r="I46" s="246">
        <f>'6.1 műv ház'!I46+'6.2 HH'!I46+'6.3 könyvtár'!I46+'6.4 sportcsarnok'!I46+'6.5 pályázat_1'!I46</f>
        <v>341515</v>
      </c>
      <c r="J46" s="246">
        <f>'6.1 műv ház'!J46+'6.2 HH'!J46+'6.3 könyvtár'!J46+'6.4 sportcsarnok'!J46+'6.5 pályázat_1'!J46</f>
        <v>0</v>
      </c>
      <c r="K46" s="316">
        <f>'6.1 műv ház'!K46+'6.2 HH'!K46+'6.3 könyvtár'!K46+'6.4 sportcsarnok'!K46+'6.5 pályázat_1'!K46</f>
        <v>341515</v>
      </c>
      <c r="L46" s="246">
        <f>'6.1 műv ház'!L46+'6.2 HH'!L46+'6.3 könyvtár'!L46+'6.4 sportcsarnok'!L46+'6.5 pályázat_1'!L46</f>
        <v>339852</v>
      </c>
      <c r="M46" s="246">
        <f>'6.1 műv ház'!M46+'6.2 HH'!M46+'6.3 könyvtár'!M46+'6.4 sportcsarnok'!M46+'6.5 pályázat_1'!M46</f>
        <v>0</v>
      </c>
      <c r="N46" s="316">
        <f>'6.1 műv ház'!N46+'6.2 HH'!N46+'6.3 könyvtár'!N46+'6.4 sportcsarnok'!N46+'6.5 pályázat_1'!N46</f>
        <v>339852</v>
      </c>
    </row>
    <row r="47" spans="1:14" x14ac:dyDescent="0.25">
      <c r="A47" s="53" t="s">
        <v>97</v>
      </c>
      <c r="B47" s="62" t="s">
        <v>98</v>
      </c>
      <c r="C47" s="246">
        <f>'6.1 műv ház'!C47+'6.2 HH'!C47+'6.3 könyvtár'!C47+'6.4 sportcsarnok'!C47+'6.5 pályázat_1'!C47</f>
        <v>15647716</v>
      </c>
      <c r="D47" s="246">
        <f>'6.1 műv ház'!D47+'6.2 HH'!D47+'6.3 könyvtár'!D47+'6.4 sportcsarnok'!D47+'6.5 pályázat_1'!D47</f>
        <v>0</v>
      </c>
      <c r="E47" s="246">
        <f>'6.1 műv ház'!E47+'6.2 HH'!E47+'6.3 könyvtár'!E47+'6.4 sportcsarnok'!E47+'6.5 pályázat_1'!E47</f>
        <v>15647716</v>
      </c>
      <c r="F47" s="246">
        <f>'6.1 műv ház'!F47+'6.2 HH'!F47+'6.3 könyvtár'!F47+'6.4 sportcsarnok'!F47+'6.5 pályázat_1'!F47</f>
        <v>17155503</v>
      </c>
      <c r="G47" s="246">
        <f>'6.1 műv ház'!G47+'6.2 HH'!G47+'6.3 könyvtár'!G47+'6.4 sportcsarnok'!G47+'6.5 pályázat_1'!G47</f>
        <v>0</v>
      </c>
      <c r="H47" s="246">
        <f>'6.1 műv ház'!H47+'6.2 HH'!H47+'6.3 könyvtár'!H47+'6.4 sportcsarnok'!H47+'6.5 pályázat_1'!H47</f>
        <v>17155503</v>
      </c>
      <c r="I47" s="246">
        <f>'6.1 műv ház'!I47+'6.2 HH'!I47+'6.3 könyvtár'!I47+'6.4 sportcsarnok'!I47+'6.5 pályázat_1'!I47</f>
        <v>17155503</v>
      </c>
      <c r="J47" s="246">
        <f>'6.1 műv ház'!J47+'6.2 HH'!J47+'6.3 könyvtár'!J47+'6.4 sportcsarnok'!J47+'6.5 pályázat_1'!J47</f>
        <v>0</v>
      </c>
      <c r="K47" s="316">
        <f>'6.1 műv ház'!K47+'6.2 HH'!K47+'6.3 könyvtár'!K47+'6.4 sportcsarnok'!K47+'6.5 pályázat_1'!K47</f>
        <v>17155503</v>
      </c>
      <c r="L47" s="246">
        <f>'6.1 műv ház'!L47+'6.2 HH'!L47+'6.3 könyvtár'!L47+'6.4 sportcsarnok'!L47+'6.5 pályázat_1'!L47</f>
        <v>10626002</v>
      </c>
      <c r="M47" s="246">
        <f>'6.1 műv ház'!M47+'6.2 HH'!M47+'6.3 könyvtár'!M47+'6.4 sportcsarnok'!M47+'6.5 pályázat_1'!M47</f>
        <v>0</v>
      </c>
      <c r="N47" s="316">
        <f>'6.1 műv ház'!N47+'6.2 HH'!N47+'6.3 könyvtár'!N47+'6.4 sportcsarnok'!N47+'6.5 pályázat_1'!N47</f>
        <v>10626002</v>
      </c>
    </row>
    <row r="48" spans="1:14" x14ac:dyDescent="0.25">
      <c r="A48" s="53" t="s">
        <v>99</v>
      </c>
      <c r="B48" s="62" t="s">
        <v>100</v>
      </c>
      <c r="C48" s="246">
        <f>'6.1 műv ház'!C48+'6.2 HH'!C48+'6.3 könyvtár'!C48+'6.4 sportcsarnok'!C48+'6.5 pályázat_1'!C48</f>
        <v>0</v>
      </c>
      <c r="D48" s="246">
        <f>'6.1 műv ház'!D48+'6.2 HH'!D48+'6.3 könyvtár'!D48+'6.4 sportcsarnok'!D48+'6.5 pályázat_1'!D48</f>
        <v>0</v>
      </c>
      <c r="E48" s="246">
        <f>'6.1 műv ház'!E48+'6.2 HH'!E48+'6.3 könyvtár'!E48+'6.4 sportcsarnok'!E48+'6.5 pályázat_1'!E48</f>
        <v>0</v>
      </c>
      <c r="F48" s="246">
        <f>'6.1 műv ház'!F48+'6.2 HH'!F48+'6.3 könyvtár'!F48+'6.4 sportcsarnok'!F48+'6.5 pályázat_1'!F48</f>
        <v>0</v>
      </c>
      <c r="G48" s="246">
        <f>'6.1 műv ház'!G48+'6.2 HH'!G48+'6.3 könyvtár'!G48+'6.4 sportcsarnok'!G48+'6.5 pályázat_1'!G48</f>
        <v>0</v>
      </c>
      <c r="H48" s="246">
        <f>'6.1 műv ház'!H48+'6.2 HH'!H48+'6.3 könyvtár'!H48+'6.4 sportcsarnok'!H48+'6.5 pályázat_1'!H48</f>
        <v>0</v>
      </c>
      <c r="I48" s="246">
        <f>'6.1 műv ház'!I48+'6.2 HH'!I48+'6.3 könyvtár'!I48+'6.4 sportcsarnok'!I48+'6.5 pályázat_1'!I48</f>
        <v>191354</v>
      </c>
      <c r="J48" s="246">
        <f>'6.1 műv ház'!J48+'6.2 HH'!J48+'6.3 könyvtár'!J48+'6.4 sportcsarnok'!J48+'6.5 pályázat_1'!J48</f>
        <v>0</v>
      </c>
      <c r="K48" s="316">
        <f>'6.1 műv ház'!K48+'6.2 HH'!K48+'6.3 könyvtár'!K48+'6.4 sportcsarnok'!K48+'6.5 pályázat_1'!K48</f>
        <v>191354</v>
      </c>
      <c r="L48" s="246">
        <f>'6.1 műv ház'!L48+'6.2 HH'!L48+'6.3 könyvtár'!L48+'6.4 sportcsarnok'!L48+'6.5 pályázat_1'!L48</f>
        <v>191354</v>
      </c>
      <c r="M48" s="246">
        <f>'6.1 műv ház'!M48+'6.2 HH'!M48+'6.3 könyvtár'!M48+'6.4 sportcsarnok'!M48+'6.5 pályázat_1'!M48</f>
        <v>0</v>
      </c>
      <c r="N48" s="316">
        <f>'6.1 műv ház'!N48+'6.2 HH'!N48+'6.3 könyvtár'!N48+'6.4 sportcsarnok'!N48+'6.5 pályázat_1'!N48</f>
        <v>191354</v>
      </c>
    </row>
    <row r="49" spans="1:14" x14ac:dyDescent="0.25">
      <c r="A49" s="53" t="s">
        <v>101</v>
      </c>
      <c r="B49" s="62" t="s">
        <v>102</v>
      </c>
      <c r="C49" s="246">
        <f>'6.1 műv ház'!C49+'6.2 HH'!C49+'6.3 könyvtár'!C49+'6.4 sportcsarnok'!C49+'6.5 pályázat_1'!C49</f>
        <v>0</v>
      </c>
      <c r="D49" s="246">
        <f>'6.1 műv ház'!D49+'6.2 HH'!D49+'6.3 könyvtár'!D49+'6.4 sportcsarnok'!D49+'6.5 pályázat_1'!D49</f>
        <v>0</v>
      </c>
      <c r="E49" s="246">
        <f>'6.1 műv ház'!E49+'6.2 HH'!E49+'6.3 könyvtár'!E49+'6.4 sportcsarnok'!E49+'6.5 pályázat_1'!E49</f>
        <v>0</v>
      </c>
      <c r="F49" s="246">
        <f>'6.1 műv ház'!F49+'6.2 HH'!F49+'6.3 könyvtár'!F49+'6.4 sportcsarnok'!F49+'6.5 pályázat_1'!F49</f>
        <v>0</v>
      </c>
      <c r="G49" s="246">
        <f>'6.1 műv ház'!G49+'6.2 HH'!G49+'6.3 könyvtár'!G49+'6.4 sportcsarnok'!G49+'6.5 pályázat_1'!G49</f>
        <v>0</v>
      </c>
      <c r="H49" s="246">
        <f>'6.1 műv ház'!H49+'6.2 HH'!H49+'6.3 könyvtár'!H49+'6.4 sportcsarnok'!H49+'6.5 pályázat_1'!H49</f>
        <v>0</v>
      </c>
      <c r="I49" s="246">
        <f>'6.1 műv ház'!I49+'6.2 HH'!I49+'6.3 könyvtár'!I49+'6.4 sportcsarnok'!I49+'6.5 pályázat_1'!I49</f>
        <v>0</v>
      </c>
      <c r="J49" s="246">
        <f>'6.1 műv ház'!J49+'6.2 HH'!J49+'6.3 könyvtár'!J49+'6.4 sportcsarnok'!J49+'6.5 pályázat_1'!J49</f>
        <v>0</v>
      </c>
      <c r="K49" s="316">
        <f>'6.1 műv ház'!K49+'6.2 HH'!K49+'6.3 könyvtár'!K49+'6.4 sportcsarnok'!K49+'6.5 pályázat_1'!K49</f>
        <v>0</v>
      </c>
      <c r="L49" s="246">
        <f>'6.1 műv ház'!L49+'6.2 HH'!L49+'6.3 könyvtár'!L49+'6.4 sportcsarnok'!L49+'6.5 pályázat_1'!L49</f>
        <v>0</v>
      </c>
      <c r="M49" s="246">
        <f>'6.1 műv ház'!M49+'6.2 HH'!M49+'6.3 könyvtár'!M49+'6.4 sportcsarnok'!M49+'6.5 pályázat_1'!M49</f>
        <v>0</v>
      </c>
      <c r="N49" s="316">
        <f>'6.1 műv ház'!N49+'6.2 HH'!N49+'6.3 könyvtár'!N49+'6.4 sportcsarnok'!N49+'6.5 pályázat_1'!N49</f>
        <v>0</v>
      </c>
    </row>
    <row r="50" spans="1:14" hidden="1" x14ac:dyDescent="0.25">
      <c r="A50" s="53"/>
      <c r="B50" s="62" t="s">
        <v>103</v>
      </c>
      <c r="C50" s="246">
        <f>'6.1 műv ház'!C50+'6.2 HH'!C50+'6.3 könyvtár'!C50+'6.4 sportcsarnok'!C50+'6.5 pályázat_1'!C50</f>
        <v>0</v>
      </c>
      <c r="D50" s="246">
        <f>'6.1 műv ház'!D50+'6.2 HH'!D50+'6.3 könyvtár'!D50+'6.4 sportcsarnok'!D50+'6.5 pályázat_1'!D50</f>
        <v>0</v>
      </c>
      <c r="E50" s="246">
        <f>'6.1 műv ház'!E50+'6.2 HH'!E50+'6.3 könyvtár'!E50+'6.4 sportcsarnok'!E50+'6.5 pályázat_1'!E50</f>
        <v>0</v>
      </c>
      <c r="F50" s="246">
        <f>'6.1 műv ház'!F50+'6.2 HH'!F50+'6.3 könyvtár'!F50+'6.4 sportcsarnok'!F50+'6.5 pályázat_1'!F50</f>
        <v>0</v>
      </c>
      <c r="G50" s="246">
        <f>'6.1 műv ház'!G50+'6.2 HH'!G50+'6.3 könyvtár'!G50+'6.4 sportcsarnok'!G50+'6.5 pályázat_1'!G50</f>
        <v>0</v>
      </c>
      <c r="H50" s="246">
        <f>'6.1 műv ház'!H50+'6.2 HH'!H50+'6.3 könyvtár'!H50+'6.4 sportcsarnok'!H50+'6.5 pályázat_1'!H50</f>
        <v>0</v>
      </c>
      <c r="I50" s="246">
        <f>'6.1 műv ház'!I50+'6.2 HH'!I50+'6.3 könyvtár'!I50+'6.4 sportcsarnok'!I50+'6.5 pályázat_1'!I50</f>
        <v>0</v>
      </c>
      <c r="J50" s="246">
        <f>'6.1 műv ház'!J50+'6.2 HH'!J50+'6.3 könyvtár'!J50+'6.4 sportcsarnok'!J50+'6.5 pályázat_1'!J50</f>
        <v>0</v>
      </c>
      <c r="K50" s="316">
        <f>'6.1 műv ház'!K50+'6.2 HH'!K50+'6.3 könyvtár'!K50+'6.4 sportcsarnok'!K50+'6.5 pályázat_1'!K50</f>
        <v>0</v>
      </c>
      <c r="L50" s="246">
        <f>'6.1 műv ház'!L50+'6.2 HH'!L50+'6.3 könyvtár'!L50+'6.4 sportcsarnok'!L50+'6.5 pályázat_1'!L50</f>
        <v>0</v>
      </c>
      <c r="M50" s="246">
        <f>'6.1 műv ház'!M50+'6.2 HH'!M50+'6.3 könyvtár'!M50+'6.4 sportcsarnok'!M50+'6.5 pályázat_1'!M50</f>
        <v>0</v>
      </c>
      <c r="N50" s="316">
        <f>'6.1 műv ház'!N50+'6.2 HH'!N50+'6.3 könyvtár'!N50+'6.4 sportcsarnok'!N50+'6.5 pályázat_1'!N50</f>
        <v>0</v>
      </c>
    </row>
    <row r="51" spans="1:14" hidden="1" x14ac:dyDescent="0.25">
      <c r="A51" s="53"/>
      <c r="B51" s="62" t="s">
        <v>104</v>
      </c>
      <c r="C51" s="246">
        <f>'6.1 műv ház'!C51+'6.2 HH'!C51+'6.3 könyvtár'!C51+'6.4 sportcsarnok'!C51+'6.5 pályázat_1'!C51</f>
        <v>0</v>
      </c>
      <c r="D51" s="246">
        <f>'6.1 műv ház'!D51+'6.2 HH'!D51+'6.3 könyvtár'!D51+'6.4 sportcsarnok'!D51+'6.5 pályázat_1'!D51</f>
        <v>0</v>
      </c>
      <c r="E51" s="246">
        <f>'6.1 műv ház'!E51+'6.2 HH'!E51+'6.3 könyvtár'!E51+'6.4 sportcsarnok'!E51+'6.5 pályázat_1'!E51</f>
        <v>0</v>
      </c>
      <c r="F51" s="246">
        <f>'6.1 műv ház'!F51+'6.2 HH'!F51+'6.3 könyvtár'!F51+'6.4 sportcsarnok'!F51+'6.5 pályázat_1'!F51</f>
        <v>0</v>
      </c>
      <c r="G51" s="246">
        <f>'6.1 műv ház'!G51+'6.2 HH'!G51+'6.3 könyvtár'!G51+'6.4 sportcsarnok'!G51+'6.5 pályázat_1'!G51</f>
        <v>0</v>
      </c>
      <c r="H51" s="246">
        <f>'6.1 műv ház'!H51+'6.2 HH'!H51+'6.3 könyvtár'!H51+'6.4 sportcsarnok'!H51+'6.5 pályázat_1'!H51</f>
        <v>0</v>
      </c>
      <c r="I51" s="246">
        <f>'6.1 műv ház'!I51+'6.2 HH'!I51+'6.3 könyvtár'!I51+'6.4 sportcsarnok'!I51+'6.5 pályázat_1'!I51</f>
        <v>0</v>
      </c>
      <c r="J51" s="246">
        <f>'6.1 műv ház'!J51+'6.2 HH'!J51+'6.3 könyvtár'!J51+'6.4 sportcsarnok'!J51+'6.5 pályázat_1'!J51</f>
        <v>0</v>
      </c>
      <c r="K51" s="316">
        <f>'6.1 műv ház'!K51+'6.2 HH'!K51+'6.3 könyvtár'!K51+'6.4 sportcsarnok'!K51+'6.5 pályázat_1'!K51</f>
        <v>0</v>
      </c>
      <c r="L51" s="246">
        <f>'6.1 műv ház'!L51+'6.2 HH'!L51+'6.3 könyvtár'!L51+'6.4 sportcsarnok'!L51+'6.5 pályázat_1'!L51</f>
        <v>0</v>
      </c>
      <c r="M51" s="246">
        <f>'6.1 műv ház'!M51+'6.2 HH'!M51+'6.3 könyvtár'!M51+'6.4 sportcsarnok'!M51+'6.5 pályázat_1'!M51</f>
        <v>0</v>
      </c>
      <c r="N51" s="316">
        <f>'6.1 műv ház'!N51+'6.2 HH'!N51+'6.3 könyvtár'!N51+'6.4 sportcsarnok'!N51+'6.5 pályázat_1'!N51</f>
        <v>0</v>
      </c>
    </row>
    <row r="52" spans="1:14" hidden="1" x14ac:dyDescent="0.25">
      <c r="A52" s="53"/>
      <c r="B52" s="62" t="s">
        <v>105</v>
      </c>
      <c r="C52" s="246">
        <f>'6.1 műv ház'!C52+'6.2 HH'!C52+'6.3 könyvtár'!C52+'6.4 sportcsarnok'!C52+'6.5 pályázat_1'!C52</f>
        <v>0</v>
      </c>
      <c r="D52" s="246">
        <f>'6.1 műv ház'!D52+'6.2 HH'!D52+'6.3 könyvtár'!D52+'6.4 sportcsarnok'!D52+'6.5 pályázat_1'!D52</f>
        <v>0</v>
      </c>
      <c r="E52" s="246">
        <f>'6.1 műv ház'!E52+'6.2 HH'!E52+'6.3 könyvtár'!E52+'6.4 sportcsarnok'!E52+'6.5 pályázat_1'!E52</f>
        <v>0</v>
      </c>
      <c r="F52" s="246">
        <f>'6.1 műv ház'!F52+'6.2 HH'!F52+'6.3 könyvtár'!F52+'6.4 sportcsarnok'!F52+'6.5 pályázat_1'!F52</f>
        <v>0</v>
      </c>
      <c r="G52" s="246">
        <f>'6.1 műv ház'!G52+'6.2 HH'!G52+'6.3 könyvtár'!G52+'6.4 sportcsarnok'!G52+'6.5 pályázat_1'!G52</f>
        <v>0</v>
      </c>
      <c r="H52" s="246">
        <f>'6.1 műv ház'!H52+'6.2 HH'!H52+'6.3 könyvtár'!H52+'6.4 sportcsarnok'!H52+'6.5 pályázat_1'!H52</f>
        <v>0</v>
      </c>
      <c r="I52" s="246">
        <f>'6.1 műv ház'!I52+'6.2 HH'!I52+'6.3 könyvtár'!I52+'6.4 sportcsarnok'!I52+'6.5 pályázat_1'!I52</f>
        <v>0</v>
      </c>
      <c r="J52" s="246">
        <f>'6.1 műv ház'!J52+'6.2 HH'!J52+'6.3 könyvtár'!J52+'6.4 sportcsarnok'!J52+'6.5 pályázat_1'!J52</f>
        <v>0</v>
      </c>
      <c r="K52" s="316">
        <f>'6.1 műv ház'!K52+'6.2 HH'!K52+'6.3 könyvtár'!K52+'6.4 sportcsarnok'!K52+'6.5 pályázat_1'!K52</f>
        <v>0</v>
      </c>
      <c r="L52" s="246">
        <f>'6.1 műv ház'!L52+'6.2 HH'!L52+'6.3 könyvtár'!L52+'6.4 sportcsarnok'!L52+'6.5 pályázat_1'!L52</f>
        <v>0</v>
      </c>
      <c r="M52" s="246">
        <f>'6.1 műv ház'!M52+'6.2 HH'!M52+'6.3 könyvtár'!M52+'6.4 sportcsarnok'!M52+'6.5 pályázat_1'!M52</f>
        <v>0</v>
      </c>
      <c r="N52" s="316">
        <f>'6.1 műv ház'!N52+'6.2 HH'!N52+'6.3 könyvtár'!N52+'6.4 sportcsarnok'!N52+'6.5 pályázat_1'!N52</f>
        <v>0</v>
      </c>
    </row>
    <row r="53" spans="1:14" hidden="1" x14ac:dyDescent="0.25">
      <c r="A53" s="53"/>
      <c r="B53" s="62" t="s">
        <v>106</v>
      </c>
      <c r="C53" s="246">
        <f>'6.1 műv ház'!C53+'6.2 HH'!C53+'6.3 könyvtár'!C53+'6.4 sportcsarnok'!C53+'6.5 pályázat_1'!C53</f>
        <v>0</v>
      </c>
      <c r="D53" s="246">
        <f>'6.1 műv ház'!D53+'6.2 HH'!D53+'6.3 könyvtár'!D53+'6.4 sportcsarnok'!D53+'6.5 pályázat_1'!D53</f>
        <v>0</v>
      </c>
      <c r="E53" s="246">
        <f>'6.1 műv ház'!E53+'6.2 HH'!E53+'6.3 könyvtár'!E53+'6.4 sportcsarnok'!E53+'6.5 pályázat_1'!E53</f>
        <v>0</v>
      </c>
      <c r="F53" s="246">
        <f>'6.1 műv ház'!F53+'6.2 HH'!F53+'6.3 könyvtár'!F53+'6.4 sportcsarnok'!F53+'6.5 pályázat_1'!F53</f>
        <v>0</v>
      </c>
      <c r="G53" s="246">
        <f>'6.1 műv ház'!G53+'6.2 HH'!G53+'6.3 könyvtár'!G53+'6.4 sportcsarnok'!G53+'6.5 pályázat_1'!G53</f>
        <v>0</v>
      </c>
      <c r="H53" s="246">
        <f>'6.1 műv ház'!H53+'6.2 HH'!H53+'6.3 könyvtár'!H53+'6.4 sportcsarnok'!H53+'6.5 pályázat_1'!H53</f>
        <v>0</v>
      </c>
      <c r="I53" s="246">
        <f>'6.1 műv ház'!I53+'6.2 HH'!I53+'6.3 könyvtár'!I53+'6.4 sportcsarnok'!I53+'6.5 pályázat_1'!I53</f>
        <v>0</v>
      </c>
      <c r="J53" s="246">
        <f>'6.1 műv ház'!J53+'6.2 HH'!J53+'6.3 könyvtár'!J53+'6.4 sportcsarnok'!J53+'6.5 pályázat_1'!J53</f>
        <v>0</v>
      </c>
      <c r="K53" s="316">
        <f>'6.1 műv ház'!K53+'6.2 HH'!K53+'6.3 könyvtár'!K53+'6.4 sportcsarnok'!K53+'6.5 pályázat_1'!K53</f>
        <v>0</v>
      </c>
      <c r="L53" s="246">
        <f>'6.1 műv ház'!L53+'6.2 HH'!L53+'6.3 könyvtár'!L53+'6.4 sportcsarnok'!L53+'6.5 pályázat_1'!L53</f>
        <v>0</v>
      </c>
      <c r="M53" s="246">
        <f>'6.1 műv ház'!M53+'6.2 HH'!M53+'6.3 könyvtár'!M53+'6.4 sportcsarnok'!M53+'6.5 pályázat_1'!M53</f>
        <v>0</v>
      </c>
      <c r="N53" s="316">
        <f>'6.1 műv ház'!N53+'6.2 HH'!N53+'6.3 könyvtár'!N53+'6.4 sportcsarnok'!N53+'6.5 pályázat_1'!N53</f>
        <v>0</v>
      </c>
    </row>
    <row r="54" spans="1:14" x14ac:dyDescent="0.25">
      <c r="A54" s="53" t="s">
        <v>107</v>
      </c>
      <c r="B54" s="62" t="s">
        <v>108</v>
      </c>
      <c r="C54" s="246">
        <f>'6.1 műv ház'!C54+'6.2 HH'!C54+'6.3 könyvtár'!C54+'6.4 sportcsarnok'!C54+'6.5 pályázat_1'!C54</f>
        <v>0</v>
      </c>
      <c r="D54" s="246">
        <f>'6.1 műv ház'!D54+'6.2 HH'!D54+'6.3 könyvtár'!D54+'6.4 sportcsarnok'!D54+'6.5 pályázat_1'!D54</f>
        <v>0</v>
      </c>
      <c r="E54" s="246">
        <f>'6.1 műv ház'!E54+'6.2 HH'!E54+'6.3 könyvtár'!E54+'6.4 sportcsarnok'!E54+'6.5 pályázat_1'!E54</f>
        <v>0</v>
      </c>
      <c r="F54" s="246">
        <f>'6.1 műv ház'!F54+'6.2 HH'!F54+'6.3 könyvtár'!F54+'6.4 sportcsarnok'!F54+'6.5 pályázat_1'!F54</f>
        <v>0</v>
      </c>
      <c r="G54" s="246">
        <f>'6.1 műv ház'!G54+'6.2 HH'!G54+'6.3 könyvtár'!G54+'6.4 sportcsarnok'!G54+'6.5 pályázat_1'!G54</f>
        <v>0</v>
      </c>
      <c r="H54" s="246">
        <f>'6.1 műv ház'!H54+'6.2 HH'!H54+'6.3 könyvtár'!H54+'6.4 sportcsarnok'!H54+'6.5 pályázat_1'!H54</f>
        <v>0</v>
      </c>
      <c r="I54" s="246">
        <f>'6.1 műv ház'!I54+'6.2 HH'!I54+'6.3 könyvtár'!I54+'6.4 sportcsarnok'!I54+'6.5 pályázat_1'!I54</f>
        <v>0</v>
      </c>
      <c r="J54" s="246">
        <f>'6.1 műv ház'!J54+'6.2 HH'!J54+'6.3 könyvtár'!J54+'6.4 sportcsarnok'!J54+'6.5 pályázat_1'!J54</f>
        <v>0</v>
      </c>
      <c r="K54" s="316">
        <f>'6.1 műv ház'!K54+'6.2 HH'!K54+'6.3 könyvtár'!K54+'6.4 sportcsarnok'!K54+'6.5 pályázat_1'!K54</f>
        <v>0</v>
      </c>
      <c r="L54" s="246">
        <f>'6.1 műv ház'!L54+'6.2 HH'!L54+'6.3 könyvtár'!L54+'6.4 sportcsarnok'!L54+'6.5 pályázat_1'!L54</f>
        <v>0</v>
      </c>
      <c r="M54" s="246">
        <f>'6.1 műv ház'!M54+'6.2 HH'!M54+'6.3 könyvtár'!M54+'6.4 sportcsarnok'!M54+'6.5 pályázat_1'!M54</f>
        <v>0</v>
      </c>
      <c r="N54" s="316">
        <f>'6.1 műv ház'!N54+'6.2 HH'!N54+'6.3 könyvtár'!N54+'6.4 sportcsarnok'!N54+'6.5 pályázat_1'!N54</f>
        <v>0</v>
      </c>
    </row>
    <row r="55" spans="1:14" x14ac:dyDescent="0.25">
      <c r="A55" s="53" t="s">
        <v>109</v>
      </c>
      <c r="B55" s="62" t="s">
        <v>110</v>
      </c>
      <c r="C55" s="246">
        <f>'6.1 műv ház'!C55+'6.2 HH'!C55+'6.3 könyvtár'!C55+'6.4 sportcsarnok'!C55+'6.5 pályázat_1'!C55</f>
        <v>2946259</v>
      </c>
      <c r="D55" s="246">
        <f>'6.1 műv ház'!D55+'6.2 HH'!D55+'6.3 könyvtár'!D55+'6.4 sportcsarnok'!D55+'6.5 pályázat_1'!D55</f>
        <v>0</v>
      </c>
      <c r="E55" s="246">
        <f>'6.1 műv ház'!E55+'6.2 HH'!E55+'6.3 könyvtár'!E55+'6.4 sportcsarnok'!E55+'6.5 pályázat_1'!E55</f>
        <v>2946259</v>
      </c>
      <c r="F55" s="246">
        <f>'6.1 műv ház'!F55+'6.2 HH'!F55+'6.3 könyvtár'!F55+'6.4 sportcsarnok'!F55+'6.5 pályázat_1'!F55</f>
        <v>3976037</v>
      </c>
      <c r="G55" s="246">
        <f>'6.1 műv ház'!G55+'6.2 HH'!G55+'6.3 könyvtár'!G55+'6.4 sportcsarnok'!G55+'6.5 pályázat_1'!G55</f>
        <v>0</v>
      </c>
      <c r="H55" s="246">
        <f>'6.1 műv ház'!H55+'6.2 HH'!H55+'6.3 könyvtár'!H55+'6.4 sportcsarnok'!H55+'6.5 pályázat_1'!H55</f>
        <v>3976037</v>
      </c>
      <c r="I55" s="246">
        <f>'6.1 műv ház'!I55+'6.2 HH'!I55+'6.3 könyvtár'!I55+'6.4 sportcsarnok'!I55+'6.5 pályázat_1'!I55</f>
        <v>3976037</v>
      </c>
      <c r="J55" s="246">
        <f>'6.1 műv ház'!J55+'6.2 HH'!J55+'6.3 könyvtár'!J55+'6.4 sportcsarnok'!J55+'6.5 pályázat_1'!J55</f>
        <v>0</v>
      </c>
      <c r="K55" s="316">
        <f>'6.1 műv ház'!K55+'6.2 HH'!K55+'6.3 könyvtár'!K55+'6.4 sportcsarnok'!K55+'6.5 pályázat_1'!K55</f>
        <v>3976037</v>
      </c>
      <c r="L55" s="246">
        <f>'6.1 műv ház'!L55+'6.2 HH'!L55+'6.3 könyvtár'!L55+'6.4 sportcsarnok'!L55+'6.5 pályázat_1'!L55</f>
        <v>1745350</v>
      </c>
      <c r="M55" s="246">
        <f>'6.1 műv ház'!M55+'6.2 HH'!M55+'6.3 könyvtár'!M55+'6.4 sportcsarnok'!M55+'6.5 pályázat_1'!M55</f>
        <v>0</v>
      </c>
      <c r="N55" s="316">
        <f>'6.1 műv ház'!N55+'6.2 HH'!N55+'6.3 könyvtár'!N55+'6.4 sportcsarnok'!N55+'6.5 pályázat_1'!N55</f>
        <v>1745350</v>
      </c>
    </row>
    <row r="56" spans="1:14" x14ac:dyDescent="0.25">
      <c r="A56" s="53" t="s">
        <v>111</v>
      </c>
      <c r="B56" s="62" t="s">
        <v>112</v>
      </c>
      <c r="C56" s="246">
        <f>'6.1 műv ház'!C56+'6.2 HH'!C56+'6.3 könyvtár'!C56+'6.4 sportcsarnok'!C56+'6.5 pályázat_1'!C56</f>
        <v>0</v>
      </c>
      <c r="D56" s="246">
        <f>'6.1 műv ház'!D56+'6.2 HH'!D56+'6.3 könyvtár'!D56+'6.4 sportcsarnok'!D56+'6.5 pályázat_1'!D56</f>
        <v>0</v>
      </c>
      <c r="E56" s="246">
        <f>'6.1 műv ház'!E56+'6.2 HH'!E56+'6.3 könyvtár'!E56+'6.4 sportcsarnok'!E56+'6.5 pályázat_1'!E56</f>
        <v>0</v>
      </c>
      <c r="F56" s="246">
        <f>'6.1 műv ház'!F56+'6.2 HH'!F56+'6.3 könyvtár'!F56+'6.4 sportcsarnok'!F56+'6.5 pályázat_1'!F56</f>
        <v>0</v>
      </c>
      <c r="G56" s="246">
        <f>'6.1 műv ház'!G56+'6.2 HH'!G56+'6.3 könyvtár'!G56+'6.4 sportcsarnok'!G56+'6.5 pályázat_1'!G56</f>
        <v>0</v>
      </c>
      <c r="H56" s="246">
        <f>'6.1 műv ház'!H56+'6.2 HH'!H56+'6.3 könyvtár'!H56+'6.4 sportcsarnok'!H56+'6.5 pályázat_1'!H56</f>
        <v>0</v>
      </c>
      <c r="I56" s="246">
        <f>'6.1 műv ház'!I56+'6.2 HH'!I56+'6.3 könyvtár'!I56+'6.4 sportcsarnok'!I56+'6.5 pályázat_1'!I56</f>
        <v>0</v>
      </c>
      <c r="J56" s="246">
        <f>'6.1 műv ház'!J56+'6.2 HH'!J56+'6.3 könyvtár'!J56+'6.4 sportcsarnok'!J56+'6.5 pályázat_1'!J56</f>
        <v>0</v>
      </c>
      <c r="K56" s="316">
        <f>'6.1 műv ház'!K56+'6.2 HH'!K56+'6.3 könyvtár'!K56+'6.4 sportcsarnok'!K56+'6.5 pályázat_1'!K56</f>
        <v>0</v>
      </c>
      <c r="L56" s="246">
        <f>'6.1 műv ház'!L56+'6.2 HH'!L56+'6.3 könyvtár'!L56+'6.4 sportcsarnok'!L56+'6.5 pályázat_1'!L56</f>
        <v>0</v>
      </c>
      <c r="M56" s="246">
        <f>'6.1 műv ház'!M56+'6.2 HH'!M56+'6.3 könyvtár'!M56+'6.4 sportcsarnok'!M56+'6.5 pályázat_1'!M56</f>
        <v>0</v>
      </c>
      <c r="N56" s="316">
        <f>'6.1 műv ház'!N56+'6.2 HH'!N56+'6.3 könyvtár'!N56+'6.4 sportcsarnok'!N56+'6.5 pályázat_1'!N56</f>
        <v>0</v>
      </c>
    </row>
    <row r="57" spans="1:14" x14ac:dyDescent="0.25">
      <c r="A57" s="53" t="s">
        <v>113</v>
      </c>
      <c r="B57" s="62" t="s">
        <v>114</v>
      </c>
      <c r="C57" s="246">
        <f>'6.1 műv ház'!C57+'6.2 HH'!C57+'6.3 könyvtár'!C57+'6.4 sportcsarnok'!C57+'6.5 pályázat_1'!C57</f>
        <v>0</v>
      </c>
      <c r="D57" s="246">
        <f>'6.1 műv ház'!D57+'6.2 HH'!D57+'6.3 könyvtár'!D57+'6.4 sportcsarnok'!D57+'6.5 pályázat_1'!D57</f>
        <v>0</v>
      </c>
      <c r="E57" s="246">
        <f>'6.1 műv ház'!E57+'6.2 HH'!E57+'6.3 könyvtár'!E57+'6.4 sportcsarnok'!E57+'6.5 pályázat_1'!E57</f>
        <v>0</v>
      </c>
      <c r="F57" s="246">
        <f>'6.1 műv ház'!F57+'6.2 HH'!F57+'6.3 könyvtár'!F57+'6.4 sportcsarnok'!F57+'6.5 pályázat_1'!F57</f>
        <v>0</v>
      </c>
      <c r="G57" s="246">
        <f>'6.1 műv ház'!G57+'6.2 HH'!G57+'6.3 könyvtár'!G57+'6.4 sportcsarnok'!G57+'6.5 pályázat_1'!G57</f>
        <v>0</v>
      </c>
      <c r="H57" s="246">
        <f>'6.1 műv ház'!H57+'6.2 HH'!H57+'6.3 könyvtár'!H57+'6.4 sportcsarnok'!H57+'6.5 pályázat_1'!H57</f>
        <v>0</v>
      </c>
      <c r="I57" s="246">
        <f>'6.1 műv ház'!I57+'6.2 HH'!I57+'6.3 könyvtár'!I57+'6.4 sportcsarnok'!I57+'6.5 pályázat_1'!I57</f>
        <v>100</v>
      </c>
      <c r="J57" s="246">
        <f>'6.1 műv ház'!J57+'6.2 HH'!J57+'6.3 könyvtár'!J57+'6.4 sportcsarnok'!J57+'6.5 pályázat_1'!J57</f>
        <v>0</v>
      </c>
      <c r="K57" s="316">
        <f>'6.1 műv ház'!K57+'6.2 HH'!K57+'6.3 könyvtár'!K57+'6.4 sportcsarnok'!K57+'6.5 pályázat_1'!K57</f>
        <v>100</v>
      </c>
      <c r="L57" s="246">
        <f>'6.1 műv ház'!L57+'6.2 HH'!L57+'6.3 könyvtár'!L57+'6.4 sportcsarnok'!L57+'6.5 pályázat_1'!L57</f>
        <v>42</v>
      </c>
      <c r="M57" s="246">
        <f>'6.1 műv ház'!M57+'6.2 HH'!M57+'6.3 könyvtár'!M57+'6.4 sportcsarnok'!M57+'6.5 pályázat_1'!M57</f>
        <v>0</v>
      </c>
      <c r="N57" s="316">
        <f>'6.1 műv ház'!N57+'6.2 HH'!N57+'6.3 könyvtár'!N57+'6.4 sportcsarnok'!N57+'6.5 pályázat_1'!N57</f>
        <v>42</v>
      </c>
    </row>
    <row r="58" spans="1:14" x14ac:dyDescent="0.25">
      <c r="A58" s="53" t="s">
        <v>115</v>
      </c>
      <c r="B58" s="62" t="s">
        <v>116</v>
      </c>
      <c r="C58" s="246">
        <f>'6.1 műv ház'!C58+'6.2 HH'!C58+'6.3 könyvtár'!C58+'6.4 sportcsarnok'!C58+'6.5 pályázat_1'!C58</f>
        <v>0</v>
      </c>
      <c r="D58" s="246">
        <f>'6.1 műv ház'!D58+'6.2 HH'!D58+'6.3 könyvtár'!D58+'6.4 sportcsarnok'!D58+'6.5 pályázat_1'!D58</f>
        <v>0</v>
      </c>
      <c r="E58" s="246">
        <f>'6.1 műv ház'!E58+'6.2 HH'!E58+'6.3 könyvtár'!E58+'6.4 sportcsarnok'!E58+'6.5 pályázat_1'!E58</f>
        <v>0</v>
      </c>
      <c r="F58" s="246">
        <f>'6.1 műv ház'!F58+'6.2 HH'!F58+'6.3 könyvtár'!F58+'6.4 sportcsarnok'!F58+'6.5 pályázat_1'!F58</f>
        <v>0</v>
      </c>
      <c r="G58" s="246">
        <f>'6.1 műv ház'!G58+'6.2 HH'!G58+'6.3 könyvtár'!G58+'6.4 sportcsarnok'!G58+'6.5 pályázat_1'!G58</f>
        <v>0</v>
      </c>
      <c r="H58" s="246">
        <f>'6.1 műv ház'!H58+'6.2 HH'!H58+'6.3 könyvtár'!H58+'6.4 sportcsarnok'!H58+'6.5 pályázat_1'!H58</f>
        <v>0</v>
      </c>
      <c r="I58" s="246">
        <f>'6.1 műv ház'!I58+'6.2 HH'!I58+'6.3 könyvtár'!I58+'6.4 sportcsarnok'!I58+'6.5 pályázat_1'!I58</f>
        <v>0</v>
      </c>
      <c r="J58" s="246">
        <f>'6.1 műv ház'!J58+'6.2 HH'!J58+'6.3 könyvtár'!J58+'6.4 sportcsarnok'!J58+'6.5 pályázat_1'!J58</f>
        <v>0</v>
      </c>
      <c r="K58" s="316">
        <f>'6.1 műv ház'!K58+'6.2 HH'!K58+'6.3 könyvtár'!K58+'6.4 sportcsarnok'!K58+'6.5 pályázat_1'!K58</f>
        <v>0</v>
      </c>
      <c r="L58" s="246">
        <f>'6.1 műv ház'!L58+'6.2 HH'!L58+'6.3 könyvtár'!L58+'6.4 sportcsarnok'!L58+'6.5 pályázat_1'!L58</f>
        <v>0</v>
      </c>
      <c r="M58" s="246">
        <f>'6.1 műv ház'!M58+'6.2 HH'!M58+'6.3 könyvtár'!M58+'6.4 sportcsarnok'!M58+'6.5 pályázat_1'!M58</f>
        <v>0</v>
      </c>
      <c r="N58" s="316">
        <f>'6.1 műv ház'!N58+'6.2 HH'!N58+'6.3 könyvtár'!N58+'6.4 sportcsarnok'!N58+'6.5 pályázat_1'!N58</f>
        <v>0</v>
      </c>
    </row>
    <row r="59" spans="1:14" x14ac:dyDescent="0.25">
      <c r="A59" s="53" t="s">
        <v>117</v>
      </c>
      <c r="B59" s="62" t="s">
        <v>118</v>
      </c>
      <c r="C59" s="246">
        <f>'6.1 műv ház'!C59+'6.2 HH'!C59+'6.3 könyvtár'!C59+'6.4 sportcsarnok'!C59+'6.5 pályázat_1'!C59</f>
        <v>0</v>
      </c>
      <c r="D59" s="246">
        <f>'6.1 műv ház'!D59+'6.2 HH'!D59+'6.3 könyvtár'!D59+'6.4 sportcsarnok'!D59+'6.5 pályázat_1'!D59</f>
        <v>0</v>
      </c>
      <c r="E59" s="246">
        <f>'6.1 műv ház'!E59+'6.2 HH'!E59+'6.3 könyvtár'!E59+'6.4 sportcsarnok'!E59+'6.5 pályázat_1'!E59</f>
        <v>0</v>
      </c>
      <c r="F59" s="246">
        <f>'6.1 műv ház'!F59+'6.2 HH'!F59+'6.3 könyvtár'!F59+'6.4 sportcsarnok'!F59+'6.5 pályázat_1'!F59</f>
        <v>0</v>
      </c>
      <c r="G59" s="246">
        <f>'6.1 műv ház'!G59+'6.2 HH'!G59+'6.3 könyvtár'!G59+'6.4 sportcsarnok'!G59+'6.5 pályázat_1'!G59</f>
        <v>0</v>
      </c>
      <c r="H59" s="246">
        <f>'6.1 műv ház'!H59+'6.2 HH'!H59+'6.3 könyvtár'!H59+'6.4 sportcsarnok'!H59+'6.5 pályázat_1'!H59</f>
        <v>0</v>
      </c>
      <c r="I59" s="246">
        <f>'6.1 műv ház'!I59+'6.2 HH'!I59+'6.3 könyvtár'!I59+'6.4 sportcsarnok'!I59+'6.5 pályázat_1'!I59</f>
        <v>0</v>
      </c>
      <c r="J59" s="246">
        <f>'6.1 műv ház'!J59+'6.2 HH'!J59+'6.3 könyvtár'!J59+'6.4 sportcsarnok'!J59+'6.5 pályázat_1'!J59</f>
        <v>0</v>
      </c>
      <c r="K59" s="316">
        <f>'6.1 műv ház'!K59+'6.2 HH'!K59+'6.3 könyvtár'!K59+'6.4 sportcsarnok'!K59+'6.5 pályázat_1'!K59</f>
        <v>0</v>
      </c>
      <c r="L59" s="246">
        <f>'6.1 műv ház'!L59+'6.2 HH'!L59+'6.3 könyvtár'!L59+'6.4 sportcsarnok'!L59+'6.5 pályázat_1'!L59</f>
        <v>0</v>
      </c>
      <c r="M59" s="246">
        <f>'6.1 műv ház'!M59+'6.2 HH'!M59+'6.3 könyvtár'!M59+'6.4 sportcsarnok'!M59+'6.5 pályázat_1'!M59</f>
        <v>0</v>
      </c>
      <c r="N59" s="316">
        <f>'6.1 műv ház'!N59+'6.2 HH'!N59+'6.3 könyvtár'!N59+'6.4 sportcsarnok'!N59+'6.5 pályázat_1'!N59</f>
        <v>0</v>
      </c>
    </row>
    <row r="60" spans="1:14" ht="15.75" thickBot="1" x14ac:dyDescent="0.3">
      <c r="A60" s="55" t="s">
        <v>119</v>
      </c>
      <c r="B60" s="64" t="s">
        <v>120</v>
      </c>
      <c r="C60" s="248">
        <f>'6.1 műv ház'!C60+'6.2 HH'!C60+'6.3 könyvtár'!C60+'6.4 sportcsarnok'!C60+'6.5 pályázat_1'!C60</f>
        <v>0</v>
      </c>
      <c r="D60" s="248">
        <f>'6.1 műv ház'!D60+'6.2 HH'!D60+'6.3 könyvtár'!D60+'6.4 sportcsarnok'!D60+'6.5 pályázat_1'!D60</f>
        <v>0</v>
      </c>
      <c r="E60" s="248">
        <f>'6.1 műv ház'!E60+'6.2 HH'!E60+'6.3 könyvtár'!E60+'6.4 sportcsarnok'!E60+'6.5 pályázat_1'!E60</f>
        <v>0</v>
      </c>
      <c r="F60" s="248">
        <f>'6.1 műv ház'!F60+'6.2 HH'!F60+'6.3 könyvtár'!F60+'6.4 sportcsarnok'!F60+'6.5 pályázat_1'!F60</f>
        <v>0</v>
      </c>
      <c r="G60" s="248">
        <f>'6.1 műv ház'!G60+'6.2 HH'!G60+'6.3 könyvtár'!G60+'6.4 sportcsarnok'!G60+'6.5 pályázat_1'!G60</f>
        <v>0</v>
      </c>
      <c r="H60" s="248">
        <f>'6.1 műv ház'!H60+'6.2 HH'!H60+'6.3 könyvtár'!H60+'6.4 sportcsarnok'!H60+'6.5 pályázat_1'!H60</f>
        <v>0</v>
      </c>
      <c r="I60" s="248">
        <f>'6.1 műv ház'!I60+'6.2 HH'!I60+'6.3 könyvtár'!I60+'6.4 sportcsarnok'!I60+'6.5 pályázat_1'!I60</f>
        <v>24548</v>
      </c>
      <c r="J60" s="248">
        <f>'6.1 műv ház'!J60+'6.2 HH'!J60+'6.3 könyvtár'!J60+'6.4 sportcsarnok'!J60+'6.5 pályázat_1'!J60</f>
        <v>0</v>
      </c>
      <c r="K60" s="317">
        <f>'6.1 műv ház'!K60+'6.2 HH'!K60+'6.3 könyvtár'!K60+'6.4 sportcsarnok'!K60+'6.5 pályázat_1'!K60</f>
        <v>24548</v>
      </c>
      <c r="L60" s="248">
        <f>'6.1 műv ház'!L60+'6.2 HH'!L60+'6.3 könyvtár'!L60+'6.4 sportcsarnok'!L60+'6.5 pályázat_1'!L60</f>
        <v>24548</v>
      </c>
      <c r="M60" s="248">
        <f>'6.1 műv ház'!M60+'6.2 HH'!M60+'6.3 könyvtár'!M60+'6.4 sportcsarnok'!M60+'6.5 pályázat_1'!M60</f>
        <v>0</v>
      </c>
      <c r="N60" s="317">
        <f>'6.1 műv ház'!N60+'6.2 HH'!N60+'6.3 könyvtár'!N60+'6.4 sportcsarnok'!N60+'6.5 pályázat_1'!N60</f>
        <v>24548</v>
      </c>
    </row>
    <row r="61" spans="1:14" ht="15.75" thickBot="1" x14ac:dyDescent="0.3">
      <c r="A61" s="52" t="s">
        <v>121</v>
      </c>
      <c r="B61" s="48" t="s">
        <v>28</v>
      </c>
      <c r="C61" s="244">
        <f>'6.1 műv ház'!C61+'6.2 HH'!C61+'6.3 könyvtár'!C61+'6.4 sportcsarnok'!C61+'6.5 pályázat_1'!C61</f>
        <v>0</v>
      </c>
      <c r="D61" s="244">
        <f>'6.1 műv ház'!D61+'6.2 HH'!D61+'6.3 könyvtár'!D61+'6.4 sportcsarnok'!D61+'6.5 pályázat_1'!D61</f>
        <v>0</v>
      </c>
      <c r="E61" s="244">
        <f>'6.1 műv ház'!E61+'6.2 HH'!E61+'6.3 könyvtár'!E61+'6.4 sportcsarnok'!E61+'6.5 pályázat_1'!E61</f>
        <v>0</v>
      </c>
      <c r="F61" s="244">
        <f>'6.1 műv ház'!F61+'6.2 HH'!F61+'6.3 könyvtár'!F61+'6.4 sportcsarnok'!F61+'6.5 pályázat_1'!F61</f>
        <v>0</v>
      </c>
      <c r="G61" s="244">
        <f>'6.1 műv ház'!G61+'6.2 HH'!G61+'6.3 könyvtár'!G61+'6.4 sportcsarnok'!G61+'6.5 pályázat_1'!G61</f>
        <v>0</v>
      </c>
      <c r="H61" s="244">
        <f>'6.1 műv ház'!H61+'6.2 HH'!H61+'6.3 könyvtár'!H61+'6.4 sportcsarnok'!H61+'6.5 pályázat_1'!H61</f>
        <v>0</v>
      </c>
      <c r="I61" s="244">
        <f>'6.1 műv ház'!I61+'6.2 HH'!I61+'6.3 könyvtár'!I61+'6.4 sportcsarnok'!I61+'6.5 pályázat_1'!I61</f>
        <v>28407</v>
      </c>
      <c r="J61" s="244">
        <f>'6.1 műv ház'!J61+'6.2 HH'!J61+'6.3 könyvtár'!J61+'6.4 sportcsarnok'!J61+'6.5 pályázat_1'!J61</f>
        <v>0</v>
      </c>
      <c r="K61" s="365">
        <f>'6.1 műv ház'!K61+'6.2 HH'!K61+'6.3 könyvtár'!K61+'6.4 sportcsarnok'!K61+'6.5 pályázat_1'!K61</f>
        <v>28407</v>
      </c>
      <c r="L61" s="244">
        <f>'6.1 műv ház'!L61+'6.2 HH'!L61+'6.3 könyvtár'!L61+'6.4 sportcsarnok'!L61+'6.5 pályázat_1'!L61</f>
        <v>0</v>
      </c>
      <c r="M61" s="244">
        <f>'6.1 műv ház'!M61+'6.2 HH'!M61+'6.3 könyvtár'!M61+'6.4 sportcsarnok'!M61+'6.5 pályázat_1'!M61</f>
        <v>0</v>
      </c>
      <c r="N61" s="365">
        <f>'6.1 műv ház'!N61+'6.2 HH'!N61+'6.3 könyvtár'!N61+'6.4 sportcsarnok'!N61+'6.5 pályázat_1'!N61</f>
        <v>0</v>
      </c>
    </row>
    <row r="62" spans="1:14" ht="15.75" hidden="1" thickBot="1" x14ac:dyDescent="0.3">
      <c r="A62" s="53" t="s">
        <v>122</v>
      </c>
      <c r="B62" s="62" t="s">
        <v>123</v>
      </c>
      <c r="C62" s="246">
        <f>'6.1 műv ház'!C62+'6.2 HH'!C62+'6.3 könyvtár'!C62+'6.4 sportcsarnok'!C62+'6.5 pályázat_1'!C62</f>
        <v>0</v>
      </c>
      <c r="D62" s="246">
        <f>'6.1 műv ház'!D62+'6.2 HH'!D62+'6.3 könyvtár'!D62+'6.4 sportcsarnok'!D62+'6.5 pályázat_1'!D62</f>
        <v>0</v>
      </c>
      <c r="E62" s="246">
        <f>'6.1 műv ház'!E62+'6.2 HH'!E62+'6.3 könyvtár'!E62+'6.4 sportcsarnok'!E62+'6.5 pályázat_1'!E62</f>
        <v>0</v>
      </c>
      <c r="F62" s="246">
        <f>'6.1 műv ház'!F62+'6.2 HH'!F62+'6.3 könyvtár'!F62+'6.4 sportcsarnok'!F62+'6.5 pályázat_1'!F62</f>
        <v>0</v>
      </c>
      <c r="G62" s="246">
        <f>'6.1 műv ház'!G62+'6.2 HH'!G62+'6.3 könyvtár'!G62+'6.4 sportcsarnok'!G62+'6.5 pályázat_1'!G62</f>
        <v>0</v>
      </c>
      <c r="H62" s="246">
        <f>'6.1 műv ház'!H62+'6.2 HH'!H62+'6.3 könyvtár'!H62+'6.4 sportcsarnok'!H62+'6.5 pályázat_1'!H62</f>
        <v>0</v>
      </c>
      <c r="I62" s="246">
        <f>'6.1 műv ház'!I62+'6.2 HH'!I62+'6.3 könyvtár'!I62+'6.4 sportcsarnok'!I62+'6.5 pályázat_1'!I62</f>
        <v>0</v>
      </c>
      <c r="J62" s="246">
        <f>'6.1 műv ház'!J62+'6.2 HH'!J62+'6.3 könyvtár'!J62+'6.4 sportcsarnok'!J62+'6.5 pályázat_1'!J62</f>
        <v>0</v>
      </c>
      <c r="K62" s="316">
        <f>'6.1 műv ház'!K62+'6.2 HH'!K62+'6.3 könyvtár'!K62+'6.4 sportcsarnok'!K62+'6.5 pályázat_1'!K62</f>
        <v>0</v>
      </c>
      <c r="L62" s="246">
        <f>'6.1 műv ház'!L62+'6.2 HH'!L62+'6.3 könyvtár'!L62+'6.4 sportcsarnok'!L62+'6.5 pályázat_1'!L62</f>
        <v>0</v>
      </c>
      <c r="M62" s="246">
        <f>'6.1 műv ház'!M62+'6.2 HH'!M62+'6.3 könyvtár'!M62+'6.4 sportcsarnok'!M62+'6.5 pályázat_1'!M62</f>
        <v>0</v>
      </c>
      <c r="N62" s="316">
        <f>'6.1 műv ház'!N62+'6.2 HH'!N62+'6.3 könyvtár'!N62+'6.4 sportcsarnok'!N62+'6.5 pályázat_1'!N62</f>
        <v>0</v>
      </c>
    </row>
    <row r="63" spans="1:14" ht="15.75" hidden="1" thickBot="1" x14ac:dyDescent="0.3">
      <c r="A63" s="53" t="s">
        <v>124</v>
      </c>
      <c r="B63" s="62" t="s">
        <v>125</v>
      </c>
      <c r="C63" s="246">
        <f>'6.1 műv ház'!C63+'6.2 HH'!C63+'6.3 könyvtár'!C63+'6.4 sportcsarnok'!C63+'6.5 pályázat_1'!C63</f>
        <v>0</v>
      </c>
      <c r="D63" s="246">
        <f>'6.1 műv ház'!D63+'6.2 HH'!D63+'6.3 könyvtár'!D63+'6.4 sportcsarnok'!D63+'6.5 pályázat_1'!D63</f>
        <v>0</v>
      </c>
      <c r="E63" s="246">
        <f>'6.1 műv ház'!E63+'6.2 HH'!E63+'6.3 könyvtár'!E63+'6.4 sportcsarnok'!E63+'6.5 pályázat_1'!E63</f>
        <v>0</v>
      </c>
      <c r="F63" s="246">
        <f>'6.1 műv ház'!F63+'6.2 HH'!F63+'6.3 könyvtár'!F63+'6.4 sportcsarnok'!F63+'6.5 pályázat_1'!F63</f>
        <v>0</v>
      </c>
      <c r="G63" s="246">
        <f>'6.1 műv ház'!G63+'6.2 HH'!G63+'6.3 könyvtár'!G63+'6.4 sportcsarnok'!G63+'6.5 pályázat_1'!G63</f>
        <v>0</v>
      </c>
      <c r="H63" s="246">
        <f>'6.1 műv ház'!H63+'6.2 HH'!H63+'6.3 könyvtár'!H63+'6.4 sportcsarnok'!H63+'6.5 pályázat_1'!H63</f>
        <v>0</v>
      </c>
      <c r="I63" s="246">
        <f>'6.1 műv ház'!I63+'6.2 HH'!I63+'6.3 könyvtár'!I63+'6.4 sportcsarnok'!I63+'6.5 pályázat_1'!I63</f>
        <v>0</v>
      </c>
      <c r="J63" s="246">
        <f>'6.1 műv ház'!J63+'6.2 HH'!J63+'6.3 könyvtár'!J63+'6.4 sportcsarnok'!J63+'6.5 pályázat_1'!J63</f>
        <v>0</v>
      </c>
      <c r="K63" s="316">
        <f>'6.1 műv ház'!K63+'6.2 HH'!K63+'6.3 könyvtár'!K63+'6.4 sportcsarnok'!K63+'6.5 pályázat_1'!K63</f>
        <v>0</v>
      </c>
      <c r="L63" s="246">
        <f>'6.1 műv ház'!L63+'6.2 HH'!L63+'6.3 könyvtár'!L63+'6.4 sportcsarnok'!L63+'6.5 pályázat_1'!L63</f>
        <v>0</v>
      </c>
      <c r="M63" s="246">
        <f>'6.1 műv ház'!M63+'6.2 HH'!M63+'6.3 könyvtár'!M63+'6.4 sportcsarnok'!M63+'6.5 pályázat_1'!M63</f>
        <v>0</v>
      </c>
      <c r="N63" s="316">
        <f>'6.1 műv ház'!N63+'6.2 HH'!N63+'6.3 könyvtár'!N63+'6.4 sportcsarnok'!N63+'6.5 pályázat_1'!N63</f>
        <v>0</v>
      </c>
    </row>
    <row r="64" spans="1:14" ht="15.75" hidden="1" thickBot="1" x14ac:dyDescent="0.3">
      <c r="A64" s="53" t="s">
        <v>126</v>
      </c>
      <c r="B64" s="62" t="s">
        <v>127</v>
      </c>
      <c r="C64" s="246">
        <f>'6.1 műv ház'!C64+'6.2 HH'!C64+'6.3 könyvtár'!C64+'6.4 sportcsarnok'!C64+'6.5 pályázat_1'!C64</f>
        <v>0</v>
      </c>
      <c r="D64" s="246">
        <f>'6.1 műv ház'!D64+'6.2 HH'!D64+'6.3 könyvtár'!D64+'6.4 sportcsarnok'!D64+'6.5 pályázat_1'!D64</f>
        <v>0</v>
      </c>
      <c r="E64" s="246">
        <f>'6.1 műv ház'!E64+'6.2 HH'!E64+'6.3 könyvtár'!E64+'6.4 sportcsarnok'!E64+'6.5 pályázat_1'!E64</f>
        <v>0</v>
      </c>
      <c r="F64" s="246">
        <f>'6.1 műv ház'!F64+'6.2 HH'!F64+'6.3 könyvtár'!F64+'6.4 sportcsarnok'!F64+'6.5 pályázat_1'!F64</f>
        <v>0</v>
      </c>
      <c r="G64" s="246">
        <f>'6.1 műv ház'!G64+'6.2 HH'!G64+'6.3 könyvtár'!G64+'6.4 sportcsarnok'!G64+'6.5 pályázat_1'!G64</f>
        <v>0</v>
      </c>
      <c r="H64" s="246">
        <f>'6.1 műv ház'!H64+'6.2 HH'!H64+'6.3 könyvtár'!H64+'6.4 sportcsarnok'!H64+'6.5 pályázat_1'!H64</f>
        <v>0</v>
      </c>
      <c r="I64" s="246">
        <f>'6.1 műv ház'!I64+'6.2 HH'!I64+'6.3 könyvtár'!I64+'6.4 sportcsarnok'!I64+'6.5 pályázat_1'!I64</f>
        <v>28407</v>
      </c>
      <c r="J64" s="246">
        <f>'6.1 műv ház'!J64+'6.2 HH'!J64+'6.3 könyvtár'!J64+'6.4 sportcsarnok'!J64+'6.5 pályázat_1'!J64</f>
        <v>0</v>
      </c>
      <c r="K64" s="316">
        <f>'6.1 műv ház'!K64+'6.2 HH'!K64+'6.3 könyvtár'!K64+'6.4 sportcsarnok'!K64+'6.5 pályázat_1'!K64</f>
        <v>28407</v>
      </c>
      <c r="L64" s="246">
        <f>'6.1 műv ház'!L64+'6.2 HH'!L64+'6.3 könyvtár'!L64+'6.4 sportcsarnok'!L64+'6.5 pályázat_1'!L64</f>
        <v>0</v>
      </c>
      <c r="M64" s="246">
        <f>'6.1 műv ház'!M64+'6.2 HH'!M64+'6.3 könyvtár'!M64+'6.4 sportcsarnok'!M64+'6.5 pályázat_1'!M64</f>
        <v>0</v>
      </c>
      <c r="N64" s="316">
        <f>'6.1 műv ház'!N64+'6.2 HH'!N64+'6.3 könyvtár'!N64+'6.4 sportcsarnok'!N64+'6.5 pályázat_1'!N64</f>
        <v>0</v>
      </c>
    </row>
    <row r="65" spans="1:15" ht="15.75" hidden="1" thickBot="1" x14ac:dyDescent="0.3">
      <c r="A65" s="53" t="s">
        <v>128</v>
      </c>
      <c r="B65" s="62" t="s">
        <v>129</v>
      </c>
      <c r="C65" s="246">
        <f>'6.1 műv ház'!C65+'6.2 HH'!C65+'6.3 könyvtár'!C65+'6.4 sportcsarnok'!C65+'6.5 pályázat_1'!C65</f>
        <v>0</v>
      </c>
      <c r="D65" s="246">
        <f>'6.1 műv ház'!D65+'6.2 HH'!D65+'6.3 könyvtár'!D65+'6.4 sportcsarnok'!D65+'6.5 pályázat_1'!D65</f>
        <v>0</v>
      </c>
      <c r="E65" s="246">
        <f>'6.1 műv ház'!E65+'6.2 HH'!E65+'6.3 könyvtár'!E65+'6.4 sportcsarnok'!E65+'6.5 pályázat_1'!E65</f>
        <v>0</v>
      </c>
      <c r="F65" s="246">
        <f>'6.1 műv ház'!F65+'6.2 HH'!F65+'6.3 könyvtár'!F65+'6.4 sportcsarnok'!F65+'6.5 pályázat_1'!F65</f>
        <v>0</v>
      </c>
      <c r="G65" s="246">
        <f>'6.1 műv ház'!G65+'6.2 HH'!G65+'6.3 könyvtár'!G65+'6.4 sportcsarnok'!G65+'6.5 pályázat_1'!G65</f>
        <v>0</v>
      </c>
      <c r="H65" s="246">
        <f>'6.1 műv ház'!H65+'6.2 HH'!H65+'6.3 könyvtár'!H65+'6.4 sportcsarnok'!H65+'6.5 pályázat_1'!H65</f>
        <v>0</v>
      </c>
      <c r="I65" s="246">
        <f>'6.1 műv ház'!I65+'6.2 HH'!I65+'6.3 könyvtár'!I65+'6.4 sportcsarnok'!I65+'6.5 pályázat_1'!I65</f>
        <v>0</v>
      </c>
      <c r="J65" s="246">
        <f>'6.1 műv ház'!J65+'6.2 HH'!J65+'6.3 könyvtár'!J65+'6.4 sportcsarnok'!J65+'6.5 pályázat_1'!J65</f>
        <v>0</v>
      </c>
      <c r="K65" s="316">
        <f>'6.1 műv ház'!K65+'6.2 HH'!K65+'6.3 könyvtár'!K65+'6.4 sportcsarnok'!K65+'6.5 pályázat_1'!K65</f>
        <v>0</v>
      </c>
      <c r="L65" s="246">
        <f>'6.1 műv ház'!L65+'6.2 HH'!L65+'6.3 könyvtár'!L65+'6.4 sportcsarnok'!L65+'6.5 pályázat_1'!L65</f>
        <v>0</v>
      </c>
      <c r="M65" s="246">
        <f>'6.1 műv ház'!M65+'6.2 HH'!M65+'6.3 könyvtár'!M65+'6.4 sportcsarnok'!M65+'6.5 pályázat_1'!M65</f>
        <v>0</v>
      </c>
      <c r="N65" s="316">
        <f>'6.1 műv ház'!N65+'6.2 HH'!N65+'6.3 könyvtár'!N65+'6.4 sportcsarnok'!N65+'6.5 pályázat_1'!N65</f>
        <v>0</v>
      </c>
    </row>
    <row r="66" spans="1:15" ht="15.75" hidden="1" thickBot="1" x14ac:dyDescent="0.3">
      <c r="A66" s="55" t="s">
        <v>130</v>
      </c>
      <c r="B66" s="64" t="s">
        <v>131</v>
      </c>
      <c r="C66" s="248">
        <f>'6.1 műv ház'!C66+'6.2 HH'!C66+'6.3 könyvtár'!C66+'6.4 sportcsarnok'!C66+'6.5 pályázat_1'!C66</f>
        <v>0</v>
      </c>
      <c r="D66" s="248">
        <f>'6.1 műv ház'!D66+'6.2 HH'!D66+'6.3 könyvtár'!D66+'6.4 sportcsarnok'!D66+'6.5 pályázat_1'!D66</f>
        <v>0</v>
      </c>
      <c r="E66" s="248">
        <f>'6.1 műv ház'!E66+'6.2 HH'!E66+'6.3 könyvtár'!E66+'6.4 sportcsarnok'!E66+'6.5 pályázat_1'!E66</f>
        <v>0</v>
      </c>
      <c r="F66" s="248">
        <f>'6.1 műv ház'!F66+'6.2 HH'!F66+'6.3 könyvtár'!F66+'6.4 sportcsarnok'!F66+'6.5 pályázat_1'!F66</f>
        <v>0</v>
      </c>
      <c r="G66" s="248">
        <f>'6.1 műv ház'!G66+'6.2 HH'!G66+'6.3 könyvtár'!G66+'6.4 sportcsarnok'!G66+'6.5 pályázat_1'!G66</f>
        <v>0</v>
      </c>
      <c r="H66" s="248">
        <f>'6.1 műv ház'!H66+'6.2 HH'!H66+'6.3 könyvtár'!H66+'6.4 sportcsarnok'!H66+'6.5 pályázat_1'!H66</f>
        <v>0</v>
      </c>
      <c r="I66" s="248">
        <f>'6.1 műv ház'!I66+'6.2 HH'!I66+'6.3 könyvtár'!I66+'6.4 sportcsarnok'!I66+'6.5 pályázat_1'!I66</f>
        <v>0</v>
      </c>
      <c r="J66" s="248">
        <f>'6.1 műv ház'!J66+'6.2 HH'!J66+'6.3 könyvtár'!J66+'6.4 sportcsarnok'!J66+'6.5 pályázat_1'!J66</f>
        <v>0</v>
      </c>
      <c r="K66" s="317">
        <f>'6.1 műv ház'!K66+'6.2 HH'!K66+'6.3 könyvtár'!K66+'6.4 sportcsarnok'!K66+'6.5 pályázat_1'!K66</f>
        <v>0</v>
      </c>
      <c r="L66" s="248">
        <f>'6.1 műv ház'!L66+'6.2 HH'!L66+'6.3 könyvtár'!L66+'6.4 sportcsarnok'!L66+'6.5 pályázat_1'!L66</f>
        <v>0</v>
      </c>
      <c r="M66" s="248">
        <f>'6.1 műv ház'!M66+'6.2 HH'!M66+'6.3 könyvtár'!M66+'6.4 sportcsarnok'!M66+'6.5 pályázat_1'!M66</f>
        <v>0</v>
      </c>
      <c r="N66" s="317">
        <f>'6.1 műv ház'!N66+'6.2 HH'!N66+'6.3 könyvtár'!N66+'6.4 sportcsarnok'!N66+'6.5 pályázat_1'!N66</f>
        <v>0</v>
      </c>
    </row>
    <row r="67" spans="1:15" x14ac:dyDescent="0.25">
      <c r="A67" s="52" t="s">
        <v>132</v>
      </c>
      <c r="B67" s="48" t="s">
        <v>133</v>
      </c>
      <c r="C67" s="244">
        <f>'6.1 műv ház'!C67+'6.2 HH'!C67+'6.3 könyvtár'!C67+'6.4 sportcsarnok'!C67+'6.5 pályázat_1'!C67</f>
        <v>0</v>
      </c>
      <c r="D67" s="244">
        <f>'6.1 műv ház'!D67+'6.2 HH'!D67+'6.3 könyvtár'!D67+'6.4 sportcsarnok'!D67+'6.5 pályázat_1'!D67</f>
        <v>0</v>
      </c>
      <c r="E67" s="244">
        <f>'6.1 műv ház'!E67+'6.2 HH'!E67+'6.3 könyvtár'!E67+'6.4 sportcsarnok'!E67+'6.5 pályázat_1'!E67</f>
        <v>0</v>
      </c>
      <c r="F67" s="244">
        <f>'6.1 műv ház'!F67+'6.2 HH'!F67+'6.3 könyvtár'!F67+'6.4 sportcsarnok'!F67+'6.5 pályázat_1'!F67</f>
        <v>0</v>
      </c>
      <c r="G67" s="244">
        <f>'6.1 műv ház'!G67+'6.2 HH'!G67+'6.3 könyvtár'!G67+'6.4 sportcsarnok'!G67+'6.5 pályázat_1'!G67</f>
        <v>0</v>
      </c>
      <c r="H67" s="244">
        <f>'6.1 műv ház'!H67+'6.2 HH'!H67+'6.3 könyvtár'!H67+'6.4 sportcsarnok'!H67+'6.5 pályázat_1'!H67</f>
        <v>0</v>
      </c>
      <c r="I67" s="244">
        <f>'6.1 műv ház'!I67+'6.2 HH'!I67+'6.3 könyvtár'!I67+'6.4 sportcsarnok'!I67+'6.5 pályázat_1'!I67</f>
        <v>100000</v>
      </c>
      <c r="J67" s="244">
        <f>'6.1 műv ház'!J67+'6.2 HH'!J67+'6.3 könyvtár'!J67+'6.4 sportcsarnok'!J67+'6.5 pályázat_1'!J67</f>
        <v>0</v>
      </c>
      <c r="K67" s="365">
        <f>'6.1 műv ház'!K67+'6.2 HH'!K67+'6.3 könyvtár'!K67+'6.4 sportcsarnok'!K67+'6.5 pályázat_1'!K67</f>
        <v>100000</v>
      </c>
      <c r="L67" s="244">
        <f>'6.1 műv ház'!L67+'6.2 HH'!L67+'6.3 könyvtár'!L67+'6.4 sportcsarnok'!L67+'6.5 pályázat_1'!L67</f>
        <v>100000</v>
      </c>
      <c r="M67" s="244">
        <f>'6.1 műv ház'!M67+'6.2 HH'!M67+'6.3 könyvtár'!M67+'6.4 sportcsarnok'!M67+'6.5 pályázat_1'!M67</f>
        <v>0</v>
      </c>
      <c r="N67" s="365">
        <f>'6.1 műv ház'!N67+'6.2 HH'!N67+'6.3 könyvtár'!N67+'6.4 sportcsarnok'!N67+'6.5 pályázat_1'!N67</f>
        <v>100000</v>
      </c>
    </row>
    <row r="68" spans="1:15" x14ac:dyDescent="0.25">
      <c r="A68" s="53" t="s">
        <v>134</v>
      </c>
      <c r="B68" s="62" t="s">
        <v>135</v>
      </c>
      <c r="C68" s="246">
        <f>'6.1 műv ház'!C68+'6.2 HH'!C68+'6.3 könyvtár'!C68+'6.4 sportcsarnok'!C68+'6.5 pályázat_1'!C68</f>
        <v>0</v>
      </c>
      <c r="D68" s="246">
        <f>'6.1 műv ház'!D68+'6.2 HH'!D68+'6.3 könyvtár'!D68+'6.4 sportcsarnok'!D68+'6.5 pályázat_1'!D68</f>
        <v>0</v>
      </c>
      <c r="E68" s="246">
        <f>'6.1 műv ház'!E68+'6.2 HH'!E68+'6.3 könyvtár'!E68+'6.4 sportcsarnok'!E68+'6.5 pályázat_1'!E68</f>
        <v>0</v>
      </c>
      <c r="F68" s="246">
        <f>'6.1 műv ház'!F68+'6.2 HH'!F68+'6.3 könyvtár'!F68+'6.4 sportcsarnok'!F68+'6.5 pályázat_1'!F68</f>
        <v>0</v>
      </c>
      <c r="G68" s="246">
        <f>'6.1 műv ház'!G68+'6.2 HH'!G68+'6.3 könyvtár'!G68+'6.4 sportcsarnok'!G68+'6.5 pályázat_1'!G68</f>
        <v>0</v>
      </c>
      <c r="H68" s="246">
        <f>'6.1 műv ház'!H68+'6.2 HH'!H68+'6.3 könyvtár'!H68+'6.4 sportcsarnok'!H68+'6.5 pályázat_1'!H68</f>
        <v>0</v>
      </c>
      <c r="I68" s="246">
        <f>'6.1 műv ház'!I68+'6.2 HH'!I68+'6.3 könyvtár'!I68+'6.4 sportcsarnok'!I68+'6.5 pályázat_1'!I68</f>
        <v>0</v>
      </c>
      <c r="J68" s="246">
        <f>'6.1 műv ház'!J68+'6.2 HH'!J68+'6.3 könyvtár'!J68+'6.4 sportcsarnok'!J68+'6.5 pályázat_1'!J68</f>
        <v>0</v>
      </c>
      <c r="K68" s="316">
        <f>'6.1 műv ház'!K68+'6.2 HH'!K68+'6.3 könyvtár'!K68+'6.4 sportcsarnok'!K68+'6.5 pályázat_1'!K68</f>
        <v>0</v>
      </c>
      <c r="L68" s="246">
        <f>'6.1 műv ház'!L68+'6.2 HH'!L68+'6.3 könyvtár'!L68+'6.4 sportcsarnok'!L68+'6.5 pályázat_1'!L68</f>
        <v>0</v>
      </c>
      <c r="M68" s="246">
        <f>'6.1 műv ház'!M68+'6.2 HH'!M68+'6.3 könyvtár'!M68+'6.4 sportcsarnok'!M68+'6.5 pályázat_1'!M68</f>
        <v>0</v>
      </c>
      <c r="N68" s="316">
        <f>'6.1 műv ház'!N68+'6.2 HH'!N68+'6.3 könyvtár'!N68+'6.4 sportcsarnok'!N68+'6.5 pályázat_1'!N68</f>
        <v>0</v>
      </c>
    </row>
    <row r="69" spans="1:15" ht="15.75" thickBot="1" x14ac:dyDescent="0.3">
      <c r="A69" s="55" t="s">
        <v>136</v>
      </c>
      <c r="B69" s="64" t="s">
        <v>137</v>
      </c>
      <c r="C69" s="248">
        <f>'6.1 műv ház'!C69+'6.2 HH'!C69+'6.3 könyvtár'!C69+'6.4 sportcsarnok'!C69+'6.5 pályázat_1'!C69</f>
        <v>0</v>
      </c>
      <c r="D69" s="248">
        <f>'6.1 műv ház'!D69+'6.2 HH'!D69+'6.3 könyvtár'!D69+'6.4 sportcsarnok'!D69+'6.5 pályázat_1'!D69</f>
        <v>0</v>
      </c>
      <c r="E69" s="248">
        <f>'6.1 műv ház'!E69+'6.2 HH'!E69+'6.3 könyvtár'!E69+'6.4 sportcsarnok'!E69+'6.5 pályázat_1'!E69</f>
        <v>0</v>
      </c>
      <c r="F69" s="248">
        <f>'6.1 műv ház'!F69+'6.2 HH'!F69+'6.3 könyvtár'!F69+'6.4 sportcsarnok'!F69+'6.5 pályázat_1'!F69</f>
        <v>0</v>
      </c>
      <c r="G69" s="248">
        <f>'6.1 műv ház'!G69+'6.2 HH'!G69+'6.3 könyvtár'!G69+'6.4 sportcsarnok'!G69+'6.5 pályázat_1'!G69</f>
        <v>0</v>
      </c>
      <c r="H69" s="248">
        <f>'6.1 műv ház'!H69+'6.2 HH'!H69+'6.3 könyvtár'!H69+'6.4 sportcsarnok'!H69+'6.5 pályázat_1'!H69</f>
        <v>0</v>
      </c>
      <c r="I69" s="248">
        <f>'6.1 műv ház'!I69+'6.2 HH'!I69+'6.3 könyvtár'!I69+'6.4 sportcsarnok'!I69+'6.5 pályázat_1'!I69</f>
        <v>100000</v>
      </c>
      <c r="J69" s="248">
        <f>'6.1 műv ház'!J69+'6.2 HH'!J69+'6.3 könyvtár'!J69+'6.4 sportcsarnok'!J69+'6.5 pályázat_1'!J69</f>
        <v>0</v>
      </c>
      <c r="K69" s="317">
        <f>'6.1 műv ház'!K69+'6.2 HH'!K69+'6.3 könyvtár'!K69+'6.4 sportcsarnok'!K69+'6.5 pályázat_1'!K69</f>
        <v>100000</v>
      </c>
      <c r="L69" s="248">
        <f>'6.1 műv ház'!L69+'6.2 HH'!L69+'6.3 könyvtár'!L69+'6.4 sportcsarnok'!L69+'6.5 pályázat_1'!L69</f>
        <v>100000</v>
      </c>
      <c r="M69" s="248">
        <f>'6.1 műv ház'!M69+'6.2 HH'!M69+'6.3 könyvtár'!M69+'6.4 sportcsarnok'!M69+'6.5 pályázat_1'!M69</f>
        <v>0</v>
      </c>
      <c r="N69" s="317">
        <f>'6.1 műv ház'!N69+'6.2 HH'!N69+'6.3 könyvtár'!N69+'6.4 sportcsarnok'!N69+'6.5 pályázat_1'!N69</f>
        <v>100000</v>
      </c>
    </row>
    <row r="70" spans="1:15" ht="15.75" thickBot="1" x14ac:dyDescent="0.3">
      <c r="A70" s="52" t="s">
        <v>138</v>
      </c>
      <c r="B70" s="48" t="s">
        <v>139</v>
      </c>
      <c r="C70" s="329">
        <f>'6.1 műv ház'!C70+'6.2 HH'!C70+'6.3 könyvtár'!C70+'6.4 sportcsarnok'!C70+'6.5 pályázat_1'!C70</f>
        <v>0</v>
      </c>
      <c r="D70" s="329">
        <f>'6.1 műv ház'!D70+'6.2 HH'!D70+'6.3 könyvtár'!D70+'6.4 sportcsarnok'!D70+'6.5 pályázat_1'!D70</f>
        <v>0</v>
      </c>
      <c r="E70" s="329">
        <f>'6.1 műv ház'!E70+'6.2 HH'!E70+'6.3 könyvtár'!E70+'6.4 sportcsarnok'!E70+'6.5 pályázat_1'!E70</f>
        <v>0</v>
      </c>
      <c r="F70" s="329">
        <f>'6.1 műv ház'!F70+'6.2 HH'!F70+'6.3 könyvtár'!F70+'6.4 sportcsarnok'!F70+'6.5 pályázat_1'!F70</f>
        <v>0</v>
      </c>
      <c r="G70" s="329">
        <f>'6.1 műv ház'!G70+'6.2 HH'!G70+'6.3 könyvtár'!G70+'6.4 sportcsarnok'!G70+'6.5 pályázat_1'!G70</f>
        <v>0</v>
      </c>
      <c r="H70" s="329">
        <f>'6.1 műv ház'!H70+'6.2 HH'!H70+'6.3 könyvtár'!H70+'6.4 sportcsarnok'!H70+'6.5 pályázat_1'!H70</f>
        <v>0</v>
      </c>
      <c r="I70" s="329">
        <f>'6.1 műv ház'!I70+'6.2 HH'!I70+'6.3 könyvtár'!I70+'6.4 sportcsarnok'!I70+'6.5 pályázat_1'!I70</f>
        <v>0</v>
      </c>
      <c r="J70" s="329">
        <f>'6.1 műv ház'!J70+'6.2 HH'!J70+'6.3 könyvtár'!J70+'6.4 sportcsarnok'!J70+'6.5 pályázat_1'!J70</f>
        <v>0</v>
      </c>
      <c r="K70" s="672">
        <f>'6.1 műv ház'!K70+'6.2 HH'!K70+'6.3 könyvtár'!K70+'6.4 sportcsarnok'!K70+'6.5 pályázat_1'!K70</f>
        <v>0</v>
      </c>
      <c r="L70" s="329">
        <f>'6.1 műv ház'!L70+'6.2 HH'!L70+'6.3 könyvtár'!L70+'6.4 sportcsarnok'!L70+'6.5 pályázat_1'!L70</f>
        <v>0</v>
      </c>
      <c r="M70" s="329">
        <f>'6.1 műv ház'!M70+'6.2 HH'!M70+'6.3 könyvtár'!M70+'6.4 sportcsarnok'!M70+'6.5 pályázat_1'!M70</f>
        <v>0</v>
      </c>
      <c r="N70" s="672">
        <f>'6.1 műv ház'!N70+'6.2 HH'!N70+'6.3 könyvtár'!N70+'6.4 sportcsarnok'!N70+'6.5 pályázat_1'!N70</f>
        <v>0</v>
      </c>
    </row>
    <row r="71" spans="1:15" ht="15.75" hidden="1" thickBot="1" x14ac:dyDescent="0.3">
      <c r="A71" s="55"/>
      <c r="B71" s="64" t="s">
        <v>140</v>
      </c>
      <c r="C71" s="248">
        <f>'6.1 műv ház'!C71+'6.2 HH'!C71+'6.3 könyvtár'!C71+'6.4 sportcsarnok'!C71+'6.5 pályázat_1'!C71</f>
        <v>0</v>
      </c>
      <c r="D71" s="248">
        <f>'6.1 műv ház'!D71+'6.2 HH'!D71+'6.3 könyvtár'!D71+'6.4 sportcsarnok'!D71+'6.5 pályázat_1'!D71</f>
        <v>0</v>
      </c>
      <c r="E71" s="248">
        <f>'6.1 műv ház'!E71+'6.2 HH'!E71+'6.3 könyvtár'!E71+'6.4 sportcsarnok'!E71+'6.5 pályázat_1'!E71</f>
        <v>0</v>
      </c>
      <c r="F71" s="248">
        <f>'6.1 műv ház'!F71+'6.2 HH'!F71+'6.3 könyvtár'!F71+'6.4 sportcsarnok'!F71+'6.5 pályázat_1'!F71</f>
        <v>0</v>
      </c>
      <c r="G71" s="248">
        <f>'6.1 műv ház'!G71+'6.2 HH'!G71+'6.3 könyvtár'!G71+'6.4 sportcsarnok'!G71+'6.5 pályázat_1'!G71</f>
        <v>0</v>
      </c>
      <c r="H71" s="248">
        <f>'6.1 műv ház'!H71+'6.2 HH'!H71+'6.3 könyvtár'!H71+'6.4 sportcsarnok'!H71+'6.5 pályázat_1'!H71</f>
        <v>0</v>
      </c>
      <c r="I71" s="248">
        <f>'6.1 műv ház'!I71+'6.2 HH'!I71+'6.3 könyvtár'!I71+'6.4 sportcsarnok'!I71+'6.5 pályázat_1'!I71</f>
        <v>0</v>
      </c>
      <c r="J71" s="248">
        <f>'6.1 műv ház'!J71+'6.2 HH'!J71+'6.3 könyvtár'!J71+'6.4 sportcsarnok'!J71+'6.5 pályázat_1'!J71</f>
        <v>0</v>
      </c>
      <c r="K71" s="317">
        <f>'6.1 műv ház'!K71+'6.2 HH'!K71+'6.3 könyvtár'!K71+'6.4 sportcsarnok'!K71+'6.5 pályázat_1'!K71</f>
        <v>0</v>
      </c>
      <c r="L71" s="248">
        <f>'6.1 műv ház'!L71+'6.2 HH'!L71+'6.3 könyvtár'!L71+'6.4 sportcsarnok'!L71+'6.5 pályázat_1'!L71</f>
        <v>0</v>
      </c>
      <c r="M71" s="248">
        <f>'6.1 műv ház'!M71+'6.2 HH'!M71+'6.3 könyvtár'!M71+'6.4 sportcsarnok'!M71+'6.5 pályázat_1'!M71</f>
        <v>0</v>
      </c>
      <c r="N71" s="317">
        <f>'6.1 műv ház'!N71+'6.2 HH'!N71+'6.3 könyvtár'!N71+'6.4 sportcsarnok'!N71+'6.5 pályázat_1'!N71</f>
        <v>0</v>
      </c>
    </row>
    <row r="72" spans="1:15" s="179" customFormat="1" ht="15.75" hidden="1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ref="H72" si="0">SUM(F72:G72)</f>
        <v>0</v>
      </c>
      <c r="I72" s="254"/>
      <c r="J72" s="254"/>
      <c r="K72" s="395">
        <f t="shared" ref="K72" si="1">SUM(I72:J72)</f>
        <v>0</v>
      </c>
      <c r="L72" s="254"/>
      <c r="M72" s="254"/>
      <c r="N72" s="395">
        <f t="shared" ref="N72" si="2">SUM(L72:M72)</f>
        <v>0</v>
      </c>
      <c r="O72" s="148"/>
    </row>
    <row r="73" spans="1:15" ht="15.75" thickBot="1" x14ac:dyDescent="0.3">
      <c r="A73" s="56" t="s">
        <v>141</v>
      </c>
      <c r="B73" s="47" t="s">
        <v>142</v>
      </c>
      <c r="C73" s="250">
        <f>'6.1 műv ház'!C73+'6.2 HH'!C73+'6.3 könyvtár'!C73+'6.4 sportcsarnok'!C73+'6.5 pályázat_1'!C73</f>
        <v>20867805</v>
      </c>
      <c r="D73" s="250">
        <f>'6.1 műv ház'!D73+'6.2 HH'!D73+'6.3 könyvtár'!D73+'6.4 sportcsarnok'!D73+'6.5 pályázat_1'!D73</f>
        <v>0</v>
      </c>
      <c r="E73" s="250">
        <f>'6.1 műv ház'!E73+'6.2 HH'!E73+'6.3 könyvtár'!E73+'6.4 sportcsarnok'!E73+'6.5 pályázat_1'!E73</f>
        <v>20867805</v>
      </c>
      <c r="F73" s="250">
        <f>'6.1 műv ház'!F73+'6.2 HH'!F73+'6.3 könyvtár'!F73+'6.4 sportcsarnok'!F73+'6.5 pályázat_1'!F73</f>
        <v>25503556</v>
      </c>
      <c r="G73" s="250">
        <f>'6.1 műv ház'!G73+'6.2 HH'!G73+'6.3 könyvtár'!G73+'6.4 sportcsarnok'!G73+'6.5 pályázat_1'!G73</f>
        <v>0</v>
      </c>
      <c r="H73" s="250">
        <f>'6.1 műv ház'!H73+'6.2 HH'!H73+'6.3 könyvtár'!H73+'6.4 sportcsarnok'!H73+'6.5 pályázat_1'!H73</f>
        <v>25503556</v>
      </c>
      <c r="I73" s="250">
        <f>'6.1 műv ház'!I73+'6.2 HH'!I73+'6.3 könyvtár'!I73+'6.4 sportcsarnok'!I73+'6.5 pályázat_1'!I73</f>
        <v>26120198</v>
      </c>
      <c r="J73" s="250">
        <f>'6.1 műv ház'!J73+'6.2 HH'!J73+'6.3 könyvtár'!J73+'6.4 sportcsarnok'!J73+'6.5 pályázat_1'!J73</f>
        <v>0</v>
      </c>
      <c r="K73" s="673">
        <f>'6.1 műv ház'!K73+'6.2 HH'!K73+'6.3 könyvtár'!K73+'6.4 sportcsarnok'!K73+'6.5 pályázat_1'!K73</f>
        <v>26120198</v>
      </c>
      <c r="L73" s="250">
        <f>'6.1 műv ház'!L73+'6.2 HH'!L73+'6.3 könyvtár'!L73+'6.4 sportcsarnok'!L73+'6.5 pályázat_1'!L73</f>
        <v>17179396</v>
      </c>
      <c r="M73" s="250">
        <f>'6.1 műv ház'!M73+'6.2 HH'!M73+'6.3 könyvtár'!M73+'6.4 sportcsarnok'!M73+'6.5 pályázat_1'!M73</f>
        <v>0</v>
      </c>
      <c r="N73" s="673">
        <f>'6.1 műv ház'!N73+'6.2 HH'!N73+'6.3 könyvtár'!N73+'6.4 sportcsarnok'!N73+'6.5 pályázat_1'!N73</f>
        <v>17179396</v>
      </c>
    </row>
    <row r="74" spans="1:15" x14ac:dyDescent="0.25">
      <c r="A74" s="57" t="s">
        <v>143</v>
      </c>
      <c r="B74" s="68" t="s">
        <v>144</v>
      </c>
      <c r="C74" s="244">
        <f>'6.1 műv ház'!C74+'6.2 HH'!C74+'6.3 könyvtár'!C74+'6.4 sportcsarnok'!C74+'6.5 pályázat_1'!C74</f>
        <v>82730822</v>
      </c>
      <c r="D74" s="244">
        <f>'6.1 műv ház'!D74+'6.2 HH'!D74+'6.3 könyvtár'!D74+'6.4 sportcsarnok'!D74+'6.5 pályázat_1'!D74</f>
        <v>0</v>
      </c>
      <c r="E74" s="244">
        <f>'6.1 műv ház'!E74+'6.2 HH'!E74+'6.3 könyvtár'!E74+'6.4 sportcsarnok'!E74+'6.5 pályázat_1'!E74</f>
        <v>82730822</v>
      </c>
      <c r="F74" s="244">
        <f>'6.1 műv ház'!F74+'6.2 HH'!F74+'6.3 könyvtár'!F74+'6.4 sportcsarnok'!F74+'6.5 pályázat_1'!F74</f>
        <v>95076841</v>
      </c>
      <c r="G74" s="244">
        <f>'6.1 műv ház'!G74+'6.2 HH'!G74+'6.3 könyvtár'!G74+'6.4 sportcsarnok'!G74+'6.5 pályázat_1'!G74</f>
        <v>0</v>
      </c>
      <c r="H74" s="244">
        <f>'6.1 műv ház'!H74+'6.2 HH'!H74+'6.3 könyvtár'!H74+'6.4 sportcsarnok'!H74+'6.5 pályázat_1'!H74</f>
        <v>95076841</v>
      </c>
      <c r="I74" s="244">
        <f>'6.1 műv ház'!I74+'6.2 HH'!I74+'6.3 könyvtár'!I74+'6.4 sportcsarnok'!I74+'6.5 pályázat_1'!I74</f>
        <v>96907041</v>
      </c>
      <c r="J74" s="244">
        <f>'6.1 műv ház'!J74+'6.2 HH'!J74+'6.3 könyvtár'!J74+'6.4 sportcsarnok'!J74+'6.5 pályázat_1'!J74</f>
        <v>0</v>
      </c>
      <c r="K74" s="365">
        <f>'6.1 műv ház'!K74+'6.2 HH'!K74+'6.3 könyvtár'!K74+'6.4 sportcsarnok'!K74+'6.5 pályázat_1'!K74</f>
        <v>96907041</v>
      </c>
      <c r="L74" s="244">
        <f>'6.1 műv ház'!L74+'6.2 HH'!L74+'6.3 könyvtár'!L74+'6.4 sportcsarnok'!L74+'6.5 pályázat_1'!L74</f>
        <v>106432643</v>
      </c>
      <c r="M74" s="244">
        <f>'6.1 műv ház'!M74+'6.2 HH'!M74+'6.3 könyvtár'!M74+'6.4 sportcsarnok'!M74+'6.5 pályázat_1'!M74</f>
        <v>0</v>
      </c>
      <c r="N74" s="365">
        <f>'6.1 műv ház'!N74+'6.2 HH'!N74+'6.3 könyvtár'!N74+'6.4 sportcsarnok'!N74+'6.5 pályázat_1'!N74</f>
        <v>106432643</v>
      </c>
    </row>
    <row r="75" spans="1:15" x14ac:dyDescent="0.25">
      <c r="A75" s="53" t="s">
        <v>145</v>
      </c>
      <c r="B75" s="62" t="s">
        <v>146</v>
      </c>
      <c r="C75" s="246">
        <f>'6.1 műv ház'!C75+'6.2 HH'!C75+'6.3 könyvtár'!C75+'6.4 sportcsarnok'!C75+'6.5 pályázat_1'!C75</f>
        <v>82730822</v>
      </c>
      <c r="D75" s="246">
        <f>'6.1 műv ház'!D75+'6.2 HH'!D75+'6.3 könyvtár'!D75+'6.4 sportcsarnok'!D75+'6.5 pályázat_1'!D75</f>
        <v>0</v>
      </c>
      <c r="E75" s="246">
        <f>'6.1 műv ház'!E75+'6.2 HH'!E75+'6.3 könyvtár'!E75+'6.4 sportcsarnok'!E75+'6.5 pályázat_1'!E75</f>
        <v>82730822</v>
      </c>
      <c r="F75" s="246">
        <f>'6.1 műv ház'!F75+'6.2 HH'!F75+'6.3 könyvtár'!F75+'6.4 sportcsarnok'!F75+'6.5 pályázat_1'!F75</f>
        <v>95076841</v>
      </c>
      <c r="G75" s="246">
        <f>'6.1 műv ház'!G75+'6.2 HH'!G75+'6.3 könyvtár'!G75+'6.4 sportcsarnok'!G75+'6.5 pályázat_1'!G75</f>
        <v>0</v>
      </c>
      <c r="H75" s="246">
        <f>'6.1 műv ház'!H75+'6.2 HH'!H75+'6.3 könyvtár'!H75+'6.4 sportcsarnok'!H75+'6.5 pályázat_1'!H75</f>
        <v>95076841</v>
      </c>
      <c r="I75" s="246">
        <f>'6.1 műv ház'!I75+'6.2 HH'!I75+'6.3 könyvtár'!I75+'6.4 sportcsarnok'!I75+'6.5 pályázat_1'!I75</f>
        <v>96907041</v>
      </c>
      <c r="J75" s="246">
        <f>'6.1 műv ház'!J75+'6.2 HH'!J75+'6.3 könyvtár'!J75+'6.4 sportcsarnok'!J75+'6.5 pályázat_1'!J75</f>
        <v>0</v>
      </c>
      <c r="K75" s="316">
        <f>'6.1 műv ház'!K75+'6.2 HH'!K75+'6.3 könyvtár'!K75+'6.4 sportcsarnok'!K75+'6.5 pályázat_1'!K75</f>
        <v>96907041</v>
      </c>
      <c r="L75" s="246">
        <f>'6.1 műv ház'!L75+'6.2 HH'!L75+'6.3 könyvtár'!L75+'6.4 sportcsarnok'!L75+'6.5 pályázat_1'!L75</f>
        <v>106432643</v>
      </c>
      <c r="M75" s="246">
        <f>'6.1 műv ház'!M75+'6.2 HH'!M75+'6.3 könyvtár'!M75+'6.4 sportcsarnok'!M75+'6.5 pályázat_1'!M75</f>
        <v>0</v>
      </c>
      <c r="N75" s="316">
        <f>'6.1 műv ház'!N75+'6.2 HH'!N75+'6.3 könyvtár'!N75+'6.4 sportcsarnok'!N75+'6.5 pályázat_1'!N75</f>
        <v>106432643</v>
      </c>
    </row>
    <row r="76" spans="1:15" hidden="1" x14ac:dyDescent="0.25">
      <c r="A76" s="53" t="s">
        <v>147</v>
      </c>
      <c r="B76" s="62" t="s">
        <v>148</v>
      </c>
      <c r="C76" s="246">
        <f>'6.1 műv ház'!C76+'6.2 HH'!C76+'6.3 könyvtár'!C76+'6.4 sportcsarnok'!C76+'6.5 pályázat_1'!C76</f>
        <v>0</v>
      </c>
      <c r="D76" s="246">
        <f>'6.1 műv ház'!D76+'6.2 HH'!D76+'6.3 könyvtár'!D76+'6.4 sportcsarnok'!D76+'6.5 pályázat_1'!D76</f>
        <v>0</v>
      </c>
      <c r="E76" s="246">
        <f>'6.1 műv ház'!E76+'6.2 HH'!E76+'6.3 könyvtár'!E76+'6.4 sportcsarnok'!E76+'6.5 pályázat_1'!E76</f>
        <v>0</v>
      </c>
      <c r="F76" s="246">
        <f>'6.1 műv ház'!F76+'6.2 HH'!F76+'6.3 könyvtár'!F76+'6.4 sportcsarnok'!F76+'6.5 pályázat_1'!F76</f>
        <v>0</v>
      </c>
      <c r="G76" s="246">
        <f>'6.1 műv ház'!G76+'6.2 HH'!G76+'6.3 könyvtár'!G76+'6.4 sportcsarnok'!G76+'6.5 pályázat_1'!G76</f>
        <v>0</v>
      </c>
      <c r="H76" s="246">
        <f>'6.1 műv ház'!H76+'6.2 HH'!H76+'6.3 könyvtár'!H76+'6.4 sportcsarnok'!H76+'6.5 pályázat_1'!H76</f>
        <v>0</v>
      </c>
      <c r="I76" s="246">
        <f>'6.1 műv ház'!I76+'6.2 HH'!I76+'6.3 könyvtár'!I76+'6.4 sportcsarnok'!I76+'6.5 pályázat_1'!I76</f>
        <v>0</v>
      </c>
      <c r="J76" s="246">
        <f>'6.1 műv ház'!J76+'6.2 HH'!J76+'6.3 könyvtár'!J76+'6.4 sportcsarnok'!J76+'6.5 pályázat_1'!J76</f>
        <v>0</v>
      </c>
      <c r="K76" s="316">
        <f>'6.1 műv ház'!K76+'6.2 HH'!K76+'6.3 könyvtár'!K76+'6.4 sportcsarnok'!K76+'6.5 pályázat_1'!K76</f>
        <v>0</v>
      </c>
      <c r="L76" s="246">
        <f>'6.1 műv ház'!L76+'6.2 HH'!L76+'6.3 könyvtár'!L76+'6.4 sportcsarnok'!L76+'6.5 pályázat_1'!L76</f>
        <v>0</v>
      </c>
      <c r="M76" s="246">
        <f>'6.1 műv ház'!M76+'6.2 HH'!M76+'6.3 könyvtár'!M76+'6.4 sportcsarnok'!M76+'6.5 pályázat_1'!M76</f>
        <v>0</v>
      </c>
      <c r="N76" s="316">
        <f>'6.1 műv ház'!N76+'6.2 HH'!N76+'6.3 könyvtár'!N76+'6.4 sportcsarnok'!N76+'6.5 pályázat_1'!N76</f>
        <v>0</v>
      </c>
    </row>
    <row r="77" spans="1:15" hidden="1" x14ac:dyDescent="0.25">
      <c r="A77" s="53" t="s">
        <v>149</v>
      </c>
      <c r="B77" s="62" t="s">
        <v>150</v>
      </c>
      <c r="C77" s="246">
        <f>'6.1 műv ház'!C77+'6.2 HH'!C77+'6.3 könyvtár'!C77+'6.4 sportcsarnok'!C77+'6.5 pályázat_1'!C77</f>
        <v>0</v>
      </c>
      <c r="D77" s="246">
        <f>'6.1 műv ház'!D77+'6.2 HH'!D77+'6.3 könyvtár'!D77+'6.4 sportcsarnok'!D77+'6.5 pályázat_1'!D77</f>
        <v>0</v>
      </c>
      <c r="E77" s="246">
        <f>'6.1 műv ház'!E77+'6.2 HH'!E77+'6.3 könyvtár'!E77+'6.4 sportcsarnok'!E77+'6.5 pályázat_1'!E77</f>
        <v>0</v>
      </c>
      <c r="F77" s="246">
        <f>'6.1 műv ház'!F77+'6.2 HH'!F77+'6.3 könyvtár'!F77+'6.4 sportcsarnok'!F77+'6.5 pályázat_1'!F77</f>
        <v>0</v>
      </c>
      <c r="G77" s="246">
        <f>'6.1 műv ház'!G77+'6.2 HH'!G77+'6.3 könyvtár'!G77+'6.4 sportcsarnok'!G77+'6.5 pályázat_1'!G77</f>
        <v>0</v>
      </c>
      <c r="H77" s="246">
        <f>'6.1 műv ház'!H77+'6.2 HH'!H77+'6.3 könyvtár'!H77+'6.4 sportcsarnok'!H77+'6.5 pályázat_1'!H77</f>
        <v>0</v>
      </c>
      <c r="I77" s="246">
        <f>'6.1 műv ház'!I77+'6.2 HH'!I77+'6.3 könyvtár'!I77+'6.4 sportcsarnok'!I77+'6.5 pályázat_1'!I77</f>
        <v>0</v>
      </c>
      <c r="J77" s="246">
        <f>'6.1 műv ház'!J77+'6.2 HH'!J77+'6.3 könyvtár'!J77+'6.4 sportcsarnok'!J77+'6.5 pályázat_1'!J77</f>
        <v>0</v>
      </c>
      <c r="K77" s="316">
        <f>'6.1 műv ház'!K77+'6.2 HH'!K77+'6.3 könyvtár'!K77+'6.4 sportcsarnok'!K77+'6.5 pályázat_1'!K77</f>
        <v>0</v>
      </c>
      <c r="L77" s="246">
        <f>'6.1 műv ház'!L77+'6.2 HH'!L77+'6.3 könyvtár'!L77+'6.4 sportcsarnok'!L77+'6.5 pályázat_1'!L77</f>
        <v>0</v>
      </c>
      <c r="M77" s="246">
        <f>'6.1 műv ház'!M77+'6.2 HH'!M77+'6.3 könyvtár'!M77+'6.4 sportcsarnok'!M77+'6.5 pályázat_1'!M77</f>
        <v>0</v>
      </c>
      <c r="N77" s="316">
        <f>'6.1 műv ház'!N77+'6.2 HH'!N77+'6.3 könyvtár'!N77+'6.4 sportcsarnok'!N77+'6.5 pályázat_1'!N77</f>
        <v>0</v>
      </c>
    </row>
    <row r="78" spans="1:15" hidden="1" x14ac:dyDescent="0.25">
      <c r="A78" s="53" t="s">
        <v>151</v>
      </c>
      <c r="B78" s="62" t="s">
        <v>152</v>
      </c>
      <c r="C78" s="246">
        <f>'6.1 műv ház'!C78+'6.2 HH'!C78+'6.3 könyvtár'!C78+'6.4 sportcsarnok'!C78+'6.5 pályázat_1'!C78</f>
        <v>0</v>
      </c>
      <c r="D78" s="246">
        <f>'6.1 műv ház'!D78+'6.2 HH'!D78+'6.3 könyvtár'!D78+'6.4 sportcsarnok'!D78+'6.5 pályázat_1'!D78</f>
        <v>0</v>
      </c>
      <c r="E78" s="246">
        <f>'6.1 műv ház'!E78+'6.2 HH'!E78+'6.3 könyvtár'!E78+'6.4 sportcsarnok'!E78+'6.5 pályázat_1'!E78</f>
        <v>0</v>
      </c>
      <c r="F78" s="246">
        <f>'6.1 műv ház'!F78+'6.2 HH'!F78+'6.3 könyvtár'!F78+'6.4 sportcsarnok'!F78+'6.5 pályázat_1'!F78</f>
        <v>0</v>
      </c>
      <c r="G78" s="246">
        <f>'6.1 műv ház'!G78+'6.2 HH'!G78+'6.3 könyvtár'!G78+'6.4 sportcsarnok'!G78+'6.5 pályázat_1'!G78</f>
        <v>0</v>
      </c>
      <c r="H78" s="246">
        <f>'6.1 műv ház'!H78+'6.2 HH'!H78+'6.3 könyvtár'!H78+'6.4 sportcsarnok'!H78+'6.5 pályázat_1'!H78</f>
        <v>0</v>
      </c>
      <c r="I78" s="246">
        <f>'6.1 műv ház'!I78+'6.2 HH'!I78+'6.3 könyvtár'!I78+'6.4 sportcsarnok'!I78+'6.5 pályázat_1'!I78</f>
        <v>0</v>
      </c>
      <c r="J78" s="246">
        <f>'6.1 műv ház'!J78+'6.2 HH'!J78+'6.3 könyvtár'!J78+'6.4 sportcsarnok'!J78+'6.5 pályázat_1'!J78</f>
        <v>0</v>
      </c>
      <c r="K78" s="316">
        <f>'6.1 műv ház'!K78+'6.2 HH'!K78+'6.3 könyvtár'!K78+'6.4 sportcsarnok'!K78+'6.5 pályázat_1'!K78</f>
        <v>0</v>
      </c>
      <c r="L78" s="246">
        <f>'6.1 műv ház'!L78+'6.2 HH'!L78+'6.3 könyvtár'!L78+'6.4 sportcsarnok'!L78+'6.5 pályázat_1'!L78</f>
        <v>0</v>
      </c>
      <c r="M78" s="246">
        <f>'6.1 műv ház'!M78+'6.2 HH'!M78+'6.3 könyvtár'!M78+'6.4 sportcsarnok'!M78+'6.5 pályázat_1'!M78</f>
        <v>0</v>
      </c>
      <c r="N78" s="316">
        <f>'6.1 műv ház'!N78+'6.2 HH'!N78+'6.3 könyvtár'!N78+'6.4 sportcsarnok'!N78+'6.5 pályázat_1'!N78</f>
        <v>0</v>
      </c>
    </row>
    <row r="79" spans="1:15" x14ac:dyDescent="0.25">
      <c r="A79" s="53" t="s">
        <v>153</v>
      </c>
      <c r="B79" s="62" t="s">
        <v>154</v>
      </c>
      <c r="C79" s="246">
        <f>'6.1 műv ház'!C79+'6.2 HH'!C79+'6.3 könyvtár'!C79+'6.4 sportcsarnok'!C79+'6.5 pályázat_1'!C79</f>
        <v>0</v>
      </c>
      <c r="D79" s="246">
        <f>'6.1 műv ház'!D79+'6.2 HH'!D79+'6.3 könyvtár'!D79+'6.4 sportcsarnok'!D79+'6.5 pályázat_1'!D79</f>
        <v>0</v>
      </c>
      <c r="E79" s="246">
        <f>'6.1 műv ház'!E79+'6.2 HH'!E79+'6.3 könyvtár'!E79+'6.4 sportcsarnok'!E79+'6.5 pályázat_1'!E79</f>
        <v>0</v>
      </c>
      <c r="F79" s="246">
        <f>'6.1 műv ház'!F79+'6.2 HH'!F79+'6.3 könyvtár'!F79+'6.4 sportcsarnok'!F79+'6.5 pályázat_1'!F79</f>
        <v>2806205</v>
      </c>
      <c r="G79" s="246">
        <f>'6.1 műv ház'!G79+'6.2 HH'!G79+'6.3 könyvtár'!G79+'6.4 sportcsarnok'!G79+'6.5 pályázat_1'!G79</f>
        <v>0</v>
      </c>
      <c r="H79" s="246">
        <f>'6.1 műv ház'!H79+'6.2 HH'!H79+'6.3 könyvtár'!H79+'6.4 sportcsarnok'!H79+'6.5 pályázat_1'!H79</f>
        <v>2806205</v>
      </c>
      <c r="I79" s="246">
        <f>'6.1 műv ház'!I79+'6.2 HH'!I79+'6.3 könyvtár'!I79+'6.4 sportcsarnok'!I79+'6.5 pályázat_1'!I79</f>
        <v>2806205</v>
      </c>
      <c r="J79" s="246">
        <f>'6.1 műv ház'!J79+'6.2 HH'!J79+'6.3 könyvtár'!J79+'6.4 sportcsarnok'!J79+'6.5 pályázat_1'!J79</f>
        <v>0</v>
      </c>
      <c r="K79" s="316">
        <f>'6.1 műv ház'!K79+'6.2 HH'!K79+'6.3 könyvtár'!K79+'6.4 sportcsarnok'!K79+'6.5 pályázat_1'!K79</f>
        <v>2806205</v>
      </c>
      <c r="L79" s="246">
        <f>'6.1 műv ház'!L79+'6.2 HH'!L79+'6.3 könyvtár'!L79+'6.4 sportcsarnok'!L79+'6.5 pályázat_1'!L79</f>
        <v>2806205</v>
      </c>
      <c r="M79" s="246">
        <f>'6.1 műv ház'!M79+'6.2 HH'!M79+'6.3 könyvtár'!M79+'6.4 sportcsarnok'!M79+'6.5 pályázat_1'!M79</f>
        <v>0</v>
      </c>
      <c r="N79" s="316">
        <f>'6.1 műv ház'!N79+'6.2 HH'!N79+'6.3 könyvtár'!N79+'6.4 sportcsarnok'!N79+'6.5 pályázat_1'!N79</f>
        <v>2806205</v>
      </c>
    </row>
    <row r="80" spans="1:15" x14ac:dyDescent="0.25">
      <c r="A80" s="53"/>
      <c r="B80" s="62" t="s">
        <v>29</v>
      </c>
      <c r="C80" s="246">
        <f>'6.1 műv ház'!C80+'6.2 HH'!C80+'6.3 könyvtár'!C80+'6.4 sportcsarnok'!C80+'6.5 pályázat_1'!C80</f>
        <v>0</v>
      </c>
      <c r="D80" s="246">
        <f>'6.1 műv ház'!D80+'6.2 HH'!D80+'6.3 könyvtár'!D80+'6.4 sportcsarnok'!D80+'6.5 pályázat_1'!D80</f>
        <v>0</v>
      </c>
      <c r="E80" s="246">
        <f>'6.1 műv ház'!E80+'6.2 HH'!E80+'6.3 könyvtár'!E80+'6.4 sportcsarnok'!E80+'6.5 pályázat_1'!E80</f>
        <v>0</v>
      </c>
      <c r="F80" s="246">
        <f>'6.1 műv ház'!F80+'6.2 HH'!F80+'6.3 könyvtár'!F80+'6.4 sportcsarnok'!F80+'6.5 pályázat_1'!F80</f>
        <v>2806205</v>
      </c>
      <c r="G80" s="246">
        <f>'6.1 műv ház'!G80+'6.2 HH'!G80+'6.3 könyvtár'!G80+'6.4 sportcsarnok'!G80+'6.5 pályázat_1'!G80</f>
        <v>0</v>
      </c>
      <c r="H80" s="246">
        <f>'6.1 műv ház'!H80+'6.2 HH'!H80+'6.3 könyvtár'!H80+'6.4 sportcsarnok'!H80+'6.5 pályázat_1'!H80</f>
        <v>2806205</v>
      </c>
      <c r="I80" s="246">
        <f>'6.1 műv ház'!I80+'6.2 HH'!I80+'6.3 könyvtár'!I80+'6.4 sportcsarnok'!I80+'6.5 pályázat_1'!I80</f>
        <v>2806205</v>
      </c>
      <c r="J80" s="246">
        <f>'6.1 műv ház'!J80+'6.2 HH'!J80+'6.3 könyvtár'!J80+'6.4 sportcsarnok'!J80+'6.5 pályázat_1'!J80</f>
        <v>0</v>
      </c>
      <c r="K80" s="316">
        <f>'6.1 műv ház'!K80+'6.2 HH'!K80+'6.3 könyvtár'!K80+'6.4 sportcsarnok'!K80+'6.5 pályázat_1'!K80</f>
        <v>2806205</v>
      </c>
      <c r="L80" s="246">
        <f>'6.1 műv ház'!L80+'6.2 HH'!L80+'6.3 könyvtár'!L80+'6.4 sportcsarnok'!L80+'6.5 pályázat_1'!L80</f>
        <v>2806205</v>
      </c>
      <c r="M80" s="246">
        <f>'6.1 műv ház'!M80+'6.2 HH'!M80+'6.3 könyvtár'!M80+'6.4 sportcsarnok'!M80+'6.5 pályázat_1'!M80</f>
        <v>0</v>
      </c>
      <c r="N80" s="316">
        <f>'6.1 műv ház'!N80+'6.2 HH'!N80+'6.3 könyvtár'!N80+'6.4 sportcsarnok'!N80+'6.5 pályázat_1'!N80</f>
        <v>2806205</v>
      </c>
    </row>
    <row r="81" spans="1:15" x14ac:dyDescent="0.25">
      <c r="A81" s="53"/>
      <c r="B81" s="62" t="s">
        <v>30</v>
      </c>
      <c r="C81" s="246">
        <f>'6.1 műv ház'!C81+'6.2 HH'!C81+'6.3 könyvtár'!C81+'6.4 sportcsarnok'!C81+'6.5 pályázat_1'!C81</f>
        <v>0</v>
      </c>
      <c r="D81" s="246">
        <f>'6.1 műv ház'!D81+'6.2 HH'!D81+'6.3 könyvtár'!D81+'6.4 sportcsarnok'!D81+'6.5 pályázat_1'!D81</f>
        <v>0</v>
      </c>
      <c r="E81" s="246">
        <f>'6.1 műv ház'!E81+'6.2 HH'!E81+'6.3 könyvtár'!E81+'6.4 sportcsarnok'!E81+'6.5 pályázat_1'!E81</f>
        <v>0</v>
      </c>
      <c r="F81" s="246">
        <f>'6.1 műv ház'!F81+'6.2 HH'!F81+'6.3 könyvtár'!F81+'6.4 sportcsarnok'!F81+'6.5 pályázat_1'!F81</f>
        <v>0</v>
      </c>
      <c r="G81" s="246">
        <f>'6.1 műv ház'!G81+'6.2 HH'!G81+'6.3 könyvtár'!G81+'6.4 sportcsarnok'!G81+'6.5 pályázat_1'!G81</f>
        <v>0</v>
      </c>
      <c r="H81" s="246">
        <f>'6.1 műv ház'!H81+'6.2 HH'!H81+'6.3 könyvtár'!H81+'6.4 sportcsarnok'!H81+'6.5 pályázat_1'!H81</f>
        <v>0</v>
      </c>
      <c r="I81" s="246">
        <f>'6.1 műv ház'!I81+'6.2 HH'!I81+'6.3 könyvtár'!I81+'6.4 sportcsarnok'!I81+'6.5 pályázat_1'!I81</f>
        <v>0</v>
      </c>
      <c r="J81" s="246">
        <f>'6.1 műv ház'!J81+'6.2 HH'!J81+'6.3 könyvtár'!J81+'6.4 sportcsarnok'!J81+'6.5 pályázat_1'!J81</f>
        <v>0</v>
      </c>
      <c r="K81" s="246">
        <f>'6.1 műv ház'!K81+'6.2 HH'!K81+'6.3 könyvtár'!K81+'6.4 sportcsarnok'!K81+'6.5 pályázat_1'!K81</f>
        <v>0</v>
      </c>
      <c r="L81" s="246">
        <f>'6.1 műv ház'!L81+'6.2 HH'!L81+'6.3 könyvtár'!L81+'6.4 sportcsarnok'!L81+'6.5 pályázat_1'!L81</f>
        <v>0</v>
      </c>
      <c r="M81" s="246">
        <f>'6.1 műv ház'!M81+'6.2 HH'!M81+'6.3 könyvtár'!M81+'6.4 sportcsarnok'!M81+'6.5 pályázat_1'!M81</f>
        <v>0</v>
      </c>
      <c r="N81" s="246">
        <f>'6.1 műv ház'!N81+'6.2 HH'!N81+'6.3 könyvtár'!N81+'6.4 sportcsarnok'!N81+'6.5 pályázat_1'!N81</f>
        <v>0</v>
      </c>
    </row>
    <row r="82" spans="1:15" s="179" customFormat="1" x14ac:dyDescent="0.25">
      <c r="A82" s="184" t="s">
        <v>543</v>
      </c>
      <c r="B82" s="180" t="s">
        <v>337</v>
      </c>
      <c r="C82" s="246">
        <f>'6.1 műv ház'!C82+'6.2 HH'!C82+'6.3 könyvtár'!C82+'6.4 sportcsarnok'!C82+'6.5 pályázat_1'!C82</f>
        <v>0</v>
      </c>
      <c r="D82" s="246">
        <f>'6.1 műv ház'!D82+'6.2 HH'!D82+'6.3 könyvtár'!D82+'6.4 sportcsarnok'!D82+'6.5 pályázat_1'!D82</f>
        <v>0</v>
      </c>
      <c r="E82" s="246">
        <f>'6.1 műv ház'!E82+'6.2 HH'!E82+'6.3 könyvtár'!E82+'6.4 sportcsarnok'!E82+'6.5 pályázat_1'!E82</f>
        <v>0</v>
      </c>
      <c r="F82" s="246">
        <f>'6.1 műv ház'!F82+'6.2 HH'!F82+'6.3 könyvtár'!F82+'6.4 sportcsarnok'!F82+'6.5 pályázat_1'!F82</f>
        <v>0</v>
      </c>
      <c r="G82" s="246">
        <f>'6.1 műv ház'!G82+'6.2 HH'!G82+'6.3 könyvtár'!G82+'6.4 sportcsarnok'!G82+'6.5 pályázat_1'!G82</f>
        <v>0</v>
      </c>
      <c r="H82" s="246">
        <f>'6.1 műv ház'!H82+'6.2 HH'!H82+'6.3 könyvtár'!H82+'6.4 sportcsarnok'!H82+'6.5 pályázat_1'!H82</f>
        <v>0</v>
      </c>
      <c r="I82" s="246">
        <f>'6.1 műv ház'!I82+'6.2 HH'!I82+'6.3 könyvtár'!I82+'6.4 sportcsarnok'!I82+'6.5 pályázat_1'!I82</f>
        <v>0</v>
      </c>
      <c r="J82" s="246">
        <f>'6.1 műv ház'!J82+'6.2 HH'!J82+'6.3 könyvtár'!J82+'6.4 sportcsarnok'!J82+'6.5 pályázat_1'!J82</f>
        <v>0</v>
      </c>
      <c r="K82" s="246">
        <f>'6.1 műv ház'!K82+'6.2 HH'!K82+'6.3 könyvtár'!K82+'6.4 sportcsarnok'!K82+'6.5 pályázat_1'!K82</f>
        <v>0</v>
      </c>
      <c r="L82" s="246">
        <f>'6.1 műv ház'!L82+'6.2 HH'!L82+'6.3 könyvtár'!L82+'6.4 sportcsarnok'!L82+'6.5 pályázat_1'!L82</f>
        <v>0</v>
      </c>
      <c r="M82" s="246">
        <f>'6.1 műv ház'!M82+'6.2 HH'!M82+'6.3 könyvtár'!M82+'6.4 sportcsarnok'!M82+'6.5 pályázat_1'!M82</f>
        <v>0</v>
      </c>
      <c r="N82" s="246">
        <f>'6.1 műv ház'!N82+'6.2 HH'!N82+'6.3 könyvtár'!N82+'6.4 sportcsarnok'!N82+'6.5 pályázat_1'!N82</f>
        <v>0</v>
      </c>
      <c r="O82" s="148"/>
    </row>
    <row r="83" spans="1:15" x14ac:dyDescent="0.25">
      <c r="A83" s="53" t="s">
        <v>155</v>
      </c>
      <c r="B83" s="62" t="s">
        <v>156</v>
      </c>
      <c r="C83" s="246">
        <f>'6.1 műv ház'!C83+'6.2 HH'!C83+'6.3 könyvtár'!C83+'6.4 sportcsarnok'!C83+'6.5 pályázat_1'!C83</f>
        <v>82730822</v>
      </c>
      <c r="D83" s="246">
        <f>'6.1 műv ház'!D83+'6.2 HH'!D83+'6.3 könyvtár'!D83+'6.4 sportcsarnok'!D83+'6.5 pályázat_1'!D83</f>
        <v>0</v>
      </c>
      <c r="E83" s="246">
        <f>'6.1 műv ház'!E83+'6.2 HH'!E83+'6.3 könyvtár'!E83+'6.4 sportcsarnok'!E83+'6.5 pályázat_1'!E83</f>
        <v>82730822</v>
      </c>
      <c r="F83" s="246">
        <f>'6.1 műv ház'!F83+'6.2 HH'!F83+'6.3 könyvtár'!F83+'6.4 sportcsarnok'!F83+'6.5 pályázat_1'!F83</f>
        <v>92270636</v>
      </c>
      <c r="G83" s="246">
        <f>'6.1 műv ház'!G83+'6.2 HH'!G83+'6.3 könyvtár'!G83+'6.4 sportcsarnok'!G83+'6.5 pályázat_1'!G83</f>
        <v>0</v>
      </c>
      <c r="H83" s="246">
        <f>'6.1 műv ház'!H83+'6.2 HH'!H83+'6.3 könyvtár'!H83+'6.4 sportcsarnok'!H83+'6.5 pályázat_1'!H83</f>
        <v>92270636</v>
      </c>
      <c r="I83" s="246">
        <f>'6.1 műv ház'!I83+'6.2 HH'!I83+'6.3 könyvtár'!I83+'6.4 sportcsarnok'!I83+'6.5 pályázat_1'!I83</f>
        <v>94100836</v>
      </c>
      <c r="J83" s="246">
        <f>'6.1 műv ház'!J83+'6.2 HH'!J83+'6.3 könyvtár'!J83+'6.4 sportcsarnok'!J83+'6.5 pályázat_1'!J83</f>
        <v>0</v>
      </c>
      <c r="K83" s="316">
        <f>'6.1 műv ház'!K83+'6.2 HH'!K83+'6.3 könyvtár'!K83+'6.4 sportcsarnok'!K83+'6.5 pályázat_1'!K83</f>
        <v>94100836</v>
      </c>
      <c r="L83" s="246">
        <f>'6.1 műv ház'!L83+'6.2 HH'!L83+'6.3 könyvtár'!L83+'6.4 sportcsarnok'!L83+'6.5 pályázat_1'!L83</f>
        <v>103626438</v>
      </c>
      <c r="M83" s="246">
        <f>'6.1 műv ház'!M83+'6.2 HH'!M83+'6.3 könyvtár'!M83+'6.4 sportcsarnok'!M83+'6.5 pályázat_1'!M83</f>
        <v>0</v>
      </c>
      <c r="N83" s="316">
        <f>'6.1 műv ház'!N83+'6.2 HH'!N83+'6.3 könyvtár'!N83+'6.4 sportcsarnok'!N83+'6.5 pályázat_1'!N83</f>
        <v>103626438</v>
      </c>
    </row>
    <row r="84" spans="1:15" ht="15.75" thickBot="1" x14ac:dyDescent="0.3">
      <c r="A84" s="55" t="s">
        <v>157</v>
      </c>
      <c r="B84" s="64" t="s">
        <v>158</v>
      </c>
      <c r="C84" s="248">
        <f>'6.1 műv ház'!C84+'6.2 HH'!C84+'6.3 könyvtár'!C84+'6.4 sportcsarnok'!C84+'6.5 pályázat_1'!C84</f>
        <v>0</v>
      </c>
      <c r="D84" s="248">
        <f>'6.1 műv ház'!D84+'6.2 HH'!D84+'6.3 könyvtár'!D84+'6.4 sportcsarnok'!D84+'6.5 pályázat_1'!D84</f>
        <v>0</v>
      </c>
      <c r="E84" s="248">
        <f>'6.1 műv ház'!E84+'6.2 HH'!E84+'6.3 könyvtár'!E84+'6.4 sportcsarnok'!E84+'6.5 pályázat_1'!E84</f>
        <v>0</v>
      </c>
      <c r="F84" s="248">
        <f>'6.1 műv ház'!F84+'6.2 HH'!F84+'6.3 könyvtár'!F84+'6.4 sportcsarnok'!F84+'6.5 pályázat_1'!F84</f>
        <v>0</v>
      </c>
      <c r="G84" s="248">
        <f>'6.1 műv ház'!G84+'6.2 HH'!G84+'6.3 könyvtár'!G84+'6.4 sportcsarnok'!G84+'6.5 pályázat_1'!G84</f>
        <v>0</v>
      </c>
      <c r="H84" s="248">
        <f>'6.1 műv ház'!H84+'6.2 HH'!H84+'6.3 könyvtár'!H84+'6.4 sportcsarnok'!H84+'6.5 pályázat_1'!H84</f>
        <v>0</v>
      </c>
      <c r="I84" s="248">
        <f>'6.1 műv ház'!I84+'6.2 HH'!I84+'6.3 könyvtár'!I84+'6.4 sportcsarnok'!I84+'6.5 pályázat_1'!I84</f>
        <v>0</v>
      </c>
      <c r="J84" s="248">
        <f>'6.1 műv ház'!J84+'6.2 HH'!J84+'6.3 könyvtár'!J84+'6.4 sportcsarnok'!J84+'6.5 pályázat_1'!J84</f>
        <v>0</v>
      </c>
      <c r="K84" s="248">
        <f>'6.1 műv ház'!K84+'6.2 HH'!K84+'6.3 könyvtár'!K84+'6.4 sportcsarnok'!K84+'6.5 pályázat_1'!K84</f>
        <v>0</v>
      </c>
      <c r="L84" s="248">
        <f>'6.1 műv ház'!L84+'6.2 HH'!L84+'6.3 könyvtár'!L84+'6.4 sportcsarnok'!L84+'6.5 pályázat_1'!L84</f>
        <v>0</v>
      </c>
      <c r="M84" s="248">
        <f>'6.1 műv ház'!M84+'6.2 HH'!M84+'6.3 könyvtár'!M84+'6.4 sportcsarnok'!M84+'6.5 pályázat_1'!M84</f>
        <v>0</v>
      </c>
      <c r="N84" s="248">
        <f>'6.1 műv ház'!N84+'6.2 HH'!N84+'6.3 könyvtár'!N84+'6.4 sportcsarnok'!N84+'6.5 pályázat_1'!N84</f>
        <v>0</v>
      </c>
    </row>
    <row r="85" spans="1:15" ht="15.75" thickBot="1" x14ac:dyDescent="0.3">
      <c r="A85" s="56" t="s">
        <v>264</v>
      </c>
      <c r="B85" s="47" t="s">
        <v>159</v>
      </c>
      <c r="C85" s="250">
        <f>'6.1 műv ház'!C85+'6.2 HH'!C85+'6.3 könyvtár'!C85+'6.4 sportcsarnok'!C85+'6.5 pályázat_1'!C85</f>
        <v>103598627</v>
      </c>
      <c r="D85" s="250">
        <f>'6.1 műv ház'!D85+'6.2 HH'!D85+'6.3 könyvtár'!D85+'6.4 sportcsarnok'!D85+'6.5 pályázat_1'!D85</f>
        <v>0</v>
      </c>
      <c r="E85" s="250">
        <f>'6.1 műv ház'!E85+'6.2 HH'!E85+'6.3 könyvtár'!E85+'6.4 sportcsarnok'!E85+'6.5 pályázat_1'!E85</f>
        <v>103598627</v>
      </c>
      <c r="F85" s="250">
        <f>'6.1 műv ház'!F85+'6.2 HH'!F85+'6.3 könyvtár'!F85+'6.4 sportcsarnok'!F85+'6.5 pályázat_1'!F85</f>
        <v>120580397</v>
      </c>
      <c r="G85" s="250">
        <f>'6.1 műv ház'!G85+'6.2 HH'!G85+'6.3 könyvtár'!G85+'6.4 sportcsarnok'!G85+'6.5 pályázat_1'!G85</f>
        <v>0</v>
      </c>
      <c r="H85" s="250">
        <f>'6.1 műv ház'!H85+'6.2 HH'!H85+'6.3 könyvtár'!H85+'6.4 sportcsarnok'!H85+'6.5 pályázat_1'!H85</f>
        <v>120580397</v>
      </c>
      <c r="I85" s="250">
        <f>'6.1 műv ház'!I85+'6.2 HH'!I85+'6.3 könyvtár'!I85+'6.4 sportcsarnok'!I85+'6.5 pályázat_1'!I85</f>
        <v>123027239</v>
      </c>
      <c r="J85" s="250">
        <f>'6.1 műv ház'!J85+'6.2 HH'!J85+'6.3 könyvtár'!J85+'6.4 sportcsarnok'!J85+'6.5 pályázat_1'!J85</f>
        <v>0</v>
      </c>
      <c r="K85" s="250">
        <f>'6.1 műv ház'!K85+'6.2 HH'!K85+'6.3 könyvtár'!K85+'6.4 sportcsarnok'!K85+'6.5 pályázat_1'!K85</f>
        <v>123027239</v>
      </c>
      <c r="L85" s="250">
        <f>'6.1 műv ház'!L85+'6.2 HH'!L85+'6.3 könyvtár'!L85+'6.4 sportcsarnok'!L85+'6.5 pályázat_1'!L85</f>
        <v>123612039</v>
      </c>
      <c r="M85" s="250">
        <f>'6.1 műv ház'!M85+'6.2 HH'!M85+'6.3 könyvtár'!M85+'6.4 sportcsarnok'!M85+'6.5 pályázat_1'!M85</f>
        <v>0</v>
      </c>
      <c r="N85" s="250">
        <f>'6.1 műv ház'!N85+'6.2 HH'!N85+'6.3 könyvtár'!N85+'6.4 sportcsarnok'!N85+'6.5 pályázat_1'!N85</f>
        <v>123612039</v>
      </c>
    </row>
    <row r="86" spans="1:15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5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5" x14ac:dyDescent="0.25">
      <c r="A88" s="60" t="s">
        <v>160</v>
      </c>
      <c r="B88" s="48" t="s">
        <v>34</v>
      </c>
      <c r="C88" s="246">
        <f>'6.1 műv ház'!C88+'6.2 HH'!C88+'6.3 könyvtár'!C88+'6.4 sportcsarnok'!C88+'6.5 pályázat_1'!C88</f>
        <v>38870700</v>
      </c>
      <c r="D88" s="246">
        <f>'6.1 műv ház'!D88+'6.2 HH'!D88+'6.3 könyvtár'!D88+'6.4 sportcsarnok'!D88+'6.5 pályázat_1'!D88</f>
        <v>0</v>
      </c>
      <c r="E88" s="246">
        <f>'6.1 műv ház'!E88+'6.2 HH'!E88+'6.3 könyvtár'!E88+'6.4 sportcsarnok'!E88+'6.5 pályázat_1'!E88</f>
        <v>38870700</v>
      </c>
      <c r="F88" s="246">
        <f>'6.1 műv ház'!F88+'6.2 HH'!F88+'6.3 könyvtár'!F88+'6.4 sportcsarnok'!F88+'6.5 pályázat_1'!F88</f>
        <v>40181390</v>
      </c>
      <c r="G88" s="246">
        <f>'6.1 műv ház'!G88+'6.2 HH'!G88+'6.3 könyvtár'!G88+'6.4 sportcsarnok'!G88+'6.5 pályázat_1'!G88</f>
        <v>0</v>
      </c>
      <c r="H88" s="246">
        <f>'6.1 műv ház'!H88+'6.2 HH'!H88+'6.3 könyvtár'!H88+'6.4 sportcsarnok'!H88+'6.5 pályázat_1'!H88</f>
        <v>40181390</v>
      </c>
      <c r="I88" s="246">
        <f>'6.1 műv ház'!I88+'6.2 HH'!I88+'6.3 könyvtár'!I88+'6.4 sportcsarnok'!I88+'6.5 pályázat_1'!I88</f>
        <v>41941390</v>
      </c>
      <c r="J88" s="246">
        <f>'6.1 műv ház'!J88+'6.2 HH'!J88+'6.3 könyvtár'!J88+'6.4 sportcsarnok'!J88+'6.5 pályázat_1'!J88</f>
        <v>0</v>
      </c>
      <c r="K88" s="246">
        <f>'6.1 műv ház'!K88+'6.2 HH'!K88+'6.3 könyvtár'!K88+'6.4 sportcsarnok'!K88+'6.5 pályázat_1'!K88</f>
        <v>41941390</v>
      </c>
      <c r="L88" s="246">
        <f>'6.1 műv ház'!L88+'6.2 HH'!L88+'6.3 könyvtár'!L88+'6.4 sportcsarnok'!L88+'6.5 pályázat_1'!L88</f>
        <v>41775486</v>
      </c>
      <c r="M88" s="246">
        <f>'6.1 műv ház'!M88+'6.2 HH'!M88+'6.3 könyvtár'!M88+'6.4 sportcsarnok'!M88+'6.5 pályázat_1'!M88</f>
        <v>0</v>
      </c>
      <c r="N88" s="246">
        <f>'6.1 műv ház'!N88+'6.2 HH'!N88+'6.3 könyvtár'!N88+'6.4 sportcsarnok'!N88+'6.5 pályázat_1'!N88</f>
        <v>41775486</v>
      </c>
    </row>
    <row r="89" spans="1:15" x14ac:dyDescent="0.25">
      <c r="A89" s="61" t="s">
        <v>161</v>
      </c>
      <c r="B89" s="62" t="s">
        <v>162</v>
      </c>
      <c r="C89" s="246">
        <f>'6.1 műv ház'!C89+'6.2 HH'!C89+'6.3 könyvtár'!C89+'6.4 sportcsarnok'!C89+'6.5 pályázat_1'!C89</f>
        <v>36970700</v>
      </c>
      <c r="D89" s="246">
        <f>'6.1 műv ház'!D89+'6.2 HH'!D89+'6.3 könyvtár'!D89+'6.4 sportcsarnok'!D89+'6.5 pályázat_1'!D89</f>
        <v>0</v>
      </c>
      <c r="E89" s="246">
        <f>'6.1 műv ház'!E89+'6.2 HH'!E89+'6.3 könyvtár'!E89+'6.4 sportcsarnok'!E89+'6.5 pályázat_1'!E89</f>
        <v>36970700</v>
      </c>
      <c r="F89" s="246">
        <f>'6.1 műv ház'!F89+'6.2 HH'!F89+'6.3 könyvtár'!F89+'6.4 sportcsarnok'!F89+'6.5 pályázat_1'!F89</f>
        <v>36781390</v>
      </c>
      <c r="G89" s="246">
        <f>'6.1 műv ház'!G89+'6.2 HH'!G89+'6.3 könyvtár'!G89+'6.4 sportcsarnok'!G89+'6.5 pályázat_1'!G89</f>
        <v>0</v>
      </c>
      <c r="H89" s="246">
        <f>'6.1 műv ház'!H89+'6.2 HH'!H89+'6.3 könyvtár'!H89+'6.4 sportcsarnok'!H89+'6.5 pályázat_1'!H89</f>
        <v>36781390</v>
      </c>
      <c r="I89" s="246">
        <f>'6.1 műv ház'!I89+'6.2 HH'!I89+'6.3 könyvtár'!I89+'6.4 sportcsarnok'!I89+'6.5 pályázat_1'!I89</f>
        <v>38291390</v>
      </c>
      <c r="J89" s="246">
        <f>'6.1 műv ház'!J89+'6.2 HH'!J89+'6.3 könyvtár'!J89+'6.4 sportcsarnok'!J89+'6.5 pályázat_1'!J89</f>
        <v>0</v>
      </c>
      <c r="K89" s="246">
        <f>'6.1 műv ház'!K89+'6.2 HH'!K89+'6.3 könyvtár'!K89+'6.4 sportcsarnok'!K89+'6.5 pályázat_1'!K89</f>
        <v>38291390</v>
      </c>
      <c r="L89" s="246">
        <f>'6.1 műv ház'!L89+'6.2 HH'!L89+'6.3 könyvtár'!L89+'6.4 sportcsarnok'!L89+'6.5 pályázat_1'!L89</f>
        <v>38127751</v>
      </c>
      <c r="M89" s="246">
        <f>'6.1 műv ház'!M89+'6.2 HH'!M89+'6.3 könyvtár'!M89+'6.4 sportcsarnok'!M89+'6.5 pályázat_1'!M89</f>
        <v>0</v>
      </c>
      <c r="N89" s="246">
        <f>'6.1 műv ház'!N89+'6.2 HH'!N89+'6.3 könyvtár'!N89+'6.4 sportcsarnok'!N89+'6.5 pályázat_1'!N89</f>
        <v>38127751</v>
      </c>
    </row>
    <row r="90" spans="1:15" x14ac:dyDescent="0.25">
      <c r="A90" s="61" t="s">
        <v>163</v>
      </c>
      <c r="B90" s="62" t="s">
        <v>164</v>
      </c>
      <c r="C90" s="246">
        <f>'6.1 műv ház'!C90+'6.2 HH'!C90+'6.3 könyvtár'!C90+'6.4 sportcsarnok'!C90+'6.5 pályázat_1'!C90</f>
        <v>29758700</v>
      </c>
      <c r="D90" s="246">
        <f>'6.1 műv ház'!D90+'6.2 HH'!D90+'6.3 könyvtár'!D90+'6.4 sportcsarnok'!D90+'6.5 pályázat_1'!D90</f>
        <v>0</v>
      </c>
      <c r="E90" s="246">
        <f>'6.1 műv ház'!E90+'6.2 HH'!E90+'6.3 könyvtár'!E90+'6.4 sportcsarnok'!E90+'6.5 pályázat_1'!E90</f>
        <v>29758700</v>
      </c>
      <c r="F90" s="246">
        <f>'6.1 műv ház'!F90+'6.2 HH'!F90+'6.3 könyvtár'!F90+'6.4 sportcsarnok'!F90+'6.5 pályázat_1'!F90</f>
        <v>29758700</v>
      </c>
      <c r="G90" s="246">
        <f>'6.1 műv ház'!G90+'6.2 HH'!G90+'6.3 könyvtár'!G90+'6.4 sportcsarnok'!G90+'6.5 pályázat_1'!G90</f>
        <v>0</v>
      </c>
      <c r="H90" s="246">
        <f>'6.1 műv ház'!H90+'6.2 HH'!H90+'6.3 könyvtár'!H90+'6.4 sportcsarnok'!H90+'6.5 pályázat_1'!H90</f>
        <v>29758700</v>
      </c>
      <c r="I90" s="246">
        <f>'6.1 műv ház'!I90+'6.2 HH'!I90+'6.3 könyvtár'!I90+'6.4 sportcsarnok'!I90+'6.5 pályázat_1'!I90</f>
        <v>29882630</v>
      </c>
      <c r="J90" s="246">
        <f>'6.1 műv ház'!J90+'6.2 HH'!J90+'6.3 könyvtár'!J90+'6.4 sportcsarnok'!J90+'6.5 pályázat_1'!J90</f>
        <v>0</v>
      </c>
      <c r="K90" s="246">
        <f>'6.1 műv ház'!K90+'6.2 HH'!K90+'6.3 könyvtár'!K90+'6.4 sportcsarnok'!K90+'6.5 pályázat_1'!K90</f>
        <v>29882630</v>
      </c>
      <c r="L90" s="246">
        <f>'6.1 műv ház'!L90+'6.2 HH'!L90+'6.3 könyvtár'!L90+'6.4 sportcsarnok'!L90+'6.5 pályázat_1'!L90</f>
        <v>29857685</v>
      </c>
      <c r="M90" s="246">
        <f>'6.1 műv ház'!M90+'6.2 HH'!M90+'6.3 könyvtár'!M90+'6.4 sportcsarnok'!M90+'6.5 pályázat_1'!M90</f>
        <v>0</v>
      </c>
      <c r="N90" s="246">
        <f>'6.1 műv ház'!N90+'6.2 HH'!N90+'6.3 könyvtár'!N90+'6.4 sportcsarnok'!N90+'6.5 pályázat_1'!N90</f>
        <v>29857685</v>
      </c>
    </row>
    <row r="91" spans="1:15" s="179" customFormat="1" x14ac:dyDescent="0.25">
      <c r="A91" s="190" t="s">
        <v>533</v>
      </c>
      <c r="B91" s="180" t="s">
        <v>534</v>
      </c>
      <c r="C91" s="246">
        <f>'6.1 műv ház'!C91+'6.2 HH'!C91+'6.3 könyvtár'!C91+'6.4 sportcsarnok'!C91+'6.5 pályázat_1'!C91</f>
        <v>2228000</v>
      </c>
      <c r="D91" s="246">
        <f>'6.1 műv ház'!D91+'6.2 HH'!D91+'6.3 könyvtár'!D91+'6.4 sportcsarnok'!D91+'6.5 pályázat_1'!D91</f>
        <v>0</v>
      </c>
      <c r="E91" s="246">
        <f>'6.1 műv ház'!E91+'6.2 HH'!E91+'6.3 könyvtár'!E91+'6.4 sportcsarnok'!E91+'6.5 pályázat_1'!E91</f>
        <v>2048000</v>
      </c>
      <c r="F91" s="246">
        <f>'6.1 műv ház'!F91+'6.2 HH'!F91+'6.3 könyvtár'!F91+'6.4 sportcsarnok'!F91+'6.5 pályázat_1'!F91</f>
        <v>2228000</v>
      </c>
      <c r="G91" s="246">
        <f>'6.1 műv ház'!G91+'6.2 HH'!G91+'6.3 könyvtár'!G91+'6.4 sportcsarnok'!G91+'6.5 pályázat_1'!G91</f>
        <v>0</v>
      </c>
      <c r="H91" s="246">
        <f>'6.1 műv ház'!H91+'6.2 HH'!H91+'6.3 könyvtár'!H91+'6.4 sportcsarnok'!H91+'6.5 pályázat_1'!H91</f>
        <v>2048000</v>
      </c>
      <c r="I91" s="246">
        <f>'6.1 műv ház'!I91+'6.2 HH'!I91+'6.3 könyvtár'!I91+'6.4 sportcsarnok'!I91+'6.5 pályázat_1'!I91</f>
        <v>2228000</v>
      </c>
      <c r="J91" s="246">
        <f>'6.1 műv ház'!J91+'6.2 HH'!J91+'6.3 könyvtár'!J91+'6.4 sportcsarnok'!J91+'6.5 pályázat_1'!J91</f>
        <v>0</v>
      </c>
      <c r="K91" s="246">
        <f>'6.1 műv ház'!K91+'6.2 HH'!K91+'6.3 könyvtár'!K91+'6.4 sportcsarnok'!K91+'6.5 pályázat_1'!K91</f>
        <v>2228000</v>
      </c>
      <c r="L91" s="246">
        <f>'6.1 műv ház'!L91+'6.2 HH'!L91+'6.3 könyvtár'!L91+'6.4 sportcsarnok'!L91+'6.5 pályázat_1'!L91</f>
        <v>2136472</v>
      </c>
      <c r="M91" s="246">
        <f>'6.1 műv ház'!M91+'6.2 HH'!M91+'6.3 könyvtár'!M91+'6.4 sportcsarnok'!M91+'6.5 pályázat_1'!M91</f>
        <v>0</v>
      </c>
      <c r="N91" s="246">
        <f>'6.1 műv ház'!N91+'6.2 HH'!N91+'6.3 könyvtár'!N91+'6.4 sportcsarnok'!N91+'6.5 pályázat_1'!N91</f>
        <v>2136472</v>
      </c>
      <c r="O91" s="148"/>
    </row>
    <row r="92" spans="1:15" x14ac:dyDescent="0.25">
      <c r="A92" s="61" t="s">
        <v>165</v>
      </c>
      <c r="B92" s="62" t="s">
        <v>166</v>
      </c>
      <c r="C92" s="246">
        <f>'6.1 műv ház'!C92+'6.2 HH'!C92+'6.3 könyvtár'!C92+'6.4 sportcsarnok'!C92+'6.5 pályázat_1'!C92</f>
        <v>0</v>
      </c>
      <c r="D92" s="246">
        <f>'6.1 műv ház'!D92+'6.2 HH'!D92+'6.3 könyvtár'!D92+'6.4 sportcsarnok'!D92+'6.5 pályázat_1'!D92</f>
        <v>0</v>
      </c>
      <c r="E92" s="246">
        <f>'6.1 műv ház'!E92+'6.2 HH'!E92+'6.3 könyvtár'!E92+'6.4 sportcsarnok'!E92+'6.5 pályázat_1'!E92</f>
        <v>0</v>
      </c>
      <c r="F92" s="246">
        <f>'6.1 műv ház'!F92+'6.2 HH'!F92+'6.3 könyvtár'!F92+'6.4 sportcsarnok'!F92+'6.5 pályázat_1'!F92</f>
        <v>0</v>
      </c>
      <c r="G92" s="246">
        <f>'6.1 műv ház'!G92+'6.2 HH'!G92+'6.3 könyvtár'!G92+'6.4 sportcsarnok'!G92+'6.5 pályázat_1'!G92</f>
        <v>0</v>
      </c>
      <c r="H92" s="246">
        <f>'6.1 műv ház'!H92+'6.2 HH'!H92+'6.3 könyvtár'!H92+'6.4 sportcsarnok'!H92+'6.5 pályázat_1'!H92</f>
        <v>0</v>
      </c>
      <c r="I92" s="246">
        <f>'6.1 műv ház'!I92+'6.2 HH'!I92+'6.3 könyvtár'!I92+'6.4 sportcsarnok'!I92+'6.5 pályázat_1'!I92</f>
        <v>0</v>
      </c>
      <c r="J92" s="246">
        <f>'6.1 műv ház'!J92+'6.2 HH'!J92+'6.3 könyvtár'!J92+'6.4 sportcsarnok'!J92+'6.5 pályázat_1'!J92</f>
        <v>0</v>
      </c>
      <c r="K92" s="246">
        <f>'6.1 műv ház'!K92+'6.2 HH'!K92+'6.3 könyvtár'!K92+'6.4 sportcsarnok'!K92+'6.5 pályázat_1'!K92</f>
        <v>0</v>
      </c>
      <c r="L92" s="246">
        <f>'6.1 műv ház'!L92+'6.2 HH'!L92+'6.3 könyvtár'!L92+'6.4 sportcsarnok'!L92+'6.5 pályázat_1'!L92</f>
        <v>0</v>
      </c>
      <c r="M92" s="246">
        <f>'6.1 műv ház'!M92+'6.2 HH'!M92+'6.3 könyvtár'!M92+'6.4 sportcsarnok'!M92+'6.5 pályázat_1'!M92</f>
        <v>0</v>
      </c>
      <c r="N92" s="246">
        <f>'6.1 műv ház'!N92+'6.2 HH'!N92+'6.3 könyvtár'!N92+'6.4 sportcsarnok'!N92+'6.5 pályázat_1'!N92</f>
        <v>0</v>
      </c>
    </row>
    <row r="93" spans="1:15" x14ac:dyDescent="0.25">
      <c r="A93" s="61" t="s">
        <v>167</v>
      </c>
      <c r="B93" s="62" t="s">
        <v>168</v>
      </c>
      <c r="C93" s="246">
        <f>'6.1 műv ház'!C93+'6.2 HH'!C93+'6.3 könyvtár'!C93+'6.4 sportcsarnok'!C93+'6.5 pályázat_1'!C93</f>
        <v>2930000</v>
      </c>
      <c r="D93" s="246">
        <f>'6.1 műv ház'!D93+'6.2 HH'!D93+'6.3 könyvtár'!D93+'6.4 sportcsarnok'!D93+'6.5 pályázat_1'!D93</f>
        <v>0</v>
      </c>
      <c r="E93" s="246">
        <f>'6.1 műv ház'!E93+'6.2 HH'!E93+'6.3 könyvtár'!E93+'6.4 sportcsarnok'!E93+'6.5 pályázat_1'!E93</f>
        <v>2930000</v>
      </c>
      <c r="F93" s="246">
        <f>'6.1 műv ház'!F93+'6.2 HH'!F93+'6.3 könyvtár'!F93+'6.4 sportcsarnok'!F93+'6.5 pályázat_1'!F93</f>
        <v>2930000</v>
      </c>
      <c r="G93" s="246">
        <f>'6.1 műv ház'!G93+'6.2 HH'!G93+'6.3 könyvtár'!G93+'6.4 sportcsarnok'!G93+'6.5 pályázat_1'!G93</f>
        <v>0</v>
      </c>
      <c r="H93" s="246">
        <f>'6.1 műv ház'!H93+'6.2 HH'!H93+'6.3 könyvtár'!H93+'6.4 sportcsarnok'!H93+'6.5 pályázat_1'!H93</f>
        <v>2930000</v>
      </c>
      <c r="I93" s="246">
        <f>'6.1 műv ház'!I93+'6.2 HH'!I93+'6.3 könyvtár'!I93+'6.4 sportcsarnok'!I93+'6.5 pályázat_1'!I93</f>
        <v>3958032</v>
      </c>
      <c r="J93" s="246">
        <f>'6.1 műv ház'!J93+'6.2 HH'!J93+'6.3 könyvtár'!J93+'6.4 sportcsarnok'!J93+'6.5 pályázat_1'!J93</f>
        <v>0</v>
      </c>
      <c r="K93" s="246">
        <f>'6.1 műv ház'!K93+'6.2 HH'!K93+'6.3 könyvtár'!K93+'6.4 sportcsarnok'!K93+'6.5 pályázat_1'!K93</f>
        <v>3958032</v>
      </c>
      <c r="L93" s="246">
        <f>'6.1 műv ház'!L93+'6.2 HH'!L93+'6.3 könyvtár'!L93+'6.4 sportcsarnok'!L93+'6.5 pályázat_1'!L93</f>
        <v>3957962</v>
      </c>
      <c r="M93" s="246">
        <f>'6.1 műv ház'!M93+'6.2 HH'!M93+'6.3 könyvtár'!M93+'6.4 sportcsarnok'!M93+'6.5 pályázat_1'!M93</f>
        <v>0</v>
      </c>
      <c r="N93" s="246">
        <f>'6.1 műv ház'!N93+'6.2 HH'!N93+'6.3 könyvtár'!N93+'6.4 sportcsarnok'!N93+'6.5 pályázat_1'!N93</f>
        <v>3957962</v>
      </c>
    </row>
    <row r="94" spans="1:15" x14ac:dyDescent="0.25">
      <c r="A94" s="61" t="s">
        <v>169</v>
      </c>
      <c r="B94" s="62" t="s">
        <v>170</v>
      </c>
      <c r="C94" s="246">
        <f>'6.1 műv ház'!C94+'6.2 HH'!C94+'6.3 könyvtár'!C94+'6.4 sportcsarnok'!C94+'6.5 pályázat_1'!C94</f>
        <v>0</v>
      </c>
      <c r="D94" s="246">
        <f>'6.1 műv ház'!D94+'6.2 HH'!D94+'6.3 könyvtár'!D94+'6.4 sportcsarnok'!D94+'6.5 pályázat_1'!D94</f>
        <v>0</v>
      </c>
      <c r="E94" s="246">
        <f>'6.1 műv ház'!E94+'6.2 HH'!E94+'6.3 könyvtár'!E94+'6.4 sportcsarnok'!E94+'6.5 pályázat_1'!E94</f>
        <v>0</v>
      </c>
      <c r="F94" s="246">
        <f>'6.1 műv ház'!F94+'6.2 HH'!F94+'6.3 könyvtár'!F94+'6.4 sportcsarnok'!F94+'6.5 pályázat_1'!F94</f>
        <v>0</v>
      </c>
      <c r="G94" s="246">
        <f>'6.1 műv ház'!G94+'6.2 HH'!G94+'6.3 könyvtár'!G94+'6.4 sportcsarnok'!G94+'6.5 pályázat_1'!G94</f>
        <v>0</v>
      </c>
      <c r="H94" s="246">
        <f>'6.1 műv ház'!H94+'6.2 HH'!H94+'6.3 könyvtár'!H94+'6.4 sportcsarnok'!H94+'6.5 pályázat_1'!H94</f>
        <v>0</v>
      </c>
      <c r="I94" s="246">
        <f>'6.1 műv ház'!I94+'6.2 HH'!I94+'6.3 könyvtár'!I94+'6.4 sportcsarnok'!I94+'6.5 pályázat_1'!I94</f>
        <v>0</v>
      </c>
      <c r="J94" s="246">
        <f>'6.1 műv ház'!J94+'6.2 HH'!J94+'6.3 könyvtár'!J94+'6.4 sportcsarnok'!J94+'6.5 pályázat_1'!J94</f>
        <v>0</v>
      </c>
      <c r="K94" s="246">
        <f>'6.1 műv ház'!K94+'6.2 HH'!K94+'6.3 könyvtár'!K94+'6.4 sportcsarnok'!K94+'6.5 pályázat_1'!K94</f>
        <v>0</v>
      </c>
      <c r="L94" s="246">
        <f>'6.1 műv ház'!L94+'6.2 HH'!L94+'6.3 könyvtár'!L94+'6.4 sportcsarnok'!L94+'6.5 pályázat_1'!L94</f>
        <v>0</v>
      </c>
      <c r="M94" s="246">
        <f>'6.1 műv ház'!M94+'6.2 HH'!M94+'6.3 könyvtár'!M94+'6.4 sportcsarnok'!M94+'6.5 pályázat_1'!M94</f>
        <v>0</v>
      </c>
      <c r="N94" s="246">
        <f>'6.1 műv ház'!N94+'6.2 HH'!N94+'6.3 könyvtár'!N94+'6.4 sportcsarnok'!N94+'6.5 pályázat_1'!N94</f>
        <v>0</v>
      </c>
    </row>
    <row r="95" spans="1:15" x14ac:dyDescent="0.25">
      <c r="A95" s="61" t="s">
        <v>171</v>
      </c>
      <c r="B95" s="62" t="s">
        <v>172</v>
      </c>
      <c r="C95" s="246">
        <f>'6.1 műv ház'!C95+'6.2 HH'!C95+'6.3 könyvtár'!C95+'6.4 sportcsarnok'!C95+'6.5 pályázat_1'!C95</f>
        <v>0</v>
      </c>
      <c r="D95" s="246">
        <f>'6.1 műv ház'!D95+'6.2 HH'!D95+'6.3 könyvtár'!D95+'6.4 sportcsarnok'!D95+'6.5 pályázat_1'!D95</f>
        <v>0</v>
      </c>
      <c r="E95" s="246">
        <f>'6.1 műv ház'!E95+'6.2 HH'!E95+'6.3 könyvtár'!E95+'6.4 sportcsarnok'!E95+'6.5 pályázat_1'!E95</f>
        <v>0</v>
      </c>
      <c r="F95" s="246">
        <f>'6.1 műv ház'!F95+'6.2 HH'!F95+'6.3 könyvtár'!F95+'6.4 sportcsarnok'!F95+'6.5 pályázat_1'!F95</f>
        <v>0</v>
      </c>
      <c r="G95" s="246">
        <f>'6.1 műv ház'!G95+'6.2 HH'!G95+'6.3 könyvtár'!G95+'6.4 sportcsarnok'!G95+'6.5 pályázat_1'!G95</f>
        <v>0</v>
      </c>
      <c r="H95" s="246">
        <f>'6.1 műv ház'!H95+'6.2 HH'!H95+'6.3 könyvtár'!H95+'6.4 sportcsarnok'!H95+'6.5 pályázat_1'!H95</f>
        <v>0</v>
      </c>
      <c r="I95" s="246">
        <f>'6.1 műv ház'!I95+'6.2 HH'!I95+'6.3 könyvtár'!I95+'6.4 sportcsarnok'!I95+'6.5 pályázat_1'!I95</f>
        <v>0</v>
      </c>
      <c r="J95" s="246">
        <f>'6.1 műv ház'!J95+'6.2 HH'!J95+'6.3 könyvtár'!J95+'6.4 sportcsarnok'!J95+'6.5 pályázat_1'!J95</f>
        <v>0</v>
      </c>
      <c r="K95" s="246">
        <f>'6.1 műv ház'!K95+'6.2 HH'!K95+'6.3 könyvtár'!K95+'6.4 sportcsarnok'!K95+'6.5 pályázat_1'!K95</f>
        <v>0</v>
      </c>
      <c r="L95" s="246">
        <f>'6.1 műv ház'!L95+'6.2 HH'!L95+'6.3 könyvtár'!L95+'6.4 sportcsarnok'!L95+'6.5 pályázat_1'!L95</f>
        <v>0</v>
      </c>
      <c r="M95" s="246">
        <f>'6.1 műv ház'!M95+'6.2 HH'!M95+'6.3 könyvtár'!M95+'6.4 sportcsarnok'!M95+'6.5 pályázat_1'!M95</f>
        <v>0</v>
      </c>
      <c r="N95" s="246">
        <f>'6.1 műv ház'!N95+'6.2 HH'!N95+'6.3 könyvtár'!N95+'6.4 sportcsarnok'!N95+'6.5 pályázat_1'!N95</f>
        <v>0</v>
      </c>
    </row>
    <row r="96" spans="1:15" x14ac:dyDescent="0.25">
      <c r="A96" s="61" t="s">
        <v>173</v>
      </c>
      <c r="B96" s="62" t="s">
        <v>174</v>
      </c>
      <c r="C96" s="246">
        <f>'6.1 műv ház'!C96+'6.2 HH'!C96+'6.3 könyvtár'!C96+'6.4 sportcsarnok'!C96+'6.5 pályázat_1'!C96</f>
        <v>770000</v>
      </c>
      <c r="D96" s="246">
        <f>'6.1 műv ház'!D96+'6.2 HH'!D96+'6.3 könyvtár'!D96+'6.4 sportcsarnok'!D96+'6.5 pályázat_1'!D96</f>
        <v>0</v>
      </c>
      <c r="E96" s="246">
        <f>'6.1 műv ház'!E96+'6.2 HH'!E96+'6.3 könyvtár'!E96+'6.4 sportcsarnok'!E96+'6.5 pályázat_1'!E96</f>
        <v>770000</v>
      </c>
      <c r="F96" s="246">
        <f>'6.1 műv ház'!F96+'6.2 HH'!F96+'6.3 könyvtár'!F96+'6.4 sportcsarnok'!F96+'6.5 pályázat_1'!F96</f>
        <v>770000</v>
      </c>
      <c r="G96" s="246">
        <f>'6.1 műv ház'!G96+'6.2 HH'!G96+'6.3 könyvtár'!G96+'6.4 sportcsarnok'!G96+'6.5 pályázat_1'!G96</f>
        <v>0</v>
      </c>
      <c r="H96" s="246">
        <f>'6.1 műv ház'!H96+'6.2 HH'!H96+'6.3 könyvtár'!H96+'6.4 sportcsarnok'!H96+'6.5 pályázat_1'!H96</f>
        <v>770000</v>
      </c>
      <c r="I96" s="246">
        <f>'6.1 műv ház'!I96+'6.2 HH'!I96+'6.3 könyvtár'!I96+'6.4 sportcsarnok'!I96+'6.5 pályázat_1'!I96</f>
        <v>857712</v>
      </c>
      <c r="J96" s="246">
        <f>'6.1 műv ház'!J96+'6.2 HH'!J96+'6.3 könyvtár'!J96+'6.4 sportcsarnok'!J96+'6.5 pályázat_1'!J96</f>
        <v>0</v>
      </c>
      <c r="K96" s="246">
        <f>'6.1 műv ház'!K96+'6.2 HH'!K96+'6.3 könyvtár'!K96+'6.4 sportcsarnok'!K96+'6.5 pályázat_1'!K96</f>
        <v>857712</v>
      </c>
      <c r="L96" s="246">
        <f>'6.1 műv ház'!L96+'6.2 HH'!L96+'6.3 könyvtár'!L96+'6.4 sportcsarnok'!L96+'6.5 pályázat_1'!L96</f>
        <v>828008</v>
      </c>
      <c r="M96" s="246">
        <f>'6.1 műv ház'!M96+'6.2 HH'!M96+'6.3 könyvtár'!M96+'6.4 sportcsarnok'!M96+'6.5 pályázat_1'!M96</f>
        <v>0</v>
      </c>
      <c r="N96" s="246">
        <f>'6.1 műv ház'!N96+'6.2 HH'!N96+'6.3 könyvtár'!N96+'6.4 sportcsarnok'!N96+'6.5 pályázat_1'!N96</f>
        <v>828008</v>
      </c>
    </row>
    <row r="97" spans="1:14" x14ac:dyDescent="0.25">
      <c r="A97" s="61" t="s">
        <v>175</v>
      </c>
      <c r="B97" s="62" t="s">
        <v>176</v>
      </c>
      <c r="C97" s="246">
        <f>'6.1 műv ház'!C97+'6.2 HH'!C97+'6.3 könyvtár'!C97+'6.4 sportcsarnok'!C97+'6.5 pályázat_1'!C97</f>
        <v>600000</v>
      </c>
      <c r="D97" s="246">
        <f>'6.1 műv ház'!D97+'6.2 HH'!D97+'6.3 könyvtár'!D97+'6.4 sportcsarnok'!D97+'6.5 pályázat_1'!D97</f>
        <v>0</v>
      </c>
      <c r="E97" s="246">
        <f>'6.1 műv ház'!E97+'6.2 HH'!E97+'6.3 könyvtár'!E97+'6.4 sportcsarnok'!E97+'6.5 pályázat_1'!E97</f>
        <v>600000</v>
      </c>
      <c r="F97" s="246">
        <f>'6.1 műv ház'!F97+'6.2 HH'!F97+'6.3 könyvtár'!F97+'6.4 sportcsarnok'!F97+'6.5 pályázat_1'!F97</f>
        <v>410690</v>
      </c>
      <c r="G97" s="246">
        <f>'6.1 műv ház'!G97+'6.2 HH'!G97+'6.3 könyvtár'!G97+'6.4 sportcsarnok'!G97+'6.5 pályázat_1'!G97</f>
        <v>0</v>
      </c>
      <c r="H97" s="246">
        <f>'6.1 műv ház'!H97+'6.2 HH'!H97+'6.3 könyvtár'!H97+'6.4 sportcsarnok'!H97+'6.5 pályázat_1'!H97</f>
        <v>410690</v>
      </c>
      <c r="I97" s="246">
        <f>'6.1 műv ház'!I97+'6.2 HH'!I97+'6.3 könyvtár'!I97+'6.4 sportcsarnok'!I97+'6.5 pályázat_1'!I97</f>
        <v>322978</v>
      </c>
      <c r="J97" s="246">
        <f>'6.1 műv ház'!J97+'6.2 HH'!J97+'6.3 könyvtár'!J97+'6.4 sportcsarnok'!J97+'6.5 pályázat_1'!J97</f>
        <v>0</v>
      </c>
      <c r="K97" s="246">
        <f>'6.1 műv ház'!K97+'6.2 HH'!K97+'6.3 könyvtár'!K97+'6.4 sportcsarnok'!K97+'6.5 pályázat_1'!K97</f>
        <v>322978</v>
      </c>
      <c r="L97" s="246">
        <f>'6.1 műv ház'!L97+'6.2 HH'!L97+'6.3 könyvtár'!L97+'6.4 sportcsarnok'!L97+'6.5 pályázat_1'!L97</f>
        <v>311645</v>
      </c>
      <c r="M97" s="246">
        <f>'6.1 műv ház'!M97+'6.2 HH'!M97+'6.3 könyvtár'!M97+'6.4 sportcsarnok'!M97+'6.5 pályázat_1'!M97</f>
        <v>0</v>
      </c>
      <c r="N97" s="246">
        <f>'6.1 műv ház'!N97+'6.2 HH'!N97+'6.3 könyvtár'!N97+'6.4 sportcsarnok'!N97+'6.5 pályázat_1'!N97</f>
        <v>311645</v>
      </c>
    </row>
    <row r="98" spans="1:14" x14ac:dyDescent="0.25">
      <c r="A98" s="61" t="s">
        <v>177</v>
      </c>
      <c r="B98" s="62" t="s">
        <v>178</v>
      </c>
      <c r="C98" s="246">
        <f>'6.1 műv ház'!C98+'6.2 HH'!C98+'6.3 könyvtár'!C98+'6.4 sportcsarnok'!C98+'6.5 pályázat_1'!C98</f>
        <v>0</v>
      </c>
      <c r="D98" s="246">
        <f>'6.1 műv ház'!D98+'6.2 HH'!D98+'6.3 könyvtár'!D98+'6.4 sportcsarnok'!D98+'6.5 pályázat_1'!D98</f>
        <v>0</v>
      </c>
      <c r="E98" s="246">
        <f>'6.1 műv ház'!E98+'6.2 HH'!E98+'6.3 könyvtár'!E98+'6.4 sportcsarnok'!E98+'6.5 pályázat_1'!E98</f>
        <v>0</v>
      </c>
      <c r="F98" s="246">
        <f>'6.1 műv ház'!F98+'6.2 HH'!F98+'6.3 könyvtár'!F98+'6.4 sportcsarnok'!F98+'6.5 pályázat_1'!F98</f>
        <v>0</v>
      </c>
      <c r="G98" s="246">
        <f>'6.1 műv ház'!G98+'6.2 HH'!G98+'6.3 könyvtár'!G98+'6.4 sportcsarnok'!G98+'6.5 pályázat_1'!G98</f>
        <v>0</v>
      </c>
      <c r="H98" s="246">
        <f>'6.1 műv ház'!H98+'6.2 HH'!H98+'6.3 könyvtár'!H98+'6.4 sportcsarnok'!H98+'6.5 pályázat_1'!H98</f>
        <v>0</v>
      </c>
      <c r="I98" s="246">
        <f>'6.1 műv ház'!I98+'6.2 HH'!I98+'6.3 könyvtár'!I98+'6.4 sportcsarnok'!I98+'6.5 pályázat_1'!I98</f>
        <v>0</v>
      </c>
      <c r="J98" s="246">
        <f>'6.1 műv ház'!J98+'6.2 HH'!J98+'6.3 könyvtár'!J98+'6.4 sportcsarnok'!J98+'6.5 pályázat_1'!J98</f>
        <v>0</v>
      </c>
      <c r="K98" s="246">
        <f>'6.1 műv ház'!K98+'6.2 HH'!K98+'6.3 könyvtár'!K98+'6.4 sportcsarnok'!K98+'6.5 pályázat_1'!K98</f>
        <v>0</v>
      </c>
      <c r="L98" s="246">
        <f>'6.1 műv ház'!L98+'6.2 HH'!L98+'6.3 könyvtár'!L98+'6.4 sportcsarnok'!L98+'6.5 pályázat_1'!L98</f>
        <v>0</v>
      </c>
      <c r="M98" s="246">
        <f>'6.1 műv ház'!M98+'6.2 HH'!M98+'6.3 könyvtár'!M98+'6.4 sportcsarnok'!M98+'6.5 pályázat_1'!M98</f>
        <v>0</v>
      </c>
      <c r="N98" s="246">
        <f>'6.1 műv ház'!N98+'6.2 HH'!N98+'6.3 könyvtár'!N98+'6.4 sportcsarnok'!N98+'6.5 pályázat_1'!N98</f>
        <v>0</v>
      </c>
    </row>
    <row r="99" spans="1:14" x14ac:dyDescent="0.25">
      <c r="A99" s="61" t="s">
        <v>179</v>
      </c>
      <c r="B99" s="62" t="s">
        <v>180</v>
      </c>
      <c r="C99" s="246">
        <f>'6.1 műv ház'!C99+'6.2 HH'!C99+'6.3 könyvtár'!C99+'6.4 sportcsarnok'!C99+'6.5 pályázat_1'!C99</f>
        <v>0</v>
      </c>
      <c r="D99" s="246">
        <f>'6.1 műv ház'!D99+'6.2 HH'!D99+'6.3 könyvtár'!D99+'6.4 sportcsarnok'!D99+'6.5 pályázat_1'!D99</f>
        <v>0</v>
      </c>
      <c r="E99" s="246">
        <f>'6.1 műv ház'!E99+'6.2 HH'!E99+'6.3 könyvtár'!E99+'6.4 sportcsarnok'!E99+'6.5 pályázat_1'!E99</f>
        <v>0</v>
      </c>
      <c r="F99" s="246">
        <f>'6.1 műv ház'!F99+'6.2 HH'!F99+'6.3 könyvtár'!F99+'6.4 sportcsarnok'!F99+'6.5 pályázat_1'!F99</f>
        <v>0</v>
      </c>
      <c r="G99" s="246">
        <f>'6.1 műv ház'!G99+'6.2 HH'!G99+'6.3 könyvtár'!G99+'6.4 sportcsarnok'!G99+'6.5 pályázat_1'!G99</f>
        <v>0</v>
      </c>
      <c r="H99" s="246">
        <f>'6.1 műv ház'!H99+'6.2 HH'!H99+'6.3 könyvtár'!H99+'6.4 sportcsarnok'!H99+'6.5 pályázat_1'!H99</f>
        <v>0</v>
      </c>
      <c r="I99" s="246">
        <f>'6.1 műv ház'!I99+'6.2 HH'!I99+'6.3 könyvtár'!I99+'6.4 sportcsarnok'!I99+'6.5 pályázat_1'!I99</f>
        <v>0</v>
      </c>
      <c r="J99" s="246">
        <f>'6.1 műv ház'!J99+'6.2 HH'!J99+'6.3 könyvtár'!J99+'6.4 sportcsarnok'!J99+'6.5 pályázat_1'!J99</f>
        <v>0</v>
      </c>
      <c r="K99" s="246">
        <f>'6.1 műv ház'!K99+'6.2 HH'!K99+'6.3 könyvtár'!K99+'6.4 sportcsarnok'!K99+'6.5 pályázat_1'!K99</f>
        <v>0</v>
      </c>
      <c r="L99" s="246">
        <f>'6.1 műv ház'!L99+'6.2 HH'!L99+'6.3 könyvtár'!L99+'6.4 sportcsarnok'!L99+'6.5 pályázat_1'!L99</f>
        <v>0</v>
      </c>
      <c r="M99" s="246">
        <f>'6.1 műv ház'!M99+'6.2 HH'!M99+'6.3 könyvtár'!M99+'6.4 sportcsarnok'!M99+'6.5 pályázat_1'!M99</f>
        <v>0</v>
      </c>
      <c r="N99" s="246">
        <f>'6.1 műv ház'!N99+'6.2 HH'!N99+'6.3 könyvtár'!N99+'6.4 sportcsarnok'!N99+'6.5 pályázat_1'!N99</f>
        <v>0</v>
      </c>
    </row>
    <row r="100" spans="1:14" x14ac:dyDescent="0.25">
      <c r="A100" s="61" t="s">
        <v>181</v>
      </c>
      <c r="B100" s="62" t="s">
        <v>182</v>
      </c>
      <c r="C100" s="246">
        <f>'6.1 műv ház'!C100+'6.2 HH'!C100+'6.3 könyvtár'!C100+'6.4 sportcsarnok'!C100+'6.5 pályázat_1'!C100</f>
        <v>684000</v>
      </c>
      <c r="D100" s="246">
        <f>'6.1 műv ház'!D100+'6.2 HH'!D100+'6.3 könyvtár'!D100+'6.4 sportcsarnok'!D100+'6.5 pályázat_1'!D100</f>
        <v>0</v>
      </c>
      <c r="E100" s="246">
        <f>'6.1 műv ház'!E100+'6.2 HH'!E100+'6.3 könyvtár'!E100+'6.4 sportcsarnok'!E100+'6.5 pályázat_1'!E100</f>
        <v>684000</v>
      </c>
      <c r="F100" s="246">
        <f>'6.1 műv ház'!F100+'6.2 HH'!F100+'6.3 könyvtár'!F100+'6.4 sportcsarnok'!F100+'6.5 pályázat_1'!F100</f>
        <v>684000</v>
      </c>
      <c r="G100" s="246">
        <f>'6.1 műv ház'!G100+'6.2 HH'!G100+'6.3 könyvtár'!G100+'6.4 sportcsarnok'!G100+'6.5 pályázat_1'!G100</f>
        <v>0</v>
      </c>
      <c r="H100" s="246">
        <f>'6.1 műv ház'!H100+'6.2 HH'!H100+'6.3 könyvtár'!H100+'6.4 sportcsarnok'!H100+'6.5 pályázat_1'!H100</f>
        <v>684000</v>
      </c>
      <c r="I100" s="246">
        <f>'6.1 műv ház'!I100+'6.2 HH'!I100+'6.3 könyvtár'!I100+'6.4 sportcsarnok'!I100+'6.5 pályázat_1'!I100</f>
        <v>1042038</v>
      </c>
      <c r="J100" s="246">
        <f>'6.1 műv ház'!J100+'6.2 HH'!J100+'6.3 könyvtár'!J100+'6.4 sportcsarnok'!J100+'6.5 pályázat_1'!J100</f>
        <v>0</v>
      </c>
      <c r="K100" s="246">
        <f>'6.1 műv ház'!K100+'6.2 HH'!K100+'6.3 könyvtár'!K100+'6.4 sportcsarnok'!K100+'6.5 pályázat_1'!K100</f>
        <v>1042038</v>
      </c>
      <c r="L100" s="246">
        <f>'6.1 műv ház'!L100+'6.2 HH'!L100+'6.3 könyvtár'!L100+'6.4 sportcsarnok'!L100+'6.5 pályázat_1'!L100</f>
        <v>1035979</v>
      </c>
      <c r="M100" s="246">
        <f>'6.1 műv ház'!M100+'6.2 HH'!M100+'6.3 könyvtár'!M100+'6.4 sportcsarnok'!M100+'6.5 pályázat_1'!M100</f>
        <v>0</v>
      </c>
      <c r="N100" s="246">
        <f>'6.1 műv ház'!N100+'6.2 HH'!N100+'6.3 könyvtár'!N100+'6.4 sportcsarnok'!N100+'6.5 pályázat_1'!N100</f>
        <v>1035979</v>
      </c>
    </row>
    <row r="101" spans="1:14" x14ac:dyDescent="0.25">
      <c r="A101" s="61" t="s">
        <v>183</v>
      </c>
      <c r="B101" s="62" t="s">
        <v>184</v>
      </c>
      <c r="C101" s="246">
        <f>'6.1 műv ház'!C101+'6.2 HH'!C101+'6.3 könyvtár'!C101+'6.4 sportcsarnok'!C101+'6.5 pályázat_1'!C101</f>
        <v>1900000</v>
      </c>
      <c r="D101" s="246">
        <f>'6.1 műv ház'!D101+'6.2 HH'!D101+'6.3 könyvtár'!D101+'6.4 sportcsarnok'!D101+'6.5 pályázat_1'!D101</f>
        <v>0</v>
      </c>
      <c r="E101" s="246">
        <f>'6.1 műv ház'!E101+'6.2 HH'!E101+'6.3 könyvtár'!E101+'6.4 sportcsarnok'!E101+'6.5 pályázat_1'!E101</f>
        <v>1900000</v>
      </c>
      <c r="F101" s="246">
        <f>'6.1 műv ház'!F101+'6.2 HH'!F101+'6.3 könyvtár'!F101+'6.4 sportcsarnok'!F101+'6.5 pályázat_1'!F101</f>
        <v>3400000</v>
      </c>
      <c r="G101" s="246">
        <f>'6.1 műv ház'!G101+'6.2 HH'!G101+'6.3 könyvtár'!G101+'6.4 sportcsarnok'!G101+'6.5 pályázat_1'!G101</f>
        <v>0</v>
      </c>
      <c r="H101" s="246">
        <f>'6.1 műv ház'!H101+'6.2 HH'!H101+'6.3 könyvtár'!H101+'6.4 sportcsarnok'!H101+'6.5 pályázat_1'!H101</f>
        <v>3400000</v>
      </c>
      <c r="I101" s="246">
        <f>'6.1 műv ház'!I101+'6.2 HH'!I101+'6.3 könyvtár'!I101+'6.4 sportcsarnok'!I101+'6.5 pályázat_1'!I101</f>
        <v>3650000</v>
      </c>
      <c r="J101" s="246">
        <f>'6.1 műv ház'!J101+'6.2 HH'!J101+'6.3 könyvtár'!J101+'6.4 sportcsarnok'!J101+'6.5 pályázat_1'!J101</f>
        <v>0</v>
      </c>
      <c r="K101" s="246">
        <f>'6.1 műv ház'!K101+'6.2 HH'!K101+'6.3 könyvtár'!K101+'6.4 sportcsarnok'!K101+'6.5 pályázat_1'!K101</f>
        <v>3650000</v>
      </c>
      <c r="L101" s="246">
        <f>'6.1 műv ház'!L101+'6.2 HH'!L101+'6.3 könyvtár'!L101+'6.4 sportcsarnok'!L101+'6.5 pályázat_1'!L101</f>
        <v>3647735</v>
      </c>
      <c r="M101" s="246">
        <f>'6.1 műv ház'!M101+'6.2 HH'!M101+'6.3 könyvtár'!M101+'6.4 sportcsarnok'!M101+'6.5 pályázat_1'!M101</f>
        <v>0</v>
      </c>
      <c r="N101" s="246">
        <f>'6.1 műv ház'!N101+'6.2 HH'!N101+'6.3 könyvtár'!N101+'6.4 sportcsarnok'!N101+'6.5 pályázat_1'!N101</f>
        <v>3647735</v>
      </c>
    </row>
    <row r="102" spans="1:14" x14ac:dyDescent="0.25">
      <c r="A102" s="61" t="s">
        <v>185</v>
      </c>
      <c r="B102" s="62" t="s">
        <v>186</v>
      </c>
      <c r="C102" s="246">
        <f>'6.1 műv ház'!C102+'6.2 HH'!C102+'6.3 könyvtár'!C102+'6.4 sportcsarnok'!C102+'6.5 pályázat_1'!C102</f>
        <v>0</v>
      </c>
      <c r="D102" s="246">
        <f>'6.1 műv ház'!D102+'6.2 HH'!D102+'6.3 könyvtár'!D102+'6.4 sportcsarnok'!D102+'6.5 pályázat_1'!D102</f>
        <v>0</v>
      </c>
      <c r="E102" s="246">
        <f>'6.1 műv ház'!E102+'6.2 HH'!E102+'6.3 könyvtár'!E102+'6.4 sportcsarnok'!E102+'6.5 pályázat_1'!E102</f>
        <v>0</v>
      </c>
      <c r="F102" s="246">
        <f>'6.1 műv ház'!F102+'6.2 HH'!F102+'6.3 könyvtár'!F102+'6.4 sportcsarnok'!F102+'6.5 pályázat_1'!F102</f>
        <v>0</v>
      </c>
      <c r="G102" s="246">
        <f>'6.1 műv ház'!G102+'6.2 HH'!G102+'6.3 könyvtár'!G102+'6.4 sportcsarnok'!G102+'6.5 pályázat_1'!G102</f>
        <v>0</v>
      </c>
      <c r="H102" s="246">
        <f>'6.1 műv ház'!H102+'6.2 HH'!H102+'6.3 könyvtár'!H102+'6.4 sportcsarnok'!H102+'6.5 pályázat_1'!H102</f>
        <v>0</v>
      </c>
      <c r="I102" s="246">
        <f>'6.1 műv ház'!I102+'6.2 HH'!I102+'6.3 könyvtár'!I102+'6.4 sportcsarnok'!I102+'6.5 pályázat_1'!I102</f>
        <v>0</v>
      </c>
      <c r="J102" s="246">
        <f>'6.1 műv ház'!J102+'6.2 HH'!J102+'6.3 könyvtár'!J102+'6.4 sportcsarnok'!J102+'6.5 pályázat_1'!J102</f>
        <v>0</v>
      </c>
      <c r="K102" s="246">
        <f>'6.1 műv ház'!K102+'6.2 HH'!K102+'6.3 könyvtár'!K102+'6.4 sportcsarnok'!K102+'6.5 pályázat_1'!K102</f>
        <v>0</v>
      </c>
      <c r="L102" s="246">
        <f>'6.1 műv ház'!L102+'6.2 HH'!L102+'6.3 könyvtár'!L102+'6.4 sportcsarnok'!L102+'6.5 pályázat_1'!L102</f>
        <v>0</v>
      </c>
      <c r="M102" s="246">
        <f>'6.1 műv ház'!M102+'6.2 HH'!M102+'6.3 könyvtár'!M102+'6.4 sportcsarnok'!M102+'6.5 pályázat_1'!M102</f>
        <v>0</v>
      </c>
      <c r="N102" s="246">
        <f>'6.1 műv ház'!N102+'6.2 HH'!N102+'6.3 könyvtár'!N102+'6.4 sportcsarnok'!N102+'6.5 pályázat_1'!N102</f>
        <v>0</v>
      </c>
    </row>
    <row r="103" spans="1:14" x14ac:dyDescent="0.25">
      <c r="A103" s="61" t="s">
        <v>187</v>
      </c>
      <c r="B103" s="62" t="s">
        <v>188</v>
      </c>
      <c r="C103" s="246">
        <f>'6.1 műv ház'!C103+'6.2 HH'!C103+'6.3 könyvtár'!C103+'6.4 sportcsarnok'!C103+'6.5 pályázat_1'!C103</f>
        <v>0</v>
      </c>
      <c r="D103" s="246">
        <f>'6.1 műv ház'!D103+'6.2 HH'!D103+'6.3 könyvtár'!D103+'6.4 sportcsarnok'!D103+'6.5 pályázat_1'!D103</f>
        <v>0</v>
      </c>
      <c r="E103" s="246">
        <f>'6.1 műv ház'!E103+'6.2 HH'!E103+'6.3 könyvtár'!E103+'6.4 sportcsarnok'!E103+'6.5 pályázat_1'!E103</f>
        <v>0</v>
      </c>
      <c r="F103" s="246">
        <f>'6.1 műv ház'!F103+'6.2 HH'!F103+'6.3 könyvtár'!F103+'6.4 sportcsarnok'!F103+'6.5 pályázat_1'!F103</f>
        <v>0</v>
      </c>
      <c r="G103" s="246">
        <f>'6.1 műv ház'!G103+'6.2 HH'!G103+'6.3 könyvtár'!G103+'6.4 sportcsarnok'!G103+'6.5 pályázat_1'!G103</f>
        <v>0</v>
      </c>
      <c r="H103" s="246">
        <f>'6.1 műv ház'!H103+'6.2 HH'!H103+'6.3 könyvtár'!H103+'6.4 sportcsarnok'!H103+'6.5 pályázat_1'!H103</f>
        <v>0</v>
      </c>
      <c r="I103" s="246">
        <f>'6.1 műv ház'!I103+'6.2 HH'!I103+'6.3 könyvtár'!I103+'6.4 sportcsarnok'!I103+'6.5 pályázat_1'!I103</f>
        <v>0</v>
      </c>
      <c r="J103" s="246">
        <f>'6.1 műv ház'!J103+'6.2 HH'!J103+'6.3 könyvtár'!J103+'6.4 sportcsarnok'!J103+'6.5 pályázat_1'!J103</f>
        <v>0</v>
      </c>
      <c r="K103" s="246">
        <f>'6.1 műv ház'!K103+'6.2 HH'!K103+'6.3 könyvtár'!K103+'6.4 sportcsarnok'!K103+'6.5 pályázat_1'!K103</f>
        <v>0</v>
      </c>
      <c r="L103" s="246">
        <f>'6.1 műv ház'!L103+'6.2 HH'!L103+'6.3 könyvtár'!L103+'6.4 sportcsarnok'!L103+'6.5 pályázat_1'!L103</f>
        <v>0</v>
      </c>
      <c r="M103" s="246">
        <f>'6.1 műv ház'!M103+'6.2 HH'!M103+'6.3 könyvtár'!M103+'6.4 sportcsarnok'!M103+'6.5 pályázat_1'!M103</f>
        <v>0</v>
      </c>
      <c r="N103" s="246">
        <f>'6.1 műv ház'!N103+'6.2 HH'!N103+'6.3 könyvtár'!N103+'6.4 sportcsarnok'!N103+'6.5 pályázat_1'!N103</f>
        <v>0</v>
      </c>
    </row>
    <row r="104" spans="1:14" ht="15.75" thickBot="1" x14ac:dyDescent="0.3">
      <c r="A104" s="63" t="s">
        <v>189</v>
      </c>
      <c r="B104" s="64" t="s">
        <v>190</v>
      </c>
      <c r="C104" s="248">
        <f>'6.1 műv ház'!C104+'6.2 HH'!C104+'6.3 könyvtár'!C104+'6.4 sportcsarnok'!C104+'6.5 pályázat_1'!C104</f>
        <v>1900000</v>
      </c>
      <c r="D104" s="248">
        <f>'6.1 műv ház'!D104+'6.2 HH'!D104+'6.3 könyvtár'!D104+'6.4 sportcsarnok'!D104+'6.5 pályázat_1'!D104</f>
        <v>0</v>
      </c>
      <c r="E104" s="248">
        <f>'6.1 műv ház'!E104+'6.2 HH'!E104+'6.3 könyvtár'!E104+'6.4 sportcsarnok'!E104+'6.5 pályázat_1'!E104</f>
        <v>1900000</v>
      </c>
      <c r="F104" s="248">
        <f>'6.1 műv ház'!F104+'6.2 HH'!F104+'6.3 könyvtár'!F104+'6.4 sportcsarnok'!F104+'6.5 pályázat_1'!F104</f>
        <v>3400000</v>
      </c>
      <c r="G104" s="248">
        <f>'6.1 műv ház'!G104+'6.2 HH'!G104+'6.3 könyvtár'!G104+'6.4 sportcsarnok'!G104+'6.5 pályázat_1'!G104</f>
        <v>0</v>
      </c>
      <c r="H104" s="248">
        <f>'6.1 műv ház'!H104+'6.2 HH'!H104+'6.3 könyvtár'!H104+'6.4 sportcsarnok'!H104+'6.5 pályázat_1'!H104</f>
        <v>3400000</v>
      </c>
      <c r="I104" s="248">
        <f>'6.1 műv ház'!I104+'6.2 HH'!I104+'6.3 könyvtár'!I104+'6.4 sportcsarnok'!I104+'6.5 pályázat_1'!I104</f>
        <v>3650000</v>
      </c>
      <c r="J104" s="248">
        <f>'6.1 műv ház'!J104+'6.2 HH'!J104+'6.3 könyvtár'!J104+'6.4 sportcsarnok'!J104+'6.5 pályázat_1'!J104</f>
        <v>0</v>
      </c>
      <c r="K104" s="248">
        <f>'6.1 műv ház'!K104+'6.2 HH'!K104+'6.3 könyvtár'!K104+'6.4 sportcsarnok'!K104+'6.5 pályázat_1'!K104</f>
        <v>3650000</v>
      </c>
      <c r="L104" s="248">
        <f>'6.1 műv ház'!L104+'6.2 HH'!L104+'6.3 könyvtár'!L104+'6.4 sportcsarnok'!L104+'6.5 pályázat_1'!L104</f>
        <v>3650000</v>
      </c>
      <c r="M104" s="248">
        <f>'6.1 műv ház'!M104+'6.2 HH'!M104+'6.3 könyvtár'!M104+'6.4 sportcsarnok'!M104+'6.5 pályázat_1'!M104</f>
        <v>0</v>
      </c>
      <c r="N104" s="248">
        <f>'6.1 műv ház'!N104+'6.2 HH'!N104+'6.3 könyvtár'!N104+'6.4 sportcsarnok'!N104+'6.5 pályázat_1'!N104</f>
        <v>3650000</v>
      </c>
    </row>
    <row r="105" spans="1:14" x14ac:dyDescent="0.25">
      <c r="A105" s="60" t="s">
        <v>191</v>
      </c>
      <c r="B105" s="48" t="s">
        <v>192</v>
      </c>
      <c r="C105" s="244">
        <f>'6.1 műv ház'!C105+'6.2 HH'!C105+'6.3 könyvtár'!C105+'6.4 sportcsarnok'!C105+'6.5 pályázat_1'!C105</f>
        <v>7735597</v>
      </c>
      <c r="D105" s="244">
        <f>'6.1 műv ház'!D105+'6.2 HH'!D105+'6.3 könyvtár'!D105+'6.4 sportcsarnok'!D105+'6.5 pályázat_1'!D105</f>
        <v>0</v>
      </c>
      <c r="E105" s="244">
        <f>'6.1 műv ház'!E105+'6.2 HH'!E105+'6.3 könyvtár'!E105+'6.4 sportcsarnok'!E105+'6.5 pályázat_1'!E105</f>
        <v>7735597</v>
      </c>
      <c r="F105" s="244">
        <f>'6.1 műv ház'!F105+'6.2 HH'!F105+'6.3 könyvtár'!F105+'6.4 sportcsarnok'!F105+'6.5 pályázat_1'!F105</f>
        <v>8644786</v>
      </c>
      <c r="G105" s="244">
        <f>'6.1 műv ház'!G105+'6.2 HH'!G105+'6.3 könyvtár'!G105+'6.4 sportcsarnok'!G105+'6.5 pályázat_1'!G105</f>
        <v>0</v>
      </c>
      <c r="H105" s="244">
        <f>'6.1 műv ház'!H105+'6.2 HH'!H105+'6.3 könyvtár'!H105+'6.4 sportcsarnok'!H105+'6.5 pályázat_1'!H105</f>
        <v>8644786</v>
      </c>
      <c r="I105" s="244">
        <f>'6.1 műv ház'!I105+'6.2 HH'!I105+'6.3 könyvtár'!I105+'6.4 sportcsarnok'!I105+'6.5 pályázat_1'!I105</f>
        <v>8994786</v>
      </c>
      <c r="J105" s="244">
        <f>'6.1 műv ház'!J105+'6.2 HH'!J105+'6.3 könyvtár'!J105+'6.4 sportcsarnok'!J105+'6.5 pályázat_1'!J105</f>
        <v>0</v>
      </c>
      <c r="K105" s="244">
        <f>'6.1 műv ház'!K105+'6.2 HH'!K105+'6.3 könyvtár'!K105+'6.4 sportcsarnok'!K105+'6.5 pályázat_1'!K105</f>
        <v>8994786</v>
      </c>
      <c r="L105" s="244">
        <f>'6.1 műv ház'!L105+'6.2 HH'!L105+'6.3 könyvtár'!L105+'6.4 sportcsarnok'!L105+'6.5 pályázat_1'!L105</f>
        <v>8960205</v>
      </c>
      <c r="M105" s="244">
        <f>'6.1 műv ház'!M105+'6.2 HH'!M105+'6.3 könyvtár'!M105+'6.4 sportcsarnok'!M105+'6.5 pályázat_1'!M105</f>
        <v>0</v>
      </c>
      <c r="N105" s="244">
        <f>'6.1 műv ház'!N105+'6.2 HH'!N105+'6.3 könyvtár'!N105+'6.4 sportcsarnok'!N105+'6.5 pályázat_1'!N105</f>
        <v>8960205</v>
      </c>
    </row>
    <row r="106" spans="1:14" x14ac:dyDescent="0.25">
      <c r="A106" s="61"/>
      <c r="B106" s="62" t="s">
        <v>193</v>
      </c>
      <c r="C106" s="246">
        <f>'6.1 műv ház'!C106+'6.2 HH'!C106+'6.3 könyvtár'!C106+'6.4 sportcsarnok'!C106+'6.5 pályázat_1'!C106</f>
        <v>7022137</v>
      </c>
      <c r="D106" s="246">
        <f>'6.1 műv ház'!D106+'6.2 HH'!D106+'6.3 könyvtár'!D106+'6.4 sportcsarnok'!D106+'6.5 pályázat_1'!D106</f>
        <v>0</v>
      </c>
      <c r="E106" s="246">
        <f>'6.1 műv ház'!E106+'6.2 HH'!E106+'6.3 könyvtár'!E106+'6.4 sportcsarnok'!E106+'6.5 pályázat_1'!E106</f>
        <v>7022137</v>
      </c>
      <c r="F106" s="246">
        <f>'6.1 műv ház'!F106+'6.2 HH'!F106+'6.3 könyvtár'!F106+'6.4 sportcsarnok'!F106+'6.5 pályázat_1'!F106</f>
        <v>7439443</v>
      </c>
      <c r="G106" s="246">
        <f>'6.1 műv ház'!G106+'6.2 HH'!G106+'6.3 könyvtár'!G106+'6.4 sportcsarnok'!G106+'6.5 pályázat_1'!G106</f>
        <v>0</v>
      </c>
      <c r="H106" s="246">
        <f>'6.1 műv ház'!H106+'6.2 HH'!H106+'6.3 könyvtár'!H106+'6.4 sportcsarnok'!H106+'6.5 pályázat_1'!H106</f>
        <v>7439443</v>
      </c>
      <c r="I106" s="246">
        <f>'6.1 műv ház'!I106+'6.2 HH'!I106+'6.3 könyvtár'!I106+'6.4 sportcsarnok'!I106+'6.5 pályázat_1'!I106</f>
        <v>7789443</v>
      </c>
      <c r="J106" s="246">
        <f>'6.1 műv ház'!J106+'6.2 HH'!J106+'6.3 könyvtár'!J106+'6.4 sportcsarnok'!J106+'6.5 pályázat_1'!J106</f>
        <v>0</v>
      </c>
      <c r="K106" s="246">
        <f>'6.1 műv ház'!K106+'6.2 HH'!K106+'6.3 könyvtár'!K106+'6.4 sportcsarnok'!K106+'6.5 pályázat_1'!K106</f>
        <v>7789443</v>
      </c>
      <c r="L106" s="246">
        <f>'6.1 műv ház'!L106+'6.2 HH'!L106+'6.3 könyvtár'!L106+'6.4 sportcsarnok'!L106+'6.5 pályázat_1'!L106</f>
        <v>8009226</v>
      </c>
      <c r="M106" s="246">
        <f>'6.1 műv ház'!M106+'6.2 HH'!M106+'6.3 könyvtár'!M106+'6.4 sportcsarnok'!M106+'6.5 pályázat_1'!M106</f>
        <v>0</v>
      </c>
      <c r="N106" s="246">
        <f>'6.1 műv ház'!N106+'6.2 HH'!N106+'6.3 könyvtár'!N106+'6.4 sportcsarnok'!N106+'6.5 pályázat_1'!N106</f>
        <v>8009226</v>
      </c>
    </row>
    <row r="107" spans="1:14" x14ac:dyDescent="0.25">
      <c r="A107" s="61"/>
      <c r="B107" s="62" t="s">
        <v>194</v>
      </c>
      <c r="C107" s="246">
        <f>'6.1 műv ház'!C107+'6.2 HH'!C107+'6.3 könyvtár'!C107+'6.4 sportcsarnok'!C107+'6.5 pályázat_1'!C107</f>
        <v>0</v>
      </c>
      <c r="D107" s="246">
        <f>'6.1 műv ház'!D107+'6.2 HH'!D107+'6.3 könyvtár'!D107+'6.4 sportcsarnok'!D107+'6.5 pályázat_1'!D107</f>
        <v>0</v>
      </c>
      <c r="E107" s="246">
        <f>'6.1 műv ház'!E107+'6.2 HH'!E107+'6.3 könyvtár'!E107+'6.4 sportcsarnok'!E107+'6.5 pályázat_1'!E107</f>
        <v>0</v>
      </c>
      <c r="F107" s="246">
        <f>'6.1 műv ház'!F107+'6.2 HH'!F107+'6.3 könyvtár'!F107+'6.4 sportcsarnok'!F107+'6.5 pályázat_1'!F107</f>
        <v>0</v>
      </c>
      <c r="G107" s="246">
        <f>'6.1 műv ház'!G107+'6.2 HH'!G107+'6.3 könyvtár'!G107+'6.4 sportcsarnok'!G107+'6.5 pályázat_1'!G107</f>
        <v>0</v>
      </c>
      <c r="H107" s="246">
        <f>'6.1 műv ház'!H107+'6.2 HH'!H107+'6.3 könyvtár'!H107+'6.4 sportcsarnok'!H107+'6.5 pályázat_1'!H107</f>
        <v>0</v>
      </c>
      <c r="I107" s="246">
        <f>'6.1 műv ház'!I107+'6.2 HH'!I107+'6.3 könyvtár'!I107+'6.4 sportcsarnok'!I107+'6.5 pályázat_1'!I107</f>
        <v>0</v>
      </c>
      <c r="J107" s="246">
        <f>'6.1 műv ház'!J107+'6.2 HH'!J107+'6.3 könyvtár'!J107+'6.4 sportcsarnok'!J107+'6.5 pályázat_1'!J107</f>
        <v>0</v>
      </c>
      <c r="K107" s="246">
        <f>'6.1 műv ház'!K107+'6.2 HH'!K107+'6.3 könyvtár'!K107+'6.4 sportcsarnok'!K107+'6.5 pályázat_1'!K107</f>
        <v>0</v>
      </c>
      <c r="L107" s="246">
        <f>'6.1 műv ház'!L107+'6.2 HH'!L107+'6.3 könyvtár'!L107+'6.4 sportcsarnok'!L107+'6.5 pályázat_1'!L107</f>
        <v>0</v>
      </c>
      <c r="M107" s="246">
        <f>'6.1 műv ház'!M107+'6.2 HH'!M107+'6.3 könyvtár'!M107+'6.4 sportcsarnok'!M107+'6.5 pályázat_1'!M107</f>
        <v>0</v>
      </c>
      <c r="N107" s="246">
        <f>'6.1 műv ház'!N107+'6.2 HH'!N107+'6.3 könyvtár'!N107+'6.4 sportcsarnok'!N107+'6.5 pályázat_1'!N107</f>
        <v>0</v>
      </c>
    </row>
    <row r="108" spans="1:14" x14ac:dyDescent="0.25">
      <c r="A108" s="63"/>
      <c r="B108" s="64" t="s">
        <v>195</v>
      </c>
      <c r="C108" s="246">
        <f>'6.1 műv ház'!C108+'6.2 HH'!C108+'6.3 könyvtár'!C108+'6.4 sportcsarnok'!C108+'6.5 pályázat_1'!C108</f>
        <v>403260</v>
      </c>
      <c r="D108" s="246">
        <f>'6.1 műv ház'!D108+'6.2 HH'!D108+'6.3 könyvtár'!D108+'6.4 sportcsarnok'!D108+'6.5 pályázat_1'!D108</f>
        <v>0</v>
      </c>
      <c r="E108" s="246">
        <f>'6.1 műv ház'!E108+'6.2 HH'!E108+'6.3 könyvtár'!E108+'6.4 sportcsarnok'!E108+'6.5 pályázat_1'!E108</f>
        <v>403260</v>
      </c>
      <c r="F108" s="246">
        <f>'6.1 műv ház'!F108+'6.2 HH'!F108+'6.3 könyvtár'!F108+'6.4 sportcsarnok'!F108+'6.5 pályázat_1'!F108</f>
        <v>403260</v>
      </c>
      <c r="G108" s="246">
        <f>'6.1 műv ház'!G108+'6.2 HH'!G108+'6.3 könyvtár'!G108+'6.4 sportcsarnok'!G108+'6.5 pályázat_1'!G108</f>
        <v>0</v>
      </c>
      <c r="H108" s="246">
        <f>'6.1 műv ház'!H108+'6.2 HH'!H108+'6.3 könyvtár'!H108+'6.4 sportcsarnok'!H108+'6.5 pályázat_1'!H108</f>
        <v>403260</v>
      </c>
      <c r="I108" s="246">
        <f>'6.1 műv ház'!I108+'6.2 HH'!I108+'6.3 könyvtár'!I108+'6.4 sportcsarnok'!I108+'6.5 pályázat_1'!I108</f>
        <v>403260</v>
      </c>
      <c r="J108" s="246">
        <f>'6.1 műv ház'!J108+'6.2 HH'!J108+'6.3 könyvtár'!J108+'6.4 sportcsarnok'!J108+'6.5 pályázat_1'!J108</f>
        <v>0</v>
      </c>
      <c r="K108" s="246">
        <f>'6.1 műv ház'!K108+'6.2 HH'!K108+'6.3 könyvtár'!K108+'6.4 sportcsarnok'!K108+'6.5 pályázat_1'!K108</f>
        <v>403260</v>
      </c>
      <c r="L108" s="246">
        <f>'6.1 műv ház'!L108+'6.2 HH'!L108+'6.3 könyvtár'!L108+'6.4 sportcsarnok'!L108+'6.5 pályázat_1'!L108</f>
        <v>34397</v>
      </c>
      <c r="M108" s="246">
        <f>'6.1 műv ház'!M108+'6.2 HH'!M108+'6.3 könyvtár'!M108+'6.4 sportcsarnok'!M108+'6.5 pályázat_1'!M108</f>
        <v>0</v>
      </c>
      <c r="N108" s="246">
        <f>'6.1 műv ház'!N108+'6.2 HH'!N108+'6.3 könyvtár'!N108+'6.4 sportcsarnok'!N108+'6.5 pályázat_1'!N108</f>
        <v>34397</v>
      </c>
    </row>
    <row r="109" spans="1:14" x14ac:dyDescent="0.25">
      <c r="A109" s="63"/>
      <c r="B109" s="64" t="s">
        <v>196</v>
      </c>
      <c r="C109" s="246">
        <f>'6.1 műv ház'!C109+'6.2 HH'!C109+'6.3 könyvtár'!C109+'6.4 sportcsarnok'!C109+'6.5 pályázat_1'!C109</f>
        <v>0</v>
      </c>
      <c r="D109" s="246">
        <f>'6.1 műv ház'!D109+'6.2 HH'!D109+'6.3 könyvtár'!D109+'6.4 sportcsarnok'!D109+'6.5 pályázat_1'!D109</f>
        <v>0</v>
      </c>
      <c r="E109" s="246">
        <f>'6.1 műv ház'!E109+'6.2 HH'!E109+'6.3 könyvtár'!E109+'6.4 sportcsarnok'!E109+'6.5 pályázat_1'!E109</f>
        <v>0</v>
      </c>
      <c r="F109" s="246">
        <f>'6.1 műv ház'!F109+'6.2 HH'!F109+'6.3 könyvtár'!F109+'6.4 sportcsarnok'!F109+'6.5 pályázat_1'!F109</f>
        <v>0</v>
      </c>
      <c r="G109" s="246">
        <f>'6.1 műv ház'!G109+'6.2 HH'!G109+'6.3 könyvtár'!G109+'6.4 sportcsarnok'!G109+'6.5 pályázat_1'!G109</f>
        <v>0</v>
      </c>
      <c r="H109" s="246">
        <f>'6.1 műv ház'!H109+'6.2 HH'!H109+'6.3 könyvtár'!H109+'6.4 sportcsarnok'!H109+'6.5 pályázat_1'!H109</f>
        <v>0</v>
      </c>
      <c r="I109" s="246">
        <f>'6.1 műv ház'!I109+'6.2 HH'!I109+'6.3 könyvtár'!I109+'6.4 sportcsarnok'!I109+'6.5 pályázat_1'!I109</f>
        <v>0</v>
      </c>
      <c r="J109" s="246">
        <f>'6.1 műv ház'!J109+'6.2 HH'!J109+'6.3 könyvtár'!J109+'6.4 sportcsarnok'!J109+'6.5 pályázat_1'!J109</f>
        <v>0</v>
      </c>
      <c r="K109" s="246">
        <f>'6.1 műv ház'!K109+'6.2 HH'!K109+'6.3 könyvtár'!K109+'6.4 sportcsarnok'!K109+'6.5 pályázat_1'!K109</f>
        <v>0</v>
      </c>
      <c r="L109" s="246">
        <f>'6.1 műv ház'!L109+'6.2 HH'!L109+'6.3 könyvtár'!L109+'6.4 sportcsarnok'!L109+'6.5 pályázat_1'!L109</f>
        <v>0</v>
      </c>
      <c r="M109" s="246">
        <f>'6.1 műv ház'!M109+'6.2 HH'!M109+'6.3 könyvtár'!M109+'6.4 sportcsarnok'!M109+'6.5 pályázat_1'!M109</f>
        <v>0</v>
      </c>
      <c r="N109" s="246">
        <f>'6.1 műv ház'!N109+'6.2 HH'!N109+'6.3 könyvtár'!N109+'6.4 sportcsarnok'!N109+'6.5 pályázat_1'!N109</f>
        <v>0</v>
      </c>
    </row>
    <row r="110" spans="1:14" ht="15.75" thickBot="1" x14ac:dyDescent="0.3">
      <c r="A110" s="63"/>
      <c r="B110" s="64" t="s">
        <v>197</v>
      </c>
      <c r="C110" s="248">
        <f>'6.1 műv ház'!C110+'6.2 HH'!C110+'6.3 könyvtár'!C110+'6.4 sportcsarnok'!C110+'6.5 pályázat_1'!C110</f>
        <v>310200</v>
      </c>
      <c r="D110" s="248">
        <f>'6.1 műv ház'!D110+'6.2 HH'!D110+'6.3 könyvtár'!D110+'6.4 sportcsarnok'!D110+'6.5 pályázat_1'!D110</f>
        <v>0</v>
      </c>
      <c r="E110" s="248">
        <f>'6.1 műv ház'!E110+'6.2 HH'!E110+'6.3 könyvtár'!E110+'6.4 sportcsarnok'!E110+'6.5 pályázat_1'!E110</f>
        <v>310200</v>
      </c>
      <c r="F110" s="248">
        <f>'6.1 műv ház'!F110+'6.2 HH'!F110+'6.3 könyvtár'!F110+'6.4 sportcsarnok'!F110+'6.5 pályázat_1'!F110</f>
        <v>802083</v>
      </c>
      <c r="G110" s="248">
        <f>'6.1 műv ház'!G110+'6.2 HH'!G110+'6.3 könyvtár'!G110+'6.4 sportcsarnok'!G110+'6.5 pályázat_1'!G110</f>
        <v>0</v>
      </c>
      <c r="H110" s="248">
        <f>'6.1 műv ház'!H110+'6.2 HH'!H110+'6.3 könyvtár'!H110+'6.4 sportcsarnok'!H110+'6.5 pályázat_1'!H110</f>
        <v>802083</v>
      </c>
      <c r="I110" s="248">
        <f>'6.1 műv ház'!I110+'6.2 HH'!I110+'6.3 könyvtár'!I110+'6.4 sportcsarnok'!I110+'6.5 pályázat_1'!I110</f>
        <v>802083</v>
      </c>
      <c r="J110" s="248">
        <f>'6.1 műv ház'!J110+'6.2 HH'!J110+'6.3 könyvtár'!J110+'6.4 sportcsarnok'!J110+'6.5 pályázat_1'!J110</f>
        <v>0</v>
      </c>
      <c r="K110" s="248">
        <f>'6.1 műv ház'!K110+'6.2 HH'!K110+'6.3 könyvtár'!K110+'6.4 sportcsarnok'!K110+'6.5 pályázat_1'!K110</f>
        <v>802083</v>
      </c>
      <c r="L110" s="248">
        <f>'6.1 műv ház'!L110+'6.2 HH'!L110+'6.3 könyvtár'!L110+'6.4 sportcsarnok'!L110+'6.5 pályázat_1'!L110</f>
        <v>916582</v>
      </c>
      <c r="M110" s="248">
        <f>'6.1 műv ház'!M110+'6.2 HH'!M110+'6.3 könyvtár'!M110+'6.4 sportcsarnok'!M110+'6.5 pályázat_1'!M110</f>
        <v>0</v>
      </c>
      <c r="N110" s="248">
        <f>'6.1 műv ház'!N110+'6.2 HH'!N110+'6.3 könyvtár'!N110+'6.4 sportcsarnok'!N110+'6.5 pályázat_1'!N110</f>
        <v>916582</v>
      </c>
    </row>
    <row r="111" spans="1:14" x14ac:dyDescent="0.25">
      <c r="A111" s="60" t="s">
        <v>198</v>
      </c>
      <c r="B111" s="48" t="s">
        <v>35</v>
      </c>
      <c r="C111" s="244">
        <f>'6.1 műv ház'!C111+'6.2 HH'!C111+'6.3 könyvtár'!C111+'6.4 sportcsarnok'!C111+'6.5 pályázat_1'!C111</f>
        <v>44226830</v>
      </c>
      <c r="D111" s="244">
        <f>'6.1 műv ház'!D111+'6.2 HH'!D111+'6.3 könyvtár'!D111+'6.4 sportcsarnok'!D111+'6.5 pályázat_1'!D111</f>
        <v>0</v>
      </c>
      <c r="E111" s="244">
        <f>'6.1 műv ház'!E111+'6.2 HH'!E111+'6.3 könyvtár'!E111+'6.4 sportcsarnok'!E111+'6.5 pályázat_1'!E111</f>
        <v>44226830</v>
      </c>
      <c r="F111" s="244">
        <f>'6.1 műv ház'!F111+'6.2 HH'!F111+'6.3 könyvtár'!F111+'6.4 sportcsarnok'!F111+'6.5 pályázat_1'!F111</f>
        <v>60386721</v>
      </c>
      <c r="G111" s="244">
        <f>'6.1 műv ház'!G111+'6.2 HH'!G111+'6.3 könyvtár'!G111+'6.4 sportcsarnok'!G111+'6.5 pályázat_1'!G111</f>
        <v>0</v>
      </c>
      <c r="H111" s="244">
        <f>'6.1 műv ház'!H111+'6.2 HH'!H111+'6.3 könyvtár'!H111+'6.4 sportcsarnok'!H111+'6.5 pályázat_1'!H111</f>
        <v>60386721</v>
      </c>
      <c r="I111" s="244">
        <f>'6.1 műv ház'!I111+'6.2 HH'!I111+'6.3 könyvtár'!I111+'6.4 sportcsarnok'!I111+'6.5 pályázat_1'!I111</f>
        <v>60618071</v>
      </c>
      <c r="J111" s="244">
        <f>'6.1 műv ház'!J111+'6.2 HH'!J111+'6.3 könyvtár'!J111+'6.4 sportcsarnok'!J111+'6.5 pályázat_1'!J111</f>
        <v>0</v>
      </c>
      <c r="K111" s="244">
        <f>'6.1 műv ház'!K111+'6.2 HH'!K111+'6.3 könyvtár'!K111+'6.4 sportcsarnok'!K111+'6.5 pályázat_1'!K111</f>
        <v>60618071</v>
      </c>
      <c r="L111" s="244">
        <f>'6.1 műv ház'!L111+'6.2 HH'!L111+'6.3 könyvtár'!L111+'6.4 sportcsarnok'!L111+'6.5 pályázat_1'!L111</f>
        <v>56968540</v>
      </c>
      <c r="M111" s="244">
        <f>'6.1 műv ház'!M111+'6.2 HH'!M111+'6.3 könyvtár'!M111+'6.4 sportcsarnok'!M111+'6.5 pályázat_1'!M111</f>
        <v>0</v>
      </c>
      <c r="N111" s="244">
        <f>'6.1 műv ház'!N111+'6.2 HH'!N111+'6.3 könyvtár'!N111+'6.4 sportcsarnok'!N111+'6.5 pályázat_1'!N111</f>
        <v>56968540</v>
      </c>
    </row>
    <row r="112" spans="1:14" x14ac:dyDescent="0.25">
      <c r="A112" s="61" t="s">
        <v>199</v>
      </c>
      <c r="B112" s="62" t="s">
        <v>200</v>
      </c>
      <c r="C112" s="246">
        <f>'6.1 műv ház'!C112+'6.2 HH'!C112+'6.3 könyvtár'!C112+'6.4 sportcsarnok'!C112+'6.5 pályázat_1'!C112</f>
        <v>6956220</v>
      </c>
      <c r="D112" s="246">
        <f>'6.1 műv ház'!D112+'6.2 HH'!D112+'6.3 könyvtár'!D112+'6.4 sportcsarnok'!D112+'6.5 pályázat_1'!D112</f>
        <v>0</v>
      </c>
      <c r="E112" s="246">
        <f>'6.1 műv ház'!E112+'6.2 HH'!E112+'6.3 könyvtár'!E112+'6.4 sportcsarnok'!E112+'6.5 pályázat_1'!E112</f>
        <v>6956220</v>
      </c>
      <c r="F112" s="246">
        <f>'6.1 műv ház'!F112+'6.2 HH'!F112+'6.3 könyvtár'!F112+'6.4 sportcsarnok'!F112+'6.5 pályázat_1'!F112</f>
        <v>7087649</v>
      </c>
      <c r="G112" s="246">
        <f>'6.1 műv ház'!G112+'6.2 HH'!G112+'6.3 könyvtár'!G112+'6.4 sportcsarnok'!G112+'6.5 pályázat_1'!G112</f>
        <v>0</v>
      </c>
      <c r="H112" s="246">
        <f>'6.1 műv ház'!H112+'6.2 HH'!H112+'6.3 könyvtár'!H112+'6.4 sportcsarnok'!H112+'6.5 pályázat_1'!H112</f>
        <v>7087649</v>
      </c>
      <c r="I112" s="246">
        <f>'6.1 műv ház'!I112+'6.2 HH'!I112+'6.3 könyvtár'!I112+'6.4 sportcsarnok'!I112+'6.5 pályázat_1'!I112</f>
        <v>8352522</v>
      </c>
      <c r="J112" s="246">
        <f>'6.1 műv ház'!J112+'6.2 HH'!J112+'6.3 könyvtár'!J112+'6.4 sportcsarnok'!J112+'6.5 pályázat_1'!J112</f>
        <v>0</v>
      </c>
      <c r="K112" s="246">
        <f>'6.1 műv ház'!K112+'6.2 HH'!K112+'6.3 könyvtár'!K112+'6.4 sportcsarnok'!K112+'6.5 pályázat_1'!K112</f>
        <v>8352522</v>
      </c>
      <c r="L112" s="246">
        <f>'6.1 műv ház'!L112+'6.2 HH'!L112+'6.3 könyvtár'!L112+'6.4 sportcsarnok'!L112+'6.5 pályázat_1'!L112</f>
        <v>7710533</v>
      </c>
      <c r="M112" s="246">
        <f>'6.1 műv ház'!M112+'6.2 HH'!M112+'6.3 könyvtár'!M112+'6.4 sportcsarnok'!M112+'6.5 pályázat_1'!M112</f>
        <v>0</v>
      </c>
      <c r="N112" s="246">
        <f>'6.1 műv ház'!N112+'6.2 HH'!N112+'6.3 könyvtár'!N112+'6.4 sportcsarnok'!N112+'6.5 pályázat_1'!N112</f>
        <v>7710533</v>
      </c>
    </row>
    <row r="113" spans="1:14" x14ac:dyDescent="0.25">
      <c r="A113" s="61" t="s">
        <v>201</v>
      </c>
      <c r="B113" s="62" t="s">
        <v>202</v>
      </c>
      <c r="C113" s="246">
        <f>'6.1 műv ház'!C113+'6.2 HH'!C113+'6.3 könyvtár'!C113+'6.4 sportcsarnok'!C113+'6.5 pályázat_1'!C113</f>
        <v>1138000</v>
      </c>
      <c r="D113" s="246">
        <f>'6.1 műv ház'!D113+'6.2 HH'!D113+'6.3 könyvtár'!D113+'6.4 sportcsarnok'!D113+'6.5 pályázat_1'!D113</f>
        <v>0</v>
      </c>
      <c r="E113" s="246">
        <f>'6.1 műv ház'!E113+'6.2 HH'!E113+'6.3 könyvtár'!E113+'6.4 sportcsarnok'!E113+'6.5 pályázat_1'!E113</f>
        <v>1138000</v>
      </c>
      <c r="F113" s="246">
        <f>'6.1 műv ház'!F113+'6.2 HH'!F113+'6.3 könyvtár'!F113+'6.4 sportcsarnok'!F113+'6.5 pályázat_1'!F113</f>
        <v>1138000</v>
      </c>
      <c r="G113" s="246">
        <f>'6.1 műv ház'!G113+'6.2 HH'!G113+'6.3 könyvtár'!G113+'6.4 sportcsarnok'!G113+'6.5 pályázat_1'!G113</f>
        <v>0</v>
      </c>
      <c r="H113" s="246">
        <f>'6.1 műv ház'!H113+'6.2 HH'!H113+'6.3 könyvtár'!H113+'6.4 sportcsarnok'!H113+'6.5 pályázat_1'!H113</f>
        <v>1138000</v>
      </c>
      <c r="I113" s="246">
        <f>'6.1 műv ház'!I113+'6.2 HH'!I113+'6.3 könyvtár'!I113+'6.4 sportcsarnok'!I113+'6.5 pályázat_1'!I113</f>
        <v>418000</v>
      </c>
      <c r="J113" s="246">
        <f>'6.1 műv ház'!J113+'6.2 HH'!J113+'6.3 könyvtár'!J113+'6.4 sportcsarnok'!J113+'6.5 pályázat_1'!J113</f>
        <v>0</v>
      </c>
      <c r="K113" s="246">
        <f>'6.1 műv ház'!K113+'6.2 HH'!K113+'6.3 könyvtár'!K113+'6.4 sportcsarnok'!K113+'6.5 pályázat_1'!K113</f>
        <v>418000</v>
      </c>
      <c r="L113" s="246">
        <f>'6.1 műv ház'!L113+'6.2 HH'!L113+'6.3 könyvtár'!L113+'6.4 sportcsarnok'!L113+'6.5 pályázat_1'!L113</f>
        <v>402178</v>
      </c>
      <c r="M113" s="246">
        <f>'6.1 műv ház'!M113+'6.2 HH'!M113+'6.3 könyvtár'!M113+'6.4 sportcsarnok'!M113+'6.5 pályázat_1'!M113</f>
        <v>0</v>
      </c>
      <c r="N113" s="246">
        <f>'6.1 műv ház'!N113+'6.2 HH'!N113+'6.3 könyvtár'!N113+'6.4 sportcsarnok'!N113+'6.5 pályázat_1'!N113</f>
        <v>402178</v>
      </c>
    </row>
    <row r="114" spans="1:14" x14ac:dyDescent="0.25">
      <c r="A114" s="61" t="s">
        <v>203</v>
      </c>
      <c r="B114" s="62" t="s">
        <v>204</v>
      </c>
      <c r="C114" s="246">
        <f>'6.1 műv ház'!C114+'6.2 HH'!C114+'6.3 könyvtár'!C114+'6.4 sportcsarnok'!C114+'6.5 pályázat_1'!C114</f>
        <v>27525205</v>
      </c>
      <c r="D114" s="246">
        <f>'6.1 műv ház'!D114+'6.2 HH'!D114+'6.3 könyvtár'!D114+'6.4 sportcsarnok'!D114+'6.5 pályázat_1'!D114</f>
        <v>0</v>
      </c>
      <c r="E114" s="246">
        <f>'6.1 műv ház'!E114+'6.2 HH'!E114+'6.3 könyvtár'!E114+'6.4 sportcsarnok'!E114+'6.5 pályázat_1'!E114</f>
        <v>27525205</v>
      </c>
      <c r="F114" s="246">
        <f>'6.1 műv ház'!F114+'6.2 HH'!F114+'6.3 könyvtár'!F114+'6.4 sportcsarnok'!F114+'6.5 pályázat_1'!F114</f>
        <v>40248563</v>
      </c>
      <c r="G114" s="246">
        <f>'6.1 műv ház'!G114+'6.2 HH'!G114+'6.3 könyvtár'!G114+'6.4 sportcsarnok'!G114+'6.5 pályázat_1'!G114</f>
        <v>0</v>
      </c>
      <c r="H114" s="246">
        <f>'6.1 műv ház'!H114+'6.2 HH'!H114+'6.3 könyvtár'!H114+'6.4 sportcsarnok'!H114+'6.5 pályázat_1'!H114</f>
        <v>40248563</v>
      </c>
      <c r="I114" s="246">
        <f>'6.1 műv ház'!I114+'6.2 HH'!I114+'6.3 könyvtár'!I114+'6.4 sportcsarnok'!I114+'6.5 pályázat_1'!I114</f>
        <v>40318667</v>
      </c>
      <c r="J114" s="246">
        <f>'6.1 műv ház'!J114+'6.2 HH'!J114+'6.3 könyvtár'!J114+'6.4 sportcsarnok'!J114+'6.5 pályázat_1'!J114</f>
        <v>0</v>
      </c>
      <c r="K114" s="246">
        <f>'6.1 műv ház'!K114+'6.2 HH'!K114+'6.3 könyvtár'!K114+'6.4 sportcsarnok'!K114+'6.5 pályázat_1'!K114</f>
        <v>40318667</v>
      </c>
      <c r="L114" s="246">
        <f>'6.1 műv ház'!L114+'6.2 HH'!L114+'6.3 könyvtár'!L114+'6.4 sportcsarnok'!L114+'6.5 pályázat_1'!L114</f>
        <v>38327095</v>
      </c>
      <c r="M114" s="246">
        <f>'6.1 műv ház'!M114+'6.2 HH'!M114+'6.3 könyvtár'!M114+'6.4 sportcsarnok'!M114+'6.5 pályázat_1'!M114</f>
        <v>0</v>
      </c>
      <c r="N114" s="246">
        <f>'6.1 műv ház'!N114+'6.2 HH'!N114+'6.3 könyvtár'!N114+'6.4 sportcsarnok'!N114+'6.5 pályázat_1'!N114</f>
        <v>38327095</v>
      </c>
    </row>
    <row r="115" spans="1:14" x14ac:dyDescent="0.25">
      <c r="A115" s="61" t="s">
        <v>205</v>
      </c>
      <c r="B115" s="62" t="s">
        <v>206</v>
      </c>
      <c r="C115" s="246">
        <f>'6.1 műv ház'!C115+'6.2 HH'!C115+'6.3 könyvtár'!C115+'6.4 sportcsarnok'!C115+'6.5 pályázat_1'!C115</f>
        <v>10133000</v>
      </c>
      <c r="D115" s="246">
        <f>'6.1 műv ház'!D115+'6.2 HH'!D115+'6.3 könyvtár'!D115+'6.4 sportcsarnok'!D115+'6.5 pályázat_1'!D115</f>
        <v>0</v>
      </c>
      <c r="E115" s="246">
        <f>'6.1 műv ház'!E115+'6.2 HH'!E115+'6.3 könyvtár'!E115+'6.4 sportcsarnok'!E115+'6.5 pályázat_1'!E115</f>
        <v>10133000</v>
      </c>
      <c r="F115" s="246">
        <f>'6.1 műv ház'!F115+'6.2 HH'!F115+'6.3 könyvtár'!F115+'6.4 sportcsarnok'!F115+'6.5 pályázat_1'!F115</f>
        <v>10133000</v>
      </c>
      <c r="G115" s="246">
        <f>'6.1 műv ház'!G115+'6.2 HH'!G115+'6.3 könyvtár'!G115+'6.4 sportcsarnok'!G115+'6.5 pályázat_1'!G115</f>
        <v>0</v>
      </c>
      <c r="H115" s="246">
        <f>'6.1 műv ház'!H115+'6.2 HH'!H115+'6.3 könyvtár'!H115+'6.4 sportcsarnok'!H115+'6.5 pályázat_1'!H115</f>
        <v>10133000</v>
      </c>
      <c r="I115" s="246">
        <f>'6.1 műv ház'!I115+'6.2 HH'!I115+'6.3 könyvtár'!I115+'6.4 sportcsarnok'!I115+'6.5 pályázat_1'!I115</f>
        <v>10260368</v>
      </c>
      <c r="J115" s="246">
        <f>'6.1 műv ház'!J115+'6.2 HH'!J115+'6.3 könyvtár'!J115+'6.4 sportcsarnok'!J115+'6.5 pályázat_1'!J115</f>
        <v>0</v>
      </c>
      <c r="K115" s="246">
        <f>'6.1 műv ház'!K115+'6.2 HH'!K115+'6.3 könyvtár'!K115+'6.4 sportcsarnok'!K115+'6.5 pályázat_1'!K115</f>
        <v>10260368</v>
      </c>
      <c r="L115" s="246">
        <f>'6.1 műv ház'!L115+'6.2 HH'!L115+'6.3 könyvtár'!L115+'6.4 sportcsarnok'!L115+'6.5 pályázat_1'!L115</f>
        <v>9139903</v>
      </c>
      <c r="M115" s="246">
        <f>'6.1 műv ház'!M115+'6.2 HH'!M115+'6.3 könyvtár'!M115+'6.4 sportcsarnok'!M115+'6.5 pályázat_1'!M115</f>
        <v>0</v>
      </c>
      <c r="N115" s="246">
        <f>'6.1 műv ház'!N115+'6.2 HH'!N115+'6.3 könyvtár'!N115+'6.4 sportcsarnok'!N115+'6.5 pályázat_1'!N115</f>
        <v>9139903</v>
      </c>
    </row>
    <row r="116" spans="1:14" x14ac:dyDescent="0.25">
      <c r="A116" s="61" t="s">
        <v>207</v>
      </c>
      <c r="B116" s="62" t="s">
        <v>208</v>
      </c>
      <c r="C116" s="246">
        <f>'6.1 műv ház'!C116+'6.2 HH'!C116+'6.3 könyvtár'!C116+'6.4 sportcsarnok'!C116+'6.5 pályázat_1'!C116</f>
        <v>0</v>
      </c>
      <c r="D116" s="246">
        <f>'6.1 műv ház'!D116+'6.2 HH'!D116+'6.3 könyvtár'!D116+'6.4 sportcsarnok'!D116+'6.5 pályázat_1'!D116</f>
        <v>0</v>
      </c>
      <c r="E116" s="246">
        <f>'6.1 műv ház'!E116+'6.2 HH'!E116+'6.3 könyvtár'!E116+'6.4 sportcsarnok'!E116+'6.5 pályázat_1'!E116</f>
        <v>0</v>
      </c>
      <c r="F116" s="246">
        <f>'6.1 műv ház'!F116+'6.2 HH'!F116+'6.3 könyvtár'!F116+'6.4 sportcsarnok'!F116+'6.5 pályázat_1'!F116</f>
        <v>0</v>
      </c>
      <c r="G116" s="246">
        <f>'6.1 műv ház'!G116+'6.2 HH'!G116+'6.3 könyvtár'!G116+'6.4 sportcsarnok'!G116+'6.5 pályázat_1'!G116</f>
        <v>0</v>
      </c>
      <c r="H116" s="246">
        <f>'6.1 műv ház'!H116+'6.2 HH'!H116+'6.3 könyvtár'!H116+'6.4 sportcsarnok'!H116+'6.5 pályázat_1'!H116</f>
        <v>0</v>
      </c>
      <c r="I116" s="246">
        <f>'6.1 műv ház'!I116+'6.2 HH'!I116+'6.3 könyvtár'!I116+'6.4 sportcsarnok'!I116+'6.5 pályázat_1'!I116</f>
        <v>0</v>
      </c>
      <c r="J116" s="246">
        <f>'6.1 műv ház'!J116+'6.2 HH'!J116+'6.3 könyvtár'!J116+'6.4 sportcsarnok'!J116+'6.5 pályázat_1'!J116</f>
        <v>0</v>
      </c>
      <c r="K116" s="246">
        <f>'6.1 műv ház'!K116+'6.2 HH'!K116+'6.3 könyvtár'!K116+'6.4 sportcsarnok'!K116+'6.5 pályázat_1'!K116</f>
        <v>0</v>
      </c>
      <c r="L116" s="246">
        <f>'6.1 műv ház'!L116+'6.2 HH'!L116+'6.3 könyvtár'!L116+'6.4 sportcsarnok'!L116+'6.5 pályázat_1'!L116</f>
        <v>0</v>
      </c>
      <c r="M116" s="246">
        <f>'6.1 műv ház'!M116+'6.2 HH'!M116+'6.3 könyvtár'!M116+'6.4 sportcsarnok'!M116+'6.5 pályázat_1'!M116</f>
        <v>0</v>
      </c>
      <c r="N116" s="246">
        <f>'6.1 műv ház'!N116+'6.2 HH'!N116+'6.3 könyvtár'!N116+'6.4 sportcsarnok'!N116+'6.5 pályázat_1'!N116</f>
        <v>0</v>
      </c>
    </row>
    <row r="117" spans="1:14" x14ac:dyDescent="0.25">
      <c r="A117" s="61" t="s">
        <v>209</v>
      </c>
      <c r="B117" s="62" t="s">
        <v>210</v>
      </c>
      <c r="C117" s="246">
        <f>'6.1 műv ház'!C117+'6.2 HH'!C117+'6.3 könyvtár'!C117+'6.4 sportcsarnok'!C117+'6.5 pályázat_1'!C117</f>
        <v>60000</v>
      </c>
      <c r="D117" s="246">
        <f>'6.1 műv ház'!D117+'6.2 HH'!D117+'6.3 könyvtár'!D117+'6.4 sportcsarnok'!D117+'6.5 pályázat_1'!D117</f>
        <v>0</v>
      </c>
      <c r="E117" s="246">
        <f>'6.1 műv ház'!E117+'6.2 HH'!E117+'6.3 könyvtár'!E117+'6.4 sportcsarnok'!E117+'6.5 pályázat_1'!E117</f>
        <v>60000</v>
      </c>
      <c r="F117" s="246">
        <f>'6.1 műv ház'!F117+'6.2 HH'!F117+'6.3 könyvtár'!F117+'6.4 sportcsarnok'!F117+'6.5 pályázat_1'!F117</f>
        <v>2659000</v>
      </c>
      <c r="G117" s="246">
        <f>'6.1 műv ház'!G117+'6.2 HH'!G117+'6.3 könyvtár'!G117+'6.4 sportcsarnok'!G117+'6.5 pályázat_1'!G117</f>
        <v>0</v>
      </c>
      <c r="H117" s="246">
        <f>'6.1 műv ház'!H117+'6.2 HH'!H117+'6.3 könyvtár'!H117+'6.4 sportcsarnok'!H117+'6.5 pályázat_1'!H117</f>
        <v>2659000</v>
      </c>
      <c r="I117" s="246">
        <f>'6.1 műv ház'!I117+'6.2 HH'!I117+'6.3 könyvtár'!I117+'6.4 sportcsarnok'!I117+'6.5 pályázat_1'!I117</f>
        <v>3115194</v>
      </c>
      <c r="J117" s="246">
        <f>'6.1 műv ház'!J117+'6.2 HH'!J117+'6.3 könyvtár'!J117+'6.4 sportcsarnok'!J117+'6.5 pályázat_1'!J117</f>
        <v>0</v>
      </c>
      <c r="K117" s="246">
        <f>'6.1 műv ház'!K117+'6.2 HH'!K117+'6.3 könyvtár'!K117+'6.4 sportcsarnok'!K117+'6.5 pályázat_1'!K117</f>
        <v>3115194</v>
      </c>
      <c r="L117" s="246">
        <f>'6.1 műv ház'!L117+'6.2 HH'!L117+'6.3 könyvtár'!L117+'6.4 sportcsarnok'!L117+'6.5 pályázat_1'!L117</f>
        <v>3115194</v>
      </c>
      <c r="M117" s="246">
        <f>'6.1 műv ház'!M117+'6.2 HH'!M117+'6.3 könyvtár'!M117+'6.4 sportcsarnok'!M117+'6.5 pályázat_1'!M117</f>
        <v>0</v>
      </c>
      <c r="N117" s="246">
        <f>'6.1 műv ház'!N117+'6.2 HH'!N117+'6.3 könyvtár'!N117+'6.4 sportcsarnok'!N117+'6.5 pályázat_1'!N117</f>
        <v>3115194</v>
      </c>
    </row>
    <row r="118" spans="1:14" x14ac:dyDescent="0.25">
      <c r="A118" s="61" t="s">
        <v>211</v>
      </c>
      <c r="B118" s="62" t="s">
        <v>212</v>
      </c>
      <c r="C118" s="246">
        <f>'6.1 műv ház'!C118+'6.2 HH'!C118+'6.3 könyvtár'!C118+'6.4 sportcsarnok'!C118+'6.5 pályázat_1'!C118</f>
        <v>2436205</v>
      </c>
      <c r="D118" s="246">
        <f>'6.1 műv ház'!D118+'6.2 HH'!D118+'6.3 könyvtár'!D118+'6.4 sportcsarnok'!D118+'6.5 pályázat_1'!D118</f>
        <v>0</v>
      </c>
      <c r="E118" s="246">
        <f>'6.1 műv ház'!E118+'6.2 HH'!E118+'6.3 könyvtár'!E118+'6.4 sportcsarnok'!E118+'6.5 pályázat_1'!E118</f>
        <v>2436205</v>
      </c>
      <c r="F118" s="246">
        <f>'6.1 műv ház'!F118+'6.2 HH'!F118+'6.3 könyvtár'!F118+'6.4 sportcsarnok'!F118+'6.5 pályázat_1'!F118</f>
        <v>2436205</v>
      </c>
      <c r="G118" s="246">
        <f>'6.1 műv ház'!G118+'6.2 HH'!G118+'6.3 könyvtár'!G118+'6.4 sportcsarnok'!G118+'6.5 pályázat_1'!G118</f>
        <v>0</v>
      </c>
      <c r="H118" s="246">
        <f>'6.1 műv ház'!H118+'6.2 HH'!H118+'6.3 könyvtár'!H118+'6.4 sportcsarnok'!H118+'6.5 pályázat_1'!H118</f>
        <v>2436205</v>
      </c>
      <c r="I118" s="246">
        <f>'6.1 műv ház'!I118+'6.2 HH'!I118+'6.3 könyvtár'!I118+'6.4 sportcsarnok'!I118+'6.5 pályázat_1'!I118</f>
        <v>1848073</v>
      </c>
      <c r="J118" s="246">
        <f>'6.1 műv ház'!J118+'6.2 HH'!J118+'6.3 könyvtár'!J118+'6.4 sportcsarnok'!J118+'6.5 pályázat_1'!J118</f>
        <v>0</v>
      </c>
      <c r="K118" s="246">
        <f>'6.1 műv ház'!K118+'6.2 HH'!K118+'6.3 könyvtár'!K118+'6.4 sportcsarnok'!K118+'6.5 pályázat_1'!K118</f>
        <v>1848073</v>
      </c>
      <c r="L118" s="246">
        <f>'6.1 műv ház'!L118+'6.2 HH'!L118+'6.3 könyvtár'!L118+'6.4 sportcsarnok'!L118+'6.5 pályázat_1'!L118</f>
        <v>1820236</v>
      </c>
      <c r="M118" s="246">
        <f>'6.1 műv ház'!M118+'6.2 HH'!M118+'6.3 könyvtár'!M118+'6.4 sportcsarnok'!M118+'6.5 pályázat_1'!M118</f>
        <v>0</v>
      </c>
      <c r="N118" s="246">
        <f>'6.1 műv ház'!N118+'6.2 HH'!N118+'6.3 könyvtár'!N118+'6.4 sportcsarnok'!N118+'6.5 pályázat_1'!N118</f>
        <v>1820236</v>
      </c>
    </row>
    <row r="119" spans="1:14" x14ac:dyDescent="0.25">
      <c r="A119" s="61" t="s">
        <v>213</v>
      </c>
      <c r="B119" s="62" t="s">
        <v>214</v>
      </c>
      <c r="C119" s="246">
        <f>'6.1 műv ház'!C119+'6.2 HH'!C119+'6.3 könyvtár'!C119+'6.4 sportcsarnok'!C119+'6.5 pályázat_1'!C119</f>
        <v>0</v>
      </c>
      <c r="D119" s="246">
        <f>'6.1 műv ház'!D119+'6.2 HH'!D119+'6.3 könyvtár'!D119+'6.4 sportcsarnok'!D119+'6.5 pályázat_1'!D119</f>
        <v>0</v>
      </c>
      <c r="E119" s="246">
        <f>'6.1 műv ház'!E119+'6.2 HH'!E119+'6.3 könyvtár'!E119+'6.4 sportcsarnok'!E119+'6.5 pályázat_1'!E119</f>
        <v>0</v>
      </c>
      <c r="F119" s="246">
        <f>'6.1 műv ház'!F119+'6.2 HH'!F119+'6.3 könyvtár'!F119+'6.4 sportcsarnok'!F119+'6.5 pályázat_1'!F119</f>
        <v>0</v>
      </c>
      <c r="G119" s="246">
        <f>'6.1 műv ház'!G119+'6.2 HH'!G119+'6.3 könyvtár'!G119+'6.4 sportcsarnok'!G119+'6.5 pályázat_1'!G119</f>
        <v>0</v>
      </c>
      <c r="H119" s="246">
        <f>'6.1 műv ház'!H119+'6.2 HH'!H119+'6.3 könyvtár'!H119+'6.4 sportcsarnok'!H119+'6.5 pályázat_1'!H119</f>
        <v>0</v>
      </c>
      <c r="I119" s="246">
        <f>'6.1 műv ház'!I119+'6.2 HH'!I119+'6.3 könyvtár'!I119+'6.4 sportcsarnok'!I119+'6.5 pályázat_1'!I119</f>
        <v>0</v>
      </c>
      <c r="J119" s="246">
        <f>'6.1 műv ház'!J119+'6.2 HH'!J119+'6.3 könyvtár'!J119+'6.4 sportcsarnok'!J119+'6.5 pályázat_1'!J119</f>
        <v>0</v>
      </c>
      <c r="K119" s="246">
        <f>'6.1 műv ház'!K119+'6.2 HH'!K119+'6.3 könyvtár'!K119+'6.4 sportcsarnok'!K119+'6.5 pályázat_1'!K119</f>
        <v>0</v>
      </c>
      <c r="L119" s="246">
        <f>'6.1 műv ház'!L119+'6.2 HH'!L119+'6.3 könyvtár'!L119+'6.4 sportcsarnok'!L119+'6.5 pályázat_1'!L119</f>
        <v>0</v>
      </c>
      <c r="M119" s="246">
        <f>'6.1 műv ház'!M119+'6.2 HH'!M119+'6.3 könyvtár'!M119+'6.4 sportcsarnok'!M119+'6.5 pályázat_1'!M119</f>
        <v>0</v>
      </c>
      <c r="N119" s="246">
        <f>'6.1 műv ház'!N119+'6.2 HH'!N119+'6.3 könyvtár'!N119+'6.4 sportcsarnok'!N119+'6.5 pályázat_1'!N119</f>
        <v>0</v>
      </c>
    </row>
    <row r="120" spans="1:14" x14ac:dyDescent="0.25">
      <c r="A120" s="61" t="s">
        <v>215</v>
      </c>
      <c r="B120" s="62" t="s">
        <v>216</v>
      </c>
      <c r="C120" s="246">
        <f>'6.1 műv ház'!C120+'6.2 HH'!C120+'6.3 könyvtár'!C120+'6.4 sportcsarnok'!C120+'6.5 pályázat_1'!C120</f>
        <v>1970000</v>
      </c>
      <c r="D120" s="246">
        <f>'6.1 műv ház'!D120+'6.2 HH'!D120+'6.3 könyvtár'!D120+'6.4 sportcsarnok'!D120+'6.5 pályázat_1'!D120</f>
        <v>0</v>
      </c>
      <c r="E120" s="246">
        <f>'6.1 műv ház'!E120+'6.2 HH'!E120+'6.3 könyvtár'!E120+'6.4 sportcsarnok'!E120+'6.5 pályázat_1'!E120</f>
        <v>1970000</v>
      </c>
      <c r="F120" s="246">
        <f>'6.1 műv ház'!F120+'6.2 HH'!F120+'6.3 könyvtár'!F120+'6.4 sportcsarnok'!F120+'6.5 pályázat_1'!F120</f>
        <v>1970000</v>
      </c>
      <c r="G120" s="246">
        <f>'6.1 műv ház'!G120+'6.2 HH'!G120+'6.3 könyvtár'!G120+'6.4 sportcsarnok'!G120+'6.5 pályázat_1'!G120</f>
        <v>0</v>
      </c>
      <c r="H120" s="246">
        <f>'6.1 műv ház'!H120+'6.2 HH'!H120+'6.3 könyvtár'!H120+'6.4 sportcsarnok'!H120+'6.5 pályázat_1'!H120</f>
        <v>1970000</v>
      </c>
      <c r="I120" s="246">
        <f>'6.1 műv ház'!I120+'6.2 HH'!I120+'6.3 könyvtár'!I120+'6.4 sportcsarnok'!I120+'6.5 pályázat_1'!I120</f>
        <v>2205000</v>
      </c>
      <c r="J120" s="246">
        <f>'6.1 műv ház'!J120+'6.2 HH'!J120+'6.3 könyvtár'!J120+'6.4 sportcsarnok'!J120+'6.5 pályázat_1'!J120</f>
        <v>0</v>
      </c>
      <c r="K120" s="246">
        <f>'6.1 műv ház'!K120+'6.2 HH'!K120+'6.3 könyvtár'!K120+'6.4 sportcsarnok'!K120+'6.5 pályázat_1'!K120</f>
        <v>2205000</v>
      </c>
      <c r="L120" s="246">
        <f>'6.1 műv ház'!L120+'6.2 HH'!L120+'6.3 könyvtár'!L120+'6.4 sportcsarnok'!L120+'6.5 pályázat_1'!L120</f>
        <v>2045000</v>
      </c>
      <c r="M120" s="246">
        <f>'6.1 műv ház'!M120+'6.2 HH'!M120+'6.3 könyvtár'!M120+'6.4 sportcsarnok'!M120+'6.5 pályázat_1'!M120</f>
        <v>0</v>
      </c>
      <c r="N120" s="246">
        <f>'6.1 műv ház'!N120+'6.2 HH'!N120+'6.3 könyvtár'!N120+'6.4 sportcsarnok'!N120+'6.5 pályázat_1'!N120</f>
        <v>2045000</v>
      </c>
    </row>
    <row r="121" spans="1:14" x14ac:dyDescent="0.25">
      <c r="A121" s="61" t="s">
        <v>217</v>
      </c>
      <c r="B121" s="62" t="s">
        <v>218</v>
      </c>
      <c r="C121" s="246">
        <f>'6.1 műv ház'!C121+'6.2 HH'!C121+'6.3 könyvtár'!C121+'6.4 sportcsarnok'!C121+'6.5 pályázat_1'!C121</f>
        <v>12926000</v>
      </c>
      <c r="D121" s="246">
        <f>'6.1 műv ház'!D121+'6.2 HH'!D121+'6.3 könyvtár'!D121+'6.4 sportcsarnok'!D121+'6.5 pályázat_1'!D121</f>
        <v>0</v>
      </c>
      <c r="E121" s="246">
        <f>'6.1 műv ház'!E121+'6.2 HH'!E121+'6.3 könyvtár'!E121+'6.4 sportcsarnok'!E121+'6.5 pályázat_1'!E121</f>
        <v>12926000</v>
      </c>
      <c r="F121" s="246">
        <f>'6.1 műv ház'!F121+'6.2 HH'!F121+'6.3 könyvtár'!F121+'6.4 sportcsarnok'!F121+'6.5 pályázat_1'!F121</f>
        <v>23050358</v>
      </c>
      <c r="G121" s="246">
        <f>'6.1 műv ház'!G121+'6.2 HH'!G121+'6.3 könyvtár'!G121+'6.4 sportcsarnok'!G121+'6.5 pályázat_1'!G121</f>
        <v>0</v>
      </c>
      <c r="H121" s="246">
        <f>'6.1 műv ház'!H121+'6.2 HH'!H121+'6.3 könyvtár'!H121+'6.4 sportcsarnok'!H121+'6.5 pályázat_1'!H121</f>
        <v>23050358</v>
      </c>
      <c r="I121" s="246">
        <f>'6.1 műv ház'!I121+'6.2 HH'!I121+'6.3 könyvtár'!I121+'6.4 sportcsarnok'!I121+'6.5 pályázat_1'!I121</f>
        <v>22890032</v>
      </c>
      <c r="J121" s="246">
        <f>'6.1 műv ház'!J121+'6.2 HH'!J121+'6.3 könyvtár'!J121+'6.4 sportcsarnok'!J121+'6.5 pályázat_1'!J121</f>
        <v>0</v>
      </c>
      <c r="K121" s="246">
        <f>'6.1 műv ház'!K121+'6.2 HH'!K121+'6.3 könyvtár'!K121+'6.4 sportcsarnok'!K121+'6.5 pályázat_1'!K121</f>
        <v>22890032</v>
      </c>
      <c r="L121" s="246">
        <f>'6.1 műv ház'!L121+'6.2 HH'!L121+'6.3 könyvtár'!L121+'6.4 sportcsarnok'!L121+'6.5 pályázat_1'!L121</f>
        <v>22206762</v>
      </c>
      <c r="M121" s="246">
        <f>'6.1 műv ház'!M121+'6.2 HH'!M121+'6.3 könyvtár'!M121+'6.4 sportcsarnok'!M121+'6.5 pályázat_1'!M121</f>
        <v>0</v>
      </c>
      <c r="N121" s="246">
        <f>'6.1 műv ház'!N121+'6.2 HH'!N121+'6.3 könyvtár'!N121+'6.4 sportcsarnok'!N121+'6.5 pályázat_1'!N121</f>
        <v>22206762</v>
      </c>
    </row>
    <row r="122" spans="1:14" x14ac:dyDescent="0.25">
      <c r="A122" s="61" t="s">
        <v>219</v>
      </c>
      <c r="B122" s="62" t="s">
        <v>220</v>
      </c>
      <c r="C122" s="246">
        <f>'6.1 műv ház'!C122+'6.2 HH'!C122+'6.3 könyvtár'!C122+'6.4 sportcsarnok'!C122+'6.5 pályázat_1'!C122</f>
        <v>65000</v>
      </c>
      <c r="D122" s="246">
        <f>'6.1 műv ház'!D122+'6.2 HH'!D122+'6.3 könyvtár'!D122+'6.4 sportcsarnok'!D122+'6.5 pályázat_1'!D122</f>
        <v>0</v>
      </c>
      <c r="E122" s="246">
        <f>'6.1 műv ház'!E122+'6.2 HH'!E122+'6.3 könyvtár'!E122+'6.4 sportcsarnok'!E122+'6.5 pályázat_1'!E122</f>
        <v>65000</v>
      </c>
      <c r="F122" s="246">
        <f>'6.1 műv ház'!F122+'6.2 HH'!F122+'6.3 könyvtár'!F122+'6.4 sportcsarnok'!F122+'6.5 pályázat_1'!F122</f>
        <v>529952</v>
      </c>
      <c r="G122" s="246">
        <f>'6.1 műv ház'!G122+'6.2 HH'!G122+'6.3 könyvtár'!G122+'6.4 sportcsarnok'!G122+'6.5 pályázat_1'!G122</f>
        <v>0</v>
      </c>
      <c r="H122" s="246">
        <f>'6.1 műv ház'!H122+'6.2 HH'!H122+'6.3 könyvtár'!H122+'6.4 sportcsarnok'!H122+'6.5 pályázat_1'!H122</f>
        <v>529952</v>
      </c>
      <c r="I122" s="246">
        <f>'6.1 műv ház'!I122+'6.2 HH'!I122+'6.3 könyvtár'!I122+'6.4 sportcsarnok'!I122+'6.5 pályázat_1'!I122</f>
        <v>597277</v>
      </c>
      <c r="J122" s="246">
        <f>'6.1 műv ház'!J122+'6.2 HH'!J122+'6.3 könyvtár'!J122+'6.4 sportcsarnok'!J122+'6.5 pályázat_1'!J122</f>
        <v>0</v>
      </c>
      <c r="K122" s="246">
        <f>'6.1 műv ház'!K122+'6.2 HH'!K122+'6.3 könyvtár'!K122+'6.4 sportcsarnok'!K122+'6.5 pályázat_1'!K122</f>
        <v>597277</v>
      </c>
      <c r="L122" s="246">
        <f>'6.1 műv ház'!L122+'6.2 HH'!L122+'6.3 könyvtár'!L122+'6.4 sportcsarnok'!L122+'6.5 pályázat_1'!L122</f>
        <v>586642</v>
      </c>
      <c r="M122" s="246">
        <f>'6.1 műv ház'!M122+'6.2 HH'!M122+'6.3 könyvtár'!M122+'6.4 sportcsarnok'!M122+'6.5 pályázat_1'!M122</f>
        <v>0</v>
      </c>
      <c r="N122" s="246">
        <f>'6.1 műv ház'!N122+'6.2 HH'!N122+'6.3 könyvtár'!N122+'6.4 sportcsarnok'!N122+'6.5 pályázat_1'!N122</f>
        <v>586642</v>
      </c>
    </row>
    <row r="123" spans="1:14" x14ac:dyDescent="0.25">
      <c r="A123" s="61" t="s">
        <v>221</v>
      </c>
      <c r="B123" s="62" t="s">
        <v>222</v>
      </c>
      <c r="C123" s="246">
        <f>'6.1 műv ház'!C123+'6.2 HH'!C123+'6.3 könyvtár'!C123+'6.4 sportcsarnok'!C123+'6.5 pályázat_1'!C123</f>
        <v>8542405</v>
      </c>
      <c r="D123" s="246">
        <f>'6.1 műv ház'!D123+'6.2 HH'!D123+'6.3 könyvtár'!D123+'6.4 sportcsarnok'!D123+'6.5 pályázat_1'!D123</f>
        <v>0</v>
      </c>
      <c r="E123" s="246">
        <f>'6.1 műv ház'!E123+'6.2 HH'!E123+'6.3 könyvtár'!E123+'6.4 sportcsarnok'!E123+'6.5 pályázat_1'!E123</f>
        <v>8542405</v>
      </c>
      <c r="F123" s="246">
        <f>'6.1 műv ház'!F123+'6.2 HH'!F123+'6.3 könyvtár'!F123+'6.4 sportcsarnok'!F123+'6.5 pályázat_1'!F123</f>
        <v>11382557</v>
      </c>
      <c r="G123" s="246">
        <f>'6.1 műv ház'!G123+'6.2 HH'!G123+'6.3 könyvtár'!G123+'6.4 sportcsarnok'!G123+'6.5 pályázat_1'!G123</f>
        <v>0</v>
      </c>
      <c r="H123" s="246">
        <f>'6.1 műv ház'!H123+'6.2 HH'!H123+'6.3 könyvtár'!H123+'6.4 sportcsarnok'!H123+'6.5 pályázat_1'!H123</f>
        <v>11382557</v>
      </c>
      <c r="I123" s="246">
        <f>'6.1 műv ház'!I123+'6.2 HH'!I123+'6.3 könyvtár'!I123+'6.4 sportcsarnok'!I123+'6.5 pályázat_1'!I123</f>
        <v>10931605</v>
      </c>
      <c r="J123" s="246">
        <f>'6.1 műv ház'!J123+'6.2 HH'!J123+'6.3 könyvtár'!J123+'6.4 sportcsarnok'!J123+'6.5 pályázat_1'!J123</f>
        <v>0</v>
      </c>
      <c r="K123" s="246">
        <f>'6.1 műv ház'!K123+'6.2 HH'!K123+'6.3 könyvtár'!K123+'6.4 sportcsarnok'!K123+'6.5 pályázat_1'!K123</f>
        <v>10931605</v>
      </c>
      <c r="L123" s="246">
        <f>'6.1 műv ház'!L123+'6.2 HH'!L123+'6.3 könyvtár'!L123+'6.4 sportcsarnok'!L123+'6.5 pályázat_1'!L123</f>
        <v>9942092</v>
      </c>
      <c r="M123" s="246">
        <f>'6.1 műv ház'!M123+'6.2 HH'!M123+'6.3 könyvtár'!M123+'6.4 sportcsarnok'!M123+'6.5 pályázat_1'!M123</f>
        <v>0</v>
      </c>
      <c r="N123" s="246">
        <f>'6.1 műv ház'!N123+'6.2 HH'!N123+'6.3 könyvtár'!N123+'6.4 sportcsarnok'!N123+'6.5 pályázat_1'!N123</f>
        <v>9942092</v>
      </c>
    </row>
    <row r="124" spans="1:14" x14ac:dyDescent="0.25">
      <c r="A124" s="61"/>
      <c r="B124" s="62" t="s">
        <v>223</v>
      </c>
      <c r="C124" s="246">
        <f>'6.1 műv ház'!C124+'6.2 HH'!C124+'6.3 könyvtár'!C124+'6.4 sportcsarnok'!C124+'6.5 pályázat_1'!C124</f>
        <v>8132405</v>
      </c>
      <c r="D124" s="246">
        <f>'6.1 műv ház'!D124+'6.2 HH'!D124+'6.3 könyvtár'!D124+'6.4 sportcsarnok'!D124+'6.5 pályázat_1'!D124</f>
        <v>0</v>
      </c>
      <c r="E124" s="246">
        <f>'6.1 műv ház'!E124+'6.2 HH'!E124+'6.3 könyvtár'!E124+'6.4 sportcsarnok'!E124+'6.5 pályázat_1'!E124</f>
        <v>8132405</v>
      </c>
      <c r="F124" s="246">
        <f>'6.1 műv ház'!F124+'6.2 HH'!F124+'6.3 könyvtár'!F124+'6.4 sportcsarnok'!F124+'6.5 pályázat_1'!F124</f>
        <v>10972557</v>
      </c>
      <c r="G124" s="246">
        <f>'6.1 műv ház'!G124+'6.2 HH'!G124+'6.3 könyvtár'!G124+'6.4 sportcsarnok'!G124+'6.5 pályázat_1'!G124</f>
        <v>0</v>
      </c>
      <c r="H124" s="246">
        <f>'6.1 műv ház'!H124+'6.2 HH'!H124+'6.3 könyvtár'!H124+'6.4 sportcsarnok'!H124+'6.5 pályázat_1'!H124</f>
        <v>10972557</v>
      </c>
      <c r="I124" s="246">
        <f>'6.1 műv ház'!I124+'6.2 HH'!I124+'6.3 könyvtár'!I124+'6.4 sportcsarnok'!I124+'6.5 pályázat_1'!I124</f>
        <v>10621605</v>
      </c>
      <c r="J124" s="246">
        <f>'6.1 műv ház'!J124+'6.2 HH'!J124+'6.3 könyvtár'!J124+'6.4 sportcsarnok'!J124+'6.5 pályázat_1'!J124</f>
        <v>0</v>
      </c>
      <c r="K124" s="246">
        <f>'6.1 műv ház'!K124+'6.2 HH'!K124+'6.3 könyvtár'!K124+'6.4 sportcsarnok'!K124+'6.5 pályázat_1'!K124</f>
        <v>10621605</v>
      </c>
      <c r="L124" s="246">
        <f>'6.1 műv ház'!L124+'6.2 HH'!L124+'6.3 könyvtár'!L124+'6.4 sportcsarnok'!L124+'6.5 pályázat_1'!L124</f>
        <v>9646606</v>
      </c>
      <c r="M124" s="246">
        <f>'6.1 műv ház'!M124+'6.2 HH'!M124+'6.3 könyvtár'!M124+'6.4 sportcsarnok'!M124+'6.5 pályázat_1'!M124</f>
        <v>0</v>
      </c>
      <c r="N124" s="246">
        <f>'6.1 műv ház'!N124+'6.2 HH'!N124+'6.3 könyvtár'!N124+'6.4 sportcsarnok'!N124+'6.5 pályázat_1'!N124</f>
        <v>9646606</v>
      </c>
    </row>
    <row r="125" spans="1:14" x14ac:dyDescent="0.25">
      <c r="A125" s="63"/>
      <c r="B125" s="64" t="s">
        <v>224</v>
      </c>
      <c r="C125" s="246">
        <f>'6.1 műv ház'!C125+'6.2 HH'!C125+'6.3 könyvtár'!C125+'6.4 sportcsarnok'!C125+'6.5 pályázat_1'!C125</f>
        <v>0</v>
      </c>
      <c r="D125" s="246">
        <f>'6.1 műv ház'!D125+'6.2 HH'!D125+'6.3 könyvtár'!D125+'6.4 sportcsarnok'!D125+'6.5 pályázat_1'!D125</f>
        <v>0</v>
      </c>
      <c r="E125" s="246">
        <f>'6.1 műv ház'!E125+'6.2 HH'!E125+'6.3 könyvtár'!E125+'6.4 sportcsarnok'!E125+'6.5 pályázat_1'!E125</f>
        <v>0</v>
      </c>
      <c r="F125" s="246">
        <f>'6.1 műv ház'!F125+'6.2 HH'!F125+'6.3 könyvtár'!F125+'6.4 sportcsarnok'!F125+'6.5 pályázat_1'!F125</f>
        <v>0</v>
      </c>
      <c r="G125" s="246">
        <f>'6.1 műv ház'!G125+'6.2 HH'!G125+'6.3 könyvtár'!G125+'6.4 sportcsarnok'!G125+'6.5 pályázat_1'!G125</f>
        <v>0</v>
      </c>
      <c r="H125" s="246">
        <f>'6.1 műv ház'!H125+'6.2 HH'!H125+'6.3 könyvtár'!H125+'6.4 sportcsarnok'!H125+'6.5 pályázat_1'!H125</f>
        <v>0</v>
      </c>
      <c r="I125" s="246">
        <f>'6.1 műv ház'!I125+'6.2 HH'!I125+'6.3 könyvtár'!I125+'6.4 sportcsarnok'!I125+'6.5 pályázat_1'!I125</f>
        <v>0</v>
      </c>
      <c r="J125" s="246">
        <f>'6.1 műv ház'!J125+'6.2 HH'!J125+'6.3 könyvtár'!J125+'6.4 sportcsarnok'!J125+'6.5 pályázat_1'!J125</f>
        <v>0</v>
      </c>
      <c r="K125" s="246">
        <f>'6.1 műv ház'!K125+'6.2 HH'!K125+'6.3 könyvtár'!K125+'6.4 sportcsarnok'!K125+'6.5 pályázat_1'!K125</f>
        <v>0</v>
      </c>
      <c r="L125" s="246">
        <f>'6.1 műv ház'!L125+'6.2 HH'!L125+'6.3 könyvtár'!L125+'6.4 sportcsarnok'!L125+'6.5 pályázat_1'!L125</f>
        <v>0</v>
      </c>
      <c r="M125" s="246">
        <f>'6.1 műv ház'!M125+'6.2 HH'!M125+'6.3 könyvtár'!M125+'6.4 sportcsarnok'!M125+'6.5 pályázat_1'!M125</f>
        <v>0</v>
      </c>
      <c r="N125" s="246">
        <f>'6.1 műv ház'!N125+'6.2 HH'!N125+'6.3 könyvtár'!N125+'6.4 sportcsarnok'!N125+'6.5 pályázat_1'!N125</f>
        <v>0</v>
      </c>
    </row>
    <row r="126" spans="1:14" ht="15.75" thickBot="1" x14ac:dyDescent="0.3">
      <c r="A126" s="63" t="s">
        <v>225</v>
      </c>
      <c r="B126" s="64" t="s">
        <v>226</v>
      </c>
      <c r="C126" s="248">
        <f>'6.1 műv ház'!C126+'6.2 HH'!C126+'6.3 könyvtár'!C126+'6.4 sportcsarnok'!C126+'6.5 pályázat_1'!C126</f>
        <v>410000</v>
      </c>
      <c r="D126" s="248">
        <f>'6.1 műv ház'!D126+'6.2 HH'!D126+'6.3 könyvtár'!D126+'6.4 sportcsarnok'!D126+'6.5 pályázat_1'!D126</f>
        <v>0</v>
      </c>
      <c r="E126" s="248">
        <f>'6.1 műv ház'!E126+'6.2 HH'!E126+'6.3 könyvtár'!E126+'6.4 sportcsarnok'!E126+'6.5 pályázat_1'!E126</f>
        <v>410000</v>
      </c>
      <c r="F126" s="248">
        <f>'6.1 műv ház'!F126+'6.2 HH'!F126+'6.3 könyvtár'!F126+'6.4 sportcsarnok'!F126+'6.5 pályázat_1'!F126</f>
        <v>410000</v>
      </c>
      <c r="G126" s="248">
        <f>'6.1 műv ház'!G126+'6.2 HH'!G126+'6.3 könyvtár'!G126+'6.4 sportcsarnok'!G126+'6.5 pályázat_1'!G126</f>
        <v>0</v>
      </c>
      <c r="H126" s="248">
        <f>'6.1 műv ház'!H126+'6.2 HH'!H126+'6.3 könyvtár'!H126+'6.4 sportcsarnok'!H126+'6.5 pályázat_1'!H126</f>
        <v>410000</v>
      </c>
      <c r="I126" s="248">
        <f>'6.1 műv ház'!I126+'6.2 HH'!I126+'6.3 könyvtár'!I126+'6.4 sportcsarnok'!I126+'6.5 pályázat_1'!I126</f>
        <v>310000</v>
      </c>
      <c r="J126" s="248">
        <f>'6.1 műv ház'!J126+'6.2 HH'!J126+'6.3 könyvtár'!J126+'6.4 sportcsarnok'!J126+'6.5 pályázat_1'!J126</f>
        <v>0</v>
      </c>
      <c r="K126" s="248">
        <f>'6.1 műv ház'!K126+'6.2 HH'!K126+'6.3 könyvtár'!K126+'6.4 sportcsarnok'!K126+'6.5 pályázat_1'!K126</f>
        <v>310000</v>
      </c>
      <c r="L126" s="248">
        <f>'6.1 műv ház'!L126+'6.2 HH'!L126+'6.3 könyvtár'!L126+'6.4 sportcsarnok'!L126+'6.5 pályázat_1'!L126</f>
        <v>295486</v>
      </c>
      <c r="M126" s="248">
        <f>'6.1 műv ház'!M126+'6.2 HH'!M126+'6.3 könyvtár'!M126+'6.4 sportcsarnok'!M126+'6.5 pályázat_1'!M126</f>
        <v>0</v>
      </c>
      <c r="N126" s="248">
        <f>'6.1 műv ház'!N126+'6.2 HH'!N126+'6.3 könyvtár'!N126+'6.4 sportcsarnok'!N126+'6.5 pályázat_1'!N126</f>
        <v>295486</v>
      </c>
    </row>
    <row r="127" spans="1:14" ht="15.75" thickBot="1" x14ac:dyDescent="0.3">
      <c r="A127" s="65" t="s">
        <v>227</v>
      </c>
      <c r="B127" s="47" t="s">
        <v>36</v>
      </c>
      <c r="C127" s="250">
        <f>'6.1 műv ház'!C127+'6.2 HH'!C127+'6.3 könyvtár'!C127+'6.4 sportcsarnok'!C127+'6.5 pályázat_1'!C127</f>
        <v>0</v>
      </c>
      <c r="D127" s="250">
        <f>'6.1 műv ház'!D127+'6.2 HH'!D127+'6.3 könyvtár'!D127+'6.4 sportcsarnok'!D127+'6.5 pályázat_1'!D127</f>
        <v>0</v>
      </c>
      <c r="E127" s="250">
        <f>'6.1 műv ház'!E127+'6.2 HH'!E127+'6.3 könyvtár'!E127+'6.4 sportcsarnok'!E127+'6.5 pályázat_1'!E127</f>
        <v>0</v>
      </c>
      <c r="F127" s="250">
        <f>'6.1 műv ház'!F127+'6.2 HH'!F127+'6.3 könyvtár'!F127+'6.4 sportcsarnok'!F127+'6.5 pályázat_1'!F127</f>
        <v>0</v>
      </c>
      <c r="G127" s="250">
        <f>'6.1 műv ház'!G127+'6.2 HH'!G127+'6.3 könyvtár'!G127+'6.4 sportcsarnok'!G127+'6.5 pályázat_1'!G127</f>
        <v>0</v>
      </c>
      <c r="H127" s="250">
        <f>'6.1 műv ház'!H127+'6.2 HH'!H127+'6.3 könyvtár'!H127+'6.4 sportcsarnok'!H127+'6.5 pályázat_1'!H127</f>
        <v>0</v>
      </c>
      <c r="I127" s="250">
        <f>'6.1 műv ház'!I127+'6.2 HH'!I127+'6.3 könyvtár'!I127+'6.4 sportcsarnok'!I127+'6.5 pályázat_1'!I127</f>
        <v>0</v>
      </c>
      <c r="J127" s="250">
        <f>'6.1 műv ház'!J127+'6.2 HH'!J127+'6.3 könyvtár'!J127+'6.4 sportcsarnok'!J127+'6.5 pályázat_1'!J127</f>
        <v>0</v>
      </c>
      <c r="K127" s="250">
        <f>'6.1 műv ház'!K127+'6.2 HH'!K127+'6.3 könyvtár'!K127+'6.4 sportcsarnok'!K127+'6.5 pályázat_1'!K127</f>
        <v>0</v>
      </c>
      <c r="L127" s="250">
        <f>'6.1 műv ház'!L127+'6.2 HH'!L127+'6.3 könyvtár'!L127+'6.4 sportcsarnok'!L127+'6.5 pályázat_1'!L127</f>
        <v>0</v>
      </c>
      <c r="M127" s="250">
        <f>'6.1 műv ház'!M127+'6.2 HH'!M127+'6.3 könyvtár'!M127+'6.4 sportcsarnok'!M127+'6.5 pályázat_1'!M127</f>
        <v>0</v>
      </c>
      <c r="N127" s="250">
        <f>'6.1 műv ház'!N127+'6.2 HH'!N127+'6.3 könyvtár'!N127+'6.4 sportcsarnok'!N127+'6.5 pályázat_1'!N127</f>
        <v>0</v>
      </c>
    </row>
    <row r="128" spans="1:14" ht="15.75" thickBot="1" x14ac:dyDescent="0.3">
      <c r="A128" s="60" t="s">
        <v>228</v>
      </c>
      <c r="B128" s="48" t="s">
        <v>37</v>
      </c>
      <c r="C128" s="244">
        <f>'6.1 műv ház'!C128+'6.2 HH'!C128+'6.3 könyvtár'!C128+'6.4 sportcsarnok'!C128+'6.5 pályázat_1'!C128</f>
        <v>0</v>
      </c>
      <c r="D128" s="244">
        <f>'6.1 műv ház'!D128+'6.2 HH'!D128+'6.3 könyvtár'!D128+'6.4 sportcsarnok'!D128+'6.5 pályázat_1'!D128</f>
        <v>0</v>
      </c>
      <c r="E128" s="244">
        <f>'6.1 műv ház'!E128+'6.2 HH'!E128+'6.3 könyvtár'!E128+'6.4 sportcsarnok'!E128+'6.5 pályázat_1'!E128</f>
        <v>0</v>
      </c>
      <c r="F128" s="244">
        <f>'6.1 műv ház'!F128+'6.2 HH'!F128+'6.3 könyvtár'!F128+'6.4 sportcsarnok'!F128+'6.5 pályázat_1'!F128</f>
        <v>0</v>
      </c>
      <c r="G128" s="244">
        <f>'6.1 műv ház'!G128+'6.2 HH'!G128+'6.3 könyvtár'!G128+'6.4 sportcsarnok'!G128+'6.5 pályázat_1'!G128</f>
        <v>0</v>
      </c>
      <c r="H128" s="244">
        <f>'6.1 műv ház'!H128+'6.2 HH'!H128+'6.3 könyvtár'!H128+'6.4 sportcsarnok'!H128+'6.5 pályázat_1'!H128</f>
        <v>0</v>
      </c>
      <c r="I128" s="244">
        <f>'6.1 műv ház'!I128+'6.2 HH'!I128+'6.3 könyvtár'!I128+'6.4 sportcsarnok'!I128+'6.5 pályázat_1'!I128</f>
        <v>0</v>
      </c>
      <c r="J128" s="244">
        <f>'6.1 műv ház'!J128+'6.2 HH'!J128+'6.3 könyvtár'!J128+'6.4 sportcsarnok'!J128+'6.5 pályázat_1'!J128</f>
        <v>0</v>
      </c>
      <c r="K128" s="244">
        <f>'6.1 műv ház'!K128+'6.2 HH'!K128+'6.3 könyvtár'!K128+'6.4 sportcsarnok'!K128+'6.5 pályázat_1'!K128</f>
        <v>0</v>
      </c>
      <c r="L128" s="244">
        <f>'6.1 műv ház'!L128+'6.2 HH'!L128+'6.3 könyvtár'!L128+'6.4 sportcsarnok'!L128+'6.5 pályázat_1'!L128</f>
        <v>0</v>
      </c>
      <c r="M128" s="244">
        <f>'6.1 műv ház'!M128+'6.2 HH'!M128+'6.3 könyvtár'!M128+'6.4 sportcsarnok'!M128+'6.5 pályázat_1'!M128</f>
        <v>0</v>
      </c>
      <c r="N128" s="244">
        <f>'6.1 műv ház'!N128+'6.2 HH'!N128+'6.3 könyvtár'!N128+'6.4 sportcsarnok'!N128+'6.5 pályázat_1'!N128</f>
        <v>0</v>
      </c>
    </row>
    <row r="129" spans="1:14" ht="15.75" hidden="1" thickBot="1" x14ac:dyDescent="0.3">
      <c r="A129" s="61" t="s">
        <v>229</v>
      </c>
      <c r="B129" s="62" t="s">
        <v>230</v>
      </c>
      <c r="C129" s="246">
        <f>'6.1 műv ház'!C129+'6.2 HH'!C129+'6.3 könyvtár'!C129+'6.4 sportcsarnok'!C129+'6.5 pályázat_1'!C129</f>
        <v>0</v>
      </c>
      <c r="D129" s="246">
        <f>'6.1 műv ház'!D129+'6.2 HH'!D129+'6.3 könyvtár'!D129+'6.4 sportcsarnok'!D129+'6.5 pályázat_1'!D129</f>
        <v>0</v>
      </c>
      <c r="E129" s="246">
        <f>'6.1 műv ház'!E129+'6.2 HH'!E129+'6.3 könyvtár'!E129+'6.4 sportcsarnok'!E129+'6.5 pályázat_1'!E129</f>
        <v>0</v>
      </c>
      <c r="F129" s="246">
        <f>'6.1 műv ház'!F129+'6.2 HH'!F129+'6.3 könyvtár'!F129+'6.4 sportcsarnok'!F129+'6.5 pályázat_1'!F129</f>
        <v>0</v>
      </c>
      <c r="G129" s="246">
        <f>'6.1 műv ház'!G129+'6.2 HH'!G129+'6.3 könyvtár'!G129+'6.4 sportcsarnok'!G129+'6.5 pályázat_1'!G129</f>
        <v>0</v>
      </c>
      <c r="H129" s="246">
        <f>'6.1 műv ház'!H129+'6.2 HH'!H129+'6.3 könyvtár'!H129+'6.4 sportcsarnok'!H129+'6.5 pályázat_1'!H129</f>
        <v>0</v>
      </c>
      <c r="I129" s="246">
        <f>'6.1 műv ház'!I129+'6.2 HH'!I129+'6.3 könyvtár'!I129+'6.4 sportcsarnok'!I129+'6.5 pályázat_1'!I129</f>
        <v>0</v>
      </c>
      <c r="J129" s="246">
        <f>'6.1 műv ház'!J129+'6.2 HH'!J129+'6.3 könyvtár'!J129+'6.4 sportcsarnok'!J129+'6.5 pályázat_1'!J129</f>
        <v>0</v>
      </c>
      <c r="K129" s="246">
        <f>'6.1 műv ház'!K129+'6.2 HH'!K129+'6.3 könyvtár'!K129+'6.4 sportcsarnok'!K129+'6.5 pályázat_1'!K129</f>
        <v>0</v>
      </c>
      <c r="L129" s="246">
        <f>'6.1 műv ház'!L129+'6.2 HH'!L129+'6.3 könyvtár'!L129+'6.4 sportcsarnok'!L129+'6.5 pályázat_1'!L129</f>
        <v>0</v>
      </c>
      <c r="M129" s="246">
        <f>'6.1 műv ház'!M129+'6.2 HH'!M129+'6.3 könyvtár'!M129+'6.4 sportcsarnok'!M129+'6.5 pályázat_1'!M129</f>
        <v>0</v>
      </c>
      <c r="N129" s="246">
        <f>'6.1 műv ház'!N129+'6.2 HH'!N129+'6.3 könyvtár'!N129+'6.4 sportcsarnok'!N129+'6.5 pályázat_1'!N129</f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>
        <f>'6.1 műv ház'!C130+'6.2 HH'!C130+'6.3 könyvtár'!C130+'6.4 sportcsarnok'!C130+'6.5 pályázat_1'!C130</f>
        <v>0</v>
      </c>
      <c r="D130" s="246">
        <f>'6.1 műv ház'!D130+'6.2 HH'!D130+'6.3 könyvtár'!D130+'6.4 sportcsarnok'!D130+'6.5 pályázat_1'!D130</f>
        <v>0</v>
      </c>
      <c r="E130" s="246">
        <f>'6.1 műv ház'!E130+'6.2 HH'!E130+'6.3 könyvtár'!E130+'6.4 sportcsarnok'!E130+'6.5 pályázat_1'!E130</f>
        <v>0</v>
      </c>
      <c r="F130" s="246">
        <f>'6.1 műv ház'!F130+'6.2 HH'!F130+'6.3 könyvtár'!F130+'6.4 sportcsarnok'!F130+'6.5 pályázat_1'!F130</f>
        <v>0</v>
      </c>
      <c r="G130" s="246">
        <f>'6.1 műv ház'!G130+'6.2 HH'!G130+'6.3 könyvtár'!G130+'6.4 sportcsarnok'!G130+'6.5 pályázat_1'!G130</f>
        <v>0</v>
      </c>
      <c r="H130" s="246">
        <f>'6.1 műv ház'!H130+'6.2 HH'!H130+'6.3 könyvtár'!H130+'6.4 sportcsarnok'!H130+'6.5 pályázat_1'!H130</f>
        <v>0</v>
      </c>
      <c r="I130" s="246">
        <f>'6.1 műv ház'!I130+'6.2 HH'!I130+'6.3 könyvtár'!I130+'6.4 sportcsarnok'!I130+'6.5 pályázat_1'!I130</f>
        <v>0</v>
      </c>
      <c r="J130" s="246">
        <f>'6.1 műv ház'!J130+'6.2 HH'!J130+'6.3 könyvtár'!J130+'6.4 sportcsarnok'!J130+'6.5 pályázat_1'!J130</f>
        <v>0</v>
      </c>
      <c r="K130" s="246">
        <f>'6.1 műv ház'!K130+'6.2 HH'!K130+'6.3 könyvtár'!K130+'6.4 sportcsarnok'!K130+'6.5 pályázat_1'!K130</f>
        <v>0</v>
      </c>
      <c r="L130" s="246">
        <f>'6.1 műv ház'!L130+'6.2 HH'!L130+'6.3 könyvtár'!L130+'6.4 sportcsarnok'!L130+'6.5 pályázat_1'!L130</f>
        <v>0</v>
      </c>
      <c r="M130" s="246">
        <f>'6.1 műv ház'!M130+'6.2 HH'!M130+'6.3 könyvtár'!M130+'6.4 sportcsarnok'!M130+'6.5 pályázat_1'!M130</f>
        <v>0</v>
      </c>
      <c r="N130" s="246">
        <f>'6.1 műv ház'!N130+'6.2 HH'!N130+'6.3 könyvtár'!N130+'6.4 sportcsarnok'!N130+'6.5 pályázat_1'!N130</f>
        <v>0</v>
      </c>
    </row>
    <row r="131" spans="1:14" ht="15.75" hidden="1" thickBot="1" x14ac:dyDescent="0.3">
      <c r="A131" s="61" t="s">
        <v>231</v>
      </c>
      <c r="B131" s="62" t="s">
        <v>232</v>
      </c>
      <c r="C131" s="246">
        <f>'6.1 műv ház'!C131+'6.2 HH'!C131+'6.3 könyvtár'!C131+'6.4 sportcsarnok'!C131+'6.5 pályázat_1'!C131</f>
        <v>0</v>
      </c>
      <c r="D131" s="246">
        <f>'6.1 műv ház'!D131+'6.2 HH'!D131+'6.3 könyvtár'!D131+'6.4 sportcsarnok'!D131+'6.5 pályázat_1'!D131</f>
        <v>0</v>
      </c>
      <c r="E131" s="246">
        <f>'6.1 műv ház'!E131+'6.2 HH'!E131+'6.3 könyvtár'!E131+'6.4 sportcsarnok'!E131+'6.5 pályázat_1'!E131</f>
        <v>0</v>
      </c>
      <c r="F131" s="246">
        <f>'6.1 műv ház'!F131+'6.2 HH'!F131+'6.3 könyvtár'!F131+'6.4 sportcsarnok'!F131+'6.5 pályázat_1'!F131</f>
        <v>0</v>
      </c>
      <c r="G131" s="246">
        <f>'6.1 műv ház'!G131+'6.2 HH'!G131+'6.3 könyvtár'!G131+'6.4 sportcsarnok'!G131+'6.5 pályázat_1'!G131</f>
        <v>0</v>
      </c>
      <c r="H131" s="246">
        <f>'6.1 műv ház'!H131+'6.2 HH'!H131+'6.3 könyvtár'!H131+'6.4 sportcsarnok'!H131+'6.5 pályázat_1'!H131</f>
        <v>0</v>
      </c>
      <c r="I131" s="246">
        <f>'6.1 műv ház'!I131+'6.2 HH'!I131+'6.3 könyvtár'!I131+'6.4 sportcsarnok'!I131+'6.5 pályázat_1'!I131</f>
        <v>0</v>
      </c>
      <c r="J131" s="246">
        <f>'6.1 műv ház'!J131+'6.2 HH'!J131+'6.3 könyvtár'!J131+'6.4 sportcsarnok'!J131+'6.5 pályázat_1'!J131</f>
        <v>0</v>
      </c>
      <c r="K131" s="246">
        <f>'6.1 műv ház'!K131+'6.2 HH'!K131+'6.3 könyvtár'!K131+'6.4 sportcsarnok'!K131+'6.5 pályázat_1'!K131</f>
        <v>0</v>
      </c>
      <c r="L131" s="246">
        <f>'6.1 műv ház'!L131+'6.2 HH'!L131+'6.3 könyvtár'!L131+'6.4 sportcsarnok'!L131+'6.5 pályázat_1'!L131</f>
        <v>0</v>
      </c>
      <c r="M131" s="246">
        <f>'6.1 műv ház'!M131+'6.2 HH'!M131+'6.3 könyvtár'!M131+'6.4 sportcsarnok'!M131+'6.5 pályázat_1'!M131</f>
        <v>0</v>
      </c>
      <c r="N131" s="246">
        <f>'6.1 műv ház'!N131+'6.2 HH'!N131+'6.3 könyvtár'!N131+'6.4 sportcsarnok'!N131+'6.5 pályázat_1'!N131</f>
        <v>0</v>
      </c>
    </row>
    <row r="132" spans="1:14" ht="15.75" hidden="1" thickBot="1" x14ac:dyDescent="0.3">
      <c r="A132" s="61" t="s">
        <v>233</v>
      </c>
      <c r="B132" s="62" t="s">
        <v>234</v>
      </c>
      <c r="C132" s="246">
        <f>'6.1 műv ház'!C132+'6.2 HH'!C132+'6.3 könyvtár'!C132+'6.4 sportcsarnok'!C132+'6.5 pályázat_1'!C132</f>
        <v>0</v>
      </c>
      <c r="D132" s="246">
        <f>'6.1 műv ház'!D132+'6.2 HH'!D132+'6.3 könyvtár'!D132+'6.4 sportcsarnok'!D132+'6.5 pályázat_1'!D132</f>
        <v>0</v>
      </c>
      <c r="E132" s="246">
        <f>'6.1 műv ház'!E132+'6.2 HH'!E132+'6.3 könyvtár'!E132+'6.4 sportcsarnok'!E132+'6.5 pályázat_1'!E132</f>
        <v>0</v>
      </c>
      <c r="F132" s="246">
        <f>'6.1 műv ház'!F132+'6.2 HH'!F132+'6.3 könyvtár'!F132+'6.4 sportcsarnok'!F132+'6.5 pályázat_1'!F132</f>
        <v>0</v>
      </c>
      <c r="G132" s="246">
        <f>'6.1 műv ház'!G132+'6.2 HH'!G132+'6.3 könyvtár'!G132+'6.4 sportcsarnok'!G132+'6.5 pályázat_1'!G132</f>
        <v>0</v>
      </c>
      <c r="H132" s="246">
        <f>'6.1 műv ház'!H132+'6.2 HH'!H132+'6.3 könyvtár'!H132+'6.4 sportcsarnok'!H132+'6.5 pályázat_1'!H132</f>
        <v>0</v>
      </c>
      <c r="I132" s="246">
        <f>'6.1 műv ház'!I132+'6.2 HH'!I132+'6.3 könyvtár'!I132+'6.4 sportcsarnok'!I132+'6.5 pályázat_1'!I132</f>
        <v>0</v>
      </c>
      <c r="J132" s="246">
        <f>'6.1 műv ház'!J132+'6.2 HH'!J132+'6.3 könyvtár'!J132+'6.4 sportcsarnok'!J132+'6.5 pályázat_1'!J132</f>
        <v>0</v>
      </c>
      <c r="K132" s="246">
        <f>'6.1 műv ház'!K132+'6.2 HH'!K132+'6.3 könyvtár'!K132+'6.4 sportcsarnok'!K132+'6.5 pályázat_1'!K132</f>
        <v>0</v>
      </c>
      <c r="L132" s="246">
        <f>'6.1 műv ház'!L132+'6.2 HH'!L132+'6.3 könyvtár'!L132+'6.4 sportcsarnok'!L132+'6.5 pályázat_1'!L132</f>
        <v>0</v>
      </c>
      <c r="M132" s="246">
        <f>'6.1 műv ház'!M132+'6.2 HH'!M132+'6.3 könyvtár'!M132+'6.4 sportcsarnok'!M132+'6.5 pályázat_1'!M132</f>
        <v>0</v>
      </c>
      <c r="N132" s="246">
        <f>'6.1 műv ház'!N132+'6.2 HH'!N132+'6.3 könyvtár'!N132+'6.4 sportcsarnok'!N132+'6.5 pályázat_1'!N132</f>
        <v>0</v>
      </c>
    </row>
    <row r="133" spans="1:14" ht="15.75" hidden="1" thickBot="1" x14ac:dyDescent="0.3">
      <c r="A133" s="61" t="s">
        <v>235</v>
      </c>
      <c r="B133" s="62" t="s">
        <v>236</v>
      </c>
      <c r="C133" s="246">
        <f>'6.1 műv ház'!C133+'6.2 HH'!C133+'6.3 könyvtár'!C133+'6.4 sportcsarnok'!C133+'6.5 pályázat_1'!C133</f>
        <v>0</v>
      </c>
      <c r="D133" s="246">
        <f>'6.1 műv ház'!D133+'6.2 HH'!D133+'6.3 könyvtár'!D133+'6.4 sportcsarnok'!D133+'6.5 pályázat_1'!D133</f>
        <v>0</v>
      </c>
      <c r="E133" s="246">
        <f>'6.1 műv ház'!E133+'6.2 HH'!E133+'6.3 könyvtár'!E133+'6.4 sportcsarnok'!E133+'6.5 pályázat_1'!E133</f>
        <v>0</v>
      </c>
      <c r="F133" s="246">
        <f>'6.1 műv ház'!F133+'6.2 HH'!F133+'6.3 könyvtár'!F133+'6.4 sportcsarnok'!F133+'6.5 pályázat_1'!F133</f>
        <v>0</v>
      </c>
      <c r="G133" s="246">
        <f>'6.1 műv ház'!G133+'6.2 HH'!G133+'6.3 könyvtár'!G133+'6.4 sportcsarnok'!G133+'6.5 pályázat_1'!G133</f>
        <v>0</v>
      </c>
      <c r="H133" s="246">
        <f>'6.1 műv ház'!H133+'6.2 HH'!H133+'6.3 könyvtár'!H133+'6.4 sportcsarnok'!H133+'6.5 pályázat_1'!H133</f>
        <v>0</v>
      </c>
      <c r="I133" s="246">
        <f>'6.1 műv ház'!I133+'6.2 HH'!I133+'6.3 könyvtár'!I133+'6.4 sportcsarnok'!I133+'6.5 pályázat_1'!I133</f>
        <v>0</v>
      </c>
      <c r="J133" s="246">
        <f>'6.1 műv ház'!J133+'6.2 HH'!J133+'6.3 könyvtár'!J133+'6.4 sportcsarnok'!J133+'6.5 pályázat_1'!J133</f>
        <v>0</v>
      </c>
      <c r="K133" s="246">
        <f>'6.1 műv ház'!K133+'6.2 HH'!K133+'6.3 könyvtár'!K133+'6.4 sportcsarnok'!K133+'6.5 pályázat_1'!K133</f>
        <v>0</v>
      </c>
      <c r="L133" s="246">
        <f>'6.1 műv ház'!L133+'6.2 HH'!L133+'6.3 könyvtár'!L133+'6.4 sportcsarnok'!L133+'6.5 pályázat_1'!L133</f>
        <v>0</v>
      </c>
      <c r="M133" s="246">
        <f>'6.1 műv ház'!M133+'6.2 HH'!M133+'6.3 könyvtár'!M133+'6.4 sportcsarnok'!M133+'6.5 pályázat_1'!M133</f>
        <v>0</v>
      </c>
      <c r="N133" s="246">
        <f>'6.1 műv ház'!N133+'6.2 HH'!N133+'6.3 könyvtár'!N133+'6.4 sportcsarnok'!N133+'6.5 pályázat_1'!N133</f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'6.1 műv ház'!C134+'6.2 HH'!C134+'6.3 könyvtár'!C134+'6.4 sportcsarnok'!C134+'6.5 pályázat_1'!C134</f>
        <v>0</v>
      </c>
      <c r="D134" s="246">
        <f>'6.1 műv ház'!D134+'6.2 HH'!D134+'6.3 könyvtár'!D134+'6.4 sportcsarnok'!D134+'6.5 pályázat_1'!D134</f>
        <v>0</v>
      </c>
      <c r="E134" s="246">
        <f>'6.1 műv ház'!E134+'6.2 HH'!E134+'6.3 könyvtár'!E134+'6.4 sportcsarnok'!E134+'6.5 pályázat_1'!E134</f>
        <v>0</v>
      </c>
      <c r="F134" s="246">
        <f>'6.1 műv ház'!F134+'6.2 HH'!F134+'6.3 könyvtár'!F134+'6.4 sportcsarnok'!F134+'6.5 pályázat_1'!F134</f>
        <v>0</v>
      </c>
      <c r="G134" s="246">
        <f>'6.1 műv ház'!G134+'6.2 HH'!G134+'6.3 könyvtár'!G134+'6.4 sportcsarnok'!G134+'6.5 pályázat_1'!G134</f>
        <v>0</v>
      </c>
      <c r="H134" s="246">
        <f>'6.1 műv ház'!H134+'6.2 HH'!H134+'6.3 könyvtár'!H134+'6.4 sportcsarnok'!H134+'6.5 pályázat_1'!H134</f>
        <v>0</v>
      </c>
      <c r="I134" s="246">
        <f>'6.1 műv ház'!I134+'6.2 HH'!I134+'6.3 könyvtár'!I134+'6.4 sportcsarnok'!I134+'6.5 pályázat_1'!I134</f>
        <v>0</v>
      </c>
      <c r="J134" s="246">
        <f>'6.1 műv ház'!J134+'6.2 HH'!J134+'6.3 könyvtár'!J134+'6.4 sportcsarnok'!J134+'6.5 pályázat_1'!J134</f>
        <v>0</v>
      </c>
      <c r="K134" s="246">
        <f>'6.1 műv ház'!K134+'6.2 HH'!K134+'6.3 könyvtár'!K134+'6.4 sportcsarnok'!K134+'6.5 pályázat_1'!K134</f>
        <v>0</v>
      </c>
      <c r="L134" s="246">
        <f>'6.1 műv ház'!L134+'6.2 HH'!L134+'6.3 könyvtár'!L134+'6.4 sportcsarnok'!L134+'6.5 pályázat_1'!L134</f>
        <v>0</v>
      </c>
      <c r="M134" s="246">
        <f>'6.1 műv ház'!M134+'6.2 HH'!M134+'6.3 könyvtár'!M134+'6.4 sportcsarnok'!M134+'6.5 pályázat_1'!M134</f>
        <v>0</v>
      </c>
      <c r="N134" s="246">
        <f>'6.1 műv ház'!N134+'6.2 HH'!N134+'6.3 könyvtár'!N134+'6.4 sportcsarnok'!N134+'6.5 pályázat_1'!N134</f>
        <v>0</v>
      </c>
    </row>
    <row r="135" spans="1:14" ht="15.75" hidden="1" thickBot="1" x14ac:dyDescent="0.3">
      <c r="A135" s="61"/>
      <c r="B135" s="62" t="s">
        <v>239</v>
      </c>
      <c r="C135" s="246">
        <f>'6.1 műv ház'!C135+'6.2 HH'!C135+'6.3 könyvtár'!C135+'6.4 sportcsarnok'!C135+'6.5 pályázat_1'!C135</f>
        <v>0</v>
      </c>
      <c r="D135" s="246">
        <f>'6.1 műv ház'!D135+'6.2 HH'!D135+'6.3 könyvtár'!D135+'6.4 sportcsarnok'!D135+'6.5 pályázat_1'!D135</f>
        <v>0</v>
      </c>
      <c r="E135" s="246">
        <f>'6.1 műv ház'!E135+'6.2 HH'!E135+'6.3 könyvtár'!E135+'6.4 sportcsarnok'!E135+'6.5 pályázat_1'!E135</f>
        <v>0</v>
      </c>
      <c r="F135" s="246">
        <f>'6.1 műv ház'!F135+'6.2 HH'!F135+'6.3 könyvtár'!F135+'6.4 sportcsarnok'!F135+'6.5 pályázat_1'!F135</f>
        <v>0</v>
      </c>
      <c r="G135" s="246">
        <f>'6.1 műv ház'!G135+'6.2 HH'!G135+'6.3 könyvtár'!G135+'6.4 sportcsarnok'!G135+'6.5 pályázat_1'!G135</f>
        <v>0</v>
      </c>
      <c r="H135" s="246">
        <f>'6.1 műv ház'!H135+'6.2 HH'!H135+'6.3 könyvtár'!H135+'6.4 sportcsarnok'!H135+'6.5 pályázat_1'!H135</f>
        <v>0</v>
      </c>
      <c r="I135" s="246">
        <f>'6.1 műv ház'!I135+'6.2 HH'!I135+'6.3 könyvtár'!I135+'6.4 sportcsarnok'!I135+'6.5 pályázat_1'!I135</f>
        <v>0</v>
      </c>
      <c r="J135" s="246">
        <f>'6.1 műv ház'!J135+'6.2 HH'!J135+'6.3 könyvtár'!J135+'6.4 sportcsarnok'!J135+'6.5 pályázat_1'!J135</f>
        <v>0</v>
      </c>
      <c r="K135" s="246">
        <f>'6.1 műv ház'!K135+'6.2 HH'!K135+'6.3 könyvtár'!K135+'6.4 sportcsarnok'!K135+'6.5 pályázat_1'!K135</f>
        <v>0</v>
      </c>
      <c r="L135" s="246">
        <f>'6.1 műv ház'!L135+'6.2 HH'!L135+'6.3 könyvtár'!L135+'6.4 sportcsarnok'!L135+'6.5 pályázat_1'!L135</f>
        <v>0</v>
      </c>
      <c r="M135" s="246">
        <f>'6.1 műv ház'!M135+'6.2 HH'!M135+'6.3 könyvtár'!M135+'6.4 sportcsarnok'!M135+'6.5 pályázat_1'!M135</f>
        <v>0</v>
      </c>
      <c r="N135" s="246">
        <f>'6.1 műv ház'!N135+'6.2 HH'!N135+'6.3 könyvtár'!N135+'6.4 sportcsarnok'!N135+'6.5 pályázat_1'!N135</f>
        <v>0</v>
      </c>
    </row>
    <row r="136" spans="1:14" ht="15.75" hidden="1" thickBot="1" x14ac:dyDescent="0.3">
      <c r="A136" s="63"/>
      <c r="B136" s="64" t="s">
        <v>240</v>
      </c>
      <c r="C136" s="248">
        <f>'6.1 műv ház'!C136+'6.2 HH'!C136+'6.3 könyvtár'!C136+'6.4 sportcsarnok'!C136+'6.5 pályázat_1'!C136</f>
        <v>0</v>
      </c>
      <c r="D136" s="248">
        <f>'6.1 műv ház'!D136+'6.2 HH'!D136+'6.3 könyvtár'!D136+'6.4 sportcsarnok'!D136+'6.5 pályázat_1'!D136</f>
        <v>0</v>
      </c>
      <c r="E136" s="248">
        <f>'6.1 műv ház'!E136+'6.2 HH'!E136+'6.3 könyvtár'!E136+'6.4 sportcsarnok'!E136+'6.5 pályázat_1'!E136</f>
        <v>0</v>
      </c>
      <c r="F136" s="248">
        <f>'6.1 műv ház'!F136+'6.2 HH'!F136+'6.3 könyvtár'!F136+'6.4 sportcsarnok'!F136+'6.5 pályázat_1'!F136</f>
        <v>0</v>
      </c>
      <c r="G136" s="248">
        <f>'6.1 műv ház'!G136+'6.2 HH'!G136+'6.3 könyvtár'!G136+'6.4 sportcsarnok'!G136+'6.5 pályázat_1'!G136</f>
        <v>0</v>
      </c>
      <c r="H136" s="248">
        <f>'6.1 műv ház'!H136+'6.2 HH'!H136+'6.3 könyvtár'!H136+'6.4 sportcsarnok'!H136+'6.5 pályázat_1'!H136</f>
        <v>0</v>
      </c>
      <c r="I136" s="248">
        <f>'6.1 műv ház'!I136+'6.2 HH'!I136+'6.3 könyvtár'!I136+'6.4 sportcsarnok'!I136+'6.5 pályázat_1'!I136</f>
        <v>0</v>
      </c>
      <c r="J136" s="248">
        <f>'6.1 műv ház'!J136+'6.2 HH'!J136+'6.3 könyvtár'!J136+'6.4 sportcsarnok'!J136+'6.5 pályázat_1'!J136</f>
        <v>0</v>
      </c>
      <c r="K136" s="248">
        <f>'6.1 műv ház'!K136+'6.2 HH'!K136+'6.3 könyvtár'!K136+'6.4 sportcsarnok'!K136+'6.5 pályázat_1'!K136</f>
        <v>0</v>
      </c>
      <c r="L136" s="248">
        <f>'6.1 műv ház'!L136+'6.2 HH'!L136+'6.3 könyvtár'!L136+'6.4 sportcsarnok'!L136+'6.5 pályázat_1'!L136</f>
        <v>0</v>
      </c>
      <c r="M136" s="248">
        <f>'6.1 műv ház'!M136+'6.2 HH'!M136+'6.3 könyvtár'!M136+'6.4 sportcsarnok'!M136+'6.5 pályázat_1'!M136</f>
        <v>0</v>
      </c>
      <c r="N136" s="248">
        <f>'6.1 műv ház'!N136+'6.2 HH'!N136+'6.3 könyvtár'!N136+'6.4 sportcsarnok'!N136+'6.5 pályázat_1'!N136</f>
        <v>0</v>
      </c>
    </row>
    <row r="137" spans="1:14" x14ac:dyDescent="0.25">
      <c r="A137" s="60" t="s">
        <v>241</v>
      </c>
      <c r="B137" s="48" t="s">
        <v>38</v>
      </c>
      <c r="C137" s="244">
        <f>'6.1 műv ház'!C137+'6.2 HH'!C137+'6.3 könyvtár'!C137+'6.4 sportcsarnok'!C137+'6.5 pályázat_1'!C137</f>
        <v>7336614</v>
      </c>
      <c r="D137" s="244">
        <f>'6.1 műv ház'!D137+'6.2 HH'!D137+'6.3 könyvtár'!D137+'6.4 sportcsarnok'!D137+'6.5 pályázat_1'!D137</f>
        <v>0</v>
      </c>
      <c r="E137" s="244">
        <f>'6.1 műv ház'!E137+'6.2 HH'!E137+'6.3 könyvtár'!E137+'6.4 sportcsarnok'!E137+'6.5 pályázat_1'!E137</f>
        <v>7336614</v>
      </c>
      <c r="F137" s="244">
        <f>'6.1 műv ház'!F137+'6.2 HH'!F137+'6.3 könyvtár'!F137+'6.4 sportcsarnok'!F137+'6.5 pályázat_1'!F137</f>
        <v>8517716</v>
      </c>
      <c r="G137" s="244">
        <f>'6.1 műv ház'!G137+'6.2 HH'!G137+'6.3 könyvtár'!G137+'6.4 sportcsarnok'!G137+'6.5 pályázat_1'!G137</f>
        <v>0</v>
      </c>
      <c r="H137" s="244">
        <f>'6.1 műv ház'!H137+'6.2 HH'!H137+'6.3 könyvtár'!H137+'6.4 sportcsarnok'!H137+'6.5 pályázat_1'!H137</f>
        <v>8517716</v>
      </c>
      <c r="I137" s="244">
        <f>'6.1 műv ház'!I137+'6.2 HH'!I137+'6.3 könyvtár'!I137+'6.4 sportcsarnok'!I137+'6.5 pályázat_1'!I137</f>
        <v>8891484</v>
      </c>
      <c r="J137" s="244">
        <f>'6.1 műv ház'!J137+'6.2 HH'!J137+'6.3 könyvtár'!J137+'6.4 sportcsarnok'!J137+'6.5 pályázat_1'!J137</f>
        <v>0</v>
      </c>
      <c r="K137" s="244">
        <f>'6.1 műv ház'!K137+'6.2 HH'!K137+'6.3 könyvtár'!K137+'6.4 sportcsarnok'!K137+'6.5 pályázat_1'!K137</f>
        <v>8891484</v>
      </c>
      <c r="L137" s="244">
        <f>'6.1 műv ház'!L137+'6.2 HH'!L137+'6.3 könyvtár'!L137+'6.4 sportcsarnok'!L137+'6.5 pályázat_1'!L137</f>
        <v>8884897</v>
      </c>
      <c r="M137" s="244">
        <f>'6.1 műv ház'!M137+'6.2 HH'!M137+'6.3 könyvtár'!M137+'6.4 sportcsarnok'!M137+'6.5 pályázat_1'!M137</f>
        <v>0</v>
      </c>
      <c r="N137" s="244">
        <f>'6.1 műv ház'!N137+'6.2 HH'!N137+'6.3 könyvtár'!N137+'6.4 sportcsarnok'!N137+'6.5 pályázat_1'!N137</f>
        <v>8884897</v>
      </c>
    </row>
    <row r="138" spans="1:14" ht="15.75" thickBot="1" x14ac:dyDescent="0.3">
      <c r="A138" s="63" t="s">
        <v>242</v>
      </c>
      <c r="B138" s="64" t="s">
        <v>243</v>
      </c>
      <c r="C138" s="248">
        <f>'6.1 műv ház'!C138+'6.2 HH'!C138+'6.3 könyvtár'!C138+'6.4 sportcsarnok'!C138+'6.5 pályázat_1'!C138</f>
        <v>1980886</v>
      </c>
      <c r="D138" s="248">
        <f>'6.1 műv ház'!D138+'6.2 HH'!D138+'6.3 könyvtár'!D138+'6.4 sportcsarnok'!D138+'6.5 pályázat_1'!D138</f>
        <v>0</v>
      </c>
      <c r="E138" s="248">
        <f>'6.1 műv ház'!E138+'6.2 HH'!E138+'6.3 könyvtár'!E138+'6.4 sportcsarnok'!E138+'6.5 pályázat_1'!E138</f>
        <v>1980886</v>
      </c>
      <c r="F138" s="248">
        <f>'6.1 műv ház'!F138+'6.2 HH'!F138+'6.3 könyvtár'!F138+'6.4 sportcsarnok'!F138+'6.5 pályázat_1'!F138</f>
        <v>2299784</v>
      </c>
      <c r="G138" s="248">
        <f>'6.1 műv ház'!G138+'6.2 HH'!G138+'6.3 könyvtár'!G138+'6.4 sportcsarnok'!G138+'6.5 pályázat_1'!G138</f>
        <v>0</v>
      </c>
      <c r="H138" s="248">
        <f>'6.1 műv ház'!H138+'6.2 HH'!H138+'6.3 könyvtár'!H138+'6.4 sportcsarnok'!H138+'6.5 pályázat_1'!H138</f>
        <v>2299784</v>
      </c>
      <c r="I138" s="248">
        <f>'6.1 műv ház'!I138+'6.2 HH'!I138+'6.3 könyvtár'!I138+'6.4 sportcsarnok'!I138+'6.5 pályázat_1'!I138</f>
        <v>2259128</v>
      </c>
      <c r="J138" s="248">
        <f>'6.1 műv ház'!J138+'6.2 HH'!J138+'6.3 könyvtár'!J138+'6.4 sportcsarnok'!J138+'6.5 pályázat_1'!J138</f>
        <v>0</v>
      </c>
      <c r="K138" s="248">
        <f>'6.1 műv ház'!K138+'6.2 HH'!K138+'6.3 könyvtár'!K138+'6.4 sportcsarnok'!K138+'6.5 pályázat_1'!K138</f>
        <v>2259128</v>
      </c>
      <c r="L138" s="248">
        <f>'6.1 műv ház'!L138+'6.2 HH'!L138+'6.3 könyvtár'!L138+'6.4 sportcsarnok'!L138+'6.5 pályázat_1'!L138</f>
        <v>2259128</v>
      </c>
      <c r="M138" s="248">
        <f>'6.1 műv ház'!M138+'6.2 HH'!M138+'6.3 könyvtár'!M138+'6.4 sportcsarnok'!M138+'6.5 pályázat_1'!M138</f>
        <v>0</v>
      </c>
      <c r="N138" s="248">
        <f>'6.1 műv ház'!N138+'6.2 HH'!N138+'6.3 könyvtár'!N138+'6.4 sportcsarnok'!N138+'6.5 pályázat_1'!N138</f>
        <v>2259128</v>
      </c>
    </row>
    <row r="139" spans="1:14" x14ac:dyDescent="0.25">
      <c r="A139" s="60" t="s">
        <v>244</v>
      </c>
      <c r="B139" s="48" t="s">
        <v>39</v>
      </c>
      <c r="C139" s="244">
        <f>'6.1 műv ház'!C139+'6.2 HH'!C139+'6.3 könyvtár'!C139+'6.4 sportcsarnok'!C139+'6.5 pályázat_1'!C139</f>
        <v>2714961</v>
      </c>
      <c r="D139" s="244">
        <f>'6.1 műv ház'!D139+'6.2 HH'!D139+'6.3 könyvtár'!D139+'6.4 sportcsarnok'!D139+'6.5 pályázat_1'!D139</f>
        <v>0</v>
      </c>
      <c r="E139" s="244">
        <f>'6.1 műv ház'!E139+'6.2 HH'!E139+'6.3 könyvtár'!E139+'6.4 sportcsarnok'!E139+'6.5 pályázat_1'!E139</f>
        <v>2714961</v>
      </c>
      <c r="F139" s="244">
        <f>'6.1 műv ház'!F139+'6.2 HH'!F139+'6.3 könyvtár'!F139+'6.4 sportcsarnok'!F139+'6.5 pályázat_1'!F139</f>
        <v>433071</v>
      </c>
      <c r="G139" s="244">
        <f>'6.1 műv ház'!G139+'6.2 HH'!G139+'6.3 könyvtár'!G139+'6.4 sportcsarnok'!G139+'6.5 pályázat_1'!G139</f>
        <v>0</v>
      </c>
      <c r="H139" s="244">
        <f>'6.1 műv ház'!H139+'6.2 HH'!H139+'6.3 könyvtár'!H139+'6.4 sportcsarnok'!H139+'6.5 pályázat_1'!H139</f>
        <v>433071</v>
      </c>
      <c r="I139" s="244">
        <f>'6.1 műv ház'!I139+'6.2 HH'!I139+'6.3 könyvtár'!I139+'6.4 sportcsarnok'!I139+'6.5 pályázat_1'!I139</f>
        <v>231795</v>
      </c>
      <c r="J139" s="244">
        <f>'6.1 műv ház'!J139+'6.2 HH'!J139+'6.3 könyvtár'!J139+'6.4 sportcsarnok'!J139+'6.5 pályázat_1'!J139</f>
        <v>0</v>
      </c>
      <c r="K139" s="244">
        <f>'6.1 műv ház'!K139+'6.2 HH'!K139+'6.3 könyvtár'!K139+'6.4 sportcsarnok'!K139+'6.5 pályázat_1'!K139</f>
        <v>231795</v>
      </c>
      <c r="L139" s="244">
        <f>'6.1 műv ház'!L139+'6.2 HH'!L139+'6.3 könyvtár'!L139+'6.4 sportcsarnok'!L139+'6.5 pályázat_1'!L139</f>
        <v>200000</v>
      </c>
      <c r="M139" s="244">
        <f>'6.1 műv ház'!M139+'6.2 HH'!M139+'6.3 könyvtár'!M139+'6.4 sportcsarnok'!M139+'6.5 pályázat_1'!M139</f>
        <v>0</v>
      </c>
      <c r="N139" s="244">
        <f>'6.1 műv ház'!N139+'6.2 HH'!N139+'6.3 könyvtár'!N139+'6.4 sportcsarnok'!N139+'6.5 pályázat_1'!N139</f>
        <v>200000</v>
      </c>
    </row>
    <row r="140" spans="1:14" ht="15.75" thickBot="1" x14ac:dyDescent="0.3">
      <c r="A140" s="63" t="s">
        <v>245</v>
      </c>
      <c r="B140" s="64" t="s">
        <v>246</v>
      </c>
      <c r="C140" s="248">
        <f>'6.1 műv ház'!C140+'6.2 HH'!C140+'6.3 könyvtár'!C140+'6.4 sportcsarnok'!C140+'6.5 pályázat_1'!C140</f>
        <v>733039</v>
      </c>
      <c r="D140" s="248">
        <f>'6.1 műv ház'!D140+'6.2 HH'!D140+'6.3 könyvtár'!D140+'6.4 sportcsarnok'!D140+'6.5 pályázat_1'!D140</f>
        <v>0</v>
      </c>
      <c r="E140" s="248">
        <f>'6.1 műv ház'!E140+'6.2 HH'!E140+'6.3 könyvtár'!E140+'6.4 sportcsarnok'!E140+'6.5 pályázat_1'!E140</f>
        <v>733039</v>
      </c>
      <c r="F140" s="248">
        <f>'6.1 műv ház'!F140+'6.2 HH'!F140+'6.3 könyvtár'!F140+'6.4 sportcsarnok'!F140+'6.5 pályázat_1'!F140</f>
        <v>116929</v>
      </c>
      <c r="G140" s="248">
        <f>'6.1 műv ház'!G140+'6.2 HH'!G140+'6.3 könyvtár'!G140+'6.4 sportcsarnok'!G140+'6.5 pályázat_1'!G140</f>
        <v>0</v>
      </c>
      <c r="H140" s="248">
        <f>'6.1 műv ház'!H140+'6.2 HH'!H140+'6.3 könyvtár'!H140+'6.4 sportcsarnok'!H140+'6.5 pályázat_1'!H140</f>
        <v>116929</v>
      </c>
      <c r="I140" s="248">
        <f>'6.1 műv ház'!I140+'6.2 HH'!I140+'6.3 könyvtár'!I140+'6.4 sportcsarnok'!I140+'6.5 pályázat_1'!I140</f>
        <v>90585</v>
      </c>
      <c r="J140" s="248">
        <f>'6.1 műv ház'!J140+'6.2 HH'!J140+'6.3 könyvtár'!J140+'6.4 sportcsarnok'!J140+'6.5 pályázat_1'!J140</f>
        <v>0</v>
      </c>
      <c r="K140" s="248">
        <f>'6.1 műv ház'!K140+'6.2 HH'!K140+'6.3 könyvtár'!K140+'6.4 sportcsarnok'!K140+'6.5 pályázat_1'!K140</f>
        <v>90585</v>
      </c>
      <c r="L140" s="248">
        <f>'6.1 műv ház'!L140+'6.2 HH'!L140+'6.3 könyvtár'!L140+'6.4 sportcsarnok'!L140+'6.5 pályázat_1'!L140</f>
        <v>54000</v>
      </c>
      <c r="M140" s="248">
        <f>'6.1 műv ház'!M140+'6.2 HH'!M140+'6.3 könyvtár'!M140+'6.4 sportcsarnok'!M140+'6.5 pályázat_1'!M140</f>
        <v>0</v>
      </c>
      <c r="N140" s="248">
        <f>'6.1 műv ház'!N140+'6.2 HH'!N140+'6.3 könyvtár'!N140+'6.4 sportcsarnok'!N140+'6.5 pályázat_1'!N140</f>
        <v>54000</v>
      </c>
    </row>
    <row r="141" spans="1:14" ht="15.75" thickBot="1" x14ac:dyDescent="0.3">
      <c r="A141" s="66" t="s">
        <v>247</v>
      </c>
      <c r="B141" s="49" t="s">
        <v>40</v>
      </c>
      <c r="C141" s="254">
        <f>'6.1 műv ház'!C141+'6.2 HH'!C141+'6.3 könyvtár'!C141+'6.4 sportcsarnok'!C141+'6.5 pályázat_1'!C141</f>
        <v>0</v>
      </c>
      <c r="D141" s="254">
        <f>'6.1 műv ház'!D141+'6.2 HH'!D141+'6.3 könyvtár'!D141+'6.4 sportcsarnok'!D141+'6.5 pályázat_1'!D141</f>
        <v>0</v>
      </c>
      <c r="E141" s="254">
        <f>'6.1 műv ház'!E141+'6.2 HH'!E141+'6.3 könyvtár'!E141+'6.4 sportcsarnok'!E141+'6.5 pályázat_1'!E141</f>
        <v>0</v>
      </c>
      <c r="F141" s="254">
        <f>'6.1 műv ház'!F141+'6.2 HH'!F141+'6.3 könyvtár'!F141+'6.4 sportcsarnok'!F141+'6.5 pályázat_1'!F141</f>
        <v>0</v>
      </c>
      <c r="G141" s="254">
        <f>'6.1 műv ház'!G141+'6.2 HH'!G141+'6.3 könyvtár'!G141+'6.4 sportcsarnok'!G141+'6.5 pályázat_1'!G141</f>
        <v>0</v>
      </c>
      <c r="H141" s="254">
        <f>'6.1 műv ház'!H141+'6.2 HH'!H141+'6.3 könyvtár'!H141+'6.4 sportcsarnok'!H141+'6.5 pályázat_1'!H141</f>
        <v>0</v>
      </c>
      <c r="I141" s="254">
        <f>'6.1 műv ház'!I141+'6.2 HH'!I141+'6.3 könyvtár'!I141+'6.4 sportcsarnok'!I141+'6.5 pályázat_1'!I141</f>
        <v>0</v>
      </c>
      <c r="J141" s="254">
        <f>'6.1 műv ház'!J141+'6.2 HH'!J141+'6.3 könyvtár'!J141+'6.4 sportcsarnok'!J141+'6.5 pályázat_1'!J141</f>
        <v>0</v>
      </c>
      <c r="K141" s="254">
        <f>'6.1 műv ház'!K141+'6.2 HH'!K141+'6.3 könyvtár'!K141+'6.4 sportcsarnok'!K141+'6.5 pályázat_1'!K141</f>
        <v>0</v>
      </c>
      <c r="L141" s="254">
        <f>'6.1 műv ház'!L141+'6.2 HH'!L141+'6.3 könyvtár'!L141+'6.4 sportcsarnok'!L141+'6.5 pályázat_1'!L141</f>
        <v>0</v>
      </c>
      <c r="M141" s="254">
        <f>'6.1 műv ház'!M141+'6.2 HH'!M141+'6.3 könyvtár'!M141+'6.4 sportcsarnok'!M141+'6.5 pályázat_1'!M141</f>
        <v>0</v>
      </c>
      <c r="N141" s="254">
        <f>'6.1 műv ház'!N141+'6.2 HH'!N141+'6.3 könyvtár'!N141+'6.4 sportcsarnok'!N141+'6.5 pályázat_1'!N141</f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'6.1 műv ház'!C142+'6.2 HH'!C142+'6.3 könyvtár'!C142+'6.4 sportcsarnok'!C142+'6.5 pályázat_1'!C142</f>
        <v>103598627</v>
      </c>
      <c r="D142" s="250">
        <f>'6.1 műv ház'!D142+'6.2 HH'!D142+'6.3 könyvtár'!D142+'6.4 sportcsarnok'!D142+'6.5 pályázat_1'!D142</f>
        <v>0</v>
      </c>
      <c r="E142" s="250">
        <f>'6.1 műv ház'!E142+'6.2 HH'!E142+'6.3 könyvtár'!E142+'6.4 sportcsarnok'!E142+'6.5 pályázat_1'!E142</f>
        <v>103598627</v>
      </c>
      <c r="F142" s="250">
        <f>'6.1 műv ház'!F142+'6.2 HH'!F142+'6.3 könyvtár'!F142+'6.4 sportcsarnok'!F142+'6.5 pályázat_1'!F142</f>
        <v>120580397</v>
      </c>
      <c r="G142" s="250">
        <f>'6.1 műv ház'!G142+'6.2 HH'!G142+'6.3 könyvtár'!G142+'6.4 sportcsarnok'!G142+'6.5 pályázat_1'!G142</f>
        <v>0</v>
      </c>
      <c r="H142" s="250">
        <f>'6.1 műv ház'!H142+'6.2 HH'!H142+'6.3 könyvtár'!H142+'6.4 sportcsarnok'!H142+'6.5 pályázat_1'!H142</f>
        <v>120580397</v>
      </c>
      <c r="I142" s="250">
        <f>'6.1 műv ház'!I142+'6.2 HH'!I142+'6.3 könyvtár'!I142+'6.4 sportcsarnok'!I142+'6.5 pályázat_1'!I142</f>
        <v>123027239</v>
      </c>
      <c r="J142" s="250">
        <f>'6.1 műv ház'!J142+'6.2 HH'!J142+'6.3 könyvtár'!J142+'6.4 sportcsarnok'!J142+'6.5 pályázat_1'!J142</f>
        <v>0</v>
      </c>
      <c r="K142" s="250">
        <f>'6.1 műv ház'!K142+'6.2 HH'!K142+'6.3 könyvtár'!K142+'6.4 sportcsarnok'!K142+'6.5 pályázat_1'!K142</f>
        <v>123027239</v>
      </c>
      <c r="L142" s="250">
        <f>'6.1 műv ház'!L142+'6.2 HH'!L142+'6.3 könyvtár'!L142+'6.4 sportcsarnok'!L142+'6.5 pályázat_1'!L142</f>
        <v>119102256</v>
      </c>
      <c r="M142" s="250">
        <f>'6.1 műv ház'!M142+'6.2 HH'!M142+'6.3 könyvtár'!M142+'6.4 sportcsarnok'!M142+'6.5 pályázat_1'!M142</f>
        <v>0</v>
      </c>
      <c r="N142" s="250">
        <f>'6.1 műv ház'!N142+'6.2 HH'!N142+'6.3 könyvtár'!N142+'6.4 sportcsarnok'!N142+'6.5 pályázat_1'!N142</f>
        <v>119102256</v>
      </c>
    </row>
    <row r="143" spans="1:14" ht="15.75" thickBot="1" x14ac:dyDescent="0.3">
      <c r="A143" s="67" t="s">
        <v>250</v>
      </c>
      <c r="B143" s="68" t="s">
        <v>251</v>
      </c>
      <c r="C143" s="244">
        <f>'6.1 műv ház'!C143+'6.2 HH'!C143+'6.3 könyvtár'!C143+'6.4 sportcsarnok'!C143+'6.5 pályázat_1'!C143</f>
        <v>0</v>
      </c>
      <c r="D143" s="244">
        <f>'6.1 műv ház'!D143+'6.2 HH'!D143+'6.3 könyvtár'!D143+'6.4 sportcsarnok'!D143+'6.5 pályázat_1'!D143</f>
        <v>0</v>
      </c>
      <c r="E143" s="244">
        <f>'6.1 műv ház'!E143+'6.2 HH'!E143+'6.3 könyvtár'!E143+'6.4 sportcsarnok'!E143+'6.5 pályázat_1'!E143</f>
        <v>0</v>
      </c>
      <c r="F143" s="244">
        <f>'6.1 műv ház'!F143+'6.2 HH'!F143+'6.3 könyvtár'!F143+'6.4 sportcsarnok'!F143+'6.5 pályázat_1'!F143</f>
        <v>0</v>
      </c>
      <c r="G143" s="244">
        <f>'6.1 műv ház'!G143+'6.2 HH'!G143+'6.3 könyvtár'!G143+'6.4 sportcsarnok'!G143+'6.5 pályázat_1'!G143</f>
        <v>0</v>
      </c>
      <c r="H143" s="244">
        <f>'6.1 műv ház'!H143+'6.2 HH'!H143+'6.3 könyvtár'!H143+'6.4 sportcsarnok'!H143+'6.5 pályázat_1'!H143</f>
        <v>0</v>
      </c>
      <c r="I143" s="244">
        <f>'6.1 műv ház'!I143+'6.2 HH'!I143+'6.3 könyvtár'!I143+'6.4 sportcsarnok'!I143+'6.5 pályázat_1'!I143</f>
        <v>0</v>
      </c>
      <c r="J143" s="244">
        <f>'6.1 műv ház'!J143+'6.2 HH'!J143+'6.3 könyvtár'!J143+'6.4 sportcsarnok'!J143+'6.5 pályázat_1'!J143</f>
        <v>0</v>
      </c>
      <c r="K143" s="244">
        <f>'6.1 műv ház'!K143+'6.2 HH'!K143+'6.3 könyvtár'!K143+'6.4 sportcsarnok'!K143+'6.5 pályázat_1'!K143</f>
        <v>0</v>
      </c>
      <c r="L143" s="244">
        <f>'6.1 műv ház'!L143+'6.2 HH'!L143+'6.3 könyvtár'!L143+'6.4 sportcsarnok'!L143+'6.5 pályázat_1'!L143</f>
        <v>0</v>
      </c>
      <c r="M143" s="244">
        <f>'6.1 műv ház'!M143+'6.2 HH'!M143+'6.3 könyvtár'!M143+'6.4 sportcsarnok'!M143+'6.5 pályázat_1'!M143</f>
        <v>0</v>
      </c>
      <c r="N143" s="244">
        <f>'6.1 műv ház'!N143+'6.2 HH'!N143+'6.3 könyvtár'!N143+'6.4 sportcsarnok'!N143+'6.5 pályázat_1'!N143</f>
        <v>0</v>
      </c>
    </row>
    <row r="144" spans="1:14" ht="15.75" hidden="1" thickBot="1" x14ac:dyDescent="0.3">
      <c r="A144" s="61" t="s">
        <v>252</v>
      </c>
      <c r="B144" s="62" t="s">
        <v>253</v>
      </c>
      <c r="C144" s="246">
        <f>'6.1 műv ház'!C144+'6.2 HH'!C144+'6.3 könyvtár'!C144+'6.4 sportcsarnok'!C144+'6.5 pályázat_1'!C144</f>
        <v>0</v>
      </c>
      <c r="D144" s="246">
        <f>'6.1 műv ház'!D144+'6.2 HH'!D144+'6.3 könyvtár'!D144+'6.4 sportcsarnok'!D144+'6.5 pályázat_1'!D144</f>
        <v>0</v>
      </c>
      <c r="E144" s="246">
        <f>'6.1 műv ház'!E144+'6.2 HH'!E144+'6.3 könyvtár'!E144+'6.4 sportcsarnok'!E144+'6.5 pályázat_1'!E144</f>
        <v>0</v>
      </c>
      <c r="F144" s="246">
        <f>'6.1 műv ház'!F144+'6.2 HH'!F144+'6.3 könyvtár'!F144+'6.4 sportcsarnok'!F144+'6.5 pályázat_1'!F144</f>
        <v>0</v>
      </c>
      <c r="G144" s="246">
        <f>'6.1 műv ház'!G144+'6.2 HH'!G144+'6.3 könyvtár'!G144+'6.4 sportcsarnok'!G144+'6.5 pályázat_1'!G144</f>
        <v>0</v>
      </c>
      <c r="H144" s="246">
        <f>'6.1 műv ház'!H144+'6.2 HH'!H144+'6.3 könyvtár'!H144+'6.4 sportcsarnok'!H144+'6.5 pályázat_1'!H144</f>
        <v>0</v>
      </c>
      <c r="I144" s="246">
        <f>'6.1 műv ház'!I144+'6.2 HH'!I144+'6.3 könyvtár'!I144+'6.4 sportcsarnok'!I144+'6.5 pályázat_1'!I144</f>
        <v>0</v>
      </c>
      <c r="J144" s="246">
        <f>'6.1 műv ház'!J144+'6.2 HH'!J144+'6.3 könyvtár'!J144+'6.4 sportcsarnok'!J144+'6.5 pályázat_1'!J144</f>
        <v>0</v>
      </c>
      <c r="K144" s="246">
        <f>'6.1 műv ház'!K144+'6.2 HH'!K144+'6.3 könyvtár'!K144+'6.4 sportcsarnok'!K144+'6.5 pályázat_1'!K144</f>
        <v>0</v>
      </c>
      <c r="L144" s="246">
        <f>'6.1 műv ház'!L144+'6.2 HH'!L144+'6.3 könyvtár'!L144+'6.4 sportcsarnok'!L144+'6.5 pályázat_1'!L144</f>
        <v>0</v>
      </c>
      <c r="M144" s="246">
        <f>'6.1 műv ház'!M144+'6.2 HH'!M144+'6.3 könyvtár'!M144+'6.4 sportcsarnok'!M144+'6.5 pályázat_1'!M144</f>
        <v>0</v>
      </c>
      <c r="N144" s="246">
        <f>'6.1 műv ház'!N144+'6.2 HH'!N144+'6.3 könyvtár'!N144+'6.4 sportcsarnok'!N144+'6.5 pályázat_1'!N144</f>
        <v>0</v>
      </c>
    </row>
    <row r="145" spans="1:15" ht="15.75" hidden="1" thickBot="1" x14ac:dyDescent="0.3">
      <c r="A145" s="61" t="s">
        <v>254</v>
      </c>
      <c r="B145" s="62" t="s">
        <v>255</v>
      </c>
      <c r="C145" s="246">
        <f>'6.1 műv ház'!C145+'6.2 HH'!C145+'6.3 könyvtár'!C145+'6.4 sportcsarnok'!C145+'6.5 pályázat_1'!C145</f>
        <v>0</v>
      </c>
      <c r="D145" s="246">
        <f>'6.1 műv ház'!D145+'6.2 HH'!D145+'6.3 könyvtár'!D145+'6.4 sportcsarnok'!D145+'6.5 pályázat_1'!D145</f>
        <v>0</v>
      </c>
      <c r="E145" s="246">
        <f>'6.1 műv ház'!E145+'6.2 HH'!E145+'6.3 könyvtár'!E145+'6.4 sportcsarnok'!E145+'6.5 pályázat_1'!E145</f>
        <v>0</v>
      </c>
      <c r="F145" s="246">
        <f>'6.1 műv ház'!F145+'6.2 HH'!F145+'6.3 könyvtár'!F145+'6.4 sportcsarnok'!F145+'6.5 pályázat_1'!F145</f>
        <v>0</v>
      </c>
      <c r="G145" s="246">
        <f>'6.1 műv ház'!G145+'6.2 HH'!G145+'6.3 könyvtár'!G145+'6.4 sportcsarnok'!G145+'6.5 pályázat_1'!G145</f>
        <v>0</v>
      </c>
      <c r="H145" s="246">
        <f>'6.1 műv ház'!H145+'6.2 HH'!H145+'6.3 könyvtár'!H145+'6.4 sportcsarnok'!H145+'6.5 pályázat_1'!H145</f>
        <v>0</v>
      </c>
      <c r="I145" s="246">
        <f>'6.1 műv ház'!I145+'6.2 HH'!I145+'6.3 könyvtár'!I145+'6.4 sportcsarnok'!I145+'6.5 pályázat_1'!I145</f>
        <v>0</v>
      </c>
      <c r="J145" s="246">
        <f>'6.1 műv ház'!J145+'6.2 HH'!J145+'6.3 könyvtár'!J145+'6.4 sportcsarnok'!J145+'6.5 pályázat_1'!J145</f>
        <v>0</v>
      </c>
      <c r="K145" s="246">
        <f>'6.1 műv ház'!K145+'6.2 HH'!K145+'6.3 könyvtár'!K145+'6.4 sportcsarnok'!K145+'6.5 pályázat_1'!K145</f>
        <v>0</v>
      </c>
      <c r="L145" s="246">
        <f>'6.1 műv ház'!L145+'6.2 HH'!L145+'6.3 könyvtár'!L145+'6.4 sportcsarnok'!L145+'6.5 pályázat_1'!L145</f>
        <v>0</v>
      </c>
      <c r="M145" s="246">
        <f>'6.1 műv ház'!M145+'6.2 HH'!M145+'6.3 könyvtár'!M145+'6.4 sportcsarnok'!M145+'6.5 pályázat_1'!M145</f>
        <v>0</v>
      </c>
      <c r="N145" s="246">
        <f>'6.1 műv ház'!N145+'6.2 HH'!N145+'6.3 könyvtár'!N145+'6.4 sportcsarnok'!N145+'6.5 pályázat_1'!N145</f>
        <v>0</v>
      </c>
    </row>
    <row r="146" spans="1:15" s="179" customFormat="1" ht="15.75" hidden="1" thickBot="1" x14ac:dyDescent="0.3">
      <c r="A146" s="190" t="s">
        <v>541</v>
      </c>
      <c r="B146" s="180" t="s">
        <v>542</v>
      </c>
      <c r="C146" s="246">
        <f>'6.1 műv ház'!C146+'6.2 HH'!C146+'6.3 könyvtár'!C146+'6.4 sportcsarnok'!C146+'6.5 pályázat_1'!C146</f>
        <v>0</v>
      </c>
      <c r="D146" s="246">
        <f>'6.1 műv ház'!D146+'6.2 HH'!D146+'6.3 könyvtár'!D146+'6.4 sportcsarnok'!D146+'6.5 pályázat_1'!D146</f>
        <v>0</v>
      </c>
      <c r="E146" s="246">
        <f>'6.1 műv ház'!E146+'6.2 HH'!E146+'6.3 könyvtár'!E146+'6.4 sportcsarnok'!E146+'6.5 pályázat_1'!E146</f>
        <v>0</v>
      </c>
      <c r="F146" s="246">
        <f>'6.1 műv ház'!F146+'6.2 HH'!F146+'6.3 könyvtár'!F146+'6.4 sportcsarnok'!F146+'6.5 pályázat_1'!F146</f>
        <v>0</v>
      </c>
      <c r="G146" s="246">
        <f>'6.1 műv ház'!G146+'6.2 HH'!G146+'6.3 könyvtár'!G146+'6.4 sportcsarnok'!G146+'6.5 pályázat_1'!G146</f>
        <v>0</v>
      </c>
      <c r="H146" s="246">
        <f>'6.1 műv ház'!H146+'6.2 HH'!H146+'6.3 könyvtár'!H146+'6.4 sportcsarnok'!H146+'6.5 pályázat_1'!H146</f>
        <v>0</v>
      </c>
      <c r="I146" s="246">
        <f>'6.1 műv ház'!I146+'6.2 HH'!I146+'6.3 könyvtár'!I146+'6.4 sportcsarnok'!I146+'6.5 pályázat_1'!I146</f>
        <v>0</v>
      </c>
      <c r="J146" s="246">
        <f>'6.1 műv ház'!J146+'6.2 HH'!J146+'6.3 könyvtár'!J146+'6.4 sportcsarnok'!J146+'6.5 pályázat_1'!J146</f>
        <v>0</v>
      </c>
      <c r="K146" s="246">
        <f>'6.1 műv ház'!K146+'6.2 HH'!K146+'6.3 könyvtár'!K146+'6.4 sportcsarnok'!K146+'6.5 pályázat_1'!K146</f>
        <v>0</v>
      </c>
      <c r="L146" s="246">
        <f>'6.1 műv ház'!L146+'6.2 HH'!L146+'6.3 könyvtár'!L146+'6.4 sportcsarnok'!L146+'6.5 pályázat_1'!L146</f>
        <v>0</v>
      </c>
      <c r="M146" s="246">
        <f>'6.1 műv ház'!M146+'6.2 HH'!M146+'6.3 könyvtár'!M146+'6.4 sportcsarnok'!M146+'6.5 pályázat_1'!M146</f>
        <v>0</v>
      </c>
      <c r="N146" s="246">
        <f>'6.1 műv ház'!N146+'6.2 HH'!N146+'6.3 könyvtár'!N146+'6.4 sportcsarnok'!N146+'6.5 pályázat_1'!N146</f>
        <v>0</v>
      </c>
      <c r="O146" s="148"/>
    </row>
    <row r="147" spans="1:15" ht="15.75" hidden="1" thickBot="1" x14ac:dyDescent="0.3">
      <c r="A147" s="61" t="s">
        <v>256</v>
      </c>
      <c r="B147" s="62" t="s">
        <v>257</v>
      </c>
      <c r="C147" s="246">
        <f>'6.1 műv ház'!C147+'6.2 HH'!C147+'6.3 könyvtár'!C147+'6.4 sportcsarnok'!C147+'6.5 pályázat_1'!C147</f>
        <v>0</v>
      </c>
      <c r="D147" s="246">
        <f>'6.1 műv ház'!D147+'6.2 HH'!D147+'6.3 könyvtár'!D147+'6.4 sportcsarnok'!D147+'6.5 pályázat_1'!D147</f>
        <v>0</v>
      </c>
      <c r="E147" s="246">
        <f>'6.1 műv ház'!E147+'6.2 HH'!E147+'6.3 könyvtár'!E147+'6.4 sportcsarnok'!E147+'6.5 pályázat_1'!E147</f>
        <v>0</v>
      </c>
      <c r="F147" s="246">
        <f>'6.1 műv ház'!F147+'6.2 HH'!F147+'6.3 könyvtár'!F147+'6.4 sportcsarnok'!F147+'6.5 pályázat_1'!F147</f>
        <v>0</v>
      </c>
      <c r="G147" s="246">
        <f>'6.1 műv ház'!G147+'6.2 HH'!G147+'6.3 könyvtár'!G147+'6.4 sportcsarnok'!G147+'6.5 pályázat_1'!G147</f>
        <v>0</v>
      </c>
      <c r="H147" s="246">
        <f>'6.1 műv ház'!H147+'6.2 HH'!H147+'6.3 könyvtár'!H147+'6.4 sportcsarnok'!H147+'6.5 pályázat_1'!H147</f>
        <v>0</v>
      </c>
      <c r="I147" s="246">
        <f>'6.1 műv ház'!I147+'6.2 HH'!I147+'6.3 könyvtár'!I147+'6.4 sportcsarnok'!I147+'6.5 pályázat_1'!I147</f>
        <v>0</v>
      </c>
      <c r="J147" s="246">
        <f>'6.1 műv ház'!J147+'6.2 HH'!J147+'6.3 könyvtár'!J147+'6.4 sportcsarnok'!J147+'6.5 pályázat_1'!J147</f>
        <v>0</v>
      </c>
      <c r="K147" s="246">
        <f>'6.1 műv ház'!K147+'6.2 HH'!K147+'6.3 könyvtár'!K147+'6.4 sportcsarnok'!K147+'6.5 pályázat_1'!K147</f>
        <v>0</v>
      </c>
      <c r="L147" s="246">
        <f>'6.1 műv ház'!L147+'6.2 HH'!L147+'6.3 könyvtár'!L147+'6.4 sportcsarnok'!L147+'6.5 pályázat_1'!L147</f>
        <v>0</v>
      </c>
      <c r="M147" s="246">
        <f>'6.1 műv ház'!M147+'6.2 HH'!M147+'6.3 könyvtár'!M147+'6.4 sportcsarnok'!M147+'6.5 pályázat_1'!M147</f>
        <v>0</v>
      </c>
      <c r="N147" s="246">
        <f>'6.1 műv ház'!N147+'6.2 HH'!N147+'6.3 könyvtár'!N147+'6.4 sportcsarnok'!N147+'6.5 pályázat_1'!N147</f>
        <v>0</v>
      </c>
    </row>
    <row r="148" spans="1:15" ht="15.75" hidden="1" thickBot="1" x14ac:dyDescent="0.3">
      <c r="A148" s="61" t="s">
        <v>258</v>
      </c>
      <c r="B148" s="62" t="s">
        <v>259</v>
      </c>
      <c r="C148" s="246">
        <f>'6.1 műv ház'!C148+'6.2 HH'!C148+'6.3 könyvtár'!C148+'6.4 sportcsarnok'!C148+'6.5 pályázat_1'!C148</f>
        <v>0</v>
      </c>
      <c r="D148" s="246">
        <f>'6.1 műv ház'!D148+'6.2 HH'!D148+'6.3 könyvtár'!D148+'6.4 sportcsarnok'!D148+'6.5 pályázat_1'!D148</f>
        <v>0</v>
      </c>
      <c r="E148" s="246">
        <f>'6.1 műv ház'!E148+'6.2 HH'!E148+'6.3 könyvtár'!E148+'6.4 sportcsarnok'!E148+'6.5 pályázat_1'!E148</f>
        <v>0</v>
      </c>
      <c r="F148" s="246">
        <f>'6.1 műv ház'!F148+'6.2 HH'!F148+'6.3 könyvtár'!F148+'6.4 sportcsarnok'!F148+'6.5 pályázat_1'!F148</f>
        <v>0</v>
      </c>
      <c r="G148" s="246">
        <f>'6.1 műv ház'!G148+'6.2 HH'!G148+'6.3 könyvtár'!G148+'6.4 sportcsarnok'!G148+'6.5 pályázat_1'!G148</f>
        <v>0</v>
      </c>
      <c r="H148" s="246">
        <f>'6.1 műv ház'!H148+'6.2 HH'!H148+'6.3 könyvtár'!H148+'6.4 sportcsarnok'!H148+'6.5 pályázat_1'!H148</f>
        <v>0</v>
      </c>
      <c r="I148" s="246">
        <f>'6.1 műv ház'!I148+'6.2 HH'!I148+'6.3 könyvtár'!I148+'6.4 sportcsarnok'!I148+'6.5 pályázat_1'!I148</f>
        <v>0</v>
      </c>
      <c r="J148" s="246">
        <f>'6.1 műv ház'!J148+'6.2 HH'!J148+'6.3 könyvtár'!J148+'6.4 sportcsarnok'!J148+'6.5 pályázat_1'!J148</f>
        <v>0</v>
      </c>
      <c r="K148" s="246">
        <f>'6.1 műv ház'!K148+'6.2 HH'!K148+'6.3 könyvtár'!K148+'6.4 sportcsarnok'!K148+'6.5 pályázat_1'!K148</f>
        <v>0</v>
      </c>
      <c r="L148" s="246">
        <f>'6.1 műv ház'!L148+'6.2 HH'!L148+'6.3 könyvtár'!L148+'6.4 sportcsarnok'!L148+'6.5 pályázat_1'!L148</f>
        <v>0</v>
      </c>
      <c r="M148" s="246">
        <f>'6.1 műv ház'!M148+'6.2 HH'!M148+'6.3 könyvtár'!M148+'6.4 sportcsarnok'!M148+'6.5 pályázat_1'!M148</f>
        <v>0</v>
      </c>
      <c r="N148" s="246">
        <f>'6.1 műv ház'!N148+'6.2 HH'!N148+'6.3 könyvtár'!N148+'6.4 sportcsarnok'!N148+'6.5 pályázat_1'!N148</f>
        <v>0</v>
      </c>
    </row>
    <row r="149" spans="1:15" ht="15.75" hidden="1" thickBot="1" x14ac:dyDescent="0.3">
      <c r="A149" s="61" t="s">
        <v>260</v>
      </c>
      <c r="B149" s="62" t="s">
        <v>261</v>
      </c>
      <c r="C149" s="246">
        <f>'6.1 műv ház'!C149+'6.2 HH'!C149+'6.3 könyvtár'!C149+'6.4 sportcsarnok'!C149+'6.5 pályázat_1'!C149</f>
        <v>0</v>
      </c>
      <c r="D149" s="246">
        <f>'6.1 műv ház'!D149+'6.2 HH'!D149+'6.3 könyvtár'!D149+'6.4 sportcsarnok'!D149+'6.5 pályázat_1'!D149</f>
        <v>0</v>
      </c>
      <c r="E149" s="246">
        <f>'6.1 műv ház'!E149+'6.2 HH'!E149+'6.3 könyvtár'!E149+'6.4 sportcsarnok'!E149+'6.5 pályázat_1'!E149</f>
        <v>0</v>
      </c>
      <c r="F149" s="246">
        <f>'6.1 műv ház'!F149+'6.2 HH'!F149+'6.3 könyvtár'!F149+'6.4 sportcsarnok'!F149+'6.5 pályázat_1'!F149</f>
        <v>0</v>
      </c>
      <c r="G149" s="246">
        <f>'6.1 műv ház'!G149+'6.2 HH'!G149+'6.3 könyvtár'!G149+'6.4 sportcsarnok'!G149+'6.5 pályázat_1'!G149</f>
        <v>0</v>
      </c>
      <c r="H149" s="246">
        <f>'6.1 műv ház'!H149+'6.2 HH'!H149+'6.3 könyvtár'!H149+'6.4 sportcsarnok'!H149+'6.5 pályázat_1'!H149</f>
        <v>0</v>
      </c>
      <c r="I149" s="246">
        <f>'6.1 műv ház'!I149+'6.2 HH'!I149+'6.3 könyvtár'!I149+'6.4 sportcsarnok'!I149+'6.5 pályázat_1'!I149</f>
        <v>0</v>
      </c>
      <c r="J149" s="246">
        <f>'6.1 műv ház'!J149+'6.2 HH'!J149+'6.3 könyvtár'!J149+'6.4 sportcsarnok'!J149+'6.5 pályázat_1'!J149</f>
        <v>0</v>
      </c>
      <c r="K149" s="246">
        <f>'6.1 műv ház'!K149+'6.2 HH'!K149+'6.3 könyvtár'!K149+'6.4 sportcsarnok'!K149+'6.5 pályázat_1'!K149</f>
        <v>0</v>
      </c>
      <c r="L149" s="246">
        <f>'6.1 műv ház'!L149+'6.2 HH'!L149+'6.3 könyvtár'!L149+'6.4 sportcsarnok'!L149+'6.5 pályázat_1'!L149</f>
        <v>0</v>
      </c>
      <c r="M149" s="246">
        <f>'6.1 műv ház'!M149+'6.2 HH'!M149+'6.3 könyvtár'!M149+'6.4 sportcsarnok'!M149+'6.5 pályázat_1'!M149</f>
        <v>0</v>
      </c>
      <c r="N149" s="246">
        <f>'6.1 műv ház'!N149+'6.2 HH'!N149+'6.3 könyvtár'!N149+'6.4 sportcsarnok'!N149+'6.5 pályázat_1'!N149</f>
        <v>0</v>
      </c>
    </row>
    <row r="150" spans="1:15" ht="15.75" hidden="1" thickBot="1" x14ac:dyDescent="0.3">
      <c r="A150" s="63"/>
      <c r="B150" s="50" t="s">
        <v>262</v>
      </c>
      <c r="C150" s="248">
        <f>'6.1 műv ház'!C150+'6.2 HH'!C150+'6.3 könyvtár'!C150+'6.4 sportcsarnok'!C150+'6.5 pályázat_1'!C150</f>
        <v>0</v>
      </c>
      <c r="D150" s="248">
        <f>'6.1 műv ház'!D150+'6.2 HH'!D150+'6.3 könyvtár'!D150+'6.4 sportcsarnok'!D150+'6.5 pályázat_1'!D150</f>
        <v>0</v>
      </c>
      <c r="E150" s="248">
        <f>'6.1 műv ház'!E150+'6.2 HH'!E150+'6.3 könyvtár'!E150+'6.4 sportcsarnok'!E150+'6.5 pályázat_1'!E150</f>
        <v>0</v>
      </c>
      <c r="F150" s="248">
        <f>'6.1 műv ház'!F150+'6.2 HH'!F150+'6.3 könyvtár'!F150+'6.4 sportcsarnok'!F150+'6.5 pályázat_1'!F150</f>
        <v>0</v>
      </c>
      <c r="G150" s="248">
        <f>'6.1 műv ház'!G150+'6.2 HH'!G150+'6.3 könyvtár'!G150+'6.4 sportcsarnok'!G150+'6.5 pályázat_1'!G150</f>
        <v>0</v>
      </c>
      <c r="H150" s="248">
        <f>'6.1 műv ház'!H150+'6.2 HH'!H150+'6.3 könyvtár'!H150+'6.4 sportcsarnok'!H150+'6.5 pályázat_1'!H150</f>
        <v>0</v>
      </c>
      <c r="I150" s="248">
        <f>'6.1 műv ház'!I150+'6.2 HH'!I150+'6.3 könyvtár'!I150+'6.4 sportcsarnok'!I150+'6.5 pályázat_1'!I150</f>
        <v>0</v>
      </c>
      <c r="J150" s="248">
        <f>'6.1 műv ház'!J150+'6.2 HH'!J150+'6.3 könyvtár'!J150+'6.4 sportcsarnok'!J150+'6.5 pályázat_1'!J150</f>
        <v>0</v>
      </c>
      <c r="K150" s="248">
        <f>'6.1 műv ház'!K150+'6.2 HH'!K150+'6.3 könyvtár'!K150+'6.4 sportcsarnok'!K150+'6.5 pályázat_1'!K150</f>
        <v>0</v>
      </c>
      <c r="L150" s="248">
        <f>'6.1 műv ház'!L150+'6.2 HH'!L150+'6.3 könyvtár'!L150+'6.4 sportcsarnok'!L150+'6.5 pályázat_1'!L150</f>
        <v>0</v>
      </c>
      <c r="M150" s="248">
        <f>'6.1 műv ház'!M150+'6.2 HH'!M150+'6.3 könyvtár'!M150+'6.4 sportcsarnok'!M150+'6.5 pályázat_1'!M150</f>
        <v>0</v>
      </c>
      <c r="N150" s="248">
        <f>'6.1 műv ház'!N150+'6.2 HH'!N150+'6.3 könyvtár'!N150+'6.4 sportcsarnok'!N150+'6.5 pályázat_1'!N150</f>
        <v>0</v>
      </c>
    </row>
    <row r="151" spans="1:15" ht="15.75" thickBot="1" x14ac:dyDescent="0.3">
      <c r="A151" s="65" t="s">
        <v>265</v>
      </c>
      <c r="B151" s="378" t="s">
        <v>263</v>
      </c>
      <c r="C151" s="250">
        <f>'6.1 műv ház'!C151+'6.2 HH'!C151+'6.3 könyvtár'!C151+'6.4 sportcsarnok'!C151+'6.5 pályázat_1'!C151</f>
        <v>103598627</v>
      </c>
      <c r="D151" s="250">
        <f>'6.1 műv ház'!D151+'6.2 HH'!D151+'6.3 könyvtár'!D151+'6.4 sportcsarnok'!D151+'6.5 pályázat_1'!D151</f>
        <v>0</v>
      </c>
      <c r="E151" s="250">
        <f>'6.1 műv ház'!E151+'6.2 HH'!E151+'6.3 könyvtár'!E151+'6.4 sportcsarnok'!E151+'6.5 pályázat_1'!E151</f>
        <v>103598627</v>
      </c>
      <c r="F151" s="250">
        <f>'6.1 műv ház'!F151+'6.2 HH'!F151+'6.3 könyvtár'!F151+'6.4 sportcsarnok'!F151+'6.5 pályázat_1'!F151</f>
        <v>120580397</v>
      </c>
      <c r="G151" s="250">
        <f>'6.1 műv ház'!G151+'6.2 HH'!G151+'6.3 könyvtár'!G151+'6.4 sportcsarnok'!G151+'6.5 pályázat_1'!G151</f>
        <v>0</v>
      </c>
      <c r="H151" s="250">
        <f>'6.1 műv ház'!H151+'6.2 HH'!H151+'6.3 könyvtár'!H151+'6.4 sportcsarnok'!H151+'6.5 pályázat_1'!H151</f>
        <v>120580397</v>
      </c>
      <c r="I151" s="250">
        <f>'6.1 műv ház'!I151+'6.2 HH'!I151+'6.3 könyvtár'!I151+'6.4 sportcsarnok'!I151+'6.5 pályázat_1'!I151</f>
        <v>123027239</v>
      </c>
      <c r="J151" s="250">
        <f>'6.1 műv ház'!J151+'6.2 HH'!J151+'6.3 könyvtár'!J151+'6.4 sportcsarnok'!J151+'6.5 pályázat_1'!J151</f>
        <v>0</v>
      </c>
      <c r="K151" s="250">
        <f>'6.1 műv ház'!K151+'6.2 HH'!K151+'6.3 könyvtár'!K151+'6.4 sportcsarnok'!K151+'6.5 pályázat_1'!K151</f>
        <v>123027239</v>
      </c>
      <c r="L151" s="250">
        <f>'6.1 műv ház'!L151+'6.2 HH'!L151+'6.3 könyvtár'!L151+'6.4 sportcsarnok'!L151+'6.5 pályázat_1'!L151</f>
        <v>119102256</v>
      </c>
      <c r="M151" s="250">
        <f>'6.1 műv ház'!M151+'6.2 HH'!M151+'6.3 könyvtár'!M151+'6.4 sportcsarnok'!M151+'6.5 pályázat_1'!M151</f>
        <v>0</v>
      </c>
      <c r="N151" s="250">
        <f>'6.1 műv ház'!N151+'6.2 HH'!N151+'6.3 könyvtár'!N151+'6.4 sportcsarnok'!N151+'6.5 pályázat_1'!N151</f>
        <v>119102256</v>
      </c>
    </row>
    <row r="152" spans="1:15" x14ac:dyDescent="0.25">
      <c r="D152" s="388"/>
      <c r="E152" s="388"/>
      <c r="G152" s="388"/>
      <c r="H152" s="314"/>
      <c r="J152" s="388"/>
      <c r="K152" s="314"/>
      <c r="M152" s="388"/>
      <c r="N152" s="314"/>
    </row>
    <row r="153" spans="1:15" x14ac:dyDescent="0.25">
      <c r="C153" s="148"/>
      <c r="D153" s="148"/>
      <c r="E153" s="148">
        <f t="shared" ref="E153" si="3">E85-E151</f>
        <v>0</v>
      </c>
      <c r="F153" s="148"/>
      <c r="G153" s="148"/>
      <c r="H153" s="148">
        <f t="shared" ref="H153" si="4">H85-H151</f>
        <v>0</v>
      </c>
      <c r="I153" s="148"/>
      <c r="J153" s="148"/>
      <c r="K153" s="148">
        <f t="shared" ref="K153" si="5">K85-K151</f>
        <v>0</v>
      </c>
      <c r="L153" s="148"/>
      <c r="M153" s="148"/>
      <c r="N153" s="148">
        <f t="shared" ref="N153" si="6">N85-N151</f>
        <v>4509783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34" header="0.31496062992125984" footer="0.31496062992125984"/>
  <pageSetup paperSize="9" scale="46" fitToHeight="0" orientation="portrait" horizontalDpi="300" verticalDpi="30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  <pageSetUpPr fitToPage="1"/>
  </sheetPr>
  <dimension ref="A1:N154"/>
  <sheetViews>
    <sheetView zoomScaleNormal="100" workbookViewId="0">
      <pane ySplit="8" topLeftCell="A94" activePane="bottomLeft" state="frozen"/>
      <selection activeCell="AB159" sqref="AB159"/>
      <selection pane="bottomLeft" activeCell="L84" sqref="L84"/>
    </sheetView>
  </sheetViews>
  <sheetFormatPr defaultRowHeight="15" x14ac:dyDescent="0.25"/>
  <cols>
    <col min="1" max="1" width="9.140625" style="44"/>
    <col min="2" max="2" width="50.140625" style="44" customWidth="1"/>
    <col min="3" max="3" width="10.28515625" style="44" customWidth="1"/>
    <col min="4" max="4" width="9.140625" style="44"/>
    <col min="5" max="5" width="9.85546875" style="44" customWidth="1"/>
    <col min="6" max="6" width="11.140625" style="179" customWidth="1"/>
    <col min="7" max="7" width="9.140625" style="179"/>
    <col min="8" max="8" width="11.28515625" style="179" customWidth="1"/>
    <col min="9" max="9" width="11.140625" style="179" customWidth="1"/>
    <col min="10" max="10" width="9.140625" style="179"/>
    <col min="11" max="11" width="11.28515625" style="179" customWidth="1"/>
    <col min="12" max="12" width="11.140625" style="179" customWidth="1"/>
    <col min="13" max="13" width="9.140625" style="179"/>
    <col min="14" max="14" width="11.28515625" style="179" customWidth="1"/>
    <col min="15" max="16384" width="9.140625" style="44"/>
  </cols>
  <sheetData>
    <row r="1" spans="1:14" x14ac:dyDescent="0.25">
      <c r="A1" s="912" t="s">
        <v>272</v>
      </c>
      <c r="B1" s="912"/>
      <c r="C1" s="912"/>
      <c r="D1" s="912"/>
      <c r="E1" s="912"/>
      <c r="F1" s="44"/>
      <c r="G1" s="44"/>
      <c r="H1" s="44"/>
    </row>
    <row r="2" spans="1:14" x14ac:dyDescent="0.25">
      <c r="A2" s="912" t="s">
        <v>271</v>
      </c>
      <c r="B2" s="912"/>
      <c r="C2" s="912"/>
      <c r="D2" s="912"/>
      <c r="E2" s="912"/>
      <c r="F2" s="44"/>
      <c r="G2" s="44"/>
      <c r="H2" s="44"/>
    </row>
    <row r="3" spans="1:14" ht="8.25" customHeight="1" x14ac:dyDescent="0.25"/>
    <row r="4" spans="1:14" x14ac:dyDescent="0.25">
      <c r="A4" s="79" t="s">
        <v>270</v>
      </c>
      <c r="C4" s="45" t="str">
        <f>'6.0 hksk'!D4</f>
        <v xml:space="preserve"> 12 / 2020. (VI.15) sz rendelet</v>
      </c>
    </row>
    <row r="5" spans="1:14" x14ac:dyDescent="0.25">
      <c r="A5" s="90" t="s">
        <v>537</v>
      </c>
      <c r="B5" s="81" t="s">
        <v>538</v>
      </c>
    </row>
    <row r="6" spans="1:14" x14ac:dyDescent="0.25">
      <c r="C6" s="519" t="s">
        <v>724</v>
      </c>
      <c r="D6" s="622" t="str">
        <f>'6.0 hksk'!D6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1932315</v>
      </c>
      <c r="D9" s="244">
        <f>SUM(D10,D17,D18,D20,D21,D19)</f>
        <v>0</v>
      </c>
      <c r="E9" s="245">
        <f t="shared" ref="E9:E40" si="0">SUM(C9:D9)</f>
        <v>1932315</v>
      </c>
      <c r="F9" s="244">
        <f>SUM(F10,F17,F18,F20,F21,F19)</f>
        <v>2854024</v>
      </c>
      <c r="G9" s="244">
        <f>SUM(G10,G17,G18,G20,G21,G19)</f>
        <v>0</v>
      </c>
      <c r="H9" s="245">
        <f t="shared" ref="H9:H73" si="1">SUM(F9:G9)</f>
        <v>2854024</v>
      </c>
      <c r="I9" s="244">
        <f>SUM(I10,I17,I18,I20,I21,I19)</f>
        <v>3038243</v>
      </c>
      <c r="J9" s="244">
        <f>SUM(J10,J17,J18,J20,J21,J19)</f>
        <v>0</v>
      </c>
      <c r="K9" s="245">
        <f t="shared" ref="K9:K73" si="2">SUM(I9:J9)</f>
        <v>3038243</v>
      </c>
      <c r="L9" s="244">
        <f>SUM(L10,L17,L18,L20,L21,L19)</f>
        <v>2887757</v>
      </c>
      <c r="M9" s="244">
        <f>SUM(M10,M17,M18,M20,M21,M19)</f>
        <v>0</v>
      </c>
      <c r="N9" s="245">
        <f t="shared" ref="N9:N73" si="3">SUM(L9:M9)</f>
        <v>2887757</v>
      </c>
    </row>
    <row r="10" spans="1:14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921709</v>
      </c>
      <c r="G10" s="246">
        <f>SUM(G11:G16)</f>
        <v>0</v>
      </c>
      <c r="H10" s="247">
        <f t="shared" si="1"/>
        <v>921709</v>
      </c>
      <c r="I10" s="246">
        <f>SUM(I11:I16)</f>
        <v>1105928</v>
      </c>
      <c r="J10" s="246">
        <f>SUM(J11:J16)</f>
        <v>0</v>
      </c>
      <c r="K10" s="247">
        <f t="shared" si="2"/>
        <v>1105928</v>
      </c>
      <c r="L10" s="246">
        <f>SUM(L11:L16)</f>
        <v>1105928</v>
      </c>
      <c r="M10" s="246">
        <f>SUM(M11:M16)</f>
        <v>0</v>
      </c>
      <c r="N10" s="247">
        <f t="shared" si="3"/>
        <v>1105928</v>
      </c>
    </row>
    <row r="11" spans="1:14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>
        <v>358</v>
      </c>
      <c r="G11" s="246"/>
      <c r="H11" s="247">
        <f t="shared" si="1"/>
        <v>358</v>
      </c>
      <c r="I11" s="246">
        <v>358</v>
      </c>
      <c r="J11" s="246"/>
      <c r="K11" s="247">
        <f t="shared" si="2"/>
        <v>358</v>
      </c>
      <c r="L11" s="246">
        <v>358</v>
      </c>
      <c r="M11" s="246"/>
      <c r="N11" s="247">
        <f t="shared" si="3"/>
        <v>358</v>
      </c>
    </row>
    <row r="12" spans="1:14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>
        <v>921351</v>
      </c>
      <c r="G14" s="246"/>
      <c r="H14" s="247">
        <f t="shared" si="1"/>
        <v>921351</v>
      </c>
      <c r="I14" s="246">
        <f>1105570</f>
        <v>1105570</v>
      </c>
      <c r="J14" s="246"/>
      <c r="K14" s="247">
        <f t="shared" si="2"/>
        <v>1105570</v>
      </c>
      <c r="L14" s="246">
        <f>1105570</f>
        <v>1105570</v>
      </c>
      <c r="M14" s="246"/>
      <c r="N14" s="247">
        <f t="shared" si="3"/>
        <v>1105570</v>
      </c>
    </row>
    <row r="15" spans="1:14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1932315</v>
      </c>
      <c r="D21" s="248"/>
      <c r="E21" s="249">
        <f t="shared" si="0"/>
        <v>1932315</v>
      </c>
      <c r="F21" s="248">
        <v>1932315</v>
      </c>
      <c r="G21" s="248"/>
      <c r="H21" s="249">
        <f t="shared" si="1"/>
        <v>1932315</v>
      </c>
      <c r="I21" s="248">
        <v>1932315</v>
      </c>
      <c r="J21" s="248"/>
      <c r="K21" s="249">
        <f t="shared" si="2"/>
        <v>1932315</v>
      </c>
      <c r="L21" s="248">
        <v>1781829</v>
      </c>
      <c r="M21" s="248"/>
      <c r="N21" s="249">
        <f t="shared" si="3"/>
        <v>1781829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ref="E41:E73" si="4">SUM(C41:D41)</f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4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4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4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15175000</v>
      </c>
      <c r="D45" s="244">
        <f>D46+D47+D48+D49+D54+D55+D56+D57+D58+D59+D60</f>
        <v>0</v>
      </c>
      <c r="E45" s="245">
        <f t="shared" si="4"/>
        <v>15175000</v>
      </c>
      <c r="F45" s="244">
        <f>F46+F47+F48+F49+F54+F55+F56+F57+F58+F59+F60</f>
        <v>17712565</v>
      </c>
      <c r="G45" s="244">
        <f>G46+G47+G48+G49+G54+G55+G56+G57+G58+G59+G60</f>
        <v>0</v>
      </c>
      <c r="H45" s="245">
        <f t="shared" si="1"/>
        <v>17712565</v>
      </c>
      <c r="I45" s="244">
        <f>I46+I47+I48+I49+I54+I55+I56+I57+I58+I59+I60</f>
        <v>17904019</v>
      </c>
      <c r="J45" s="244">
        <f>J46+J47+J48+J49+J54+J55+J56+J57+J58+J59+J60</f>
        <v>0</v>
      </c>
      <c r="K45" s="245">
        <f t="shared" si="2"/>
        <v>17904019</v>
      </c>
      <c r="L45" s="244">
        <f>L46+L47+L48+L49+L54+L55+L56+L57+L58+L59+L60</f>
        <v>10111485</v>
      </c>
      <c r="M45" s="244">
        <f>M46+M47+M48+M49+M54+M55+M56+M57+M58+M59+M60</f>
        <v>0</v>
      </c>
      <c r="N45" s="245">
        <f t="shared" si="3"/>
        <v>10111485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4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>
        <v>12267716</v>
      </c>
      <c r="D47" s="246"/>
      <c r="E47" s="247">
        <f t="shared" si="4"/>
        <v>12267716</v>
      </c>
      <c r="F47" s="246">
        <f>12267716-6243213+7751000</f>
        <v>13775503</v>
      </c>
      <c r="G47" s="246"/>
      <c r="H47" s="247">
        <f t="shared" si="1"/>
        <v>13775503</v>
      </c>
      <c r="I47" s="246">
        <f>12267716-6243213+7751000</f>
        <v>13775503</v>
      </c>
      <c r="J47" s="246"/>
      <c r="K47" s="247">
        <f t="shared" si="2"/>
        <v>13775503</v>
      </c>
      <c r="L47" s="246">
        <v>8233499</v>
      </c>
      <c r="M47" s="246"/>
      <c r="N47" s="247">
        <f t="shared" si="3"/>
        <v>8233499</v>
      </c>
    </row>
    <row r="48" spans="1:14" x14ac:dyDescent="0.25">
      <c r="A48" s="53" t="s">
        <v>99</v>
      </c>
      <c r="B48" s="62" t="s">
        <v>100</v>
      </c>
      <c r="C48" s="246">
        <v>0</v>
      </c>
      <c r="D48" s="246"/>
      <c r="E48" s="247">
        <f t="shared" si="4"/>
        <v>0</v>
      </c>
      <c r="F48" s="246">
        <v>0</v>
      </c>
      <c r="G48" s="246"/>
      <c r="H48" s="247">
        <f t="shared" si="1"/>
        <v>0</v>
      </c>
      <c r="I48" s="246">
        <v>191354</v>
      </c>
      <c r="J48" s="246"/>
      <c r="K48" s="247">
        <f t="shared" si="2"/>
        <v>191354</v>
      </c>
      <c r="L48" s="246">
        <v>191354</v>
      </c>
      <c r="M48" s="246"/>
      <c r="N48" s="247">
        <f t="shared" si="3"/>
        <v>191354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4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4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4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4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4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4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>
        <f>2906280+1004</f>
        <v>2907284</v>
      </c>
      <c r="D55" s="246"/>
      <c r="E55" s="247">
        <f t="shared" si="4"/>
        <v>2907284</v>
      </c>
      <c r="F55" s="246">
        <f>2906280+1004-1062992+2092770</f>
        <v>3937062</v>
      </c>
      <c r="G55" s="246"/>
      <c r="H55" s="247">
        <f t="shared" si="1"/>
        <v>3937062</v>
      </c>
      <c r="I55" s="246">
        <f>2906280+1004-1062992+2092770</f>
        <v>3937062</v>
      </c>
      <c r="J55" s="246"/>
      <c r="K55" s="247">
        <f t="shared" si="2"/>
        <v>3937062</v>
      </c>
      <c r="L55" s="246">
        <v>1686590</v>
      </c>
      <c r="M55" s="246"/>
      <c r="N55" s="247">
        <f t="shared" si="3"/>
        <v>1686590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4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4"/>
        <v>0</v>
      </c>
      <c r="F57" s="246"/>
      <c r="G57" s="246"/>
      <c r="H57" s="247">
        <f t="shared" si="1"/>
        <v>0</v>
      </c>
      <c r="I57" s="246">
        <v>100</v>
      </c>
      <c r="J57" s="246"/>
      <c r="K57" s="247">
        <f t="shared" si="2"/>
        <v>100</v>
      </c>
      <c r="L57" s="246">
        <v>42</v>
      </c>
      <c r="M57" s="246"/>
      <c r="N57" s="247">
        <f t="shared" si="3"/>
        <v>42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4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4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4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x14ac:dyDescent="0.25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4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28407</v>
      </c>
      <c r="J61" s="244">
        <f>SUM(J62:J66)</f>
        <v>0</v>
      </c>
      <c r="K61" s="245">
        <f t="shared" si="2"/>
        <v>28407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x14ac:dyDescent="0.25">
      <c r="A62" s="53" t="s">
        <v>122</v>
      </c>
      <c r="B62" s="62" t="s">
        <v>123</v>
      </c>
      <c r="C62" s="246"/>
      <c r="D62" s="246"/>
      <c r="E62" s="247">
        <f t="shared" si="4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x14ac:dyDescent="0.25">
      <c r="A63" s="53" t="s">
        <v>124</v>
      </c>
      <c r="B63" s="62" t="s">
        <v>125</v>
      </c>
      <c r="C63" s="246"/>
      <c r="D63" s="246"/>
      <c r="E63" s="247">
        <f t="shared" si="4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x14ac:dyDescent="0.25">
      <c r="A64" s="53" t="s">
        <v>126</v>
      </c>
      <c r="B64" s="62" t="s">
        <v>127</v>
      </c>
      <c r="C64" s="246"/>
      <c r="D64" s="246"/>
      <c r="E64" s="247">
        <f t="shared" si="4"/>
        <v>0</v>
      </c>
      <c r="F64" s="246"/>
      <c r="G64" s="246"/>
      <c r="H64" s="247">
        <f t="shared" si="1"/>
        <v>0</v>
      </c>
      <c r="I64" s="246">
        <v>28407</v>
      </c>
      <c r="J64" s="246"/>
      <c r="K64" s="247">
        <f t="shared" si="2"/>
        <v>28407</v>
      </c>
      <c r="L64" s="246"/>
      <c r="M64" s="246"/>
      <c r="N64" s="247">
        <f t="shared" si="3"/>
        <v>0</v>
      </c>
    </row>
    <row r="65" spans="1:14" x14ac:dyDescent="0.25">
      <c r="A65" s="53" t="s">
        <v>128</v>
      </c>
      <c r="B65" s="62" t="s">
        <v>129</v>
      </c>
      <c r="C65" s="246"/>
      <c r="D65" s="246"/>
      <c r="E65" s="247">
        <f t="shared" si="4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thickBot="1" x14ac:dyDescent="0.3">
      <c r="A66" s="55" t="s">
        <v>130</v>
      </c>
      <c r="B66" s="64" t="s">
        <v>131</v>
      </c>
      <c r="C66" s="248"/>
      <c r="D66" s="248"/>
      <c r="E66" s="249">
        <f t="shared" si="4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4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100000</v>
      </c>
      <c r="J67" s="244">
        <f>SUM(J68:J69)</f>
        <v>0</v>
      </c>
      <c r="K67" s="245">
        <f t="shared" si="2"/>
        <v>100000</v>
      </c>
      <c r="L67" s="244">
        <f>SUM(L68:L69)</f>
        <v>100000</v>
      </c>
      <c r="M67" s="244">
        <f>SUM(M68:M69)</f>
        <v>0</v>
      </c>
      <c r="N67" s="245">
        <f t="shared" si="3"/>
        <v>100000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4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4"/>
        <v>0</v>
      </c>
      <c r="F69" s="248"/>
      <c r="G69" s="248"/>
      <c r="H69" s="249">
        <f t="shared" si="1"/>
        <v>0</v>
      </c>
      <c r="I69" s="248">
        <v>100000</v>
      </c>
      <c r="J69" s="248"/>
      <c r="K69" s="249">
        <f t="shared" si="2"/>
        <v>100000</v>
      </c>
      <c r="L69" s="248">
        <v>100000</v>
      </c>
      <c r="M69" s="248"/>
      <c r="N69" s="249">
        <f t="shared" si="3"/>
        <v>100000</v>
      </c>
    </row>
    <row r="70" spans="1:14" ht="15.75" thickBot="1" x14ac:dyDescent="0.3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4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4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hidden="1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17107315</v>
      </c>
      <c r="D73" s="250">
        <f>D9+D22+D25+D45+D61+D67+D70</f>
        <v>0</v>
      </c>
      <c r="E73" s="251">
        <f t="shared" si="4"/>
        <v>17107315</v>
      </c>
      <c r="F73" s="250">
        <f>F9+F22+F25+F45+F61+F67+F70</f>
        <v>20566589</v>
      </c>
      <c r="G73" s="250">
        <f>G9+G22+G25+G45+G61+G67+G70</f>
        <v>0</v>
      </c>
      <c r="H73" s="251">
        <f t="shared" si="1"/>
        <v>20566589</v>
      </c>
      <c r="I73" s="250">
        <f>I9+I22+I25+I45+I61+I67+I70</f>
        <v>21070669</v>
      </c>
      <c r="J73" s="250">
        <f>J9+J22+J25+J45+J61+J67+J70</f>
        <v>0</v>
      </c>
      <c r="K73" s="251">
        <f t="shared" si="2"/>
        <v>21070669</v>
      </c>
      <c r="L73" s="250">
        <f>L9+L22+L25+L45+L61+L67+L70</f>
        <v>13099242</v>
      </c>
      <c r="M73" s="250">
        <f>M9+M22+M25+M45+M61+M67+M70</f>
        <v>0</v>
      </c>
      <c r="N73" s="251">
        <f t="shared" si="3"/>
        <v>13099242</v>
      </c>
    </row>
    <row r="74" spans="1:14" x14ac:dyDescent="0.25">
      <c r="A74" s="57" t="s">
        <v>143</v>
      </c>
      <c r="B74" s="68" t="s">
        <v>144</v>
      </c>
      <c r="C74" s="244">
        <f>C75</f>
        <v>78428822</v>
      </c>
      <c r="D74" s="244">
        <f>D75</f>
        <v>0</v>
      </c>
      <c r="E74" s="245">
        <f t="shared" ref="E74:E81" si="5">SUM(C74:D74)</f>
        <v>78428822</v>
      </c>
      <c r="F74" s="244">
        <f>F75</f>
        <v>90774841</v>
      </c>
      <c r="G74" s="244">
        <f>G75</f>
        <v>0</v>
      </c>
      <c r="H74" s="245">
        <f t="shared" ref="H74:H81" si="6">SUM(F74:G74)</f>
        <v>90774841</v>
      </c>
      <c r="I74" s="244">
        <f>I75</f>
        <v>92605041</v>
      </c>
      <c r="J74" s="244">
        <f>J75</f>
        <v>0</v>
      </c>
      <c r="K74" s="245">
        <f t="shared" ref="K74:K81" si="7">SUM(I74:J74)</f>
        <v>92605041</v>
      </c>
      <c r="L74" s="244">
        <f>L75</f>
        <v>102130643</v>
      </c>
      <c r="M74" s="244">
        <f>M75</f>
        <v>0</v>
      </c>
      <c r="N74" s="245">
        <f t="shared" ref="N74:N81" si="8">SUM(L74:M74)</f>
        <v>102130643</v>
      </c>
    </row>
    <row r="75" spans="1:14" x14ac:dyDescent="0.25">
      <c r="A75" s="53" t="s">
        <v>145</v>
      </c>
      <c r="B75" s="62" t="s">
        <v>146</v>
      </c>
      <c r="C75" s="246">
        <f>SUM(C76:C77,C78,C79,C83,C82)</f>
        <v>78428822</v>
      </c>
      <c r="D75" s="246">
        <f>SUM(D76:D77,D78,D79,D83,D82)</f>
        <v>0</v>
      </c>
      <c r="E75" s="247">
        <f t="shared" si="5"/>
        <v>78428822</v>
      </c>
      <c r="F75" s="246">
        <f>SUM(F76:F77,F78,F79,F83,F82)</f>
        <v>90774841</v>
      </c>
      <c r="G75" s="246">
        <f>SUM(G76:G77,G78,G79,G83,G82)</f>
        <v>0</v>
      </c>
      <c r="H75" s="247">
        <f t="shared" si="6"/>
        <v>90774841</v>
      </c>
      <c r="I75" s="246">
        <f>SUM(I76:I77,I78,I79,I83,I82)</f>
        <v>92605041</v>
      </c>
      <c r="J75" s="246">
        <f>SUM(J76:J77,J78,J79,J83,J82)</f>
        <v>0</v>
      </c>
      <c r="K75" s="247">
        <f t="shared" si="7"/>
        <v>92605041</v>
      </c>
      <c r="L75" s="246">
        <f>SUM(L76:L77,L78,L79,L83,L82)</f>
        <v>102130643</v>
      </c>
      <c r="M75" s="246">
        <f>SUM(M76:M77,M78,M79,M83,M82)</f>
        <v>0</v>
      </c>
      <c r="N75" s="247">
        <f t="shared" si="8"/>
        <v>102130643</v>
      </c>
    </row>
    <row r="76" spans="1:14" hidden="1" x14ac:dyDescent="0.25">
      <c r="A76" s="53" t="s">
        <v>147</v>
      </c>
      <c r="B76" s="62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idden="1" x14ac:dyDescent="0.25">
      <c r="A77" s="53" t="s">
        <v>149</v>
      </c>
      <c r="B77" s="62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idden="1" x14ac:dyDescent="0.25">
      <c r="A78" s="53" t="s">
        <v>151</v>
      </c>
      <c r="B78" s="62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x14ac:dyDescent="0.25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2806205</v>
      </c>
      <c r="G79" s="246">
        <f>SUM(G80:G81)</f>
        <v>0</v>
      </c>
      <c r="H79" s="247">
        <f t="shared" si="6"/>
        <v>2806205</v>
      </c>
      <c r="I79" s="246">
        <f>SUM(I80:I81)</f>
        <v>2806205</v>
      </c>
      <c r="J79" s="246">
        <f>SUM(J80:J81)</f>
        <v>0</v>
      </c>
      <c r="K79" s="247">
        <f t="shared" si="7"/>
        <v>2806205</v>
      </c>
      <c r="L79" s="246">
        <f>SUM(L80:L81)</f>
        <v>2806205</v>
      </c>
      <c r="M79" s="246">
        <f>SUM(M80:M81)</f>
        <v>0</v>
      </c>
      <c r="N79" s="247">
        <f t="shared" si="8"/>
        <v>2806205</v>
      </c>
    </row>
    <row r="80" spans="1:14" x14ac:dyDescent="0.25">
      <c r="A80" s="53"/>
      <c r="B80" s="62" t="s">
        <v>29</v>
      </c>
      <c r="C80" s="246"/>
      <c r="D80" s="246"/>
      <c r="E80" s="247">
        <f t="shared" si="5"/>
        <v>0</v>
      </c>
      <c r="F80" s="246">
        <v>2806205</v>
      </c>
      <c r="G80" s="246"/>
      <c r="H80" s="247">
        <f t="shared" si="6"/>
        <v>2806205</v>
      </c>
      <c r="I80" s="246">
        <v>2806205</v>
      </c>
      <c r="J80" s="246"/>
      <c r="K80" s="247">
        <f t="shared" si="7"/>
        <v>2806205</v>
      </c>
      <c r="L80" s="246">
        <v>2806205</v>
      </c>
      <c r="M80" s="246"/>
      <c r="N80" s="247">
        <f t="shared" si="8"/>
        <v>2806205</v>
      </c>
    </row>
    <row r="81" spans="1:14" x14ac:dyDescent="0.25">
      <c r="A81" s="53"/>
      <c r="B81" s="62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s="179" customFormat="1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x14ac:dyDescent="0.25">
      <c r="A83" s="53" t="s">
        <v>155</v>
      </c>
      <c r="B83" s="62" t="s">
        <v>156</v>
      </c>
      <c r="C83" s="246">
        <v>78428822</v>
      </c>
      <c r="D83" s="246"/>
      <c r="E83" s="247">
        <f>SUM(C83:D83)</f>
        <v>78428822</v>
      </c>
      <c r="F83" s="246">
        <f>78428822+9539814</f>
        <v>87968636</v>
      </c>
      <c r="G83" s="246"/>
      <c r="H83" s="247">
        <f>SUM(F83:G83)</f>
        <v>87968636</v>
      </c>
      <c r="I83" s="246">
        <f>78428822+9539814+1394414+2806205-2098186-133875-358-138000</f>
        <v>89798836</v>
      </c>
      <c r="J83" s="246"/>
      <c r="K83" s="247">
        <f>SUM(I83:J83)</f>
        <v>89798836</v>
      </c>
      <c r="L83" s="246">
        <f>103626438-'6.5 pályázat_1'!L83</f>
        <v>99324438</v>
      </c>
      <c r="M83" s="246"/>
      <c r="N83" s="247">
        <f>SUM(L83:M83)</f>
        <v>99324438</v>
      </c>
    </row>
    <row r="84" spans="1:14" ht="15.75" thickBot="1" x14ac:dyDescent="0.3">
      <c r="A84" s="55" t="s">
        <v>157</v>
      </c>
      <c r="B84" s="64" t="s">
        <v>158</v>
      </c>
      <c r="C84" s="248"/>
      <c r="D84" s="248"/>
      <c r="E84" s="249">
        <f>SUM(C84:D84)</f>
        <v>0</v>
      </c>
      <c r="F84" s="248"/>
      <c r="G84" s="248"/>
      <c r="H84" s="249">
        <f>SUM(F84:G84)</f>
        <v>0</v>
      </c>
      <c r="I84" s="248"/>
      <c r="J84" s="248"/>
      <c r="K84" s="249">
        <f>SUM(I84:J84)</f>
        <v>0</v>
      </c>
      <c r="L84" s="248"/>
      <c r="M84" s="248"/>
      <c r="N84" s="249">
        <f>SUM(L84:M84)</f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95536137</v>
      </c>
      <c r="D85" s="250">
        <f>D73+D74</f>
        <v>0</v>
      </c>
      <c r="E85" s="251">
        <f>SUM(C85:D85)</f>
        <v>95536137</v>
      </c>
      <c r="F85" s="250">
        <f>F73+F74</f>
        <v>111341430</v>
      </c>
      <c r="G85" s="250">
        <f>G73+G74</f>
        <v>0</v>
      </c>
      <c r="H85" s="251">
        <f>SUM(F85:G85)</f>
        <v>111341430</v>
      </c>
      <c r="I85" s="250">
        <f>I73+I74</f>
        <v>113675710</v>
      </c>
      <c r="J85" s="250">
        <f>J73+J74</f>
        <v>0</v>
      </c>
      <c r="K85" s="251">
        <f>SUM(I85:J85)</f>
        <v>113675710</v>
      </c>
      <c r="L85" s="250">
        <f>L73+L74</f>
        <v>115229885</v>
      </c>
      <c r="M85" s="250">
        <f>M73+M74</f>
        <v>0</v>
      </c>
      <c r="N85" s="251">
        <f>SUM(L85:M85)</f>
        <v>115229885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20170500</v>
      </c>
      <c r="D88" s="244">
        <f>D89+D101</f>
        <v>0</v>
      </c>
      <c r="E88" s="253">
        <f t="shared" ref="E88:E119" si="9">SUM(C88:D88)</f>
        <v>20170500</v>
      </c>
      <c r="F88" s="244">
        <f>F89+F101</f>
        <v>21481190</v>
      </c>
      <c r="G88" s="244">
        <f>G89+G101</f>
        <v>0</v>
      </c>
      <c r="H88" s="253">
        <f t="shared" ref="H88:H119" si="10">SUM(F88:G88)</f>
        <v>21481190</v>
      </c>
      <c r="I88" s="244">
        <f>I89+I101</f>
        <v>22136190</v>
      </c>
      <c r="J88" s="244">
        <f>J89+J101</f>
        <v>0</v>
      </c>
      <c r="K88" s="253">
        <f t="shared" ref="K88:K145" si="11">SUM(I88:J88)</f>
        <v>22136190</v>
      </c>
      <c r="L88" s="244">
        <f>L89+L101</f>
        <v>22102299</v>
      </c>
      <c r="M88" s="244">
        <f>M89+M101</f>
        <v>0</v>
      </c>
      <c r="N88" s="253">
        <f t="shared" ref="N88:N145" si="12">SUM(L88:M88)</f>
        <v>22102299</v>
      </c>
    </row>
    <row r="89" spans="1:14" x14ac:dyDescent="0.25">
      <c r="A89" s="61" t="s">
        <v>161</v>
      </c>
      <c r="B89" s="62" t="s">
        <v>162</v>
      </c>
      <c r="C89" s="246">
        <f>SUM(C90:C100)</f>
        <v>18270500</v>
      </c>
      <c r="D89" s="246">
        <f>SUM(D90:D100)</f>
        <v>0</v>
      </c>
      <c r="E89" s="247">
        <f t="shared" si="9"/>
        <v>18270500</v>
      </c>
      <c r="F89" s="246">
        <f>SUM(F90:F100)</f>
        <v>18081190</v>
      </c>
      <c r="G89" s="246">
        <f>SUM(G90:G100)</f>
        <v>0</v>
      </c>
      <c r="H89" s="247">
        <f t="shared" si="10"/>
        <v>18081190</v>
      </c>
      <c r="I89" s="246">
        <f>SUM(I90:I100)</f>
        <v>18486190</v>
      </c>
      <c r="J89" s="246">
        <f>SUM(J90:J100)</f>
        <v>0</v>
      </c>
      <c r="K89" s="247">
        <f t="shared" si="11"/>
        <v>18486190</v>
      </c>
      <c r="L89" s="246">
        <f>SUM(L90:L100)</f>
        <v>18454564</v>
      </c>
      <c r="M89" s="246">
        <f>SUM(M90:M100)</f>
        <v>0</v>
      </c>
      <c r="N89" s="247">
        <f t="shared" si="12"/>
        <v>18454564</v>
      </c>
    </row>
    <row r="90" spans="1:14" x14ac:dyDescent="0.25">
      <c r="A90" s="61" t="s">
        <v>163</v>
      </c>
      <c r="B90" s="62" t="s">
        <v>164</v>
      </c>
      <c r="C90" s="246">
        <f>17462500-3600000</f>
        <v>13862500</v>
      </c>
      <c r="D90" s="246"/>
      <c r="E90" s="247">
        <f t="shared" si="9"/>
        <v>13862500</v>
      </c>
      <c r="F90" s="246">
        <f>17462500-3600000</f>
        <v>13862500</v>
      </c>
      <c r="G90" s="246"/>
      <c r="H90" s="247">
        <f t="shared" si="10"/>
        <v>13862500</v>
      </c>
      <c r="I90" s="246">
        <f>17462500-3600000+123930</f>
        <v>13986430</v>
      </c>
      <c r="J90" s="246"/>
      <c r="K90" s="247">
        <f t="shared" si="11"/>
        <v>13986430</v>
      </c>
      <c r="L90" s="246">
        <v>14170300</v>
      </c>
      <c r="M90" s="246"/>
      <c r="N90" s="247">
        <f t="shared" si="12"/>
        <v>14170300</v>
      </c>
    </row>
    <row r="91" spans="1:14" s="179" customFormat="1" x14ac:dyDescent="0.25">
      <c r="A91" s="190" t="s">
        <v>533</v>
      </c>
      <c r="B91" s="180" t="s">
        <v>534</v>
      </c>
      <c r="C91" s="246">
        <v>1788000</v>
      </c>
      <c r="D91" s="246"/>
      <c r="E91" s="247">
        <f t="shared" si="9"/>
        <v>1788000</v>
      </c>
      <c r="F91" s="246">
        <v>1788000</v>
      </c>
      <c r="G91" s="246"/>
      <c r="H91" s="247">
        <f t="shared" si="10"/>
        <v>1788000</v>
      </c>
      <c r="I91" s="246">
        <f>1788000-180000</f>
        <v>1608000</v>
      </c>
      <c r="J91" s="246"/>
      <c r="K91" s="247">
        <f t="shared" si="11"/>
        <v>1608000</v>
      </c>
      <c r="L91" s="246">
        <v>1456393</v>
      </c>
      <c r="M91" s="246"/>
      <c r="N91" s="247">
        <f t="shared" si="12"/>
        <v>1456393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9"/>
        <v>0</v>
      </c>
      <c r="F92" s="246"/>
      <c r="G92" s="246"/>
      <c r="H92" s="247">
        <f t="shared" si="10"/>
        <v>0</v>
      </c>
      <c r="I92" s="246"/>
      <c r="J92" s="246"/>
      <c r="K92" s="247">
        <f t="shared" si="11"/>
        <v>0</v>
      </c>
      <c r="L92" s="246"/>
      <c r="M92" s="246"/>
      <c r="N92" s="247">
        <f t="shared" si="12"/>
        <v>0</v>
      </c>
    </row>
    <row r="93" spans="1:14" x14ac:dyDescent="0.25">
      <c r="A93" s="61" t="s">
        <v>167</v>
      </c>
      <c r="B93" s="62" t="s">
        <v>168</v>
      </c>
      <c r="C93" s="246">
        <v>1700000</v>
      </c>
      <c r="D93" s="246"/>
      <c r="E93" s="247">
        <f t="shared" si="9"/>
        <v>1700000</v>
      </c>
      <c r="F93" s="246">
        <v>1700000</v>
      </c>
      <c r="G93" s="246"/>
      <c r="H93" s="247">
        <f t="shared" si="10"/>
        <v>1700000</v>
      </c>
      <c r="I93" s="246">
        <f>1700000+328032-28000</f>
        <v>2000032</v>
      </c>
      <c r="J93" s="246"/>
      <c r="K93" s="247">
        <f t="shared" si="11"/>
        <v>2000032</v>
      </c>
      <c r="L93" s="246">
        <v>2000038</v>
      </c>
      <c r="M93" s="246"/>
      <c r="N93" s="247">
        <f t="shared" si="12"/>
        <v>2000038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9"/>
        <v>0</v>
      </c>
      <c r="F94" s="246"/>
      <c r="G94" s="246"/>
      <c r="H94" s="247">
        <f t="shared" si="10"/>
        <v>0</v>
      </c>
      <c r="I94" s="246"/>
      <c r="J94" s="246"/>
      <c r="K94" s="247">
        <f t="shared" si="11"/>
        <v>0</v>
      </c>
      <c r="L94" s="246"/>
      <c r="M94" s="246"/>
      <c r="N94" s="247">
        <f t="shared" si="12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9"/>
        <v>0</v>
      </c>
      <c r="F95" s="246"/>
      <c r="G95" s="246"/>
      <c r="H95" s="247">
        <f t="shared" si="10"/>
        <v>0</v>
      </c>
      <c r="I95" s="246"/>
      <c r="J95" s="246"/>
      <c r="K95" s="247">
        <f t="shared" si="11"/>
        <v>0</v>
      </c>
      <c r="L95" s="246"/>
      <c r="M95" s="246"/>
      <c r="N95" s="247">
        <f t="shared" si="12"/>
        <v>0</v>
      </c>
    </row>
    <row r="96" spans="1:14" x14ac:dyDescent="0.25">
      <c r="A96" s="61" t="s">
        <v>173</v>
      </c>
      <c r="B96" s="62" t="s">
        <v>174</v>
      </c>
      <c r="C96" s="246">
        <v>420000</v>
      </c>
      <c r="D96" s="246"/>
      <c r="E96" s="247">
        <f t="shared" si="9"/>
        <v>420000</v>
      </c>
      <c r="F96" s="246">
        <v>420000</v>
      </c>
      <c r="G96" s="246"/>
      <c r="H96" s="247">
        <f t="shared" si="10"/>
        <v>420000</v>
      </c>
      <c r="I96" s="246">
        <f>420000+87712</f>
        <v>507712</v>
      </c>
      <c r="J96" s="246"/>
      <c r="K96" s="247">
        <f t="shared" si="11"/>
        <v>507712</v>
      </c>
      <c r="L96" s="246">
        <v>453994</v>
      </c>
      <c r="M96" s="246"/>
      <c r="N96" s="247">
        <f t="shared" si="12"/>
        <v>453994</v>
      </c>
    </row>
    <row r="97" spans="1:14" x14ac:dyDescent="0.25">
      <c r="A97" s="61" t="s">
        <v>175</v>
      </c>
      <c r="B97" s="62" t="s">
        <v>176</v>
      </c>
      <c r="C97" s="246">
        <v>500000</v>
      </c>
      <c r="D97" s="246"/>
      <c r="E97" s="247">
        <f t="shared" si="9"/>
        <v>500000</v>
      </c>
      <c r="F97" s="246">
        <f>500000-189310</f>
        <v>310690</v>
      </c>
      <c r="G97" s="246"/>
      <c r="H97" s="247">
        <f t="shared" si="10"/>
        <v>310690</v>
      </c>
      <c r="I97" s="246">
        <f>500000-189310-87712</f>
        <v>222978</v>
      </c>
      <c r="J97" s="246"/>
      <c r="K97" s="247">
        <f t="shared" si="11"/>
        <v>222978</v>
      </c>
      <c r="L97" s="246">
        <v>215110</v>
      </c>
      <c r="M97" s="246"/>
      <c r="N97" s="247">
        <f t="shared" si="12"/>
        <v>215110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9"/>
        <v>0</v>
      </c>
      <c r="F98" s="246"/>
      <c r="G98" s="246"/>
      <c r="H98" s="247">
        <f t="shared" si="10"/>
        <v>0</v>
      </c>
      <c r="I98" s="246"/>
      <c r="J98" s="246"/>
      <c r="K98" s="247">
        <f t="shared" si="11"/>
        <v>0</v>
      </c>
      <c r="L98" s="246"/>
      <c r="M98" s="246"/>
      <c r="N98" s="247">
        <f t="shared" si="12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9"/>
        <v>0</v>
      </c>
      <c r="F99" s="246"/>
      <c r="G99" s="246"/>
      <c r="H99" s="247">
        <f t="shared" si="10"/>
        <v>0</v>
      </c>
      <c r="I99" s="246"/>
      <c r="J99" s="246"/>
      <c r="K99" s="247">
        <f t="shared" si="11"/>
        <v>0</v>
      </c>
      <c r="L99" s="246"/>
      <c r="M99" s="246"/>
      <c r="N99" s="247">
        <f t="shared" si="12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9"/>
        <v>0</v>
      </c>
      <c r="F100" s="246"/>
      <c r="G100" s="246"/>
      <c r="H100" s="247">
        <f t="shared" si="10"/>
        <v>0</v>
      </c>
      <c r="I100" s="246">
        <f>160000-2962+4000</f>
        <v>161038</v>
      </c>
      <c r="J100" s="246"/>
      <c r="K100" s="247">
        <f t="shared" si="11"/>
        <v>161038</v>
      </c>
      <c r="L100" s="246">
        <v>158729</v>
      </c>
      <c r="M100" s="246"/>
      <c r="N100" s="247">
        <f t="shared" si="12"/>
        <v>158729</v>
      </c>
    </row>
    <row r="101" spans="1:14" x14ac:dyDescent="0.25">
      <c r="A101" s="61" t="s">
        <v>183</v>
      </c>
      <c r="B101" s="62" t="s">
        <v>184</v>
      </c>
      <c r="C101" s="246">
        <f>SUM(C102:C104)</f>
        <v>1900000</v>
      </c>
      <c r="D101" s="246">
        <f>SUM(D102:D104)</f>
        <v>0</v>
      </c>
      <c r="E101" s="247">
        <f t="shared" si="9"/>
        <v>1900000</v>
      </c>
      <c r="F101" s="246">
        <f>SUM(F102:F104)</f>
        <v>3400000</v>
      </c>
      <c r="G101" s="246">
        <f>SUM(G102:G104)</f>
        <v>0</v>
      </c>
      <c r="H101" s="247">
        <f t="shared" si="10"/>
        <v>3400000</v>
      </c>
      <c r="I101" s="246">
        <f>SUM(I102:I104)</f>
        <v>3650000</v>
      </c>
      <c r="J101" s="246">
        <f>SUM(J102:J104)</f>
        <v>0</v>
      </c>
      <c r="K101" s="247">
        <f t="shared" si="11"/>
        <v>3650000</v>
      </c>
      <c r="L101" s="246">
        <v>3647735</v>
      </c>
      <c r="M101" s="246">
        <f>SUM(M102:M104)</f>
        <v>0</v>
      </c>
      <c r="N101" s="247">
        <f t="shared" si="12"/>
        <v>3647735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9"/>
        <v>0</v>
      </c>
      <c r="F102" s="246"/>
      <c r="G102" s="246"/>
      <c r="H102" s="247">
        <f t="shared" si="10"/>
        <v>0</v>
      </c>
      <c r="I102" s="246"/>
      <c r="J102" s="246"/>
      <c r="K102" s="247">
        <f t="shared" si="11"/>
        <v>0</v>
      </c>
      <c r="L102" s="246"/>
      <c r="M102" s="246"/>
      <c r="N102" s="247">
        <f t="shared" si="12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9"/>
        <v>0</v>
      </c>
      <c r="F103" s="246"/>
      <c r="G103" s="246"/>
      <c r="H103" s="247">
        <f t="shared" si="10"/>
        <v>0</v>
      </c>
      <c r="I103" s="246"/>
      <c r="J103" s="246"/>
      <c r="K103" s="247">
        <f t="shared" si="11"/>
        <v>0</v>
      </c>
      <c r="L103" s="246"/>
      <c r="M103" s="246"/>
      <c r="N103" s="247">
        <f t="shared" si="12"/>
        <v>0</v>
      </c>
    </row>
    <row r="104" spans="1:14" ht="15.75" thickBot="1" x14ac:dyDescent="0.3">
      <c r="A104" s="63" t="s">
        <v>189</v>
      </c>
      <c r="B104" s="64" t="s">
        <v>190</v>
      </c>
      <c r="C104" s="248">
        <f>1100000+800000</f>
        <v>1900000</v>
      </c>
      <c r="D104" s="248"/>
      <c r="E104" s="249">
        <f t="shared" si="9"/>
        <v>1900000</v>
      </c>
      <c r="F104" s="248">
        <f>1100000+800000+1500000</f>
        <v>3400000</v>
      </c>
      <c r="G104" s="248"/>
      <c r="H104" s="249">
        <f t="shared" si="10"/>
        <v>3400000</v>
      </c>
      <c r="I104" s="248">
        <f>1100000+800000+1500000+250000</f>
        <v>3650000</v>
      </c>
      <c r="J104" s="248"/>
      <c r="K104" s="249">
        <f t="shared" si="11"/>
        <v>3650000</v>
      </c>
      <c r="L104" s="248">
        <f>1100000+800000+1500000+250000</f>
        <v>3650000</v>
      </c>
      <c r="M104" s="248"/>
      <c r="N104" s="249">
        <f t="shared" si="12"/>
        <v>3650000</v>
      </c>
    </row>
    <row r="105" spans="1:14" x14ac:dyDescent="0.25">
      <c r="A105" s="60" t="s">
        <v>191</v>
      </c>
      <c r="B105" s="48" t="s">
        <v>192</v>
      </c>
      <c r="C105" s="244">
        <f>SUM(C106:C110)</f>
        <v>4056058</v>
      </c>
      <c r="D105" s="244">
        <f>SUM(D106:D110)</f>
        <v>0</v>
      </c>
      <c r="E105" s="245">
        <f t="shared" si="9"/>
        <v>4056058</v>
      </c>
      <c r="F105" s="244">
        <f>SUM(F106:F110)</f>
        <v>4965247</v>
      </c>
      <c r="G105" s="244">
        <f>SUM(G106:G110)</f>
        <v>0</v>
      </c>
      <c r="H105" s="245">
        <f t="shared" si="10"/>
        <v>4965247</v>
      </c>
      <c r="I105" s="244">
        <f>SUM(I106:I110)</f>
        <v>5250247</v>
      </c>
      <c r="J105" s="244">
        <f>SUM(J106:J110)</f>
        <v>0</v>
      </c>
      <c r="K105" s="245">
        <f t="shared" si="11"/>
        <v>5250247</v>
      </c>
      <c r="L105" s="244">
        <f>SUM(L106:L110)</f>
        <v>5261821</v>
      </c>
      <c r="M105" s="244">
        <f>SUM(M106:M110)</f>
        <v>0</v>
      </c>
      <c r="N105" s="245">
        <f t="shared" si="12"/>
        <v>5261821</v>
      </c>
    </row>
    <row r="106" spans="1:14" x14ac:dyDescent="0.25">
      <c r="A106" s="61"/>
      <c r="B106" s="62" t="s">
        <v>193</v>
      </c>
      <c r="C106" s="246">
        <f>4085348-702000+80000</f>
        <v>3463348</v>
      </c>
      <c r="D106" s="246"/>
      <c r="E106" s="247">
        <f t="shared" si="9"/>
        <v>3463348</v>
      </c>
      <c r="F106" s="246">
        <f>4085348-702000+80000+417306</f>
        <v>3880654</v>
      </c>
      <c r="G106" s="246"/>
      <c r="H106" s="247">
        <f t="shared" si="10"/>
        <v>3880654</v>
      </c>
      <c r="I106" s="246">
        <f>4085348-702000+80000+417306+285000</f>
        <v>4165654</v>
      </c>
      <c r="J106" s="246"/>
      <c r="K106" s="247">
        <f t="shared" si="11"/>
        <v>4165654</v>
      </c>
      <c r="L106" s="246">
        <v>4397363</v>
      </c>
      <c r="M106" s="246"/>
      <c r="N106" s="247">
        <f t="shared" si="12"/>
        <v>4397363</v>
      </c>
    </row>
    <row r="107" spans="1:14" x14ac:dyDescent="0.25">
      <c r="A107" s="61"/>
      <c r="B107" s="62" t="s">
        <v>194</v>
      </c>
      <c r="C107" s="246"/>
      <c r="D107" s="246"/>
      <c r="E107" s="247">
        <f t="shared" si="9"/>
        <v>0</v>
      </c>
      <c r="F107" s="246"/>
      <c r="G107" s="246"/>
      <c r="H107" s="247">
        <f t="shared" si="10"/>
        <v>0</v>
      </c>
      <c r="I107" s="246"/>
      <c r="J107" s="246"/>
      <c r="K107" s="247">
        <f t="shared" si="11"/>
        <v>0</v>
      </c>
      <c r="L107" s="246"/>
      <c r="M107" s="246"/>
      <c r="N107" s="247">
        <f t="shared" si="12"/>
        <v>0</v>
      </c>
    </row>
    <row r="108" spans="1:14" x14ac:dyDescent="0.25">
      <c r="A108" s="63"/>
      <c r="B108" s="64" t="s">
        <v>195</v>
      </c>
      <c r="C108" s="246">
        <f>81900+253110</f>
        <v>335010</v>
      </c>
      <c r="D108" s="246"/>
      <c r="E108" s="247">
        <f t="shared" si="9"/>
        <v>335010</v>
      </c>
      <c r="F108" s="246">
        <f>81900+253110</f>
        <v>335010</v>
      </c>
      <c r="G108" s="246"/>
      <c r="H108" s="247">
        <f t="shared" si="10"/>
        <v>335010</v>
      </c>
      <c r="I108" s="246">
        <f>81900+253110</f>
        <v>335010</v>
      </c>
      <c r="J108" s="246"/>
      <c r="K108" s="247">
        <f t="shared" si="11"/>
        <v>335010</v>
      </c>
      <c r="L108" s="246">
        <v>18762</v>
      </c>
      <c r="M108" s="246"/>
      <c r="N108" s="247">
        <f t="shared" si="12"/>
        <v>18762</v>
      </c>
    </row>
    <row r="109" spans="1:14" x14ac:dyDescent="0.25">
      <c r="A109" s="63"/>
      <c r="B109" s="64" t="s">
        <v>196</v>
      </c>
      <c r="C109" s="246"/>
      <c r="D109" s="246"/>
      <c r="E109" s="247">
        <f t="shared" si="9"/>
        <v>0</v>
      </c>
      <c r="F109" s="246"/>
      <c r="G109" s="246"/>
      <c r="H109" s="247">
        <f t="shared" si="10"/>
        <v>0</v>
      </c>
      <c r="I109" s="246"/>
      <c r="J109" s="246"/>
      <c r="K109" s="247">
        <f t="shared" si="11"/>
        <v>0</v>
      </c>
      <c r="L109" s="246"/>
      <c r="M109" s="246"/>
      <c r="N109" s="247">
        <f t="shared" si="12"/>
        <v>0</v>
      </c>
    </row>
    <row r="110" spans="1:14" ht="15.75" thickBot="1" x14ac:dyDescent="0.3">
      <c r="A110" s="63"/>
      <c r="B110" s="64" t="s">
        <v>197</v>
      </c>
      <c r="C110" s="248">
        <f>63000+194700</f>
        <v>257700</v>
      </c>
      <c r="D110" s="248"/>
      <c r="E110" s="249">
        <f t="shared" si="9"/>
        <v>257700</v>
      </c>
      <c r="F110" s="248">
        <f>63000+194700+491883</f>
        <v>749583</v>
      </c>
      <c r="G110" s="248"/>
      <c r="H110" s="249">
        <f t="shared" si="10"/>
        <v>749583</v>
      </c>
      <c r="I110" s="248">
        <f>63000+194700+491883</f>
        <v>749583</v>
      </c>
      <c r="J110" s="248"/>
      <c r="K110" s="249">
        <f t="shared" si="11"/>
        <v>749583</v>
      </c>
      <c r="L110" s="248">
        <v>845696</v>
      </c>
      <c r="M110" s="248"/>
      <c r="N110" s="249">
        <f t="shared" si="12"/>
        <v>845696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29493100</v>
      </c>
      <c r="D111" s="244">
        <f>SUM(D112:D113,D114,D123,D122)</f>
        <v>0</v>
      </c>
      <c r="E111" s="245">
        <f t="shared" si="9"/>
        <v>29493100</v>
      </c>
      <c r="F111" s="244">
        <f>SUM(F112:F113,F114,F123,F122)</f>
        <v>45514991</v>
      </c>
      <c r="G111" s="244">
        <f>SUM(G112:G113,G114,G123,G122)</f>
        <v>0</v>
      </c>
      <c r="H111" s="245">
        <f t="shared" si="10"/>
        <v>45514991</v>
      </c>
      <c r="I111" s="244">
        <f>SUM(I112:I113,I114,I123,I122)</f>
        <v>46105973</v>
      </c>
      <c r="J111" s="244">
        <f>SUM(J112:J113,J114,J123,J122)</f>
        <v>0</v>
      </c>
      <c r="K111" s="245">
        <f t="shared" si="11"/>
        <v>46105973</v>
      </c>
      <c r="L111" s="244">
        <f>SUM(L112:L113,L114,L123,L122)</f>
        <v>43751606</v>
      </c>
      <c r="M111" s="244">
        <f>SUM(M112:M113,M114,M123,M122)</f>
        <v>0</v>
      </c>
      <c r="N111" s="245">
        <f t="shared" si="12"/>
        <v>43751606</v>
      </c>
    </row>
    <row r="112" spans="1:14" x14ac:dyDescent="0.25">
      <c r="A112" s="61" t="s">
        <v>199</v>
      </c>
      <c r="B112" s="62" t="s">
        <v>200</v>
      </c>
      <c r="C112" s="246">
        <f>5000000+236220</f>
        <v>5236220</v>
      </c>
      <c r="D112" s="246"/>
      <c r="E112" s="247">
        <f t="shared" si="9"/>
        <v>5236220</v>
      </c>
      <c r="F112" s="246">
        <f>5000000+236220</f>
        <v>5236220</v>
      </c>
      <c r="G112" s="246"/>
      <c r="H112" s="247">
        <f t="shared" si="10"/>
        <v>5236220</v>
      </c>
      <c r="I112" s="246">
        <f>5000000+236220+1164873</f>
        <v>6401093</v>
      </c>
      <c r="J112" s="246"/>
      <c r="K112" s="247">
        <f t="shared" si="11"/>
        <v>6401093</v>
      </c>
      <c r="L112" s="246">
        <f>78740+5961221</f>
        <v>6039961</v>
      </c>
      <c r="M112" s="246"/>
      <c r="N112" s="247">
        <f t="shared" si="12"/>
        <v>6039961</v>
      </c>
    </row>
    <row r="113" spans="1:14" x14ac:dyDescent="0.25">
      <c r="A113" s="61" t="s">
        <v>201</v>
      </c>
      <c r="B113" s="62" t="s">
        <v>202</v>
      </c>
      <c r="C113" s="246">
        <f>70000+378000</f>
        <v>448000</v>
      </c>
      <c r="D113" s="246"/>
      <c r="E113" s="247">
        <f t="shared" si="9"/>
        <v>448000</v>
      </c>
      <c r="F113" s="246">
        <f>70000+378000</f>
        <v>448000</v>
      </c>
      <c r="G113" s="246"/>
      <c r="H113" s="247">
        <f t="shared" si="10"/>
        <v>448000</v>
      </c>
      <c r="I113" s="246">
        <f>70000+378000-448000</f>
        <v>0</v>
      </c>
      <c r="J113" s="246"/>
      <c r="K113" s="247">
        <f t="shared" si="11"/>
        <v>0</v>
      </c>
      <c r="L113" s="246">
        <f>70000+378000-448000</f>
        <v>0</v>
      </c>
      <c r="M113" s="246"/>
      <c r="N113" s="247">
        <f t="shared" si="12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17705780</v>
      </c>
      <c r="D114" s="246">
        <f>SUM(D115:D121)</f>
        <v>0</v>
      </c>
      <c r="E114" s="247">
        <f t="shared" si="9"/>
        <v>17705780</v>
      </c>
      <c r="F114" s="246">
        <f>SUM(F115:F121)</f>
        <v>30429138</v>
      </c>
      <c r="G114" s="246">
        <f>SUM(G115:G121)</f>
        <v>0</v>
      </c>
      <c r="H114" s="247">
        <f t="shared" si="10"/>
        <v>30429138</v>
      </c>
      <c r="I114" s="246">
        <f>SUM(I115:I121)</f>
        <v>30666874</v>
      </c>
      <c r="J114" s="246">
        <f>SUM(J115:J121)</f>
        <v>0</v>
      </c>
      <c r="K114" s="247">
        <f t="shared" si="11"/>
        <v>30666874</v>
      </c>
      <c r="L114" s="246">
        <f>SUM(L115:L121)</f>
        <v>29349654</v>
      </c>
      <c r="M114" s="246">
        <f>SUM(M115:M121)</f>
        <v>0</v>
      </c>
      <c r="N114" s="247">
        <f t="shared" si="12"/>
        <v>29349654</v>
      </c>
    </row>
    <row r="115" spans="1:14" x14ac:dyDescent="0.25">
      <c r="A115" s="61" t="s">
        <v>205</v>
      </c>
      <c r="B115" s="62" t="s">
        <v>206</v>
      </c>
      <c r="C115" s="316">
        <f>5280000+278000</f>
        <v>5558000</v>
      </c>
      <c r="D115" s="246"/>
      <c r="E115" s="247">
        <f t="shared" si="9"/>
        <v>5558000</v>
      </c>
      <c r="F115" s="316">
        <f>5280000+278000</f>
        <v>5558000</v>
      </c>
      <c r="G115" s="246"/>
      <c r="H115" s="247">
        <f t="shared" si="10"/>
        <v>5558000</v>
      </c>
      <c r="I115" s="316">
        <f>5280000+278000</f>
        <v>5558000</v>
      </c>
      <c r="J115" s="246"/>
      <c r="K115" s="247">
        <f t="shared" si="11"/>
        <v>5558000</v>
      </c>
      <c r="L115" s="316">
        <v>4591879</v>
      </c>
      <c r="M115" s="246"/>
      <c r="N115" s="247">
        <f t="shared" si="12"/>
        <v>4591879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9"/>
        <v>0</v>
      </c>
      <c r="F116" s="246"/>
      <c r="G116" s="246"/>
      <c r="H116" s="247">
        <f t="shared" si="10"/>
        <v>0</v>
      </c>
      <c r="I116" s="246"/>
      <c r="J116" s="246"/>
      <c r="K116" s="247">
        <f t="shared" si="11"/>
        <v>0</v>
      </c>
      <c r="L116" s="246"/>
      <c r="M116" s="246"/>
      <c r="N116" s="247">
        <f t="shared" si="12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9"/>
        <v>0</v>
      </c>
      <c r="F117" s="246">
        <v>2599000</v>
      </c>
      <c r="G117" s="246"/>
      <c r="H117" s="247">
        <f t="shared" si="10"/>
        <v>2599000</v>
      </c>
      <c r="I117" s="246">
        <f>2599000+456194</f>
        <v>3055194</v>
      </c>
      <c r="J117" s="246"/>
      <c r="K117" s="247">
        <f t="shared" si="11"/>
        <v>3055194</v>
      </c>
      <c r="L117" s="246">
        <v>3106698</v>
      </c>
      <c r="M117" s="246"/>
      <c r="N117" s="247">
        <f t="shared" si="12"/>
        <v>3106698</v>
      </c>
    </row>
    <row r="118" spans="1:14" x14ac:dyDescent="0.25">
      <c r="A118" s="61" t="s">
        <v>211</v>
      </c>
      <c r="B118" s="62" t="s">
        <v>212</v>
      </c>
      <c r="C118" s="246">
        <f>600000+834000+363780</f>
        <v>1797780</v>
      </c>
      <c r="D118" s="246"/>
      <c r="E118" s="247">
        <f t="shared" si="9"/>
        <v>1797780</v>
      </c>
      <c r="F118" s="246">
        <f>600000+834000+363780</f>
        <v>1797780</v>
      </c>
      <c r="G118" s="246"/>
      <c r="H118" s="247">
        <f t="shared" si="10"/>
        <v>1797780</v>
      </c>
      <c r="I118" s="246">
        <f>600000+834000+363780-8132</f>
        <v>1789648</v>
      </c>
      <c r="J118" s="246"/>
      <c r="K118" s="247">
        <f t="shared" si="11"/>
        <v>1789648</v>
      </c>
      <c r="L118" s="246">
        <v>1764036</v>
      </c>
      <c r="M118" s="246"/>
      <c r="N118" s="247">
        <f t="shared" si="12"/>
        <v>1764036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9"/>
        <v>0</v>
      </c>
      <c r="F119" s="246"/>
      <c r="G119" s="246"/>
      <c r="H119" s="247">
        <f t="shared" si="10"/>
        <v>0</v>
      </c>
      <c r="I119" s="246"/>
      <c r="J119" s="246"/>
      <c r="K119" s="247">
        <f t="shared" si="11"/>
        <v>0</v>
      </c>
      <c r="L119" s="246"/>
      <c r="M119" s="246"/>
      <c r="N119" s="247">
        <f t="shared" si="12"/>
        <v>0</v>
      </c>
    </row>
    <row r="120" spans="1:14" x14ac:dyDescent="0.25">
      <c r="A120" s="61" t="s">
        <v>215</v>
      </c>
      <c r="B120" s="62" t="s">
        <v>216</v>
      </c>
      <c r="C120" s="246">
        <v>50000</v>
      </c>
      <c r="D120" s="246"/>
      <c r="E120" s="247">
        <f t="shared" ref="E120:E145" si="13">SUM(C120:D120)</f>
        <v>50000</v>
      </c>
      <c r="F120" s="246">
        <v>50000</v>
      </c>
      <c r="G120" s="246"/>
      <c r="H120" s="247">
        <f t="shared" ref="H120:H145" si="14">SUM(F120:G120)</f>
        <v>50000</v>
      </c>
      <c r="I120" s="246">
        <v>50000</v>
      </c>
      <c r="J120" s="246"/>
      <c r="K120" s="247">
        <f t="shared" si="11"/>
        <v>50000</v>
      </c>
      <c r="L120" s="246">
        <v>0</v>
      </c>
      <c r="M120" s="246"/>
      <c r="N120" s="247">
        <f t="shared" si="12"/>
        <v>0</v>
      </c>
    </row>
    <row r="121" spans="1:14" x14ac:dyDescent="0.25">
      <c r="A121" s="61" t="s">
        <v>217</v>
      </c>
      <c r="B121" s="62" t="s">
        <v>218</v>
      </c>
      <c r="C121" s="316">
        <v>10300000</v>
      </c>
      <c r="D121" s="246"/>
      <c r="E121" s="247">
        <f t="shared" si="13"/>
        <v>10300000</v>
      </c>
      <c r="F121" s="316">
        <f>10300000-1126642+3500000+7751000</f>
        <v>20424358</v>
      </c>
      <c r="G121" s="246"/>
      <c r="H121" s="247">
        <f t="shared" si="14"/>
        <v>20424358</v>
      </c>
      <c r="I121" s="316">
        <f>10300000-1126642+3500000+7751000-210326</f>
        <v>20214032</v>
      </c>
      <c r="J121" s="246"/>
      <c r="K121" s="247">
        <f t="shared" si="11"/>
        <v>20214032</v>
      </c>
      <c r="L121" s="316">
        <f>18887041+1000000</f>
        <v>19887041</v>
      </c>
      <c r="M121" s="246"/>
      <c r="N121" s="247">
        <f t="shared" si="12"/>
        <v>19887041</v>
      </c>
    </row>
    <row r="122" spans="1:14" x14ac:dyDescent="0.25">
      <c r="A122" s="61" t="s">
        <v>219</v>
      </c>
      <c r="B122" s="62" t="s">
        <v>220</v>
      </c>
      <c r="C122" s="246">
        <v>50000</v>
      </c>
      <c r="D122" s="246"/>
      <c r="E122" s="247">
        <f t="shared" si="13"/>
        <v>50000</v>
      </c>
      <c r="F122" s="246">
        <f>50000+464952</f>
        <v>514952</v>
      </c>
      <c r="G122" s="246"/>
      <c r="H122" s="247">
        <f t="shared" si="14"/>
        <v>514952</v>
      </c>
      <c r="I122" s="246">
        <f>50000+464952+67325</f>
        <v>582277</v>
      </c>
      <c r="J122" s="246"/>
      <c r="K122" s="247">
        <f t="shared" si="11"/>
        <v>582277</v>
      </c>
      <c r="L122" s="246">
        <v>550540</v>
      </c>
      <c r="M122" s="246"/>
      <c r="N122" s="247">
        <f t="shared" si="12"/>
        <v>550540</v>
      </c>
    </row>
    <row r="123" spans="1:14" x14ac:dyDescent="0.25">
      <c r="A123" s="61" t="s">
        <v>221</v>
      </c>
      <c r="B123" s="62" t="s">
        <v>222</v>
      </c>
      <c r="C123" s="246">
        <f>SUM(C124:C126)</f>
        <v>6053100</v>
      </c>
      <c r="D123" s="246">
        <f>SUM(D124:D126)</f>
        <v>0</v>
      </c>
      <c r="E123" s="247">
        <f t="shared" si="13"/>
        <v>6053100</v>
      </c>
      <c r="F123" s="246">
        <f>SUM(F124:F126)</f>
        <v>8886681</v>
      </c>
      <c r="G123" s="246">
        <f>SUM(G124:G126)</f>
        <v>0</v>
      </c>
      <c r="H123" s="247">
        <f t="shared" si="14"/>
        <v>8886681</v>
      </c>
      <c r="I123" s="246">
        <f>SUM(I124:I126)</f>
        <v>8455729</v>
      </c>
      <c r="J123" s="246">
        <f>SUM(J124:J126)</f>
        <v>0</v>
      </c>
      <c r="K123" s="247">
        <f t="shared" si="11"/>
        <v>8455729</v>
      </c>
      <c r="L123" s="246">
        <f>SUM(L124:L126)</f>
        <v>7811451</v>
      </c>
      <c r="M123" s="246">
        <f>SUM(M124:M126)</f>
        <v>0</v>
      </c>
      <c r="N123" s="247">
        <f t="shared" si="12"/>
        <v>7811451</v>
      </c>
    </row>
    <row r="124" spans="1:14" x14ac:dyDescent="0.25">
      <c r="A124" s="61"/>
      <c r="B124" s="62" t="s">
        <v>223</v>
      </c>
      <c r="C124" s="246">
        <f>5521100+162000</f>
        <v>5683100</v>
      </c>
      <c r="D124" s="246"/>
      <c r="E124" s="247">
        <f t="shared" si="13"/>
        <v>5683100</v>
      </c>
      <c r="F124" s="246">
        <f>5521100+162000+150000+590811+2092770</f>
        <v>8516681</v>
      </c>
      <c r="G124" s="246"/>
      <c r="H124" s="247">
        <f t="shared" si="14"/>
        <v>8516681</v>
      </c>
      <c r="I124" s="246">
        <f>5521100+162000+150000+590811+2092770-350952</f>
        <v>8165729</v>
      </c>
      <c r="J124" s="246"/>
      <c r="K124" s="247">
        <f t="shared" si="11"/>
        <v>8165729</v>
      </c>
      <c r="L124" s="246">
        <f>5297808+2228000</f>
        <v>7525808</v>
      </c>
      <c r="M124" s="246"/>
      <c r="N124" s="247">
        <f t="shared" si="12"/>
        <v>7525808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3"/>
        <v>0</v>
      </c>
      <c r="F125" s="246"/>
      <c r="G125" s="246"/>
      <c r="H125" s="247">
        <f t="shared" si="14"/>
        <v>0</v>
      </c>
      <c r="I125" s="246"/>
      <c r="J125" s="246"/>
      <c r="K125" s="247">
        <f t="shared" si="11"/>
        <v>0</v>
      </c>
      <c r="L125" s="246"/>
      <c r="M125" s="246"/>
      <c r="N125" s="247">
        <f t="shared" si="12"/>
        <v>0</v>
      </c>
    </row>
    <row r="126" spans="1:14" ht="15.75" thickBot="1" x14ac:dyDescent="0.3">
      <c r="A126" s="63" t="s">
        <v>225</v>
      </c>
      <c r="B126" s="64" t="s">
        <v>226</v>
      </c>
      <c r="C126" s="248">
        <v>370000</v>
      </c>
      <c r="D126" s="248"/>
      <c r="E126" s="249">
        <f t="shared" si="13"/>
        <v>370000</v>
      </c>
      <c r="F126" s="248">
        <v>370000</v>
      </c>
      <c r="G126" s="248"/>
      <c r="H126" s="249">
        <f t="shared" si="14"/>
        <v>370000</v>
      </c>
      <c r="I126" s="248">
        <f>370000-80000</f>
        <v>290000</v>
      </c>
      <c r="J126" s="248"/>
      <c r="K126" s="249">
        <f t="shared" si="11"/>
        <v>290000</v>
      </c>
      <c r="L126" s="248">
        <v>285643</v>
      </c>
      <c r="M126" s="248"/>
      <c r="N126" s="249">
        <f t="shared" si="12"/>
        <v>285643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3"/>
        <v>0</v>
      </c>
      <c r="F127" s="250"/>
      <c r="G127" s="250"/>
      <c r="H127" s="251">
        <f t="shared" si="14"/>
        <v>0</v>
      </c>
      <c r="I127" s="250"/>
      <c r="J127" s="250"/>
      <c r="K127" s="251">
        <f t="shared" si="11"/>
        <v>0</v>
      </c>
      <c r="L127" s="250"/>
      <c r="M127" s="250"/>
      <c r="N127" s="251">
        <f t="shared" si="12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3"/>
        <v>0</v>
      </c>
      <c r="F128" s="244">
        <f>SUM(F129:F134)</f>
        <v>0</v>
      </c>
      <c r="G128" s="244">
        <f>SUM(G129:G134)</f>
        <v>0</v>
      </c>
      <c r="H128" s="245">
        <f t="shared" si="14"/>
        <v>0</v>
      </c>
      <c r="I128" s="244">
        <f>SUM(I129:I134)</f>
        <v>0</v>
      </c>
      <c r="J128" s="244">
        <f>SUM(J129:J134)</f>
        <v>0</v>
      </c>
      <c r="K128" s="245">
        <f t="shared" si="11"/>
        <v>0</v>
      </c>
      <c r="L128" s="244">
        <f>SUM(L129:L134)</f>
        <v>0</v>
      </c>
      <c r="M128" s="244">
        <f>SUM(M129:M134)</f>
        <v>0</v>
      </c>
      <c r="N128" s="245">
        <f t="shared" si="12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3"/>
        <v>0</v>
      </c>
      <c r="F129" s="246"/>
      <c r="G129" s="246"/>
      <c r="H129" s="247">
        <f t="shared" si="14"/>
        <v>0</v>
      </c>
      <c r="I129" s="246"/>
      <c r="J129" s="246"/>
      <c r="K129" s="247">
        <f t="shared" si="11"/>
        <v>0</v>
      </c>
      <c r="L129" s="246"/>
      <c r="M129" s="246"/>
      <c r="N129" s="247">
        <f t="shared" si="1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3"/>
        <v>0</v>
      </c>
      <c r="F130" s="246"/>
      <c r="G130" s="246"/>
      <c r="H130" s="247">
        <f t="shared" si="14"/>
        <v>0</v>
      </c>
      <c r="I130" s="246"/>
      <c r="J130" s="246"/>
      <c r="K130" s="247">
        <f t="shared" si="11"/>
        <v>0</v>
      </c>
      <c r="L130" s="246"/>
      <c r="M130" s="246"/>
      <c r="N130" s="247">
        <f t="shared" si="12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3"/>
        <v>0</v>
      </c>
      <c r="F131" s="246"/>
      <c r="G131" s="246"/>
      <c r="H131" s="247">
        <f t="shared" si="14"/>
        <v>0</v>
      </c>
      <c r="I131" s="246"/>
      <c r="J131" s="246"/>
      <c r="K131" s="247">
        <f t="shared" si="11"/>
        <v>0</v>
      </c>
      <c r="L131" s="246"/>
      <c r="M131" s="246"/>
      <c r="N131" s="247">
        <f t="shared" si="12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3"/>
        <v>0</v>
      </c>
      <c r="F132" s="246"/>
      <c r="G132" s="246"/>
      <c r="H132" s="247">
        <f t="shared" si="14"/>
        <v>0</v>
      </c>
      <c r="I132" s="246"/>
      <c r="J132" s="246"/>
      <c r="K132" s="247">
        <f t="shared" si="11"/>
        <v>0</v>
      </c>
      <c r="L132" s="246"/>
      <c r="M132" s="246"/>
      <c r="N132" s="247">
        <f t="shared" si="12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3"/>
        <v>0</v>
      </c>
      <c r="F133" s="246"/>
      <c r="G133" s="246"/>
      <c r="H133" s="247">
        <f t="shared" si="14"/>
        <v>0</v>
      </c>
      <c r="I133" s="246"/>
      <c r="J133" s="246"/>
      <c r="K133" s="247">
        <f t="shared" si="11"/>
        <v>0</v>
      </c>
      <c r="L133" s="246"/>
      <c r="M133" s="246"/>
      <c r="N133" s="247">
        <f t="shared" si="12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3"/>
        <v>0</v>
      </c>
      <c r="F134" s="246">
        <f>SUM(F135:F136)</f>
        <v>0</v>
      </c>
      <c r="G134" s="246">
        <f>SUM(G135:G136)</f>
        <v>0</v>
      </c>
      <c r="H134" s="247">
        <f t="shared" si="14"/>
        <v>0</v>
      </c>
      <c r="I134" s="246">
        <f>SUM(I135:I136)</f>
        <v>0</v>
      </c>
      <c r="J134" s="246">
        <f>SUM(J135:J136)</f>
        <v>0</v>
      </c>
      <c r="K134" s="247">
        <f t="shared" si="11"/>
        <v>0</v>
      </c>
      <c r="L134" s="246">
        <f>SUM(L135:L136)</f>
        <v>0</v>
      </c>
      <c r="M134" s="246">
        <f>SUM(M135:M136)</f>
        <v>0</v>
      </c>
      <c r="N134" s="247">
        <f t="shared" si="12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3"/>
        <v>0</v>
      </c>
      <c r="F135" s="246"/>
      <c r="G135" s="246"/>
      <c r="H135" s="247">
        <f t="shared" si="14"/>
        <v>0</v>
      </c>
      <c r="I135" s="246"/>
      <c r="J135" s="246"/>
      <c r="K135" s="247">
        <f t="shared" si="11"/>
        <v>0</v>
      </c>
      <c r="L135" s="246"/>
      <c r="M135" s="246"/>
      <c r="N135" s="247">
        <f t="shared" si="12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3"/>
        <v>0</v>
      </c>
      <c r="F136" s="248"/>
      <c r="G136" s="248"/>
      <c r="H136" s="249">
        <f t="shared" si="14"/>
        <v>0</v>
      </c>
      <c r="I136" s="248"/>
      <c r="J136" s="248"/>
      <c r="K136" s="249">
        <f t="shared" si="11"/>
        <v>0</v>
      </c>
      <c r="L136" s="248"/>
      <c r="M136" s="248"/>
      <c r="N136" s="249">
        <f t="shared" si="12"/>
        <v>0</v>
      </c>
    </row>
    <row r="137" spans="1:14" x14ac:dyDescent="0.25">
      <c r="A137" s="60" t="s">
        <v>241</v>
      </c>
      <c r="B137" s="48" t="s">
        <v>38</v>
      </c>
      <c r="C137" s="244">
        <v>6942913</v>
      </c>
      <c r="D137" s="244"/>
      <c r="E137" s="245">
        <f t="shared" si="13"/>
        <v>6942913</v>
      </c>
      <c r="F137" s="244">
        <f>6942913+50000+1131102</f>
        <v>8124015</v>
      </c>
      <c r="G137" s="244"/>
      <c r="H137" s="245">
        <f t="shared" si="14"/>
        <v>8124015</v>
      </c>
      <c r="I137" s="244">
        <v>8335766</v>
      </c>
      <c r="J137" s="244"/>
      <c r="K137" s="245">
        <f t="shared" si="11"/>
        <v>8335766</v>
      </c>
      <c r="L137" s="244">
        <f>56220+8279546</f>
        <v>8335766</v>
      </c>
      <c r="M137" s="244"/>
      <c r="N137" s="245">
        <f t="shared" si="12"/>
        <v>8335766</v>
      </c>
    </row>
    <row r="138" spans="1:14" ht="15.75" thickBot="1" x14ac:dyDescent="0.3">
      <c r="A138" s="63" t="s">
        <v>242</v>
      </c>
      <c r="B138" s="64" t="s">
        <v>243</v>
      </c>
      <c r="C138" s="248">
        <v>1874587</v>
      </c>
      <c r="D138" s="248"/>
      <c r="E138" s="249">
        <f t="shared" si="13"/>
        <v>1874587</v>
      </c>
      <c r="F138" s="248">
        <f>1874587+318898</f>
        <v>2193485</v>
      </c>
      <c r="G138" s="248"/>
      <c r="H138" s="249">
        <f t="shared" si="14"/>
        <v>2193485</v>
      </c>
      <c r="I138" s="248">
        <v>2128554</v>
      </c>
      <c r="J138" s="248"/>
      <c r="K138" s="249">
        <f t="shared" si="11"/>
        <v>2128554</v>
      </c>
      <c r="L138" s="248">
        <v>2128554</v>
      </c>
      <c r="M138" s="248"/>
      <c r="N138" s="249">
        <f t="shared" si="12"/>
        <v>2128554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3"/>
        <v>0</v>
      </c>
      <c r="F139" s="244"/>
      <c r="G139" s="244"/>
      <c r="H139" s="245">
        <f t="shared" si="14"/>
        <v>0</v>
      </c>
      <c r="I139" s="244"/>
      <c r="J139" s="244"/>
      <c r="K139" s="245">
        <f t="shared" si="11"/>
        <v>0</v>
      </c>
      <c r="L139" s="244">
        <v>200000</v>
      </c>
      <c r="M139" s="244"/>
      <c r="N139" s="245">
        <f t="shared" si="12"/>
        <v>200000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3"/>
        <v>0</v>
      </c>
      <c r="F140" s="248"/>
      <c r="G140" s="248"/>
      <c r="H140" s="249">
        <f t="shared" si="14"/>
        <v>0</v>
      </c>
      <c r="I140" s="248"/>
      <c r="J140" s="248"/>
      <c r="K140" s="249">
        <f t="shared" si="11"/>
        <v>0</v>
      </c>
      <c r="L140" s="248">
        <v>54000</v>
      </c>
      <c r="M140" s="248"/>
      <c r="N140" s="249">
        <f t="shared" si="12"/>
        <v>54000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3"/>
        <v>0</v>
      </c>
      <c r="F141" s="254"/>
      <c r="G141" s="254"/>
      <c r="H141" s="255">
        <f t="shared" si="14"/>
        <v>0</v>
      </c>
      <c r="I141" s="254"/>
      <c r="J141" s="254"/>
      <c r="K141" s="255">
        <f t="shared" si="11"/>
        <v>0</v>
      </c>
      <c r="L141" s="254"/>
      <c r="M141" s="254"/>
      <c r="N141" s="255">
        <f t="shared" si="12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62537158</v>
      </c>
      <c r="D142" s="250">
        <f>D141+D140+D139+D138+D137+D128+D127+D111+D105+D88</f>
        <v>0</v>
      </c>
      <c r="E142" s="251">
        <f t="shared" si="13"/>
        <v>62537158</v>
      </c>
      <c r="F142" s="250">
        <f>F141+F140+F139+F138+F137+F128+F127+F111+F105+F88</f>
        <v>82278928</v>
      </c>
      <c r="G142" s="250">
        <f>G141+G140+G139+G138+G137+G128+G127+G111+G105+G88</f>
        <v>0</v>
      </c>
      <c r="H142" s="251">
        <f t="shared" si="14"/>
        <v>82278928</v>
      </c>
      <c r="I142" s="250">
        <f>I141+I140+I139+I138+I137+I128+I127+I111+I105+I88</f>
        <v>83956730</v>
      </c>
      <c r="J142" s="250">
        <f>J141+J140+J139+J138+J137+J128+J127+J111+J105+J88</f>
        <v>0</v>
      </c>
      <c r="K142" s="251">
        <f t="shared" si="11"/>
        <v>83956730</v>
      </c>
      <c r="L142" s="250">
        <f>L141+L140+L139+L138+L137+L128+L127+L111+L105+L88</f>
        <v>81834046</v>
      </c>
      <c r="M142" s="250">
        <f>M141+M140+M139+M138+M137+M128+M127+M111+M105+M88</f>
        <v>0</v>
      </c>
      <c r="N142" s="251">
        <f t="shared" si="12"/>
        <v>81834046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3"/>
        <v>0</v>
      </c>
      <c r="F143" s="244">
        <f>SUM(F144:F150)</f>
        <v>0</v>
      </c>
      <c r="G143" s="244">
        <f>SUM(G144:G150)</f>
        <v>0</v>
      </c>
      <c r="H143" s="245">
        <f t="shared" si="14"/>
        <v>0</v>
      </c>
      <c r="I143" s="244">
        <f>SUM(I144:I150)</f>
        <v>0</v>
      </c>
      <c r="J143" s="244">
        <f>SUM(J144:J150)</f>
        <v>0</v>
      </c>
      <c r="K143" s="245">
        <f t="shared" si="11"/>
        <v>0</v>
      </c>
      <c r="L143" s="244">
        <f>SUM(L144:L150)</f>
        <v>0</v>
      </c>
      <c r="M143" s="244">
        <f>SUM(M144:M150)</f>
        <v>0</v>
      </c>
      <c r="N143" s="245">
        <f t="shared" si="12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3"/>
        <v>0</v>
      </c>
      <c r="F144" s="246"/>
      <c r="G144" s="246"/>
      <c r="H144" s="247">
        <f t="shared" si="14"/>
        <v>0</v>
      </c>
      <c r="I144" s="246"/>
      <c r="J144" s="246"/>
      <c r="K144" s="247">
        <f t="shared" si="11"/>
        <v>0</v>
      </c>
      <c r="L144" s="246"/>
      <c r="M144" s="246"/>
      <c r="N144" s="247">
        <f t="shared" si="12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3"/>
        <v>0</v>
      </c>
      <c r="F145" s="246"/>
      <c r="G145" s="246"/>
      <c r="H145" s="247">
        <f t="shared" si="14"/>
        <v>0</v>
      </c>
      <c r="I145" s="246"/>
      <c r="J145" s="246"/>
      <c r="K145" s="247">
        <f t="shared" si="11"/>
        <v>0</v>
      </c>
      <c r="L145" s="246"/>
      <c r="M145" s="246"/>
      <c r="N145" s="247">
        <f t="shared" si="12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>SUM(C147:D147)</f>
        <v>0</v>
      </c>
      <c r="F147" s="246"/>
      <c r="G147" s="246"/>
      <c r="H147" s="247">
        <f>SUM(F147:G147)</f>
        <v>0</v>
      </c>
      <c r="I147" s="246"/>
      <c r="J147" s="246"/>
      <c r="K147" s="247">
        <f>SUM(I147:J147)</f>
        <v>0</v>
      </c>
      <c r="L147" s="246"/>
      <c r="M147" s="246"/>
      <c r="N147" s="247">
        <f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>SUM(C148:D148)</f>
        <v>0</v>
      </c>
      <c r="F148" s="246"/>
      <c r="G148" s="246"/>
      <c r="H148" s="247">
        <f>SUM(F148:G148)</f>
        <v>0</v>
      </c>
      <c r="I148" s="246"/>
      <c r="J148" s="246"/>
      <c r="K148" s="247">
        <f>SUM(I148:J148)</f>
        <v>0</v>
      </c>
      <c r="L148" s="246"/>
      <c r="M148" s="246"/>
      <c r="N148" s="247">
        <f>SUM(L148:M148)</f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>SUM(C149:D149)</f>
        <v>0</v>
      </c>
      <c r="F149" s="246"/>
      <c r="G149" s="246"/>
      <c r="H149" s="247">
        <f>SUM(F149:G149)</f>
        <v>0</v>
      </c>
      <c r="I149" s="246"/>
      <c r="J149" s="246"/>
      <c r="K149" s="247">
        <f>SUM(I149:J149)</f>
        <v>0</v>
      </c>
      <c r="L149" s="246"/>
      <c r="M149" s="246"/>
      <c r="N149" s="247">
        <f>SUM(L149:M149)</f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>SUM(C150:D150)</f>
        <v>0</v>
      </c>
      <c r="F150" s="256"/>
      <c r="G150" s="248"/>
      <c r="H150" s="249">
        <f>SUM(F150:G150)</f>
        <v>0</v>
      </c>
      <c r="I150" s="256"/>
      <c r="J150" s="248"/>
      <c r="K150" s="249">
        <f>SUM(I150:J150)</f>
        <v>0</v>
      </c>
      <c r="L150" s="256"/>
      <c r="M150" s="248"/>
      <c r="N150" s="249">
        <f>SUM(L150:M150)</f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62537158</v>
      </c>
      <c r="D151" s="257">
        <f>D143+D142</f>
        <v>0</v>
      </c>
      <c r="E151" s="258">
        <f>SUM(C151:D151)</f>
        <v>62537158</v>
      </c>
      <c r="F151" s="250">
        <f>F143+F142</f>
        <v>82278928</v>
      </c>
      <c r="G151" s="257">
        <f>G143+G142</f>
        <v>0</v>
      </c>
      <c r="H151" s="258">
        <f>SUM(F151:G151)</f>
        <v>82278928</v>
      </c>
      <c r="I151" s="250">
        <f>I143+I142</f>
        <v>83956730</v>
      </c>
      <c r="J151" s="257">
        <f>J143+J142</f>
        <v>0</v>
      </c>
      <c r="K151" s="258">
        <f>SUM(I151:J151)</f>
        <v>83956730</v>
      </c>
      <c r="L151" s="250">
        <f>L143+L142</f>
        <v>81834046</v>
      </c>
      <c r="M151" s="257">
        <f>M143+M142</f>
        <v>0</v>
      </c>
      <c r="N151" s="258">
        <f>SUM(L151:M151)</f>
        <v>81834046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15">E85-E151</f>
        <v>32998979</v>
      </c>
      <c r="F153" s="148"/>
      <c r="G153" s="148"/>
      <c r="H153" s="148">
        <f>H85-H151</f>
        <v>29062502</v>
      </c>
      <c r="I153" s="148"/>
      <c r="J153" s="148"/>
      <c r="K153" s="148">
        <f>K85-K151</f>
        <v>29718980</v>
      </c>
      <c r="L153" s="148"/>
      <c r="M153" s="148"/>
      <c r="N153" s="148">
        <f>N85-N151</f>
        <v>33395839</v>
      </c>
    </row>
    <row r="154" spans="1:14" x14ac:dyDescent="0.25">
      <c r="H154" s="148"/>
      <c r="K154" s="148"/>
      <c r="N154" s="148"/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3" fitToHeight="0" orientation="portrait" horizontalDpi="300" verticalDpi="300" r:id="rId1"/>
  <headerFooter>
    <oddFooter>&amp;R&amp;P</oddFooter>
  </headerFooter>
  <rowBreaks count="1" manualBreakCount="1">
    <brk id="11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N153"/>
  <sheetViews>
    <sheetView zoomScaleNormal="100" workbookViewId="0">
      <pane xSplit="1" ySplit="8" topLeftCell="B9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D7" sqref="D7"/>
    </sheetView>
  </sheetViews>
  <sheetFormatPr defaultRowHeight="15" x14ac:dyDescent="0.25"/>
  <cols>
    <col min="1" max="1" width="9.140625" style="179"/>
    <col min="2" max="2" width="54.140625" style="179" customWidth="1"/>
    <col min="3" max="3" width="11" style="179" customWidth="1"/>
    <col min="4" max="4" width="9.140625" style="179"/>
    <col min="5" max="5" width="11.28515625" style="179" customWidth="1"/>
    <col min="6" max="6" width="11" style="179" customWidth="1"/>
    <col min="7" max="7" width="9.140625" style="179"/>
    <col min="8" max="8" width="11.28515625" style="179" customWidth="1"/>
    <col min="9" max="9" width="11" style="179" customWidth="1"/>
    <col min="10" max="10" width="9.140625" style="179"/>
    <col min="11" max="11" width="11.28515625" style="179" customWidth="1"/>
    <col min="12" max="12" width="11" style="179" customWidth="1"/>
    <col min="13" max="13" width="9.140625" style="179"/>
    <col min="14" max="14" width="11.28515625" style="179" customWidth="1"/>
    <col min="15" max="16384" width="9.140625" style="179"/>
  </cols>
  <sheetData>
    <row r="1" spans="1:14" x14ac:dyDescent="0.25">
      <c r="A1" s="912" t="s">
        <v>272</v>
      </c>
      <c r="B1" s="912"/>
      <c r="C1" s="912"/>
      <c r="D1" s="912"/>
      <c r="E1" s="912"/>
    </row>
    <row r="2" spans="1:14" x14ac:dyDescent="0.25">
      <c r="A2" s="912" t="s">
        <v>271</v>
      </c>
      <c r="B2" s="912"/>
      <c r="C2" s="912"/>
      <c r="D2" s="912"/>
      <c r="E2" s="912"/>
    </row>
    <row r="3" spans="1:14" ht="8.25" customHeight="1" x14ac:dyDescent="0.25"/>
    <row r="4" spans="1:14" x14ac:dyDescent="0.25">
      <c r="A4" s="79" t="s">
        <v>270</v>
      </c>
      <c r="C4" s="45" t="str">
        <f>'6.1 műv ház'!C4</f>
        <v xml:space="preserve"> 12 / 2020. (VI.15) sz rendelet</v>
      </c>
    </row>
    <row r="5" spans="1:14" x14ac:dyDescent="0.25">
      <c r="A5" s="90" t="s">
        <v>539</v>
      </c>
      <c r="B5" s="81" t="s">
        <v>540</v>
      </c>
    </row>
    <row r="6" spans="1:14" x14ac:dyDescent="0.25">
      <c r="C6" s="519" t="s">
        <v>725</v>
      </c>
      <c r="D6" s="622" t="str">
        <f>'6.1 műv ház'!D6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244">
        <f t="shared" ref="C74:M74" si="4">C75</f>
        <v>0</v>
      </c>
      <c r="D74" s="244">
        <f t="shared" si="4"/>
        <v>0</v>
      </c>
      <c r="E74" s="245">
        <f t="shared" ref="E74:E85" si="5">SUM(C74:D74)</f>
        <v>0</v>
      </c>
      <c r="F74" s="244">
        <f t="shared" si="4"/>
        <v>0</v>
      </c>
      <c r="G74" s="244">
        <f t="shared" si="4"/>
        <v>0</v>
      </c>
      <c r="H74" s="245">
        <f t="shared" ref="H74:H81" si="6">SUM(F74:G74)</f>
        <v>0</v>
      </c>
      <c r="I74" s="244">
        <f t="shared" si="4"/>
        <v>0</v>
      </c>
      <c r="J74" s="244">
        <f t="shared" si="4"/>
        <v>0</v>
      </c>
      <c r="K74" s="245">
        <f t="shared" ref="K74:K81" si="7">SUM(I74:J74)</f>
        <v>0</v>
      </c>
      <c r="L74" s="244">
        <f t="shared" si="4"/>
        <v>0</v>
      </c>
      <c r="M74" s="244">
        <f t="shared" si="4"/>
        <v>0</v>
      </c>
      <c r="N74" s="245">
        <f t="shared" ref="N74:N81" si="8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9">SUM(C76:C77,C78,C79,C83,C82)</f>
        <v>0</v>
      </c>
      <c r="D75" s="246">
        <f t="shared" si="9"/>
        <v>0</v>
      </c>
      <c r="E75" s="247">
        <f t="shared" si="5"/>
        <v>0</v>
      </c>
      <c r="F75" s="246">
        <f t="shared" ref="F75:G75" si="10">SUM(F76:F77,F78,F79,F83,F82)</f>
        <v>0</v>
      </c>
      <c r="G75" s="246">
        <f t="shared" si="10"/>
        <v>0</v>
      </c>
      <c r="H75" s="247">
        <f t="shared" si="6"/>
        <v>0</v>
      </c>
      <c r="I75" s="246">
        <f t="shared" ref="I75:J75" si="11">SUM(I76:I77,I78,I79,I83,I82)</f>
        <v>0</v>
      </c>
      <c r="J75" s="246">
        <f t="shared" si="11"/>
        <v>0</v>
      </c>
      <c r="K75" s="247">
        <f t="shared" si="7"/>
        <v>0</v>
      </c>
      <c r="L75" s="246">
        <f t="shared" ref="L75:M75" si="12">SUM(L76:L77,L78,L79,L83,L82)</f>
        <v>0</v>
      </c>
      <c r="M75" s="246">
        <f t="shared" si="12"/>
        <v>0</v>
      </c>
      <c r="N75" s="247">
        <f t="shared" si="8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0</v>
      </c>
      <c r="G79" s="246">
        <f>SUM(G80:G81)</f>
        <v>0</v>
      </c>
      <c r="H79" s="247">
        <f t="shared" si="6"/>
        <v>0</v>
      </c>
      <c r="I79" s="246">
        <f>SUM(I80:I81)</f>
        <v>0</v>
      </c>
      <c r="J79" s="246">
        <f>SUM(J80:J81)</f>
        <v>0</v>
      </c>
      <c r="K79" s="247">
        <f t="shared" si="7"/>
        <v>0</v>
      </c>
      <c r="L79" s="246">
        <f>SUM(L80:L81)</f>
        <v>0</v>
      </c>
      <c r="M79" s="246">
        <f>SUM(M80:M81)</f>
        <v>0</v>
      </c>
      <c r="N79" s="247">
        <f t="shared" si="8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5"/>
        <v>0</v>
      </c>
      <c r="F80" s="246"/>
      <c r="G80" s="246"/>
      <c r="H80" s="247">
        <f t="shared" si="6"/>
        <v>0</v>
      </c>
      <c r="I80" s="246"/>
      <c r="J80" s="246"/>
      <c r="K80" s="247">
        <f t="shared" si="7"/>
        <v>0</v>
      </c>
      <c r="L80" s="246"/>
      <c r="M80" s="246"/>
      <c r="N80" s="247">
        <f t="shared" si="8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5"/>
        <v>0</v>
      </c>
      <c r="F83" s="246"/>
      <c r="G83" s="246"/>
      <c r="H83" s="247">
        <f t="shared" ref="H83:H85" si="13">SUM(F83:G83)</f>
        <v>0</v>
      </c>
      <c r="I83" s="246"/>
      <c r="J83" s="246"/>
      <c r="K83" s="247">
        <f t="shared" ref="K83:K85" si="14">SUM(I83:J83)</f>
        <v>0</v>
      </c>
      <c r="L83" s="246"/>
      <c r="M83" s="246"/>
      <c r="N83" s="247">
        <f t="shared" ref="N83:N85" si="15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5"/>
        <v>0</v>
      </c>
      <c r="F84" s="248"/>
      <c r="G84" s="248"/>
      <c r="H84" s="249">
        <f t="shared" si="13"/>
        <v>0</v>
      </c>
      <c r="I84" s="248"/>
      <c r="J84" s="248"/>
      <c r="K84" s="249">
        <f t="shared" si="14"/>
        <v>0</v>
      </c>
      <c r="L84" s="248"/>
      <c r="M84" s="248"/>
      <c r="N84" s="249">
        <f t="shared" si="15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0</v>
      </c>
      <c r="D85" s="250">
        <f>D73+D74</f>
        <v>0</v>
      </c>
      <c r="E85" s="251">
        <f t="shared" si="5"/>
        <v>0</v>
      </c>
      <c r="F85" s="250">
        <f>F73+F74</f>
        <v>0</v>
      </c>
      <c r="G85" s="250">
        <f>G73+G74</f>
        <v>0</v>
      </c>
      <c r="H85" s="251">
        <f t="shared" si="13"/>
        <v>0</v>
      </c>
      <c r="I85" s="250">
        <f>I73+I74</f>
        <v>0</v>
      </c>
      <c r="J85" s="250">
        <f>J73+J74</f>
        <v>0</v>
      </c>
      <c r="K85" s="251">
        <f t="shared" si="14"/>
        <v>0</v>
      </c>
      <c r="L85" s="250">
        <f>L73+L74</f>
        <v>0</v>
      </c>
      <c r="M85" s="250">
        <f>M73+M74</f>
        <v>0</v>
      </c>
      <c r="N85" s="251">
        <f t="shared" si="15"/>
        <v>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188" t="s">
        <v>160</v>
      </c>
      <c r="B88" s="189" t="s">
        <v>34</v>
      </c>
      <c r="C88" s="244">
        <f>C89+C101</f>
        <v>0</v>
      </c>
      <c r="D88" s="244">
        <f>D89+D101</f>
        <v>0</v>
      </c>
      <c r="E88" s="253">
        <f t="shared" ref="E88:E150" si="16">SUM(C88:D88)</f>
        <v>0</v>
      </c>
      <c r="F88" s="244">
        <f>F89+F101</f>
        <v>0</v>
      </c>
      <c r="G88" s="244">
        <f>G89+G101</f>
        <v>0</v>
      </c>
      <c r="H88" s="253">
        <f t="shared" ref="H88:H145" si="17">SUM(F88:G88)</f>
        <v>0</v>
      </c>
      <c r="I88" s="244">
        <f>I89+I101</f>
        <v>0</v>
      </c>
      <c r="J88" s="244">
        <f>J89+J101</f>
        <v>0</v>
      </c>
      <c r="K88" s="253">
        <f t="shared" ref="K88:K145" si="18">SUM(I88:J88)</f>
        <v>0</v>
      </c>
      <c r="L88" s="244">
        <f>L89+L101</f>
        <v>0</v>
      </c>
      <c r="M88" s="244">
        <f>M89+M101</f>
        <v>0</v>
      </c>
      <c r="N88" s="253">
        <f t="shared" ref="N88:N145" si="19">SUM(L88:M88)</f>
        <v>0</v>
      </c>
    </row>
    <row r="89" spans="1:14" ht="15.75" hidden="1" thickBot="1" x14ac:dyDescent="0.3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6"/>
        <v>0</v>
      </c>
      <c r="F89" s="246">
        <f>SUM(F90:F100)</f>
        <v>0</v>
      </c>
      <c r="G89" s="246">
        <f>SUM(G90:G100)</f>
        <v>0</v>
      </c>
      <c r="H89" s="247">
        <f t="shared" si="17"/>
        <v>0</v>
      </c>
      <c r="I89" s="246">
        <f>SUM(I90:I100)</f>
        <v>0</v>
      </c>
      <c r="J89" s="246">
        <f>SUM(J90:J100)</f>
        <v>0</v>
      </c>
      <c r="K89" s="247">
        <f t="shared" si="18"/>
        <v>0</v>
      </c>
      <c r="L89" s="246">
        <f>SUM(L90:L100)</f>
        <v>0</v>
      </c>
      <c r="M89" s="246">
        <f>SUM(M90:M100)</f>
        <v>0</v>
      </c>
      <c r="N89" s="247">
        <f t="shared" si="19"/>
        <v>0</v>
      </c>
    </row>
    <row r="90" spans="1:14" ht="15.75" hidden="1" thickBot="1" x14ac:dyDescent="0.3">
      <c r="A90" s="190" t="s">
        <v>163</v>
      </c>
      <c r="B90" s="180" t="s">
        <v>164</v>
      </c>
      <c r="C90" s="246"/>
      <c r="D90" s="246"/>
      <c r="E90" s="247">
        <f t="shared" si="16"/>
        <v>0</v>
      </c>
      <c r="F90" s="246"/>
      <c r="G90" s="246"/>
      <c r="H90" s="247">
        <f t="shared" si="17"/>
        <v>0</v>
      </c>
      <c r="I90" s="246"/>
      <c r="J90" s="246"/>
      <c r="K90" s="247">
        <f t="shared" si="18"/>
        <v>0</v>
      </c>
      <c r="L90" s="246"/>
      <c r="M90" s="246"/>
      <c r="N90" s="247">
        <f t="shared" si="19"/>
        <v>0</v>
      </c>
    </row>
    <row r="91" spans="1:14" ht="15.75" hidden="1" thickBot="1" x14ac:dyDescent="0.3">
      <c r="A91" s="190" t="s">
        <v>533</v>
      </c>
      <c r="B91" s="180" t="s">
        <v>534</v>
      </c>
      <c r="C91" s="246"/>
      <c r="D91" s="246"/>
      <c r="E91" s="247">
        <f t="shared" si="16"/>
        <v>0</v>
      </c>
      <c r="F91" s="246"/>
      <c r="G91" s="246"/>
      <c r="H91" s="247">
        <f t="shared" si="17"/>
        <v>0</v>
      </c>
      <c r="I91" s="246"/>
      <c r="J91" s="246"/>
      <c r="K91" s="247">
        <f t="shared" si="18"/>
        <v>0</v>
      </c>
      <c r="L91" s="246"/>
      <c r="M91" s="246"/>
      <c r="N91" s="247">
        <f t="shared" si="19"/>
        <v>0</v>
      </c>
    </row>
    <row r="92" spans="1:14" ht="15.75" hidden="1" thickBot="1" x14ac:dyDescent="0.3">
      <c r="A92" s="190" t="s">
        <v>165</v>
      </c>
      <c r="B92" s="180" t="s">
        <v>166</v>
      </c>
      <c r="C92" s="246"/>
      <c r="D92" s="246"/>
      <c r="E92" s="247">
        <f t="shared" si="16"/>
        <v>0</v>
      </c>
      <c r="F92" s="246"/>
      <c r="G92" s="246"/>
      <c r="H92" s="247">
        <f t="shared" si="17"/>
        <v>0</v>
      </c>
      <c r="I92" s="246"/>
      <c r="J92" s="246"/>
      <c r="K92" s="247">
        <f t="shared" si="18"/>
        <v>0</v>
      </c>
      <c r="L92" s="246"/>
      <c r="M92" s="246"/>
      <c r="N92" s="247">
        <f t="shared" si="19"/>
        <v>0</v>
      </c>
    </row>
    <row r="93" spans="1:14" ht="15.75" hidden="1" thickBot="1" x14ac:dyDescent="0.3">
      <c r="A93" s="190" t="s">
        <v>167</v>
      </c>
      <c r="B93" s="180" t="s">
        <v>168</v>
      </c>
      <c r="C93" s="246"/>
      <c r="D93" s="246"/>
      <c r="E93" s="247">
        <f t="shared" si="16"/>
        <v>0</v>
      </c>
      <c r="F93" s="246"/>
      <c r="G93" s="246"/>
      <c r="H93" s="247">
        <f t="shared" si="17"/>
        <v>0</v>
      </c>
      <c r="I93" s="246"/>
      <c r="J93" s="246"/>
      <c r="K93" s="247">
        <f t="shared" si="18"/>
        <v>0</v>
      </c>
      <c r="L93" s="246"/>
      <c r="M93" s="246"/>
      <c r="N93" s="247">
        <f t="shared" si="19"/>
        <v>0</v>
      </c>
    </row>
    <row r="94" spans="1:14" ht="15.75" hidden="1" thickBot="1" x14ac:dyDescent="0.3">
      <c r="A94" s="190" t="s">
        <v>169</v>
      </c>
      <c r="B94" s="180" t="s">
        <v>170</v>
      </c>
      <c r="C94" s="246"/>
      <c r="D94" s="246"/>
      <c r="E94" s="247">
        <f t="shared" si="16"/>
        <v>0</v>
      </c>
      <c r="F94" s="246"/>
      <c r="G94" s="246"/>
      <c r="H94" s="247">
        <f t="shared" si="17"/>
        <v>0</v>
      </c>
      <c r="I94" s="246"/>
      <c r="J94" s="246"/>
      <c r="K94" s="247">
        <f t="shared" si="18"/>
        <v>0</v>
      </c>
      <c r="L94" s="246"/>
      <c r="M94" s="246"/>
      <c r="N94" s="247">
        <f t="shared" si="19"/>
        <v>0</v>
      </c>
    </row>
    <row r="95" spans="1:14" ht="15.75" hidden="1" thickBot="1" x14ac:dyDescent="0.3">
      <c r="A95" s="190" t="s">
        <v>171</v>
      </c>
      <c r="B95" s="180" t="s">
        <v>172</v>
      </c>
      <c r="C95" s="246"/>
      <c r="D95" s="246"/>
      <c r="E95" s="247">
        <f t="shared" si="16"/>
        <v>0</v>
      </c>
      <c r="F95" s="246"/>
      <c r="G95" s="246"/>
      <c r="H95" s="247">
        <f t="shared" si="17"/>
        <v>0</v>
      </c>
      <c r="I95" s="246"/>
      <c r="J95" s="246"/>
      <c r="K95" s="247">
        <f t="shared" si="18"/>
        <v>0</v>
      </c>
      <c r="L95" s="246"/>
      <c r="M95" s="246"/>
      <c r="N95" s="247">
        <f t="shared" si="19"/>
        <v>0</v>
      </c>
    </row>
    <row r="96" spans="1:14" ht="15.75" hidden="1" thickBot="1" x14ac:dyDescent="0.3">
      <c r="A96" s="190" t="s">
        <v>173</v>
      </c>
      <c r="B96" s="180" t="s">
        <v>174</v>
      </c>
      <c r="C96" s="246"/>
      <c r="D96" s="246"/>
      <c r="E96" s="247">
        <f t="shared" si="16"/>
        <v>0</v>
      </c>
      <c r="F96" s="246"/>
      <c r="G96" s="246"/>
      <c r="H96" s="247">
        <f t="shared" si="17"/>
        <v>0</v>
      </c>
      <c r="I96" s="246"/>
      <c r="J96" s="246"/>
      <c r="K96" s="247">
        <f t="shared" si="18"/>
        <v>0</v>
      </c>
      <c r="L96" s="246"/>
      <c r="M96" s="246"/>
      <c r="N96" s="247">
        <f t="shared" si="19"/>
        <v>0</v>
      </c>
    </row>
    <row r="97" spans="1:14" ht="15.75" hidden="1" thickBot="1" x14ac:dyDescent="0.3">
      <c r="A97" s="190" t="s">
        <v>175</v>
      </c>
      <c r="B97" s="180" t="s">
        <v>176</v>
      </c>
      <c r="C97" s="246"/>
      <c r="D97" s="246"/>
      <c r="E97" s="247">
        <f t="shared" si="16"/>
        <v>0</v>
      </c>
      <c r="F97" s="246"/>
      <c r="G97" s="246"/>
      <c r="H97" s="247">
        <f t="shared" si="17"/>
        <v>0</v>
      </c>
      <c r="I97" s="246"/>
      <c r="J97" s="246"/>
      <c r="K97" s="247">
        <f t="shared" si="18"/>
        <v>0</v>
      </c>
      <c r="L97" s="246"/>
      <c r="M97" s="246"/>
      <c r="N97" s="247">
        <f t="shared" si="19"/>
        <v>0</v>
      </c>
    </row>
    <row r="98" spans="1:14" ht="15.75" hidden="1" thickBot="1" x14ac:dyDescent="0.3">
      <c r="A98" s="190" t="s">
        <v>177</v>
      </c>
      <c r="B98" s="180" t="s">
        <v>178</v>
      </c>
      <c r="C98" s="246"/>
      <c r="D98" s="246"/>
      <c r="E98" s="247">
        <f t="shared" si="16"/>
        <v>0</v>
      </c>
      <c r="F98" s="246"/>
      <c r="G98" s="246"/>
      <c r="H98" s="247">
        <f t="shared" si="17"/>
        <v>0</v>
      </c>
      <c r="I98" s="246"/>
      <c r="J98" s="246"/>
      <c r="K98" s="247">
        <f t="shared" si="18"/>
        <v>0</v>
      </c>
      <c r="L98" s="246"/>
      <c r="M98" s="246"/>
      <c r="N98" s="247">
        <f t="shared" si="19"/>
        <v>0</v>
      </c>
    </row>
    <row r="99" spans="1:14" ht="15.75" hidden="1" thickBot="1" x14ac:dyDescent="0.3">
      <c r="A99" s="190" t="s">
        <v>179</v>
      </c>
      <c r="B99" s="180" t="s">
        <v>180</v>
      </c>
      <c r="C99" s="246"/>
      <c r="D99" s="246"/>
      <c r="E99" s="247">
        <f t="shared" si="16"/>
        <v>0</v>
      </c>
      <c r="F99" s="246"/>
      <c r="G99" s="246"/>
      <c r="H99" s="247">
        <f t="shared" si="17"/>
        <v>0</v>
      </c>
      <c r="I99" s="246"/>
      <c r="J99" s="246"/>
      <c r="K99" s="247">
        <f t="shared" si="18"/>
        <v>0</v>
      </c>
      <c r="L99" s="246"/>
      <c r="M99" s="246"/>
      <c r="N99" s="247">
        <f t="shared" si="19"/>
        <v>0</v>
      </c>
    </row>
    <row r="100" spans="1:14" ht="15.75" hidden="1" thickBot="1" x14ac:dyDescent="0.3">
      <c r="A100" s="190" t="s">
        <v>181</v>
      </c>
      <c r="B100" s="180" t="s">
        <v>182</v>
      </c>
      <c r="C100" s="246"/>
      <c r="D100" s="246"/>
      <c r="E100" s="247">
        <f t="shared" si="16"/>
        <v>0</v>
      </c>
      <c r="F100" s="246"/>
      <c r="G100" s="246"/>
      <c r="H100" s="247">
        <f t="shared" si="17"/>
        <v>0</v>
      </c>
      <c r="I100" s="246"/>
      <c r="J100" s="246"/>
      <c r="K100" s="247">
        <f t="shared" si="18"/>
        <v>0</v>
      </c>
      <c r="L100" s="246"/>
      <c r="M100" s="246"/>
      <c r="N100" s="247">
        <f t="shared" si="19"/>
        <v>0</v>
      </c>
    </row>
    <row r="101" spans="1:14" ht="15.75" hidden="1" thickBot="1" x14ac:dyDescent="0.3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6"/>
        <v>0</v>
      </c>
      <c r="F101" s="246">
        <f>SUM(F102:F104)</f>
        <v>0</v>
      </c>
      <c r="G101" s="246">
        <f>SUM(G102:G104)</f>
        <v>0</v>
      </c>
      <c r="H101" s="247">
        <f t="shared" si="17"/>
        <v>0</v>
      </c>
      <c r="I101" s="246">
        <f>SUM(I102:I104)</f>
        <v>0</v>
      </c>
      <c r="J101" s="246">
        <f>SUM(J102:J104)</f>
        <v>0</v>
      </c>
      <c r="K101" s="247">
        <f t="shared" si="18"/>
        <v>0</v>
      </c>
      <c r="L101" s="246">
        <f>SUM(L102:L104)</f>
        <v>0</v>
      </c>
      <c r="M101" s="246">
        <f>SUM(M102:M104)</f>
        <v>0</v>
      </c>
      <c r="N101" s="247">
        <f t="shared" si="19"/>
        <v>0</v>
      </c>
    </row>
    <row r="102" spans="1:14" ht="15.75" hidden="1" thickBot="1" x14ac:dyDescent="0.3">
      <c r="A102" s="190" t="s">
        <v>185</v>
      </c>
      <c r="B102" s="180" t="s">
        <v>186</v>
      </c>
      <c r="C102" s="246"/>
      <c r="D102" s="246"/>
      <c r="E102" s="247">
        <f t="shared" si="16"/>
        <v>0</v>
      </c>
      <c r="F102" s="246"/>
      <c r="G102" s="246"/>
      <c r="H102" s="247">
        <f t="shared" si="17"/>
        <v>0</v>
      </c>
      <c r="I102" s="246"/>
      <c r="J102" s="246"/>
      <c r="K102" s="247">
        <f t="shared" si="18"/>
        <v>0</v>
      </c>
      <c r="L102" s="246"/>
      <c r="M102" s="246"/>
      <c r="N102" s="247">
        <f t="shared" si="19"/>
        <v>0</v>
      </c>
    </row>
    <row r="103" spans="1:14" ht="15.75" hidden="1" thickBot="1" x14ac:dyDescent="0.3">
      <c r="A103" s="190" t="s">
        <v>187</v>
      </c>
      <c r="B103" s="180" t="s">
        <v>188</v>
      </c>
      <c r="C103" s="246"/>
      <c r="D103" s="246"/>
      <c r="E103" s="247">
        <f t="shared" si="16"/>
        <v>0</v>
      </c>
      <c r="F103" s="246"/>
      <c r="G103" s="246"/>
      <c r="H103" s="247">
        <f t="shared" si="17"/>
        <v>0</v>
      </c>
      <c r="I103" s="246"/>
      <c r="J103" s="246"/>
      <c r="K103" s="247">
        <f t="shared" si="18"/>
        <v>0</v>
      </c>
      <c r="L103" s="246"/>
      <c r="M103" s="246"/>
      <c r="N103" s="247">
        <f t="shared" si="19"/>
        <v>0</v>
      </c>
    </row>
    <row r="104" spans="1:14" ht="15.75" hidden="1" thickBot="1" x14ac:dyDescent="0.3">
      <c r="A104" s="191" t="s">
        <v>189</v>
      </c>
      <c r="B104" s="192" t="s">
        <v>190</v>
      </c>
      <c r="C104" s="248"/>
      <c r="D104" s="248"/>
      <c r="E104" s="249">
        <f t="shared" si="16"/>
        <v>0</v>
      </c>
      <c r="F104" s="248"/>
      <c r="G104" s="248"/>
      <c r="H104" s="249">
        <f t="shared" si="17"/>
        <v>0</v>
      </c>
      <c r="I104" s="248"/>
      <c r="J104" s="248"/>
      <c r="K104" s="249">
        <f t="shared" si="18"/>
        <v>0</v>
      </c>
      <c r="L104" s="248"/>
      <c r="M104" s="248"/>
      <c r="N104" s="249">
        <f t="shared" si="19"/>
        <v>0</v>
      </c>
    </row>
    <row r="105" spans="1:14" ht="15.75" thickBot="1" x14ac:dyDescent="0.3">
      <c r="A105" s="188" t="s">
        <v>191</v>
      </c>
      <c r="B105" s="189" t="s">
        <v>192</v>
      </c>
      <c r="C105" s="244">
        <f>SUM(C106:C110)</f>
        <v>0</v>
      </c>
      <c r="D105" s="244">
        <f>SUM(D106:D110)</f>
        <v>0</v>
      </c>
      <c r="E105" s="245">
        <f t="shared" si="16"/>
        <v>0</v>
      </c>
      <c r="F105" s="244">
        <f>SUM(F106:F110)</f>
        <v>0</v>
      </c>
      <c r="G105" s="244">
        <f>SUM(G106:G110)</f>
        <v>0</v>
      </c>
      <c r="H105" s="245">
        <f t="shared" si="17"/>
        <v>0</v>
      </c>
      <c r="I105" s="244">
        <f>SUM(I106:I110)</f>
        <v>0</v>
      </c>
      <c r="J105" s="244">
        <f>SUM(J106:J110)</f>
        <v>0</v>
      </c>
      <c r="K105" s="245">
        <f t="shared" si="18"/>
        <v>0</v>
      </c>
      <c r="L105" s="244">
        <f>SUM(L106:L110)</f>
        <v>0</v>
      </c>
      <c r="M105" s="244">
        <f>SUM(M106:M110)</f>
        <v>0</v>
      </c>
      <c r="N105" s="245">
        <f t="shared" si="19"/>
        <v>0</v>
      </c>
    </row>
    <row r="106" spans="1:14" ht="15.75" hidden="1" thickBot="1" x14ac:dyDescent="0.3">
      <c r="A106" s="190"/>
      <c r="B106" s="180" t="s">
        <v>193</v>
      </c>
      <c r="C106" s="246"/>
      <c r="D106" s="246"/>
      <c r="E106" s="247">
        <f t="shared" si="16"/>
        <v>0</v>
      </c>
      <c r="F106" s="246"/>
      <c r="G106" s="246"/>
      <c r="H106" s="247">
        <f t="shared" si="17"/>
        <v>0</v>
      </c>
      <c r="I106" s="246"/>
      <c r="J106" s="246"/>
      <c r="K106" s="247">
        <f t="shared" si="18"/>
        <v>0</v>
      </c>
      <c r="L106" s="246"/>
      <c r="M106" s="246"/>
      <c r="N106" s="247">
        <f t="shared" si="19"/>
        <v>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6"/>
        <v>0</v>
      </c>
      <c r="F107" s="246"/>
      <c r="G107" s="246"/>
      <c r="H107" s="247">
        <f t="shared" si="17"/>
        <v>0</v>
      </c>
      <c r="I107" s="246"/>
      <c r="J107" s="246"/>
      <c r="K107" s="247">
        <f t="shared" si="18"/>
        <v>0</v>
      </c>
      <c r="L107" s="246"/>
      <c r="M107" s="246"/>
      <c r="N107" s="247">
        <f t="shared" si="19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6"/>
        <v>0</v>
      </c>
      <c r="F108" s="246"/>
      <c r="G108" s="246"/>
      <c r="H108" s="247">
        <f t="shared" si="17"/>
        <v>0</v>
      </c>
      <c r="I108" s="246"/>
      <c r="J108" s="246"/>
      <c r="K108" s="247">
        <f t="shared" si="18"/>
        <v>0</v>
      </c>
      <c r="L108" s="246"/>
      <c r="M108" s="246"/>
      <c r="N108" s="247">
        <f t="shared" si="19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6"/>
        <v>0</v>
      </c>
      <c r="F109" s="246"/>
      <c r="G109" s="246"/>
      <c r="H109" s="247">
        <f t="shared" si="17"/>
        <v>0</v>
      </c>
      <c r="I109" s="246"/>
      <c r="J109" s="246"/>
      <c r="K109" s="247">
        <f t="shared" si="18"/>
        <v>0</v>
      </c>
      <c r="L109" s="246"/>
      <c r="M109" s="246"/>
      <c r="N109" s="247">
        <f t="shared" si="19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6"/>
        <v>0</v>
      </c>
      <c r="F110" s="248"/>
      <c r="G110" s="248"/>
      <c r="H110" s="249">
        <f t="shared" si="17"/>
        <v>0</v>
      </c>
      <c r="I110" s="248"/>
      <c r="J110" s="248"/>
      <c r="K110" s="249">
        <f t="shared" si="18"/>
        <v>0</v>
      </c>
      <c r="L110" s="248"/>
      <c r="M110" s="248"/>
      <c r="N110" s="249">
        <f t="shared" si="19"/>
        <v>0</v>
      </c>
    </row>
    <row r="111" spans="1:14" x14ac:dyDescent="0.25">
      <c r="A111" s="188" t="s">
        <v>198</v>
      </c>
      <c r="B111" s="189" t="s">
        <v>35</v>
      </c>
      <c r="C111" s="244">
        <f>SUM(C112:C113,C114,C123,C122)</f>
        <v>4625100</v>
      </c>
      <c r="D111" s="244">
        <f>SUM(D112:D113,D114,D123,D122)</f>
        <v>0</v>
      </c>
      <c r="E111" s="245">
        <f t="shared" si="16"/>
        <v>4625100</v>
      </c>
      <c r="F111" s="244">
        <f>SUM(F112:F113,F114,F123,F122)</f>
        <v>4625100</v>
      </c>
      <c r="G111" s="244">
        <f>SUM(G112:G113,G114,G123,G122)</f>
        <v>0</v>
      </c>
      <c r="H111" s="245">
        <f t="shared" si="17"/>
        <v>4625100</v>
      </c>
      <c r="I111" s="244">
        <f>SUM(I112:I113,I114,I123,I122)</f>
        <v>4625100</v>
      </c>
      <c r="J111" s="244">
        <f>SUM(J112:J113,J114,J123,J122)</f>
        <v>0</v>
      </c>
      <c r="K111" s="245">
        <f t="shared" si="18"/>
        <v>4625100</v>
      </c>
      <c r="L111" s="244">
        <f>SUM(L112:L113,L114,L123,L122)</f>
        <v>4221464</v>
      </c>
      <c r="M111" s="244">
        <f>SUM(M112:M113,M114,M123,M122)</f>
        <v>0</v>
      </c>
      <c r="N111" s="245">
        <f t="shared" si="19"/>
        <v>4221464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16"/>
        <v>0</v>
      </c>
      <c r="F112" s="246"/>
      <c r="G112" s="246"/>
      <c r="H112" s="247">
        <f t="shared" si="17"/>
        <v>0</v>
      </c>
      <c r="I112" s="246"/>
      <c r="J112" s="246"/>
      <c r="K112" s="247">
        <f t="shared" si="18"/>
        <v>0</v>
      </c>
      <c r="L112" s="246"/>
      <c r="M112" s="246"/>
      <c r="N112" s="247">
        <f t="shared" si="19"/>
        <v>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16"/>
        <v>0</v>
      </c>
      <c r="F113" s="246"/>
      <c r="G113" s="246"/>
      <c r="H113" s="247">
        <f t="shared" si="17"/>
        <v>0</v>
      </c>
      <c r="I113" s="246"/>
      <c r="J113" s="246"/>
      <c r="K113" s="247">
        <f t="shared" si="18"/>
        <v>0</v>
      </c>
      <c r="L113" s="246"/>
      <c r="M113" s="246"/>
      <c r="N113" s="247">
        <f t="shared" si="19"/>
        <v>0</v>
      </c>
    </row>
    <row r="114" spans="1:14" x14ac:dyDescent="0.25">
      <c r="A114" s="190" t="s">
        <v>203</v>
      </c>
      <c r="B114" s="180" t="s">
        <v>204</v>
      </c>
      <c r="C114" s="246">
        <f>SUM(C115:C121)</f>
        <v>4050000</v>
      </c>
      <c r="D114" s="246">
        <f>SUM(D115:D121)</f>
        <v>0</v>
      </c>
      <c r="E114" s="247">
        <f t="shared" si="16"/>
        <v>4050000</v>
      </c>
      <c r="F114" s="246">
        <f>SUM(F115:F121)</f>
        <v>4050000</v>
      </c>
      <c r="G114" s="246">
        <f>SUM(G115:G121)</f>
        <v>0</v>
      </c>
      <c r="H114" s="247">
        <f t="shared" si="17"/>
        <v>4050000</v>
      </c>
      <c r="I114" s="246">
        <f>SUM(I115:I121)</f>
        <v>4050000</v>
      </c>
      <c r="J114" s="246">
        <f>SUM(J115:J121)</f>
        <v>0</v>
      </c>
      <c r="K114" s="247">
        <f t="shared" si="18"/>
        <v>4050000</v>
      </c>
      <c r="L114" s="246">
        <f>SUM(L115:L121)</f>
        <v>3732176</v>
      </c>
      <c r="M114" s="246">
        <f>SUM(M115:M121)</f>
        <v>0</v>
      </c>
      <c r="N114" s="247">
        <f t="shared" si="19"/>
        <v>3732176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16"/>
        <v>0</v>
      </c>
      <c r="F115" s="246"/>
      <c r="G115" s="246"/>
      <c r="H115" s="247">
        <f t="shared" si="17"/>
        <v>0</v>
      </c>
      <c r="I115" s="246"/>
      <c r="J115" s="246"/>
      <c r="K115" s="247">
        <f t="shared" si="18"/>
        <v>0</v>
      </c>
      <c r="L115" s="246"/>
      <c r="M115" s="246"/>
      <c r="N115" s="247">
        <f t="shared" si="19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16"/>
        <v>0</v>
      </c>
      <c r="F116" s="246"/>
      <c r="G116" s="246"/>
      <c r="H116" s="247">
        <f t="shared" si="17"/>
        <v>0</v>
      </c>
      <c r="I116" s="246"/>
      <c r="J116" s="246"/>
      <c r="K116" s="247">
        <f t="shared" si="18"/>
        <v>0</v>
      </c>
      <c r="L116" s="246"/>
      <c r="M116" s="246"/>
      <c r="N116" s="247">
        <f t="shared" si="19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16"/>
        <v>0</v>
      </c>
      <c r="F117" s="246"/>
      <c r="G117" s="246"/>
      <c r="H117" s="247">
        <f t="shared" si="17"/>
        <v>0</v>
      </c>
      <c r="I117" s="246"/>
      <c r="J117" s="246"/>
      <c r="K117" s="247">
        <f t="shared" si="18"/>
        <v>0</v>
      </c>
      <c r="L117" s="246"/>
      <c r="M117" s="246"/>
      <c r="N117" s="247">
        <f t="shared" si="19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16"/>
        <v>0</v>
      </c>
      <c r="F118" s="246"/>
      <c r="G118" s="246"/>
      <c r="H118" s="247">
        <f t="shared" si="17"/>
        <v>0</v>
      </c>
      <c r="I118" s="246"/>
      <c r="J118" s="246"/>
      <c r="K118" s="247">
        <f t="shared" si="18"/>
        <v>0</v>
      </c>
      <c r="L118" s="246"/>
      <c r="M118" s="246"/>
      <c r="N118" s="247">
        <f t="shared" si="19"/>
        <v>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16"/>
        <v>0</v>
      </c>
      <c r="F119" s="246"/>
      <c r="G119" s="246"/>
      <c r="H119" s="247">
        <f t="shared" si="17"/>
        <v>0</v>
      </c>
      <c r="I119" s="246"/>
      <c r="J119" s="246"/>
      <c r="K119" s="247">
        <f t="shared" si="18"/>
        <v>0</v>
      </c>
      <c r="L119" s="246"/>
      <c r="M119" s="246"/>
      <c r="N119" s="247">
        <f t="shared" si="19"/>
        <v>0</v>
      </c>
    </row>
    <row r="120" spans="1:14" x14ac:dyDescent="0.25">
      <c r="A120" s="190" t="s">
        <v>215</v>
      </c>
      <c r="B120" s="180" t="s">
        <v>216</v>
      </c>
      <c r="C120" s="246">
        <v>1920000</v>
      </c>
      <c r="D120" s="246"/>
      <c r="E120" s="247">
        <f t="shared" si="16"/>
        <v>1920000</v>
      </c>
      <c r="F120" s="246">
        <v>1920000</v>
      </c>
      <c r="G120" s="246"/>
      <c r="H120" s="247">
        <f t="shared" si="17"/>
        <v>1920000</v>
      </c>
      <c r="I120" s="246">
        <v>1920000</v>
      </c>
      <c r="J120" s="246"/>
      <c r="K120" s="247">
        <f t="shared" si="18"/>
        <v>1920000</v>
      </c>
      <c r="L120" s="246">
        <v>1920000</v>
      </c>
      <c r="M120" s="246"/>
      <c r="N120" s="247">
        <f t="shared" si="19"/>
        <v>1920000</v>
      </c>
    </row>
    <row r="121" spans="1:14" x14ac:dyDescent="0.25">
      <c r="A121" s="190" t="s">
        <v>217</v>
      </c>
      <c r="B121" s="180" t="s">
        <v>218</v>
      </c>
      <c r="C121" s="316">
        <v>2130000</v>
      </c>
      <c r="D121" s="246"/>
      <c r="E121" s="247">
        <f t="shared" si="16"/>
        <v>2130000</v>
      </c>
      <c r="F121" s="316">
        <v>2130000</v>
      </c>
      <c r="G121" s="246"/>
      <c r="H121" s="247">
        <f t="shared" si="17"/>
        <v>2130000</v>
      </c>
      <c r="I121" s="316">
        <v>2130000</v>
      </c>
      <c r="J121" s="246"/>
      <c r="K121" s="247">
        <f t="shared" si="18"/>
        <v>2130000</v>
      </c>
      <c r="L121" s="316">
        <v>1812176</v>
      </c>
      <c r="M121" s="246"/>
      <c r="N121" s="247">
        <f t="shared" si="19"/>
        <v>1812176</v>
      </c>
    </row>
    <row r="122" spans="1:14" x14ac:dyDescent="0.25">
      <c r="A122" s="190" t="s">
        <v>219</v>
      </c>
      <c r="B122" s="180" t="s">
        <v>220</v>
      </c>
      <c r="C122" s="316"/>
      <c r="D122" s="246"/>
      <c r="E122" s="247">
        <f t="shared" si="16"/>
        <v>0</v>
      </c>
      <c r="F122" s="316"/>
      <c r="G122" s="246"/>
      <c r="H122" s="247">
        <f t="shared" si="17"/>
        <v>0</v>
      </c>
      <c r="I122" s="316"/>
      <c r="J122" s="246"/>
      <c r="K122" s="247">
        <f t="shared" si="18"/>
        <v>0</v>
      </c>
      <c r="L122" s="316"/>
      <c r="M122" s="246"/>
      <c r="N122" s="247">
        <f t="shared" si="19"/>
        <v>0</v>
      </c>
    </row>
    <row r="123" spans="1:14" x14ac:dyDescent="0.25">
      <c r="A123" s="190" t="s">
        <v>221</v>
      </c>
      <c r="B123" s="180" t="s">
        <v>222</v>
      </c>
      <c r="C123" s="316">
        <f>SUM(C124:C126)</f>
        <v>575100</v>
      </c>
      <c r="D123" s="246">
        <f>SUM(D124:D126)</f>
        <v>0</v>
      </c>
      <c r="E123" s="247">
        <f t="shared" si="16"/>
        <v>575100</v>
      </c>
      <c r="F123" s="316">
        <f>SUM(F124:F126)</f>
        <v>575100</v>
      </c>
      <c r="G123" s="246">
        <f>SUM(G124:G126)</f>
        <v>0</v>
      </c>
      <c r="H123" s="247">
        <f t="shared" si="17"/>
        <v>575100</v>
      </c>
      <c r="I123" s="316">
        <f>SUM(I124:I126)</f>
        <v>575100</v>
      </c>
      <c r="J123" s="246">
        <f>SUM(J124:J126)</f>
        <v>0</v>
      </c>
      <c r="K123" s="247">
        <f t="shared" si="18"/>
        <v>575100</v>
      </c>
      <c r="L123" s="316">
        <f>SUM(L124:L126)</f>
        <v>489288</v>
      </c>
      <c r="M123" s="246">
        <f>SUM(M124:M126)</f>
        <v>0</v>
      </c>
      <c r="N123" s="247">
        <f t="shared" si="19"/>
        <v>489288</v>
      </c>
    </row>
    <row r="124" spans="1:14" x14ac:dyDescent="0.25">
      <c r="A124" s="190"/>
      <c r="B124" s="180" t="s">
        <v>223</v>
      </c>
      <c r="C124" s="316">
        <f>2130000*0.27</f>
        <v>575100</v>
      </c>
      <c r="D124" s="246"/>
      <c r="E124" s="247">
        <f t="shared" si="16"/>
        <v>575100</v>
      </c>
      <c r="F124" s="316">
        <f>2130000*0.27</f>
        <v>575100</v>
      </c>
      <c r="G124" s="246"/>
      <c r="H124" s="247">
        <f t="shared" si="17"/>
        <v>575100</v>
      </c>
      <c r="I124" s="316">
        <f>2130000*0.27</f>
        <v>575100</v>
      </c>
      <c r="J124" s="246"/>
      <c r="K124" s="247">
        <f t="shared" si="18"/>
        <v>575100</v>
      </c>
      <c r="L124" s="316">
        <v>489288</v>
      </c>
      <c r="M124" s="246"/>
      <c r="N124" s="247">
        <f t="shared" si="19"/>
        <v>489288</v>
      </c>
    </row>
    <row r="125" spans="1:14" x14ac:dyDescent="0.25">
      <c r="A125" s="191"/>
      <c r="B125" s="192" t="s">
        <v>224</v>
      </c>
      <c r="C125" s="316"/>
      <c r="D125" s="246"/>
      <c r="E125" s="247">
        <f t="shared" si="16"/>
        <v>0</v>
      </c>
      <c r="F125" s="316"/>
      <c r="G125" s="246"/>
      <c r="H125" s="247">
        <f t="shared" si="17"/>
        <v>0</v>
      </c>
      <c r="I125" s="316"/>
      <c r="J125" s="246"/>
      <c r="K125" s="247">
        <f t="shared" si="18"/>
        <v>0</v>
      </c>
      <c r="L125" s="316"/>
      <c r="M125" s="246"/>
      <c r="N125" s="247">
        <f t="shared" si="19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16"/>
        <v>0</v>
      </c>
      <c r="F126" s="248"/>
      <c r="G126" s="248"/>
      <c r="H126" s="249">
        <f t="shared" si="17"/>
        <v>0</v>
      </c>
      <c r="I126" s="248"/>
      <c r="J126" s="248"/>
      <c r="K126" s="249">
        <f t="shared" si="18"/>
        <v>0</v>
      </c>
      <c r="L126" s="248"/>
      <c r="M126" s="248"/>
      <c r="N126" s="249">
        <f t="shared" si="19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6"/>
        <v>0</v>
      </c>
      <c r="F127" s="250"/>
      <c r="G127" s="250"/>
      <c r="H127" s="251">
        <f t="shared" si="17"/>
        <v>0</v>
      </c>
      <c r="I127" s="250"/>
      <c r="J127" s="250"/>
      <c r="K127" s="251">
        <f t="shared" si="18"/>
        <v>0</v>
      </c>
      <c r="L127" s="250"/>
      <c r="M127" s="250"/>
      <c r="N127" s="251">
        <f t="shared" si="19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6"/>
        <v>0</v>
      </c>
      <c r="F128" s="244">
        <f>SUM(F129:F134)</f>
        <v>0</v>
      </c>
      <c r="G128" s="244">
        <f>SUM(G129:G134)</f>
        <v>0</v>
      </c>
      <c r="H128" s="245">
        <f t="shared" si="17"/>
        <v>0</v>
      </c>
      <c r="I128" s="244">
        <f>SUM(I129:I134)</f>
        <v>0</v>
      </c>
      <c r="J128" s="244">
        <f>SUM(J129:J134)</f>
        <v>0</v>
      </c>
      <c r="K128" s="245">
        <f t="shared" si="18"/>
        <v>0</v>
      </c>
      <c r="L128" s="244">
        <f>SUM(L129:L134)</f>
        <v>0</v>
      </c>
      <c r="M128" s="244">
        <f>SUM(M129:M134)</f>
        <v>0</v>
      </c>
      <c r="N128" s="245">
        <f t="shared" si="19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6"/>
        <v>0</v>
      </c>
      <c r="F129" s="246"/>
      <c r="G129" s="246"/>
      <c r="H129" s="247">
        <f t="shared" si="17"/>
        <v>0</v>
      </c>
      <c r="I129" s="246"/>
      <c r="J129" s="246"/>
      <c r="K129" s="247">
        <f t="shared" si="18"/>
        <v>0</v>
      </c>
      <c r="L129" s="246"/>
      <c r="M129" s="246"/>
      <c r="N129" s="247">
        <f t="shared" si="19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6"/>
        <v>0</v>
      </c>
      <c r="F130" s="246"/>
      <c r="G130" s="246"/>
      <c r="H130" s="247">
        <f t="shared" si="17"/>
        <v>0</v>
      </c>
      <c r="I130" s="246"/>
      <c r="J130" s="246"/>
      <c r="K130" s="247">
        <f t="shared" si="18"/>
        <v>0</v>
      </c>
      <c r="L130" s="246"/>
      <c r="M130" s="246"/>
      <c r="N130" s="247">
        <f t="shared" si="19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6"/>
        <v>0</v>
      </c>
      <c r="F131" s="246"/>
      <c r="G131" s="246"/>
      <c r="H131" s="247">
        <f t="shared" si="17"/>
        <v>0</v>
      </c>
      <c r="I131" s="246"/>
      <c r="J131" s="246"/>
      <c r="K131" s="247">
        <f t="shared" si="18"/>
        <v>0</v>
      </c>
      <c r="L131" s="246"/>
      <c r="M131" s="246"/>
      <c r="N131" s="247">
        <f t="shared" si="19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6"/>
        <v>0</v>
      </c>
      <c r="F132" s="246"/>
      <c r="G132" s="246"/>
      <c r="H132" s="247">
        <f t="shared" si="17"/>
        <v>0</v>
      </c>
      <c r="I132" s="246"/>
      <c r="J132" s="246"/>
      <c r="K132" s="247">
        <f t="shared" si="18"/>
        <v>0</v>
      </c>
      <c r="L132" s="246"/>
      <c r="M132" s="246"/>
      <c r="N132" s="247">
        <f t="shared" si="19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6"/>
        <v>0</v>
      </c>
      <c r="F133" s="246"/>
      <c r="G133" s="246"/>
      <c r="H133" s="247">
        <f t="shared" si="17"/>
        <v>0</v>
      </c>
      <c r="I133" s="246"/>
      <c r="J133" s="246"/>
      <c r="K133" s="247">
        <f t="shared" si="18"/>
        <v>0</v>
      </c>
      <c r="L133" s="246"/>
      <c r="M133" s="246"/>
      <c r="N133" s="247">
        <f t="shared" si="19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6"/>
        <v>0</v>
      </c>
      <c r="F134" s="246">
        <f>SUM(F135:F136)</f>
        <v>0</v>
      </c>
      <c r="G134" s="246">
        <f>SUM(G135:G136)</f>
        <v>0</v>
      </c>
      <c r="H134" s="247">
        <f t="shared" si="17"/>
        <v>0</v>
      </c>
      <c r="I134" s="246">
        <f>SUM(I135:I136)</f>
        <v>0</v>
      </c>
      <c r="J134" s="246">
        <f>SUM(J135:J136)</f>
        <v>0</v>
      </c>
      <c r="K134" s="247">
        <f t="shared" si="18"/>
        <v>0</v>
      </c>
      <c r="L134" s="246">
        <f>SUM(L135:L136)</f>
        <v>0</v>
      </c>
      <c r="M134" s="246">
        <f>SUM(M135:M136)</f>
        <v>0</v>
      </c>
      <c r="N134" s="247">
        <f t="shared" si="19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6"/>
        <v>0</v>
      </c>
      <c r="F135" s="246"/>
      <c r="G135" s="246"/>
      <c r="H135" s="247">
        <f t="shared" si="17"/>
        <v>0</v>
      </c>
      <c r="I135" s="246"/>
      <c r="J135" s="246"/>
      <c r="K135" s="247">
        <f t="shared" si="18"/>
        <v>0</v>
      </c>
      <c r="L135" s="246"/>
      <c r="M135" s="246"/>
      <c r="N135" s="247">
        <f t="shared" si="19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6"/>
        <v>0</v>
      </c>
      <c r="F136" s="248"/>
      <c r="G136" s="248"/>
      <c r="H136" s="249">
        <f t="shared" si="17"/>
        <v>0</v>
      </c>
      <c r="I136" s="248"/>
      <c r="J136" s="248"/>
      <c r="K136" s="249">
        <f t="shared" si="18"/>
        <v>0</v>
      </c>
      <c r="L136" s="248"/>
      <c r="M136" s="248"/>
      <c r="N136" s="249">
        <f t="shared" si="19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6"/>
        <v>0</v>
      </c>
      <c r="F137" s="244"/>
      <c r="G137" s="244"/>
      <c r="H137" s="245">
        <f t="shared" si="17"/>
        <v>0</v>
      </c>
      <c r="I137" s="244"/>
      <c r="J137" s="244"/>
      <c r="K137" s="245">
        <f t="shared" si="18"/>
        <v>0</v>
      </c>
      <c r="L137" s="244"/>
      <c r="M137" s="244"/>
      <c r="N137" s="245">
        <f t="shared" si="19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6"/>
        <v>0</v>
      </c>
      <c r="F138" s="248"/>
      <c r="G138" s="248"/>
      <c r="H138" s="249">
        <f t="shared" si="17"/>
        <v>0</v>
      </c>
      <c r="I138" s="248"/>
      <c r="J138" s="248"/>
      <c r="K138" s="249">
        <f t="shared" si="18"/>
        <v>0</v>
      </c>
      <c r="L138" s="248"/>
      <c r="M138" s="248"/>
      <c r="N138" s="249">
        <f t="shared" si="19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6"/>
        <v>0</v>
      </c>
      <c r="F139" s="244"/>
      <c r="G139" s="244"/>
      <c r="H139" s="245">
        <f t="shared" si="17"/>
        <v>0</v>
      </c>
      <c r="I139" s="244"/>
      <c r="J139" s="244"/>
      <c r="K139" s="245">
        <f t="shared" si="18"/>
        <v>0</v>
      </c>
      <c r="L139" s="244"/>
      <c r="M139" s="244"/>
      <c r="N139" s="245">
        <f t="shared" si="19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6"/>
        <v>0</v>
      </c>
      <c r="F140" s="248"/>
      <c r="G140" s="248"/>
      <c r="H140" s="249">
        <f t="shared" si="17"/>
        <v>0</v>
      </c>
      <c r="I140" s="248"/>
      <c r="J140" s="248"/>
      <c r="K140" s="249">
        <f t="shared" si="18"/>
        <v>0</v>
      </c>
      <c r="L140" s="248"/>
      <c r="M140" s="248"/>
      <c r="N140" s="249">
        <f t="shared" si="19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6"/>
        <v>0</v>
      </c>
      <c r="F141" s="254"/>
      <c r="G141" s="254"/>
      <c r="H141" s="255">
        <f t="shared" si="17"/>
        <v>0</v>
      </c>
      <c r="I141" s="254"/>
      <c r="J141" s="254"/>
      <c r="K141" s="255">
        <f t="shared" si="18"/>
        <v>0</v>
      </c>
      <c r="L141" s="254"/>
      <c r="M141" s="254"/>
      <c r="N141" s="255">
        <f t="shared" si="19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4625100</v>
      </c>
      <c r="D142" s="250">
        <f>D141+D140+D139+D138+D137+D128+D127+D111+D105+D88</f>
        <v>0</v>
      </c>
      <c r="E142" s="251">
        <f t="shared" si="16"/>
        <v>4625100</v>
      </c>
      <c r="F142" s="250">
        <f>F141+F140+F139+F138+F137+F128+F127+F111+F105+F88</f>
        <v>4625100</v>
      </c>
      <c r="G142" s="250">
        <f>G141+G140+G139+G138+G137+G128+G127+G111+G105+G88</f>
        <v>0</v>
      </c>
      <c r="H142" s="251">
        <f t="shared" si="17"/>
        <v>4625100</v>
      </c>
      <c r="I142" s="250">
        <f>I141+I140+I139+I138+I137+I128+I127+I111+I105+I88</f>
        <v>4625100</v>
      </c>
      <c r="J142" s="250">
        <f>J141+J140+J139+J138+J137+J128+J127+J111+J105+J88</f>
        <v>0</v>
      </c>
      <c r="K142" s="251">
        <f t="shared" si="18"/>
        <v>4625100</v>
      </c>
      <c r="L142" s="250">
        <f>L141+L140+L139+L138+L137+L128+L127+L111+L105+L88</f>
        <v>4221464</v>
      </c>
      <c r="M142" s="250">
        <f>M141+M140+M139+M138+M137+M128+M127+M111+M105+M88</f>
        <v>0</v>
      </c>
      <c r="N142" s="251">
        <f t="shared" si="19"/>
        <v>4221464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6"/>
        <v>0</v>
      </c>
      <c r="F143" s="244">
        <f>SUM(F144:F150)</f>
        <v>0</v>
      </c>
      <c r="G143" s="244">
        <f>SUM(G144:G150)</f>
        <v>0</v>
      </c>
      <c r="H143" s="245">
        <f t="shared" si="17"/>
        <v>0</v>
      </c>
      <c r="I143" s="244">
        <f>SUM(I144:I150)</f>
        <v>0</v>
      </c>
      <c r="J143" s="244">
        <f>SUM(J144:J150)</f>
        <v>0</v>
      </c>
      <c r="K143" s="245">
        <f t="shared" si="18"/>
        <v>0</v>
      </c>
      <c r="L143" s="244">
        <f>SUM(L144:L150)</f>
        <v>0</v>
      </c>
      <c r="M143" s="244">
        <f>SUM(M144:M150)</f>
        <v>0</v>
      </c>
      <c r="N143" s="245">
        <f t="shared" si="19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6"/>
        <v>0</v>
      </c>
      <c r="F144" s="246"/>
      <c r="G144" s="246"/>
      <c r="H144" s="247">
        <f t="shared" si="17"/>
        <v>0</v>
      </c>
      <c r="I144" s="246"/>
      <c r="J144" s="246"/>
      <c r="K144" s="247">
        <f t="shared" si="18"/>
        <v>0</v>
      </c>
      <c r="L144" s="246"/>
      <c r="M144" s="246"/>
      <c r="N144" s="247">
        <f t="shared" si="19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6"/>
        <v>0</v>
      </c>
      <c r="F145" s="246"/>
      <c r="G145" s="246"/>
      <c r="H145" s="247">
        <f t="shared" si="17"/>
        <v>0</v>
      </c>
      <c r="I145" s="246"/>
      <c r="J145" s="246"/>
      <c r="K145" s="247">
        <f t="shared" si="18"/>
        <v>0</v>
      </c>
      <c r="L145" s="246"/>
      <c r="M145" s="246"/>
      <c r="N145" s="247">
        <f t="shared" si="19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6"/>
        <v>0</v>
      </c>
      <c r="F147" s="246"/>
      <c r="G147" s="246"/>
      <c r="H147" s="247">
        <f t="shared" ref="H147:H150" si="20">SUM(F147:G147)</f>
        <v>0</v>
      </c>
      <c r="I147" s="246"/>
      <c r="J147" s="246"/>
      <c r="K147" s="247">
        <f t="shared" ref="K147:K150" si="21">SUM(I147:J147)</f>
        <v>0</v>
      </c>
      <c r="L147" s="246"/>
      <c r="M147" s="246"/>
      <c r="N147" s="247">
        <f t="shared" ref="N147:N150" si="22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6"/>
        <v>0</v>
      </c>
      <c r="F148" s="246"/>
      <c r="G148" s="246"/>
      <c r="H148" s="247">
        <f t="shared" si="20"/>
        <v>0</v>
      </c>
      <c r="I148" s="246"/>
      <c r="J148" s="246"/>
      <c r="K148" s="247">
        <f t="shared" si="21"/>
        <v>0</v>
      </c>
      <c r="L148" s="246"/>
      <c r="M148" s="246"/>
      <c r="N148" s="247">
        <f t="shared" si="22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6"/>
        <v>0</v>
      </c>
      <c r="F149" s="246"/>
      <c r="G149" s="246"/>
      <c r="H149" s="247">
        <f t="shared" si="20"/>
        <v>0</v>
      </c>
      <c r="I149" s="246"/>
      <c r="J149" s="246"/>
      <c r="K149" s="247">
        <f t="shared" si="21"/>
        <v>0</v>
      </c>
      <c r="L149" s="246"/>
      <c r="M149" s="246"/>
      <c r="N149" s="247">
        <f t="shared" si="22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6"/>
        <v>0</v>
      </c>
      <c r="F150" s="256"/>
      <c r="G150" s="248"/>
      <c r="H150" s="249">
        <f t="shared" si="20"/>
        <v>0</v>
      </c>
      <c r="I150" s="256"/>
      <c r="J150" s="248"/>
      <c r="K150" s="249">
        <f t="shared" si="21"/>
        <v>0</v>
      </c>
      <c r="L150" s="256"/>
      <c r="M150" s="248"/>
      <c r="N150" s="249">
        <f t="shared" si="22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4625100</v>
      </c>
      <c r="D151" s="257">
        <f>D143+D142</f>
        <v>0</v>
      </c>
      <c r="E151" s="258">
        <f>SUM(C151:D151)</f>
        <v>4625100</v>
      </c>
      <c r="F151" s="250">
        <f>F143+F142</f>
        <v>4625100</v>
      </c>
      <c r="G151" s="257">
        <f>G143+G142</f>
        <v>0</v>
      </c>
      <c r="H151" s="258">
        <f>SUM(F151:G151)</f>
        <v>4625100</v>
      </c>
      <c r="I151" s="250">
        <f>I143+I142</f>
        <v>4625100</v>
      </c>
      <c r="J151" s="257">
        <f>J143+J142</f>
        <v>0</v>
      </c>
      <c r="K151" s="258">
        <f>SUM(I151:J151)</f>
        <v>4625100</v>
      </c>
      <c r="L151" s="250">
        <f>L143+L142</f>
        <v>4221464</v>
      </c>
      <c r="M151" s="257">
        <f>M143+M142</f>
        <v>0</v>
      </c>
      <c r="N151" s="258">
        <f>SUM(L151:M151)</f>
        <v>4221464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3">E85-E151</f>
        <v>-4625100</v>
      </c>
      <c r="F153" s="148"/>
      <c r="G153" s="148"/>
      <c r="H153" s="148">
        <f t="shared" ref="H153" si="24">H85-H151</f>
        <v>-4625100</v>
      </c>
      <c r="I153" s="148"/>
      <c r="J153" s="148"/>
      <c r="K153" s="148">
        <f t="shared" ref="K153" si="25">K85-K151</f>
        <v>-4625100</v>
      </c>
      <c r="L153" s="148"/>
      <c r="M153" s="148"/>
      <c r="N153" s="148">
        <f t="shared" ref="N153" si="26">N85-N151</f>
        <v>-4221464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2" fitToHeight="0" orientation="portrait" horizontalDpi="300" verticalDpi="30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Q89" sqref="Q89"/>
    </sheetView>
  </sheetViews>
  <sheetFormatPr defaultRowHeight="15" x14ac:dyDescent="0.25"/>
  <cols>
    <col min="1" max="1" width="9.140625" style="44"/>
    <col min="2" max="2" width="55.140625" style="44" customWidth="1"/>
    <col min="3" max="4" width="9.140625" style="44"/>
    <col min="5" max="5" width="9.85546875" style="44" customWidth="1"/>
    <col min="6" max="7" width="9.140625" style="179"/>
    <col min="8" max="8" width="9.85546875" style="179" customWidth="1"/>
    <col min="9" max="10" width="9.140625" style="179"/>
    <col min="11" max="11" width="9.85546875" style="179" customWidth="1"/>
    <col min="12" max="13" width="9.140625" style="179"/>
    <col min="14" max="14" width="9.85546875" style="179" customWidth="1"/>
    <col min="15" max="16384" width="9.140625" style="44"/>
  </cols>
  <sheetData>
    <row r="1" spans="1:14" x14ac:dyDescent="0.25">
      <c r="A1" s="912" t="s">
        <v>272</v>
      </c>
      <c r="B1" s="912"/>
      <c r="C1" s="912"/>
      <c r="D1" s="912"/>
      <c r="E1" s="912"/>
      <c r="F1" s="44"/>
      <c r="G1" s="44"/>
      <c r="H1" s="44"/>
    </row>
    <row r="2" spans="1:14" x14ac:dyDescent="0.25">
      <c r="A2" s="912" t="s">
        <v>271</v>
      </c>
      <c r="B2" s="912"/>
      <c r="C2" s="912"/>
      <c r="D2" s="912"/>
      <c r="E2" s="912"/>
      <c r="F2" s="44"/>
      <c r="G2" s="44"/>
      <c r="H2" s="44"/>
    </row>
    <row r="3" spans="1:14" ht="5.25" customHeight="1" x14ac:dyDescent="0.25"/>
    <row r="4" spans="1:14" x14ac:dyDescent="0.25">
      <c r="A4" s="79" t="s">
        <v>270</v>
      </c>
      <c r="C4" s="45" t="str">
        <f>'6.2 HH'!C4</f>
        <v xml:space="preserve"> 12 / 2020. (VI.15) sz rendelet</v>
      </c>
    </row>
    <row r="5" spans="1:14" x14ac:dyDescent="0.25">
      <c r="A5" s="69" t="s">
        <v>566</v>
      </c>
      <c r="B5" s="70" t="s">
        <v>567</v>
      </c>
    </row>
    <row r="6" spans="1:14" x14ac:dyDescent="0.25">
      <c r="C6" s="519" t="s">
        <v>726</v>
      </c>
      <c r="D6" s="622" t="str">
        <f>'6.2 HH'!D6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857548</v>
      </c>
      <c r="G9" s="244">
        <f>SUM(G10,G17,G18,G20,G21,G19)</f>
        <v>0</v>
      </c>
      <c r="H9" s="245">
        <f t="shared" ref="H9:H73" si="1">SUM(F9:G9)</f>
        <v>857548</v>
      </c>
      <c r="I9" s="244">
        <f>SUM(I10,I17,I18,I20,I21,I19)</f>
        <v>908627</v>
      </c>
      <c r="J9" s="244">
        <f>SUM(J10,J17,J18,J20,J21,J19)</f>
        <v>0</v>
      </c>
      <c r="K9" s="245">
        <f t="shared" ref="K9:K73" si="2">SUM(I9:J9)</f>
        <v>908627</v>
      </c>
      <c r="L9" s="244">
        <f>SUM(L10,L17,L18,L20,L21,L19)</f>
        <v>908627</v>
      </c>
      <c r="M9" s="244">
        <f>SUM(M10,M17,M18,M20,M21,M19)</f>
        <v>0</v>
      </c>
      <c r="N9" s="245">
        <f t="shared" ref="N9:N73" si="3">SUM(L9:M9)</f>
        <v>908627</v>
      </c>
    </row>
    <row r="10" spans="1:14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857548</v>
      </c>
      <c r="G10" s="246">
        <f>SUM(G11:G16)</f>
        <v>0</v>
      </c>
      <c r="H10" s="247">
        <f t="shared" si="1"/>
        <v>857548</v>
      </c>
      <c r="I10" s="246">
        <f>SUM(I11:I16)</f>
        <v>908627</v>
      </c>
      <c r="J10" s="246">
        <f>SUM(J11:J16)</f>
        <v>0</v>
      </c>
      <c r="K10" s="247">
        <f t="shared" si="2"/>
        <v>908627</v>
      </c>
      <c r="L10" s="246">
        <f>SUM(L11:L16)</f>
        <v>908627</v>
      </c>
      <c r="M10" s="246">
        <f>SUM(M11:M16)</f>
        <v>0</v>
      </c>
      <c r="N10" s="247">
        <f t="shared" si="3"/>
        <v>908627</v>
      </c>
    </row>
    <row r="11" spans="1:14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>
        <f>138000+188000+531548</f>
        <v>857548</v>
      </c>
      <c r="G14" s="246"/>
      <c r="H14" s="247">
        <f t="shared" si="1"/>
        <v>857548</v>
      </c>
      <c r="I14" s="246">
        <f>770627+138000</f>
        <v>908627</v>
      </c>
      <c r="J14" s="246"/>
      <c r="K14" s="247">
        <f t="shared" si="2"/>
        <v>908627</v>
      </c>
      <c r="L14" s="246">
        <f>770627+138000</f>
        <v>908627</v>
      </c>
      <c r="M14" s="246"/>
      <c r="N14" s="247">
        <f t="shared" si="3"/>
        <v>908627</v>
      </c>
    </row>
    <row r="15" spans="1:14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510490</v>
      </c>
      <c r="D45" s="244">
        <f>D46+D47+D48+D49+D54+D55+D56+D57+D58+D59+D60</f>
        <v>0</v>
      </c>
      <c r="E45" s="245">
        <f t="shared" si="0"/>
        <v>510490</v>
      </c>
      <c r="F45" s="244">
        <f>F46+F47+F48+F49+F54+F55+F56+F57+F58+F59+F60</f>
        <v>510490</v>
      </c>
      <c r="G45" s="244">
        <f>G46+G47+G48+G49+G54+G55+G56+G57+G58+G59+G60</f>
        <v>0</v>
      </c>
      <c r="H45" s="245">
        <f t="shared" si="1"/>
        <v>510490</v>
      </c>
      <c r="I45" s="244">
        <f>I46+I47+I48+I49+I54+I55+I56+I57+I58+I59+I60</f>
        <v>535038</v>
      </c>
      <c r="J45" s="244">
        <f>J46+J47+J48+J49+J54+J55+J56+J57+J58+J59+J60</f>
        <v>0</v>
      </c>
      <c r="K45" s="245">
        <f t="shared" si="2"/>
        <v>535038</v>
      </c>
      <c r="L45" s="244">
        <f>L46+L47+L48+L49+L54+L55+L56+L57+L58+L59+L60</f>
        <v>534208</v>
      </c>
      <c r="M45" s="244">
        <f>M46+M47+M48+M49+M54+M55+M56+M57+M58+M59+M60</f>
        <v>0</v>
      </c>
      <c r="N45" s="245">
        <f t="shared" si="3"/>
        <v>534208</v>
      </c>
    </row>
    <row r="46" spans="1:14" x14ac:dyDescent="0.25">
      <c r="A46" s="53" t="s">
        <v>95</v>
      </c>
      <c r="B46" s="62" t="s">
        <v>96</v>
      </c>
      <c r="C46" s="316">
        <f>69620+271895</f>
        <v>341515</v>
      </c>
      <c r="D46" s="246"/>
      <c r="E46" s="247">
        <f t="shared" si="0"/>
        <v>341515</v>
      </c>
      <c r="F46" s="316">
        <f>69620+271895</f>
        <v>341515</v>
      </c>
      <c r="G46" s="246"/>
      <c r="H46" s="247">
        <f t="shared" si="1"/>
        <v>341515</v>
      </c>
      <c r="I46" s="316">
        <f>69620+271895</f>
        <v>341515</v>
      </c>
      <c r="J46" s="246"/>
      <c r="K46" s="247">
        <f t="shared" si="2"/>
        <v>341515</v>
      </c>
      <c r="L46" s="316">
        <v>339852</v>
      </c>
      <c r="M46" s="246"/>
      <c r="N46" s="247">
        <f t="shared" si="3"/>
        <v>339852</v>
      </c>
    </row>
    <row r="47" spans="1:14" x14ac:dyDescent="0.25">
      <c r="A47" s="53" t="s">
        <v>97</v>
      </c>
      <c r="B47" s="62" t="s">
        <v>98</v>
      </c>
      <c r="C47" s="246">
        <v>130000</v>
      </c>
      <c r="D47" s="246"/>
      <c r="E47" s="247">
        <f t="shared" si="0"/>
        <v>130000</v>
      </c>
      <c r="F47" s="246">
        <v>130000</v>
      </c>
      <c r="G47" s="246"/>
      <c r="H47" s="247">
        <f t="shared" si="1"/>
        <v>130000</v>
      </c>
      <c r="I47" s="246">
        <v>130000</v>
      </c>
      <c r="J47" s="246"/>
      <c r="K47" s="247">
        <f t="shared" si="2"/>
        <v>130000</v>
      </c>
      <c r="L47" s="246">
        <v>125628</v>
      </c>
      <c r="M47" s="246"/>
      <c r="N47" s="247">
        <f t="shared" si="3"/>
        <v>125628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>
        <f>3000+18900+3480+13595</f>
        <v>38975</v>
      </c>
      <c r="D55" s="246"/>
      <c r="E55" s="247">
        <f t="shared" si="0"/>
        <v>38975</v>
      </c>
      <c r="F55" s="246">
        <f>3000+18900+3480+13595</f>
        <v>38975</v>
      </c>
      <c r="G55" s="246"/>
      <c r="H55" s="247">
        <f t="shared" si="1"/>
        <v>38975</v>
      </c>
      <c r="I55" s="246">
        <f>3000+18900+3480+13595</f>
        <v>38975</v>
      </c>
      <c r="J55" s="246"/>
      <c r="K55" s="247">
        <f t="shared" si="2"/>
        <v>38975</v>
      </c>
      <c r="L55" s="246">
        <v>44180</v>
      </c>
      <c r="M55" s="246"/>
      <c r="N55" s="247">
        <f t="shared" si="3"/>
        <v>44180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>
        <v>24548</v>
      </c>
      <c r="J60" s="248"/>
      <c r="K60" s="249">
        <f t="shared" si="2"/>
        <v>24548</v>
      </c>
      <c r="L60" s="248">
        <v>24548</v>
      </c>
      <c r="M60" s="248"/>
      <c r="N60" s="249">
        <f t="shared" si="3"/>
        <v>24548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510490</v>
      </c>
      <c r="D73" s="250">
        <f>D9+D22+D25+D45+D61+D67+D70</f>
        <v>0</v>
      </c>
      <c r="E73" s="251">
        <f t="shared" si="0"/>
        <v>510490</v>
      </c>
      <c r="F73" s="250">
        <f>F9+F22+F25+F45+F61+F67+F70</f>
        <v>1368038</v>
      </c>
      <c r="G73" s="250">
        <f>G9+G22+G25+G45+G61+G67+G70</f>
        <v>0</v>
      </c>
      <c r="H73" s="251">
        <f t="shared" si="1"/>
        <v>1368038</v>
      </c>
      <c r="I73" s="250">
        <f>I9+I22+I25+I45+I61+I67+I70</f>
        <v>1443665</v>
      </c>
      <c r="J73" s="250">
        <f>J9+J22+J25+J45+J61+J67+J70</f>
        <v>0</v>
      </c>
      <c r="K73" s="251">
        <f t="shared" si="2"/>
        <v>1443665</v>
      </c>
      <c r="L73" s="250">
        <f>L9+L22+L25+L45+L61+L67+L70</f>
        <v>1442835</v>
      </c>
      <c r="M73" s="250">
        <f>M9+M22+M25+M45+M61+M67+M70</f>
        <v>0</v>
      </c>
      <c r="N73" s="251">
        <f t="shared" si="3"/>
        <v>1442835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510490</v>
      </c>
      <c r="D85" s="250">
        <f>D73+D74</f>
        <v>0</v>
      </c>
      <c r="E85" s="251">
        <f t="shared" si="4"/>
        <v>510490</v>
      </c>
      <c r="F85" s="250">
        <f>F73+F74</f>
        <v>1368038</v>
      </c>
      <c r="G85" s="250">
        <f>G73+G74</f>
        <v>0</v>
      </c>
      <c r="H85" s="251">
        <f t="shared" si="12"/>
        <v>1368038</v>
      </c>
      <c r="I85" s="250">
        <f>I73+I74</f>
        <v>1443665</v>
      </c>
      <c r="J85" s="250">
        <f>J73+J74</f>
        <v>0</v>
      </c>
      <c r="K85" s="251">
        <f t="shared" si="13"/>
        <v>1443665</v>
      </c>
      <c r="L85" s="250">
        <f>L73+L74</f>
        <v>1442835</v>
      </c>
      <c r="M85" s="250">
        <f>M73+M74</f>
        <v>0</v>
      </c>
      <c r="N85" s="251">
        <f t="shared" si="14"/>
        <v>1442835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6098400</v>
      </c>
      <c r="D88" s="244">
        <f>D89+D101</f>
        <v>0</v>
      </c>
      <c r="E88" s="253">
        <f t="shared" ref="E88:E150" si="15">SUM(C88:D88)</f>
        <v>6098400</v>
      </c>
      <c r="F88" s="244">
        <f>F89+F101</f>
        <v>6098400</v>
      </c>
      <c r="G88" s="244">
        <f>G89+G101</f>
        <v>0</v>
      </c>
      <c r="H88" s="253">
        <f t="shared" ref="H88:H90" si="16">SUM(F88:G88)</f>
        <v>6098400</v>
      </c>
      <c r="I88" s="244">
        <f>I89+I101</f>
        <v>6378921</v>
      </c>
      <c r="J88" s="244">
        <f>J89+J101</f>
        <v>0</v>
      </c>
      <c r="K88" s="253">
        <f t="shared" ref="K88:K91" si="17">SUM(I88:J88)</f>
        <v>6378921</v>
      </c>
      <c r="L88" s="244">
        <f>L89+L101</f>
        <v>6209416</v>
      </c>
      <c r="M88" s="244">
        <f>M89+M101</f>
        <v>0</v>
      </c>
      <c r="N88" s="253">
        <f t="shared" ref="N88:N145" si="18">SUM(L88:M88)</f>
        <v>6209416</v>
      </c>
    </row>
    <row r="89" spans="1:14" x14ac:dyDescent="0.25">
      <c r="A89" s="61" t="s">
        <v>161</v>
      </c>
      <c r="B89" s="62" t="s">
        <v>162</v>
      </c>
      <c r="C89" s="246">
        <f>SUM(C90:C100)</f>
        <v>6098400</v>
      </c>
      <c r="D89" s="246">
        <f>SUM(D90:D100)</f>
        <v>0</v>
      </c>
      <c r="E89" s="247">
        <f t="shared" si="15"/>
        <v>6098400</v>
      </c>
      <c r="F89" s="246">
        <f>SUM(F90:F100)</f>
        <v>6098400</v>
      </c>
      <c r="G89" s="246">
        <f>SUM(G90:G100)</f>
        <v>0</v>
      </c>
      <c r="H89" s="247">
        <f t="shared" si="16"/>
        <v>6098400</v>
      </c>
      <c r="I89" s="246">
        <f>SUM(I90:I100)</f>
        <v>6378921</v>
      </c>
      <c r="J89" s="246">
        <f>SUM(J90:J100)</f>
        <v>0</v>
      </c>
      <c r="K89" s="247">
        <f t="shared" si="17"/>
        <v>6378921</v>
      </c>
      <c r="L89" s="246">
        <f>SUM(L90:L100)</f>
        <v>6209416</v>
      </c>
      <c r="M89" s="246">
        <f>SUM(M90:M100)</f>
        <v>0</v>
      </c>
      <c r="N89" s="247">
        <f t="shared" si="18"/>
        <v>6209416</v>
      </c>
    </row>
    <row r="90" spans="1:14" x14ac:dyDescent="0.25">
      <c r="A90" s="61" t="s">
        <v>163</v>
      </c>
      <c r="B90" s="62" t="s">
        <v>164</v>
      </c>
      <c r="C90" s="246">
        <v>5598400</v>
      </c>
      <c r="D90" s="246"/>
      <c r="E90" s="247">
        <f t="shared" si="15"/>
        <v>5598400</v>
      </c>
      <c r="F90" s="246">
        <v>5598400</v>
      </c>
      <c r="G90" s="246"/>
      <c r="H90" s="247">
        <f t="shared" si="16"/>
        <v>5598400</v>
      </c>
      <c r="I90" s="246">
        <v>5598400</v>
      </c>
      <c r="J90" s="246"/>
      <c r="K90" s="247">
        <f t="shared" si="17"/>
        <v>5598400</v>
      </c>
      <c r="L90" s="246">
        <v>5422095</v>
      </c>
      <c r="M90" s="246"/>
      <c r="N90" s="247">
        <f t="shared" si="18"/>
        <v>5422095</v>
      </c>
    </row>
    <row r="91" spans="1:14" s="179" customFormat="1" x14ac:dyDescent="0.25">
      <c r="A91" s="190" t="s">
        <v>533</v>
      </c>
      <c r="B91" s="180" t="s">
        <v>534</v>
      </c>
      <c r="C91" s="246">
        <v>180000</v>
      </c>
      <c r="D91" s="246"/>
      <c r="E91" s="247"/>
      <c r="F91" s="246">
        <v>180000</v>
      </c>
      <c r="G91" s="246"/>
      <c r="H91" s="247"/>
      <c r="I91" s="246">
        <v>180000</v>
      </c>
      <c r="J91" s="246"/>
      <c r="K91" s="247">
        <f t="shared" si="17"/>
        <v>180000</v>
      </c>
      <c r="L91" s="246">
        <v>179099</v>
      </c>
      <c r="M91" s="246"/>
      <c r="N91" s="247">
        <f t="shared" si="18"/>
        <v>179099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si="18"/>
        <v>0</v>
      </c>
    </row>
    <row r="93" spans="1:14" x14ac:dyDescent="0.25">
      <c r="A93" s="61" t="s">
        <v>167</v>
      </c>
      <c r="B93" s="62" t="s">
        <v>168</v>
      </c>
      <c r="C93" s="246">
        <v>130000</v>
      </c>
      <c r="D93" s="246"/>
      <c r="E93" s="247">
        <f t="shared" si="15"/>
        <v>130000</v>
      </c>
      <c r="F93" s="246">
        <v>130000</v>
      </c>
      <c r="G93" s="246"/>
      <c r="H93" s="247">
        <f t="shared" si="19"/>
        <v>130000</v>
      </c>
      <c r="I93" s="246">
        <f>130000+96521+28000</f>
        <v>254521</v>
      </c>
      <c r="J93" s="246"/>
      <c r="K93" s="247">
        <f t="shared" si="20"/>
        <v>254521</v>
      </c>
      <c r="L93" s="246">
        <v>254445</v>
      </c>
      <c r="M93" s="246"/>
      <c r="N93" s="247">
        <f t="shared" si="18"/>
        <v>254445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18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18"/>
        <v>0</v>
      </c>
    </row>
    <row r="96" spans="1:14" x14ac:dyDescent="0.25">
      <c r="A96" s="61" t="s">
        <v>173</v>
      </c>
      <c r="B96" s="62" t="s">
        <v>174</v>
      </c>
      <c r="C96" s="246">
        <v>140000</v>
      </c>
      <c r="D96" s="246"/>
      <c r="E96" s="247">
        <f t="shared" si="15"/>
        <v>140000</v>
      </c>
      <c r="F96" s="246">
        <v>140000</v>
      </c>
      <c r="G96" s="246"/>
      <c r="H96" s="247">
        <f t="shared" si="19"/>
        <v>140000</v>
      </c>
      <c r="I96" s="246">
        <v>140000</v>
      </c>
      <c r="J96" s="246"/>
      <c r="K96" s="247">
        <f t="shared" si="20"/>
        <v>140000</v>
      </c>
      <c r="L96" s="246">
        <v>149014</v>
      </c>
      <c r="M96" s="246"/>
      <c r="N96" s="247">
        <f t="shared" si="18"/>
        <v>149014</v>
      </c>
    </row>
    <row r="97" spans="1:14" x14ac:dyDescent="0.25">
      <c r="A97" s="61" t="s">
        <v>175</v>
      </c>
      <c r="B97" s="62" t="s">
        <v>176</v>
      </c>
      <c r="C97" s="246">
        <v>50000</v>
      </c>
      <c r="D97" s="246"/>
      <c r="E97" s="247">
        <f t="shared" si="15"/>
        <v>50000</v>
      </c>
      <c r="F97" s="246">
        <v>50000</v>
      </c>
      <c r="G97" s="246"/>
      <c r="H97" s="247">
        <f t="shared" si="19"/>
        <v>50000</v>
      </c>
      <c r="I97" s="246">
        <v>50000</v>
      </c>
      <c r="J97" s="246"/>
      <c r="K97" s="247">
        <f t="shared" si="20"/>
        <v>50000</v>
      </c>
      <c r="L97" s="246">
        <v>49440</v>
      </c>
      <c r="M97" s="246"/>
      <c r="N97" s="247">
        <f t="shared" si="18"/>
        <v>49440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18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18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>
        <v>156000</v>
      </c>
      <c r="J100" s="246"/>
      <c r="K100" s="247">
        <f t="shared" si="20"/>
        <v>156000</v>
      </c>
      <c r="L100" s="246">
        <v>155323</v>
      </c>
      <c r="M100" s="246"/>
      <c r="N100" s="247">
        <f t="shared" si="18"/>
        <v>155323</v>
      </c>
    </row>
    <row r="101" spans="1:14" ht="15.75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18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18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18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18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1200438</v>
      </c>
      <c r="D105" s="244">
        <f>SUM(D106:D110)</f>
        <v>0</v>
      </c>
      <c r="E105" s="245">
        <f t="shared" si="15"/>
        <v>1200438</v>
      </c>
      <c r="F105" s="244">
        <f>SUM(F106:F110)</f>
        <v>1200438</v>
      </c>
      <c r="G105" s="244">
        <f>SUM(G106:G110)</f>
        <v>0</v>
      </c>
      <c r="H105" s="245">
        <f t="shared" si="19"/>
        <v>1200438</v>
      </c>
      <c r="I105" s="244">
        <f>SUM(I106:I110)</f>
        <v>1200438</v>
      </c>
      <c r="J105" s="244">
        <f>SUM(J106:J110)</f>
        <v>0</v>
      </c>
      <c r="K105" s="245">
        <f t="shared" si="20"/>
        <v>1200438</v>
      </c>
      <c r="L105" s="244">
        <f>SUM(L106:L110)</f>
        <v>1184213</v>
      </c>
      <c r="M105" s="244">
        <f>SUM(M106:M110)</f>
        <v>0</v>
      </c>
      <c r="N105" s="245">
        <f t="shared" si="18"/>
        <v>1184213</v>
      </c>
    </row>
    <row r="106" spans="1:14" x14ac:dyDescent="0.25">
      <c r="A106" s="61"/>
      <c r="B106" s="62" t="s">
        <v>193</v>
      </c>
      <c r="C106" s="246">
        <f>1152138</f>
        <v>1152138</v>
      </c>
      <c r="D106" s="246"/>
      <c r="E106" s="247">
        <f t="shared" si="15"/>
        <v>1152138</v>
      </c>
      <c r="F106" s="246">
        <f>1152138</f>
        <v>1152138</v>
      </c>
      <c r="G106" s="246"/>
      <c r="H106" s="247">
        <f t="shared" si="19"/>
        <v>1152138</v>
      </c>
      <c r="I106" s="246">
        <f>1152138</f>
        <v>1152138</v>
      </c>
      <c r="J106" s="246"/>
      <c r="K106" s="247">
        <f t="shared" si="20"/>
        <v>1152138</v>
      </c>
      <c r="L106" s="246">
        <v>1146887</v>
      </c>
      <c r="M106" s="246"/>
      <c r="N106" s="247">
        <f t="shared" si="18"/>
        <v>1146887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18"/>
        <v>0</v>
      </c>
    </row>
    <row r="108" spans="1:14" x14ac:dyDescent="0.25">
      <c r="A108" s="63"/>
      <c r="B108" s="64" t="s">
        <v>195</v>
      </c>
      <c r="C108" s="246">
        <v>27300</v>
      </c>
      <c r="D108" s="246"/>
      <c r="E108" s="247">
        <f t="shared" si="15"/>
        <v>27300</v>
      </c>
      <c r="F108" s="246">
        <v>27300</v>
      </c>
      <c r="G108" s="246"/>
      <c r="H108" s="247">
        <f t="shared" si="19"/>
        <v>27300</v>
      </c>
      <c r="I108" s="246">
        <v>27300</v>
      </c>
      <c r="J108" s="246"/>
      <c r="K108" s="247">
        <f t="shared" si="20"/>
        <v>27300</v>
      </c>
      <c r="L108" s="246">
        <v>6254</v>
      </c>
      <c r="M108" s="246"/>
      <c r="N108" s="247">
        <f t="shared" si="18"/>
        <v>6254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18"/>
        <v>0</v>
      </c>
    </row>
    <row r="110" spans="1:14" ht="15.75" thickBot="1" x14ac:dyDescent="0.3">
      <c r="A110" s="63"/>
      <c r="B110" s="64" t="s">
        <v>197</v>
      </c>
      <c r="C110" s="248">
        <v>21000</v>
      </c>
      <c r="D110" s="248"/>
      <c r="E110" s="249">
        <f t="shared" si="15"/>
        <v>21000</v>
      </c>
      <c r="F110" s="248">
        <v>21000</v>
      </c>
      <c r="G110" s="248"/>
      <c r="H110" s="249">
        <f t="shared" si="19"/>
        <v>21000</v>
      </c>
      <c r="I110" s="248">
        <v>21000</v>
      </c>
      <c r="J110" s="248"/>
      <c r="K110" s="249">
        <f t="shared" si="20"/>
        <v>21000</v>
      </c>
      <c r="L110" s="248">
        <v>31072</v>
      </c>
      <c r="M110" s="248"/>
      <c r="N110" s="249">
        <f t="shared" si="18"/>
        <v>31072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1300000</v>
      </c>
      <c r="D111" s="244">
        <f>SUM(D112:D113,D114,D123,D122)</f>
        <v>0</v>
      </c>
      <c r="E111" s="245">
        <f t="shared" si="15"/>
        <v>1300000</v>
      </c>
      <c r="F111" s="244">
        <f>SUM(F112:F113,F114,F123,F122)</f>
        <v>1438000</v>
      </c>
      <c r="G111" s="244">
        <f>SUM(G112:G113,G114,G123,G122)</f>
        <v>0</v>
      </c>
      <c r="H111" s="245">
        <f t="shared" si="19"/>
        <v>1438000</v>
      </c>
      <c r="I111" s="244">
        <f>SUM(I112:I113,I114,I123,I122)</f>
        <v>1436000</v>
      </c>
      <c r="J111" s="244">
        <f>SUM(J112:J113,J114,J123,J122)</f>
        <v>0</v>
      </c>
      <c r="K111" s="245">
        <f t="shared" si="20"/>
        <v>1436000</v>
      </c>
      <c r="L111" s="244">
        <f>SUM(L112:L113,L114,L123,L122)</f>
        <v>1209381</v>
      </c>
      <c r="M111" s="244">
        <f>SUM(M112:M113,M114,M123,M122)</f>
        <v>0</v>
      </c>
      <c r="N111" s="245">
        <f t="shared" si="18"/>
        <v>1209381</v>
      </c>
    </row>
    <row r="112" spans="1:14" x14ac:dyDescent="0.25">
      <c r="A112" s="61" t="s">
        <v>199</v>
      </c>
      <c r="B112" s="62" t="s">
        <v>200</v>
      </c>
      <c r="C112" s="246">
        <v>1000000</v>
      </c>
      <c r="D112" s="246"/>
      <c r="E112" s="247">
        <f t="shared" si="15"/>
        <v>1000000</v>
      </c>
      <c r="F112" s="246">
        <f>1000000+131429</f>
        <v>1131429</v>
      </c>
      <c r="G112" s="246"/>
      <c r="H112" s="247">
        <f t="shared" si="19"/>
        <v>1131429</v>
      </c>
      <c r="I112" s="246">
        <f>1000000+131429</f>
        <v>1131429</v>
      </c>
      <c r="J112" s="246"/>
      <c r="K112" s="247">
        <f t="shared" si="20"/>
        <v>1131429</v>
      </c>
      <c r="L112" s="246">
        <f>887321+20370</f>
        <v>907691</v>
      </c>
      <c r="M112" s="246"/>
      <c r="N112" s="247">
        <f t="shared" si="18"/>
        <v>907691</v>
      </c>
    </row>
    <row r="113" spans="1:14" x14ac:dyDescent="0.25">
      <c r="A113" s="61" t="s">
        <v>201</v>
      </c>
      <c r="B113" s="62" t="s">
        <v>202</v>
      </c>
      <c r="C113" s="246">
        <v>160000</v>
      </c>
      <c r="D113" s="246"/>
      <c r="E113" s="247">
        <f t="shared" si="15"/>
        <v>160000</v>
      </c>
      <c r="F113" s="246">
        <v>160000</v>
      </c>
      <c r="G113" s="246"/>
      <c r="H113" s="247">
        <f t="shared" si="19"/>
        <v>160000</v>
      </c>
      <c r="I113" s="246">
        <f>160000+18000</f>
        <v>178000</v>
      </c>
      <c r="J113" s="246"/>
      <c r="K113" s="247">
        <f t="shared" si="20"/>
        <v>178000</v>
      </c>
      <c r="L113" s="246">
        <f>86180+76867</f>
        <v>163047</v>
      </c>
      <c r="M113" s="246"/>
      <c r="N113" s="247">
        <f t="shared" si="18"/>
        <v>163047</v>
      </c>
    </row>
    <row r="114" spans="1:14" x14ac:dyDescent="0.25">
      <c r="A114" s="61" t="s">
        <v>203</v>
      </c>
      <c r="B114" s="62" t="s">
        <v>204</v>
      </c>
      <c r="C114" s="246">
        <f>SUM(C115:C121)</f>
        <v>75000</v>
      </c>
      <c r="D114" s="246">
        <f>SUM(D115:D121)</f>
        <v>0</v>
      </c>
      <c r="E114" s="247">
        <f t="shared" si="15"/>
        <v>75000</v>
      </c>
      <c r="F114" s="246">
        <f>SUM(F115:F121)</f>
        <v>75000</v>
      </c>
      <c r="G114" s="246">
        <f>SUM(G115:G121)</f>
        <v>0</v>
      </c>
      <c r="H114" s="247">
        <f t="shared" si="19"/>
        <v>75000</v>
      </c>
      <c r="I114" s="246">
        <f>SUM(I115:I121)</f>
        <v>75000</v>
      </c>
      <c r="J114" s="246">
        <f>SUM(J115:J121)</f>
        <v>0</v>
      </c>
      <c r="K114" s="247">
        <f t="shared" si="20"/>
        <v>75000</v>
      </c>
      <c r="L114" s="246">
        <f>SUM(L115:L121)</f>
        <v>6496</v>
      </c>
      <c r="M114" s="246">
        <f>SUM(M115:M121)</f>
        <v>0</v>
      </c>
      <c r="N114" s="247">
        <f t="shared" si="18"/>
        <v>6496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18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18"/>
        <v>0</v>
      </c>
    </row>
    <row r="117" spans="1:14" x14ac:dyDescent="0.25">
      <c r="A117" s="61" t="s">
        <v>209</v>
      </c>
      <c r="B117" s="62" t="s">
        <v>210</v>
      </c>
      <c r="C117" s="246">
        <v>25000</v>
      </c>
      <c r="D117" s="246"/>
      <c r="E117" s="247">
        <f t="shared" si="15"/>
        <v>25000</v>
      </c>
      <c r="F117" s="246">
        <v>25000</v>
      </c>
      <c r="G117" s="246"/>
      <c r="H117" s="247">
        <f t="shared" si="19"/>
        <v>25000</v>
      </c>
      <c r="I117" s="246">
        <v>25000</v>
      </c>
      <c r="J117" s="246"/>
      <c r="K117" s="247">
        <f t="shared" si="20"/>
        <v>25000</v>
      </c>
      <c r="L117" s="246">
        <v>6496</v>
      </c>
      <c r="M117" s="246"/>
      <c r="N117" s="247">
        <f t="shared" si="18"/>
        <v>6496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18"/>
        <v>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18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18"/>
        <v>0</v>
      </c>
    </row>
    <row r="121" spans="1:14" x14ac:dyDescent="0.25">
      <c r="A121" s="61" t="s">
        <v>217</v>
      </c>
      <c r="B121" s="62" t="s">
        <v>218</v>
      </c>
      <c r="C121" s="246">
        <v>50000</v>
      </c>
      <c r="D121" s="246"/>
      <c r="E121" s="247">
        <f t="shared" si="15"/>
        <v>50000</v>
      </c>
      <c r="F121" s="246">
        <v>50000</v>
      </c>
      <c r="G121" s="246"/>
      <c r="H121" s="247">
        <f t="shared" si="19"/>
        <v>50000</v>
      </c>
      <c r="I121" s="246">
        <v>50000</v>
      </c>
      <c r="J121" s="246"/>
      <c r="K121" s="247">
        <f t="shared" si="20"/>
        <v>50000</v>
      </c>
      <c r="L121" s="246">
        <v>0</v>
      </c>
      <c r="M121" s="246"/>
      <c r="N121" s="247">
        <f t="shared" si="18"/>
        <v>0</v>
      </c>
    </row>
    <row r="122" spans="1:14" x14ac:dyDescent="0.25">
      <c r="A122" s="61" t="s">
        <v>219</v>
      </c>
      <c r="B122" s="62" t="s">
        <v>220</v>
      </c>
      <c r="C122" s="246">
        <v>15000</v>
      </c>
      <c r="D122" s="246"/>
      <c r="E122" s="247">
        <f t="shared" si="15"/>
        <v>15000</v>
      </c>
      <c r="F122" s="246">
        <v>15000</v>
      </c>
      <c r="G122" s="246"/>
      <c r="H122" s="247">
        <f t="shared" si="19"/>
        <v>15000</v>
      </c>
      <c r="I122" s="246">
        <v>15000</v>
      </c>
      <c r="J122" s="246"/>
      <c r="K122" s="247">
        <f t="shared" si="20"/>
        <v>15000</v>
      </c>
      <c r="L122" s="246">
        <v>36102</v>
      </c>
      <c r="M122" s="246"/>
      <c r="N122" s="247">
        <f t="shared" si="18"/>
        <v>36102</v>
      </c>
    </row>
    <row r="123" spans="1:14" x14ac:dyDescent="0.25">
      <c r="A123" s="61" t="s">
        <v>221</v>
      </c>
      <c r="B123" s="62" t="s">
        <v>222</v>
      </c>
      <c r="C123" s="246">
        <f>SUM(C124:C126)</f>
        <v>50000</v>
      </c>
      <c r="D123" s="246">
        <f>SUM(D124:D126)</f>
        <v>0</v>
      </c>
      <c r="E123" s="247">
        <f t="shared" si="15"/>
        <v>50000</v>
      </c>
      <c r="F123" s="246">
        <f>SUM(F124:F126)</f>
        <v>56571</v>
      </c>
      <c r="G123" s="246">
        <f>SUM(G124:G126)</f>
        <v>0</v>
      </c>
      <c r="H123" s="247">
        <f t="shared" si="19"/>
        <v>56571</v>
      </c>
      <c r="I123" s="246">
        <f>SUM(I124:I126)</f>
        <v>36571</v>
      </c>
      <c r="J123" s="246">
        <f>SUM(J124:J126)</f>
        <v>0</v>
      </c>
      <c r="K123" s="247">
        <f t="shared" si="20"/>
        <v>36571</v>
      </c>
      <c r="L123" s="246">
        <f>SUM(L124:L126)</f>
        <v>96045</v>
      </c>
      <c r="M123" s="246">
        <f>SUM(M124:M126)</f>
        <v>0</v>
      </c>
      <c r="N123" s="247">
        <f t="shared" si="18"/>
        <v>96045</v>
      </c>
    </row>
    <row r="124" spans="1:14" x14ac:dyDescent="0.25">
      <c r="A124" s="61"/>
      <c r="B124" s="62" t="s">
        <v>223</v>
      </c>
      <c r="C124" s="246">
        <v>10000</v>
      </c>
      <c r="D124" s="246"/>
      <c r="E124" s="247">
        <f t="shared" si="15"/>
        <v>10000</v>
      </c>
      <c r="F124" s="246">
        <f>10000+6571</f>
        <v>16571</v>
      </c>
      <c r="G124" s="246"/>
      <c r="H124" s="247">
        <f t="shared" si="19"/>
        <v>16571</v>
      </c>
      <c r="I124" s="246">
        <f>10000+6571</f>
        <v>16571</v>
      </c>
      <c r="J124" s="246"/>
      <c r="K124" s="247">
        <f t="shared" si="20"/>
        <v>16571</v>
      </c>
      <c r="L124" s="246">
        <v>86202</v>
      </c>
      <c r="M124" s="246"/>
      <c r="N124" s="247">
        <f t="shared" si="18"/>
        <v>86202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18"/>
        <v>0</v>
      </c>
    </row>
    <row r="126" spans="1:14" ht="15.75" thickBot="1" x14ac:dyDescent="0.3">
      <c r="A126" s="63" t="s">
        <v>225</v>
      </c>
      <c r="B126" s="64" t="s">
        <v>226</v>
      </c>
      <c r="C126" s="248">
        <v>40000</v>
      </c>
      <c r="D126" s="248"/>
      <c r="E126" s="249">
        <f t="shared" si="15"/>
        <v>40000</v>
      </c>
      <c r="F126" s="248">
        <v>40000</v>
      </c>
      <c r="G126" s="248"/>
      <c r="H126" s="249">
        <f t="shared" si="19"/>
        <v>40000</v>
      </c>
      <c r="I126" s="248">
        <f>40000-20000</f>
        <v>20000</v>
      </c>
      <c r="J126" s="248"/>
      <c r="K126" s="249">
        <f t="shared" si="20"/>
        <v>20000</v>
      </c>
      <c r="L126" s="248">
        <v>9843</v>
      </c>
      <c r="M126" s="248"/>
      <c r="N126" s="249">
        <f t="shared" si="18"/>
        <v>9843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18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18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18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18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18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18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18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18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18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18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18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18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18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18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18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8598838</v>
      </c>
      <c r="D142" s="250">
        <f>D141+D140+D139+D138+D137+D128+D127+D111+D105+D88</f>
        <v>0</v>
      </c>
      <c r="E142" s="251">
        <f t="shared" si="15"/>
        <v>8598838</v>
      </c>
      <c r="F142" s="250">
        <f>F141+F140+F139+F138+F137+F128+F127+F111+F105+F88</f>
        <v>8736838</v>
      </c>
      <c r="G142" s="250">
        <f>G141+G140+G139+G138+G137+G128+G127+G111+G105+G88</f>
        <v>0</v>
      </c>
      <c r="H142" s="251">
        <f t="shared" si="19"/>
        <v>8736838</v>
      </c>
      <c r="I142" s="250">
        <f>I141+I140+I139+I138+I137+I128+I127+I111+I105+I88</f>
        <v>9015359</v>
      </c>
      <c r="J142" s="250">
        <f>J141+J140+J139+J138+J137+J128+J127+J111+J105+J88</f>
        <v>0</v>
      </c>
      <c r="K142" s="251">
        <f t="shared" si="20"/>
        <v>9015359</v>
      </c>
      <c r="L142" s="250">
        <f>L141+L140+L139+L138+L137+L128+L127+L111+L105+L88</f>
        <v>8603010</v>
      </c>
      <c r="M142" s="250">
        <f>M141+M140+M139+M138+M137+M128+M127+M111+M105+M88</f>
        <v>0</v>
      </c>
      <c r="N142" s="251">
        <f t="shared" si="18"/>
        <v>8603010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18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18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18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1">SUM(F147:G147)</f>
        <v>0</v>
      </c>
      <c r="I147" s="246"/>
      <c r="J147" s="246"/>
      <c r="K147" s="247">
        <f t="shared" ref="K147:K150" si="22">SUM(I147:J147)</f>
        <v>0</v>
      </c>
      <c r="L147" s="246"/>
      <c r="M147" s="246"/>
      <c r="N147" s="247">
        <f t="shared" ref="N147:N150" si="23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1"/>
        <v>0</v>
      </c>
      <c r="I148" s="246"/>
      <c r="J148" s="246"/>
      <c r="K148" s="247">
        <f t="shared" si="22"/>
        <v>0</v>
      </c>
      <c r="L148" s="246"/>
      <c r="M148" s="246"/>
      <c r="N148" s="247">
        <f t="shared" si="23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1"/>
        <v>0</v>
      </c>
      <c r="I149" s="246"/>
      <c r="J149" s="246"/>
      <c r="K149" s="247">
        <f t="shared" si="22"/>
        <v>0</v>
      </c>
      <c r="L149" s="246"/>
      <c r="M149" s="246"/>
      <c r="N149" s="247">
        <f t="shared" si="23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1"/>
        <v>0</v>
      </c>
      <c r="I150" s="256"/>
      <c r="J150" s="248"/>
      <c r="K150" s="249">
        <f t="shared" si="22"/>
        <v>0</v>
      </c>
      <c r="L150" s="256"/>
      <c r="M150" s="248"/>
      <c r="N150" s="249">
        <f t="shared" si="23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8598838</v>
      </c>
      <c r="D151" s="257">
        <f>D143+D142</f>
        <v>0</v>
      </c>
      <c r="E151" s="258">
        <f>SUM(C151:D151)</f>
        <v>8598838</v>
      </c>
      <c r="F151" s="250">
        <f>F143+F142</f>
        <v>8736838</v>
      </c>
      <c r="G151" s="257">
        <f>G143+G142</f>
        <v>0</v>
      </c>
      <c r="H151" s="258">
        <f>SUM(F151:G151)</f>
        <v>8736838</v>
      </c>
      <c r="I151" s="250">
        <f>I143+I142</f>
        <v>9015359</v>
      </c>
      <c r="J151" s="257">
        <f>J143+J142</f>
        <v>0</v>
      </c>
      <c r="K151" s="258">
        <f>SUM(I151:J151)</f>
        <v>9015359</v>
      </c>
      <c r="L151" s="250">
        <f>L143+L142</f>
        <v>8603010</v>
      </c>
      <c r="M151" s="257">
        <f>M143+M142</f>
        <v>0</v>
      </c>
      <c r="N151" s="258">
        <f>SUM(L151:M151)</f>
        <v>8603010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4">E85-E151</f>
        <v>-8088348</v>
      </c>
      <c r="F153" s="148"/>
      <c r="G153" s="148"/>
      <c r="H153" s="148">
        <f t="shared" ref="H153" si="25">H85-H151</f>
        <v>-7368800</v>
      </c>
      <c r="I153" s="148"/>
      <c r="J153" s="148"/>
      <c r="K153" s="148">
        <f t="shared" ref="K153" si="26">K85-K151</f>
        <v>-7571694</v>
      </c>
      <c r="L153" s="148"/>
      <c r="M153" s="148"/>
      <c r="N153" s="148">
        <f t="shared" ref="N153" si="27">N85-N151</f>
        <v>-7160175</v>
      </c>
    </row>
  </sheetData>
  <mergeCells count="4">
    <mergeCell ref="L6:N6"/>
    <mergeCell ref="A1:E1"/>
    <mergeCell ref="A2:E2"/>
    <mergeCell ref="I6:K6"/>
  </mergeCells>
  <phoneticPr fontId="56" type="noConversion"/>
  <pageMargins left="0.28999999999999998" right="0.15748031496062992" top="0.27559055118110237" bottom="0.43307086614173229" header="0.31496062992125984" footer="0.31496062992125984"/>
  <pageSetup paperSize="9" scale="57" fitToHeight="0" orientation="portrait" horizontalDpi="300" verticalDpi="300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N154"/>
  <sheetViews>
    <sheetView zoomScaleNormal="100" workbookViewId="0">
      <pane xSplit="1" ySplit="8" topLeftCell="B103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D7" sqref="D7"/>
    </sheetView>
  </sheetViews>
  <sheetFormatPr defaultRowHeight="15" x14ac:dyDescent="0.25"/>
  <cols>
    <col min="1" max="1" width="9.140625" style="44"/>
    <col min="2" max="2" width="57" style="44" customWidth="1"/>
    <col min="3" max="3" width="10.7109375" style="44" customWidth="1"/>
    <col min="4" max="4" width="9.140625" style="44"/>
    <col min="5" max="5" width="10.7109375" style="44" customWidth="1"/>
    <col min="6" max="6" width="10.7109375" style="179" customWidth="1"/>
    <col min="7" max="7" width="9.140625" style="179"/>
    <col min="8" max="9" width="10.7109375" style="179" customWidth="1"/>
    <col min="10" max="10" width="9.140625" style="179"/>
    <col min="11" max="12" width="10.7109375" style="179" customWidth="1"/>
    <col min="13" max="13" width="9.140625" style="179"/>
    <col min="14" max="14" width="10.7109375" style="179" customWidth="1"/>
    <col min="15" max="16384" width="9.140625" style="44"/>
  </cols>
  <sheetData>
    <row r="1" spans="1:14" x14ac:dyDescent="0.25">
      <c r="A1" s="912" t="s">
        <v>272</v>
      </c>
      <c r="B1" s="912"/>
      <c r="C1" s="912"/>
      <c r="D1" s="912"/>
      <c r="E1" s="912"/>
      <c r="F1" s="44"/>
      <c r="G1" s="44"/>
      <c r="H1" s="44"/>
    </row>
    <row r="2" spans="1:14" x14ac:dyDescent="0.25">
      <c r="A2" s="912" t="s">
        <v>271</v>
      </c>
      <c r="B2" s="912"/>
      <c r="C2" s="912"/>
      <c r="D2" s="912"/>
      <c r="E2" s="912"/>
      <c r="F2" s="44"/>
      <c r="G2" s="44"/>
      <c r="H2" s="44"/>
    </row>
    <row r="3" spans="1:14" ht="6.75" customHeight="1" x14ac:dyDescent="0.25"/>
    <row r="4" spans="1:14" x14ac:dyDescent="0.25">
      <c r="A4" s="79" t="s">
        <v>270</v>
      </c>
      <c r="B4" s="81"/>
      <c r="C4" s="45" t="str">
        <f>'6.3 könyvtár'!C4</f>
        <v xml:space="preserve"> 12 / 2020. (VI.15) sz rendelet</v>
      </c>
    </row>
    <row r="5" spans="1:14" x14ac:dyDescent="0.25">
      <c r="A5" s="89" t="s">
        <v>535</v>
      </c>
      <c r="B5" s="81" t="s">
        <v>536</v>
      </c>
    </row>
    <row r="6" spans="1:14" x14ac:dyDescent="0.25">
      <c r="C6" s="519" t="s">
        <v>727</v>
      </c>
      <c r="D6" s="622" t="str">
        <f>'6.3 könyvtár'!D6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318929</v>
      </c>
      <c r="G9" s="244">
        <f>SUM(G10,G17,G18,G20,G21,G19)</f>
        <v>0</v>
      </c>
      <c r="H9" s="245">
        <f t="shared" ref="H9:H73" si="1">SUM(F9:G9)</f>
        <v>318929</v>
      </c>
      <c r="I9" s="244">
        <f>SUM(I10,I17,I18,I20,I21,I19)</f>
        <v>355864</v>
      </c>
      <c r="J9" s="244">
        <f>SUM(J10,J17,J18,J20,J21,J19)</f>
        <v>0</v>
      </c>
      <c r="K9" s="245">
        <f t="shared" ref="K9:K73" si="2">SUM(I9:J9)</f>
        <v>355864</v>
      </c>
      <c r="L9" s="244">
        <f>SUM(L10,L17,L18,L20,L21,L19)</f>
        <v>355864</v>
      </c>
      <c r="M9" s="244">
        <f>SUM(M10,M17,M18,M20,M21,M19)</f>
        <v>0</v>
      </c>
      <c r="N9" s="245">
        <f t="shared" ref="N9:N73" si="3">SUM(L9:M9)</f>
        <v>355864</v>
      </c>
    </row>
    <row r="10" spans="1:14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318929</v>
      </c>
      <c r="G10" s="246">
        <f>SUM(G11:G16)</f>
        <v>0</v>
      </c>
      <c r="H10" s="247">
        <f t="shared" si="1"/>
        <v>318929</v>
      </c>
      <c r="I10" s="246">
        <f>SUM(I11:I16)</f>
        <v>355864</v>
      </c>
      <c r="J10" s="246">
        <f>SUM(J11:J16)</f>
        <v>0</v>
      </c>
      <c r="K10" s="247">
        <f t="shared" si="2"/>
        <v>355864</v>
      </c>
      <c r="L10" s="246">
        <f>SUM(L11:L16)</f>
        <v>355864</v>
      </c>
      <c r="M10" s="246">
        <f>SUM(M11:M16)</f>
        <v>0</v>
      </c>
      <c r="N10" s="247">
        <f t="shared" si="3"/>
        <v>355864</v>
      </c>
    </row>
    <row r="11" spans="1:14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>
        <v>318929</v>
      </c>
      <c r="G14" s="246"/>
      <c r="H14" s="247">
        <f t="shared" si="1"/>
        <v>318929</v>
      </c>
      <c r="I14" s="246">
        <v>355864</v>
      </c>
      <c r="J14" s="246"/>
      <c r="K14" s="247">
        <f t="shared" si="2"/>
        <v>355864</v>
      </c>
      <c r="L14" s="246">
        <v>355864</v>
      </c>
      <c r="M14" s="246"/>
      <c r="N14" s="247">
        <f t="shared" si="3"/>
        <v>355864</v>
      </c>
    </row>
    <row r="15" spans="1:14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6.5" customHeight="1" x14ac:dyDescent="0.25">
      <c r="A45" s="52" t="s">
        <v>94</v>
      </c>
      <c r="B45" s="48" t="s">
        <v>26</v>
      </c>
      <c r="C45" s="244">
        <f>C46+C47+C48+C49+C54+C55+C56+C57+C58+C59+C60</f>
        <v>3250000</v>
      </c>
      <c r="D45" s="244">
        <f>D46+D47+D48+D49+D54+D55+D56+D57+D58+D59+D60</f>
        <v>0</v>
      </c>
      <c r="E45" s="245">
        <f t="shared" si="0"/>
        <v>3250000</v>
      </c>
      <c r="F45" s="244">
        <f>F46+F47+F48+F49+F54+F55+F56+F57+F58+F59+F60</f>
        <v>3250000</v>
      </c>
      <c r="G45" s="244">
        <f>G46+G47+G48+G49+G54+G55+G56+G57+G58+G59+G60</f>
        <v>0</v>
      </c>
      <c r="H45" s="245">
        <f t="shared" si="1"/>
        <v>3250000</v>
      </c>
      <c r="I45" s="244">
        <f>I46+I47+I48+I49+I54+I55+I56+I57+I58+I59+I60</f>
        <v>3250000</v>
      </c>
      <c r="J45" s="244">
        <f>J46+J47+J48+J49+J54+J55+J56+J57+J58+J59+J60</f>
        <v>0</v>
      </c>
      <c r="K45" s="245">
        <f t="shared" si="2"/>
        <v>3250000</v>
      </c>
      <c r="L45" s="244">
        <f>L46+L47+L48+L49+L54+L55+L56+L57+L58+L59+L60</f>
        <v>2281455</v>
      </c>
      <c r="M45" s="244">
        <f>M46+M47+M48+M49+M54+M55+M56+M57+M58+M59+M60</f>
        <v>0</v>
      </c>
      <c r="N45" s="245">
        <f t="shared" si="3"/>
        <v>2281455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v>3250000</v>
      </c>
      <c r="D47" s="246"/>
      <c r="E47" s="247">
        <f t="shared" si="0"/>
        <v>3250000</v>
      </c>
      <c r="F47" s="316">
        <v>3250000</v>
      </c>
      <c r="G47" s="246"/>
      <c r="H47" s="247">
        <f t="shared" si="1"/>
        <v>3250000</v>
      </c>
      <c r="I47" s="316">
        <v>3250000</v>
      </c>
      <c r="J47" s="246"/>
      <c r="K47" s="247">
        <f t="shared" si="2"/>
        <v>3250000</v>
      </c>
      <c r="L47" s="316">
        <v>2266875</v>
      </c>
      <c r="M47" s="246"/>
      <c r="N47" s="247">
        <f t="shared" si="3"/>
        <v>2266875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>
        <v>14580</v>
      </c>
      <c r="M55" s="246"/>
      <c r="N55" s="247">
        <f t="shared" si="3"/>
        <v>14580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3250000</v>
      </c>
      <c r="D73" s="250">
        <f>D9+D22+D25+D45+D61+D67+D70</f>
        <v>0</v>
      </c>
      <c r="E73" s="251">
        <f t="shared" si="0"/>
        <v>3250000</v>
      </c>
      <c r="F73" s="250">
        <f>F9+F22+F25+F45+F61+F67+F70</f>
        <v>3568929</v>
      </c>
      <c r="G73" s="250">
        <f>G9+G22+G25+G45+G61+G67+G70</f>
        <v>0</v>
      </c>
      <c r="H73" s="251">
        <f t="shared" si="1"/>
        <v>3568929</v>
      </c>
      <c r="I73" s="250">
        <f>I9+I22+I25+I45+I61+I67+I70</f>
        <v>3605864</v>
      </c>
      <c r="J73" s="250">
        <f>J9+J22+J25+J45+J61+J67+J70</f>
        <v>0</v>
      </c>
      <c r="K73" s="251">
        <f t="shared" si="2"/>
        <v>3605864</v>
      </c>
      <c r="L73" s="250">
        <f>L9+L22+L25+L45+L61+L67+L70</f>
        <v>2637319</v>
      </c>
      <c r="M73" s="250">
        <f>M9+M22+M25+M45+M61+M67+M70</f>
        <v>0</v>
      </c>
      <c r="N73" s="251">
        <f t="shared" si="3"/>
        <v>2637319</v>
      </c>
    </row>
    <row r="74" spans="1:14" ht="15.75" thickBot="1" x14ac:dyDescent="0.3">
      <c r="A74" s="57" t="s">
        <v>143</v>
      </c>
      <c r="B74" s="68" t="s">
        <v>144</v>
      </c>
      <c r="C74" s="244">
        <f t="shared" ref="C74:M74" si="4">C75</f>
        <v>0</v>
      </c>
      <c r="D74" s="244">
        <f t="shared" si="4"/>
        <v>0</v>
      </c>
      <c r="E74" s="245">
        <f t="shared" ref="E74:E85" si="5">SUM(C74:D74)</f>
        <v>0</v>
      </c>
      <c r="F74" s="244">
        <f t="shared" si="4"/>
        <v>0</v>
      </c>
      <c r="G74" s="244">
        <f t="shared" si="4"/>
        <v>0</v>
      </c>
      <c r="H74" s="245">
        <f t="shared" ref="H74:H81" si="6">SUM(F74:G74)</f>
        <v>0</v>
      </c>
      <c r="I74" s="244">
        <f t="shared" si="4"/>
        <v>0</v>
      </c>
      <c r="J74" s="244">
        <f t="shared" si="4"/>
        <v>0</v>
      </c>
      <c r="K74" s="245">
        <f t="shared" ref="K74:K81" si="7">SUM(I74:J74)</f>
        <v>0</v>
      </c>
      <c r="L74" s="244">
        <f t="shared" si="4"/>
        <v>0</v>
      </c>
      <c r="M74" s="244">
        <f t="shared" si="4"/>
        <v>0</v>
      </c>
      <c r="N74" s="245">
        <f t="shared" ref="N74:N81" si="8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9">SUM(C76:C77,C78,C79,C83,C82)</f>
        <v>0</v>
      </c>
      <c r="D75" s="246">
        <f t="shared" si="9"/>
        <v>0</v>
      </c>
      <c r="E75" s="247">
        <f t="shared" si="5"/>
        <v>0</v>
      </c>
      <c r="F75" s="246">
        <f t="shared" ref="F75:G75" si="10">SUM(F76:F77,F78,F79,F83,F82)</f>
        <v>0</v>
      </c>
      <c r="G75" s="246">
        <f t="shared" si="10"/>
        <v>0</v>
      </c>
      <c r="H75" s="247">
        <f t="shared" si="6"/>
        <v>0</v>
      </c>
      <c r="I75" s="246">
        <f t="shared" ref="I75:J75" si="11">SUM(I76:I77,I78,I79,I83,I82)</f>
        <v>0</v>
      </c>
      <c r="J75" s="246">
        <f t="shared" si="11"/>
        <v>0</v>
      </c>
      <c r="K75" s="247">
        <f t="shared" si="7"/>
        <v>0</v>
      </c>
      <c r="L75" s="246">
        <f t="shared" ref="L75:M75" si="12">SUM(L76:L77,L78,L79,L83,L82)</f>
        <v>0</v>
      </c>
      <c r="M75" s="246">
        <f t="shared" si="12"/>
        <v>0</v>
      </c>
      <c r="N75" s="247">
        <f t="shared" si="8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0</v>
      </c>
      <c r="G79" s="246">
        <f>SUM(G80:G81)</f>
        <v>0</v>
      </c>
      <c r="H79" s="247">
        <f t="shared" si="6"/>
        <v>0</v>
      </c>
      <c r="I79" s="246">
        <f>SUM(I80:I81)</f>
        <v>0</v>
      </c>
      <c r="J79" s="246">
        <f>SUM(J80:J81)</f>
        <v>0</v>
      </c>
      <c r="K79" s="247">
        <f t="shared" si="7"/>
        <v>0</v>
      </c>
      <c r="L79" s="246">
        <f>SUM(L80:L81)</f>
        <v>0</v>
      </c>
      <c r="M79" s="246">
        <f>SUM(M80:M81)</f>
        <v>0</v>
      </c>
      <c r="N79" s="247">
        <f t="shared" si="8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5"/>
        <v>0</v>
      </c>
      <c r="F80" s="246"/>
      <c r="G80" s="246"/>
      <c r="H80" s="247">
        <f t="shared" si="6"/>
        <v>0</v>
      </c>
      <c r="I80" s="246"/>
      <c r="J80" s="246"/>
      <c r="K80" s="247">
        <f t="shared" si="7"/>
        <v>0</v>
      </c>
      <c r="L80" s="246"/>
      <c r="M80" s="246"/>
      <c r="N80" s="247">
        <f t="shared" si="8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5"/>
        <v>0</v>
      </c>
      <c r="F83" s="246"/>
      <c r="G83" s="246"/>
      <c r="H83" s="247">
        <f t="shared" ref="H83:H85" si="13">SUM(F83:G83)</f>
        <v>0</v>
      </c>
      <c r="I83" s="246"/>
      <c r="J83" s="246"/>
      <c r="K83" s="247">
        <f t="shared" ref="K83:K85" si="14">SUM(I83:J83)</f>
        <v>0</v>
      </c>
      <c r="L83" s="246"/>
      <c r="M83" s="246"/>
      <c r="N83" s="247">
        <f t="shared" ref="N83:N85" si="15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5"/>
        <v>0</v>
      </c>
      <c r="F84" s="248"/>
      <c r="G84" s="248"/>
      <c r="H84" s="249">
        <f t="shared" si="13"/>
        <v>0</v>
      </c>
      <c r="I84" s="248"/>
      <c r="J84" s="248"/>
      <c r="K84" s="249">
        <f t="shared" si="14"/>
        <v>0</v>
      </c>
      <c r="L84" s="248"/>
      <c r="M84" s="248"/>
      <c r="N84" s="249">
        <f t="shared" si="15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3250000</v>
      </c>
      <c r="D85" s="250">
        <f>D73+D74</f>
        <v>0</v>
      </c>
      <c r="E85" s="251">
        <f t="shared" si="5"/>
        <v>3250000</v>
      </c>
      <c r="F85" s="250">
        <f>F73+F74</f>
        <v>3568929</v>
      </c>
      <c r="G85" s="250">
        <f>G73+G74</f>
        <v>0</v>
      </c>
      <c r="H85" s="251">
        <f t="shared" si="13"/>
        <v>3568929</v>
      </c>
      <c r="I85" s="250">
        <f>I73+I74</f>
        <v>3605864</v>
      </c>
      <c r="J85" s="250">
        <f>J73+J74</f>
        <v>0</v>
      </c>
      <c r="K85" s="251">
        <f t="shared" si="14"/>
        <v>3605864</v>
      </c>
      <c r="L85" s="250">
        <f>L73+L74</f>
        <v>2637319</v>
      </c>
      <c r="M85" s="250">
        <f>M73+M74</f>
        <v>0</v>
      </c>
      <c r="N85" s="251">
        <f t="shared" si="15"/>
        <v>2637319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9001800</v>
      </c>
      <c r="D88" s="244">
        <f>D89+D101</f>
        <v>0</v>
      </c>
      <c r="E88" s="253">
        <f t="shared" ref="E88:E150" si="16">SUM(C88:D88)</f>
        <v>9001800</v>
      </c>
      <c r="F88" s="244">
        <f>F89+F101</f>
        <v>9001800</v>
      </c>
      <c r="G88" s="244">
        <f>G89+G101</f>
        <v>0</v>
      </c>
      <c r="H88" s="253">
        <f t="shared" ref="H88:H145" si="17">SUM(F88:G88)</f>
        <v>9001800</v>
      </c>
      <c r="I88" s="244">
        <f>I89+I101</f>
        <v>9826279</v>
      </c>
      <c r="J88" s="244">
        <f>J89+J101</f>
        <v>0</v>
      </c>
      <c r="K88" s="253">
        <f t="shared" ref="K88:K145" si="18">SUM(I88:J88)</f>
        <v>9826279</v>
      </c>
      <c r="L88" s="244">
        <f>L89+L101</f>
        <v>9863771</v>
      </c>
      <c r="M88" s="244">
        <f>M89+M101</f>
        <v>0</v>
      </c>
      <c r="N88" s="253">
        <f t="shared" ref="N88:N145" si="19">SUM(L88:M88)</f>
        <v>9863771</v>
      </c>
    </row>
    <row r="89" spans="1:14" x14ac:dyDescent="0.25">
      <c r="A89" s="61" t="s">
        <v>161</v>
      </c>
      <c r="B89" s="62" t="s">
        <v>162</v>
      </c>
      <c r="C89" s="246">
        <f>SUM(C90:C100)</f>
        <v>9001800</v>
      </c>
      <c r="D89" s="246">
        <f>SUM(D90:D100)</f>
        <v>0</v>
      </c>
      <c r="E89" s="247">
        <f t="shared" si="16"/>
        <v>9001800</v>
      </c>
      <c r="F89" s="246">
        <f>SUM(F90:F100)</f>
        <v>9001800</v>
      </c>
      <c r="G89" s="246">
        <f>SUM(G90:G100)</f>
        <v>0</v>
      </c>
      <c r="H89" s="247">
        <f t="shared" si="17"/>
        <v>9001800</v>
      </c>
      <c r="I89" s="246">
        <f>SUM(I90:I100)</f>
        <v>9826279</v>
      </c>
      <c r="J89" s="246">
        <f>SUM(J90:J100)</f>
        <v>0</v>
      </c>
      <c r="K89" s="247">
        <f t="shared" si="18"/>
        <v>9826279</v>
      </c>
      <c r="L89" s="246">
        <f>SUM(L90:L100)</f>
        <v>9863771</v>
      </c>
      <c r="M89" s="246">
        <f>SUM(M90:M100)</f>
        <v>0</v>
      </c>
      <c r="N89" s="247">
        <f t="shared" si="19"/>
        <v>9863771</v>
      </c>
    </row>
    <row r="90" spans="1:14" x14ac:dyDescent="0.25">
      <c r="A90" s="61" t="s">
        <v>163</v>
      </c>
      <c r="B90" s="62" t="s">
        <v>164</v>
      </c>
      <c r="C90" s="366">
        <v>6697800</v>
      </c>
      <c r="D90" s="246"/>
      <c r="E90" s="247">
        <f t="shared" si="16"/>
        <v>6697800</v>
      </c>
      <c r="F90" s="366">
        <v>6697800</v>
      </c>
      <c r="G90" s="246"/>
      <c r="H90" s="247">
        <f t="shared" si="17"/>
        <v>6697800</v>
      </c>
      <c r="I90" s="366">
        <v>6697800</v>
      </c>
      <c r="J90" s="246"/>
      <c r="K90" s="648">
        <f t="shared" si="18"/>
        <v>6697800</v>
      </c>
      <c r="L90" s="366">
        <v>6665290</v>
      </c>
      <c r="M90" s="246"/>
      <c r="N90" s="648">
        <f t="shared" si="19"/>
        <v>6665290</v>
      </c>
    </row>
    <row r="91" spans="1:14" s="179" customFormat="1" x14ac:dyDescent="0.25">
      <c r="A91" s="190" t="s">
        <v>533</v>
      </c>
      <c r="B91" s="180" t="s">
        <v>534</v>
      </c>
      <c r="C91" s="246">
        <v>260000</v>
      </c>
      <c r="D91" s="246"/>
      <c r="E91" s="247">
        <f t="shared" si="16"/>
        <v>260000</v>
      </c>
      <c r="F91" s="246">
        <v>260000</v>
      </c>
      <c r="G91" s="246"/>
      <c r="H91" s="247">
        <f t="shared" si="17"/>
        <v>260000</v>
      </c>
      <c r="I91" s="246">
        <f>260000+180000</f>
        <v>440000</v>
      </c>
      <c r="J91" s="246"/>
      <c r="K91" s="648">
        <f t="shared" si="18"/>
        <v>440000</v>
      </c>
      <c r="L91" s="246">
        <v>500980</v>
      </c>
      <c r="M91" s="246"/>
      <c r="N91" s="648">
        <f t="shared" si="19"/>
        <v>500980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6"/>
        <v>0</v>
      </c>
      <c r="F92" s="246"/>
      <c r="G92" s="246"/>
      <c r="H92" s="247">
        <f t="shared" si="17"/>
        <v>0</v>
      </c>
      <c r="I92" s="246"/>
      <c r="J92" s="246"/>
      <c r="K92" s="648">
        <f t="shared" si="18"/>
        <v>0</v>
      </c>
      <c r="L92" s="246"/>
      <c r="M92" s="246"/>
      <c r="N92" s="648">
        <f t="shared" si="19"/>
        <v>0</v>
      </c>
    </row>
    <row r="93" spans="1:14" x14ac:dyDescent="0.25">
      <c r="A93" s="61" t="s">
        <v>167</v>
      </c>
      <c r="B93" s="62" t="s">
        <v>168</v>
      </c>
      <c r="C93" s="246">
        <v>1100000</v>
      </c>
      <c r="D93" s="246"/>
      <c r="E93" s="247">
        <f t="shared" si="16"/>
        <v>1100000</v>
      </c>
      <c r="F93" s="246">
        <v>1100000</v>
      </c>
      <c r="G93" s="246"/>
      <c r="H93" s="247">
        <f t="shared" si="17"/>
        <v>1100000</v>
      </c>
      <c r="I93" s="246">
        <f>1100000+700000-96521</f>
        <v>1703479</v>
      </c>
      <c r="J93" s="246"/>
      <c r="K93" s="648">
        <f t="shared" si="18"/>
        <v>1703479</v>
      </c>
      <c r="L93" s="246">
        <f>1100000+700000-96521</f>
        <v>1703479</v>
      </c>
      <c r="M93" s="246"/>
      <c r="N93" s="648">
        <f t="shared" si="19"/>
        <v>1703479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6"/>
        <v>0</v>
      </c>
      <c r="F94" s="246"/>
      <c r="G94" s="246"/>
      <c r="H94" s="247">
        <f t="shared" si="17"/>
        <v>0</v>
      </c>
      <c r="I94" s="246"/>
      <c r="J94" s="246"/>
      <c r="K94" s="648">
        <f t="shared" si="18"/>
        <v>0</v>
      </c>
      <c r="L94" s="246"/>
      <c r="M94" s="246"/>
      <c r="N94" s="648">
        <f t="shared" si="19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6"/>
        <v>0</v>
      </c>
      <c r="F95" s="246"/>
      <c r="G95" s="246"/>
      <c r="H95" s="247">
        <f t="shared" si="17"/>
        <v>0</v>
      </c>
      <c r="I95" s="246"/>
      <c r="J95" s="246"/>
      <c r="K95" s="648">
        <f t="shared" si="18"/>
        <v>0</v>
      </c>
      <c r="L95" s="246"/>
      <c r="M95" s="246"/>
      <c r="N95" s="648">
        <f t="shared" si="19"/>
        <v>0</v>
      </c>
    </row>
    <row r="96" spans="1:14" x14ac:dyDescent="0.25">
      <c r="A96" s="61" t="s">
        <v>173</v>
      </c>
      <c r="B96" s="62" t="s">
        <v>174</v>
      </c>
      <c r="C96" s="246">
        <v>210000</v>
      </c>
      <c r="D96" s="246"/>
      <c r="E96" s="247">
        <f t="shared" si="16"/>
        <v>210000</v>
      </c>
      <c r="F96" s="246">
        <v>210000</v>
      </c>
      <c r="G96" s="246"/>
      <c r="H96" s="247">
        <f t="shared" si="17"/>
        <v>210000</v>
      </c>
      <c r="I96" s="246">
        <v>210000</v>
      </c>
      <c r="J96" s="246"/>
      <c r="K96" s="648">
        <f t="shared" si="18"/>
        <v>210000</v>
      </c>
      <c r="L96" s="246">
        <v>225000</v>
      </c>
      <c r="M96" s="246"/>
      <c r="N96" s="648">
        <f t="shared" si="19"/>
        <v>225000</v>
      </c>
    </row>
    <row r="97" spans="1:14" x14ac:dyDescent="0.25">
      <c r="A97" s="61" t="s">
        <v>175</v>
      </c>
      <c r="B97" s="62" t="s">
        <v>176</v>
      </c>
      <c r="C97" s="246">
        <v>50000</v>
      </c>
      <c r="D97" s="246"/>
      <c r="E97" s="247">
        <f t="shared" si="16"/>
        <v>50000</v>
      </c>
      <c r="F97" s="246">
        <v>50000</v>
      </c>
      <c r="G97" s="246"/>
      <c r="H97" s="247">
        <f t="shared" si="17"/>
        <v>50000</v>
      </c>
      <c r="I97" s="246">
        <v>50000</v>
      </c>
      <c r="J97" s="246"/>
      <c r="K97" s="648">
        <f t="shared" si="18"/>
        <v>50000</v>
      </c>
      <c r="L97" s="246">
        <v>47095</v>
      </c>
      <c r="M97" s="246"/>
      <c r="N97" s="648">
        <f t="shared" si="19"/>
        <v>47095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6"/>
        <v>0</v>
      </c>
      <c r="F98" s="246"/>
      <c r="G98" s="246"/>
      <c r="H98" s="247">
        <f t="shared" si="17"/>
        <v>0</v>
      </c>
      <c r="I98" s="246"/>
      <c r="J98" s="246"/>
      <c r="K98" s="648">
        <f t="shared" si="18"/>
        <v>0</v>
      </c>
      <c r="L98" s="246"/>
      <c r="M98" s="246"/>
      <c r="N98" s="648">
        <f t="shared" si="19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6"/>
        <v>0</v>
      </c>
      <c r="F99" s="246"/>
      <c r="G99" s="246"/>
      <c r="H99" s="247">
        <f t="shared" si="17"/>
        <v>0</v>
      </c>
      <c r="I99" s="246"/>
      <c r="J99" s="246"/>
      <c r="K99" s="648">
        <f t="shared" si="18"/>
        <v>0</v>
      </c>
      <c r="L99" s="246"/>
      <c r="M99" s="246"/>
      <c r="N99" s="648">
        <f t="shared" si="19"/>
        <v>0</v>
      </c>
    </row>
    <row r="100" spans="1:14" x14ac:dyDescent="0.25">
      <c r="A100" s="61" t="s">
        <v>181</v>
      </c>
      <c r="B100" s="62" t="s">
        <v>182</v>
      </c>
      <c r="C100" s="246">
        <v>684000</v>
      </c>
      <c r="D100" s="246"/>
      <c r="E100" s="247">
        <f t="shared" si="16"/>
        <v>684000</v>
      </c>
      <c r="F100" s="246">
        <v>684000</v>
      </c>
      <c r="G100" s="246"/>
      <c r="H100" s="247">
        <f t="shared" si="17"/>
        <v>684000</v>
      </c>
      <c r="I100" s="246">
        <v>725000</v>
      </c>
      <c r="J100" s="246"/>
      <c r="K100" s="648">
        <f t="shared" si="18"/>
        <v>725000</v>
      </c>
      <c r="L100" s="246">
        <v>721927</v>
      </c>
      <c r="M100" s="246"/>
      <c r="N100" s="648">
        <f t="shared" si="19"/>
        <v>721927</v>
      </c>
    </row>
    <row r="101" spans="1:14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6"/>
        <v>0</v>
      </c>
      <c r="F101" s="246">
        <f>SUM(F102:F104)</f>
        <v>0</v>
      </c>
      <c r="G101" s="246">
        <f>SUM(G102:G104)</f>
        <v>0</v>
      </c>
      <c r="H101" s="247">
        <f t="shared" si="17"/>
        <v>0</v>
      </c>
      <c r="I101" s="246">
        <f>SUM(I102:I104)</f>
        <v>0</v>
      </c>
      <c r="J101" s="246">
        <f>SUM(J102:J104)</f>
        <v>0</v>
      </c>
      <c r="K101" s="648">
        <f t="shared" si="18"/>
        <v>0</v>
      </c>
      <c r="L101" s="246">
        <f>SUM(L102:L104)</f>
        <v>0</v>
      </c>
      <c r="M101" s="246">
        <f>SUM(M102:M104)</f>
        <v>0</v>
      </c>
      <c r="N101" s="648">
        <f t="shared" si="19"/>
        <v>0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6"/>
        <v>0</v>
      </c>
      <c r="F102" s="246"/>
      <c r="G102" s="246"/>
      <c r="H102" s="247">
        <f t="shared" si="17"/>
        <v>0</v>
      </c>
      <c r="I102" s="246"/>
      <c r="J102" s="246"/>
      <c r="K102" s="648">
        <f t="shared" si="18"/>
        <v>0</v>
      </c>
      <c r="L102" s="246"/>
      <c r="M102" s="246"/>
      <c r="N102" s="648">
        <f t="shared" si="19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16"/>
        <v>0</v>
      </c>
      <c r="F103" s="246"/>
      <c r="G103" s="246"/>
      <c r="H103" s="247">
        <f t="shared" si="17"/>
        <v>0</v>
      </c>
      <c r="I103" s="246"/>
      <c r="J103" s="246"/>
      <c r="K103" s="648">
        <f t="shared" si="18"/>
        <v>0</v>
      </c>
      <c r="L103" s="246"/>
      <c r="M103" s="246"/>
      <c r="N103" s="648">
        <f t="shared" si="19"/>
        <v>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6"/>
        <v>0</v>
      </c>
      <c r="F104" s="248"/>
      <c r="G104" s="248"/>
      <c r="H104" s="249">
        <f t="shared" si="17"/>
        <v>0</v>
      </c>
      <c r="I104" s="248"/>
      <c r="J104" s="248"/>
      <c r="K104" s="395">
        <f t="shared" si="18"/>
        <v>0</v>
      </c>
      <c r="L104" s="248"/>
      <c r="M104" s="248"/>
      <c r="N104" s="395">
        <f t="shared" si="19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1777101</v>
      </c>
      <c r="D105" s="244">
        <f>SUM(D106:D110)</f>
        <v>0</v>
      </c>
      <c r="E105" s="245">
        <f t="shared" si="16"/>
        <v>1777101</v>
      </c>
      <c r="F105" s="244">
        <f>SUM(F106:F110)</f>
        <v>1777101</v>
      </c>
      <c r="G105" s="244">
        <f>SUM(G106:G110)</f>
        <v>0</v>
      </c>
      <c r="H105" s="245">
        <f t="shared" si="17"/>
        <v>1777101</v>
      </c>
      <c r="I105" s="244">
        <f>SUM(I106:I110)</f>
        <v>1842101</v>
      </c>
      <c r="J105" s="244">
        <f>SUM(J106:J110)</f>
        <v>0</v>
      </c>
      <c r="K105" s="367">
        <f t="shared" si="18"/>
        <v>1842101</v>
      </c>
      <c r="L105" s="244">
        <f>SUM(L106:L110)</f>
        <v>1842171</v>
      </c>
      <c r="M105" s="244">
        <f>SUM(M106:M110)</f>
        <v>0</v>
      </c>
      <c r="N105" s="367">
        <f t="shared" si="19"/>
        <v>1842171</v>
      </c>
    </row>
    <row r="106" spans="1:14" x14ac:dyDescent="0.25">
      <c r="A106" s="61"/>
      <c r="B106" s="62" t="s">
        <v>193</v>
      </c>
      <c r="C106" s="246">
        <v>1704651</v>
      </c>
      <c r="D106" s="246"/>
      <c r="E106" s="247">
        <f t="shared" si="16"/>
        <v>1704651</v>
      </c>
      <c r="F106" s="246">
        <v>1704651</v>
      </c>
      <c r="G106" s="246"/>
      <c r="H106" s="247">
        <f t="shared" si="17"/>
        <v>1704651</v>
      </c>
      <c r="I106" s="246">
        <f>1704651+65000</f>
        <v>1769651</v>
      </c>
      <c r="J106" s="246"/>
      <c r="K106" s="247">
        <f t="shared" si="18"/>
        <v>1769651</v>
      </c>
      <c r="L106" s="246">
        <v>1792976</v>
      </c>
      <c r="M106" s="246"/>
      <c r="N106" s="247">
        <f t="shared" si="19"/>
        <v>1792976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6"/>
        <v>0</v>
      </c>
      <c r="F107" s="246"/>
      <c r="G107" s="246"/>
      <c r="H107" s="247">
        <f t="shared" si="17"/>
        <v>0</v>
      </c>
      <c r="I107" s="246"/>
      <c r="J107" s="246"/>
      <c r="K107" s="247">
        <f t="shared" si="18"/>
        <v>0</v>
      </c>
      <c r="L107" s="246"/>
      <c r="M107" s="246"/>
      <c r="N107" s="247">
        <f t="shared" si="19"/>
        <v>0</v>
      </c>
    </row>
    <row r="108" spans="1:14" x14ac:dyDescent="0.25">
      <c r="A108" s="63"/>
      <c r="B108" s="64" t="s">
        <v>195</v>
      </c>
      <c r="C108" s="246">
        <v>40950</v>
      </c>
      <c r="D108" s="246"/>
      <c r="E108" s="247">
        <f t="shared" si="16"/>
        <v>40950</v>
      </c>
      <c r="F108" s="246">
        <v>40950</v>
      </c>
      <c r="G108" s="246"/>
      <c r="H108" s="247">
        <f t="shared" si="17"/>
        <v>40950</v>
      </c>
      <c r="I108" s="246">
        <v>40950</v>
      </c>
      <c r="J108" s="246"/>
      <c r="K108" s="247">
        <f t="shared" si="18"/>
        <v>40950</v>
      </c>
      <c r="L108" s="246">
        <v>9381</v>
      </c>
      <c r="M108" s="246"/>
      <c r="N108" s="247">
        <f t="shared" si="19"/>
        <v>9381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6"/>
        <v>0</v>
      </c>
      <c r="F109" s="246"/>
      <c r="G109" s="246"/>
      <c r="H109" s="247">
        <f t="shared" si="17"/>
        <v>0</v>
      </c>
      <c r="I109" s="246"/>
      <c r="J109" s="246"/>
      <c r="K109" s="247">
        <f t="shared" si="18"/>
        <v>0</v>
      </c>
      <c r="L109" s="246"/>
      <c r="M109" s="246"/>
      <c r="N109" s="247">
        <f t="shared" si="19"/>
        <v>0</v>
      </c>
    </row>
    <row r="110" spans="1:14" ht="15.75" thickBot="1" x14ac:dyDescent="0.3">
      <c r="A110" s="63"/>
      <c r="B110" s="64" t="s">
        <v>197</v>
      </c>
      <c r="C110" s="248">
        <v>31500</v>
      </c>
      <c r="D110" s="248"/>
      <c r="E110" s="249">
        <f t="shared" si="16"/>
        <v>31500</v>
      </c>
      <c r="F110" s="248">
        <v>31500</v>
      </c>
      <c r="G110" s="248"/>
      <c r="H110" s="249">
        <f t="shared" si="17"/>
        <v>31500</v>
      </c>
      <c r="I110" s="248">
        <v>31500</v>
      </c>
      <c r="J110" s="248"/>
      <c r="K110" s="249">
        <f t="shared" si="18"/>
        <v>31500</v>
      </c>
      <c r="L110" s="248">
        <v>39814</v>
      </c>
      <c r="M110" s="248"/>
      <c r="N110" s="249">
        <f t="shared" si="19"/>
        <v>39814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8808630</v>
      </c>
      <c r="D111" s="244">
        <f>SUM(D112:D113,D114,D123,D122)</f>
        <v>0</v>
      </c>
      <c r="E111" s="245">
        <f t="shared" si="16"/>
        <v>8808630</v>
      </c>
      <c r="F111" s="244">
        <f>SUM(F112:F113,F114,F123,F122)</f>
        <v>8808630</v>
      </c>
      <c r="G111" s="244">
        <f>SUM(G112:G113,G114,G123,G122)</f>
        <v>0</v>
      </c>
      <c r="H111" s="245">
        <f t="shared" si="17"/>
        <v>8808630</v>
      </c>
      <c r="I111" s="244">
        <f>SUM(I112:I113,I114,I123,I122)</f>
        <v>8450998</v>
      </c>
      <c r="J111" s="244">
        <f>SUM(J112:J113,J114,J123,J122)</f>
        <v>0</v>
      </c>
      <c r="K111" s="367">
        <f t="shared" si="18"/>
        <v>8450998</v>
      </c>
      <c r="L111" s="244">
        <f>SUM(L112:L113,L114,L123,L122)</f>
        <v>7786089</v>
      </c>
      <c r="M111" s="244">
        <f>SUM(M112:M113,M114,M123,M122)</f>
        <v>0</v>
      </c>
      <c r="N111" s="367">
        <f t="shared" si="19"/>
        <v>7786089</v>
      </c>
    </row>
    <row r="112" spans="1:14" x14ac:dyDescent="0.25">
      <c r="A112" s="61" t="s">
        <v>199</v>
      </c>
      <c r="B112" s="62" t="s">
        <v>200</v>
      </c>
      <c r="C112" s="246">
        <f>420000+300000</f>
        <v>720000</v>
      </c>
      <c r="D112" s="246"/>
      <c r="E112" s="247">
        <f t="shared" si="16"/>
        <v>720000</v>
      </c>
      <c r="F112" s="246">
        <f>420000+300000</f>
        <v>720000</v>
      </c>
      <c r="G112" s="246"/>
      <c r="H112" s="247">
        <f t="shared" si="17"/>
        <v>720000</v>
      </c>
      <c r="I112" s="246">
        <f>420000+300000+100000</f>
        <v>820000</v>
      </c>
      <c r="J112" s="246"/>
      <c r="K112" s="648">
        <f t="shared" si="18"/>
        <v>820000</v>
      </c>
      <c r="L112" s="246">
        <v>762881</v>
      </c>
      <c r="M112" s="246"/>
      <c r="N112" s="648">
        <f t="shared" si="19"/>
        <v>762881</v>
      </c>
    </row>
    <row r="113" spans="1:14" x14ac:dyDescent="0.25">
      <c r="A113" s="61" t="s">
        <v>201</v>
      </c>
      <c r="B113" s="62" t="s">
        <v>202</v>
      </c>
      <c r="C113" s="246">
        <f>230000+300000</f>
        <v>530000</v>
      </c>
      <c r="D113" s="246"/>
      <c r="E113" s="247">
        <f t="shared" si="16"/>
        <v>530000</v>
      </c>
      <c r="F113" s="246">
        <f>230000+300000</f>
        <v>530000</v>
      </c>
      <c r="G113" s="246"/>
      <c r="H113" s="247">
        <f t="shared" si="17"/>
        <v>530000</v>
      </c>
      <c r="I113" s="246">
        <f>230000+300000-290000</f>
        <v>240000</v>
      </c>
      <c r="J113" s="246"/>
      <c r="K113" s="648">
        <f t="shared" si="18"/>
        <v>240000</v>
      </c>
      <c r="L113" s="246">
        <f>140724+98407</f>
        <v>239131</v>
      </c>
      <c r="M113" s="246"/>
      <c r="N113" s="648">
        <f t="shared" si="19"/>
        <v>239131</v>
      </c>
    </row>
    <row r="114" spans="1:14" x14ac:dyDescent="0.25">
      <c r="A114" s="61" t="s">
        <v>203</v>
      </c>
      <c r="B114" s="62" t="s">
        <v>204</v>
      </c>
      <c r="C114" s="246">
        <f>SUM(C115:C121)</f>
        <v>5694425</v>
      </c>
      <c r="D114" s="246">
        <f>SUM(D115:D121)</f>
        <v>0</v>
      </c>
      <c r="E114" s="247">
        <f t="shared" si="16"/>
        <v>5694425</v>
      </c>
      <c r="F114" s="246">
        <f>SUM(F115:F121)</f>
        <v>5694425</v>
      </c>
      <c r="G114" s="246">
        <f>SUM(G115:G121)</f>
        <v>0</v>
      </c>
      <c r="H114" s="247">
        <f t="shared" si="17"/>
        <v>5694425</v>
      </c>
      <c r="I114" s="246">
        <f>SUM(I115:I121)</f>
        <v>5526793</v>
      </c>
      <c r="J114" s="246">
        <f>SUM(J115:J121)</f>
        <v>0</v>
      </c>
      <c r="K114" s="648">
        <f t="shared" si="18"/>
        <v>5526793</v>
      </c>
      <c r="L114" s="246">
        <f>SUM(L115:L121)</f>
        <v>5238769</v>
      </c>
      <c r="M114" s="246">
        <f>SUM(M115:M121)</f>
        <v>0</v>
      </c>
      <c r="N114" s="648">
        <f t="shared" si="19"/>
        <v>5238769</v>
      </c>
    </row>
    <row r="115" spans="1:14" x14ac:dyDescent="0.25">
      <c r="A115" s="61" t="s">
        <v>205</v>
      </c>
      <c r="B115" s="62" t="s">
        <v>206</v>
      </c>
      <c r="C115" s="246">
        <v>4575000</v>
      </c>
      <c r="D115" s="246"/>
      <c r="E115" s="247">
        <f t="shared" si="16"/>
        <v>4575000</v>
      </c>
      <c r="F115" s="246">
        <v>4575000</v>
      </c>
      <c r="G115" s="246"/>
      <c r="H115" s="247">
        <f t="shared" si="17"/>
        <v>4575000</v>
      </c>
      <c r="I115" s="246">
        <f>4575000+127368</f>
        <v>4702368</v>
      </c>
      <c r="J115" s="246"/>
      <c r="K115" s="648">
        <f t="shared" si="18"/>
        <v>4702368</v>
      </c>
      <c r="L115" s="246">
        <v>4548024</v>
      </c>
      <c r="M115" s="246"/>
      <c r="N115" s="648">
        <f t="shared" si="19"/>
        <v>4548024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6"/>
        <v>0</v>
      </c>
      <c r="F116" s="246"/>
      <c r="G116" s="246"/>
      <c r="H116" s="247">
        <f t="shared" si="17"/>
        <v>0</v>
      </c>
      <c r="I116" s="246"/>
      <c r="J116" s="246"/>
      <c r="K116" s="648">
        <f t="shared" si="18"/>
        <v>0</v>
      </c>
      <c r="L116" s="246"/>
      <c r="M116" s="246"/>
      <c r="N116" s="648">
        <f t="shared" si="19"/>
        <v>0</v>
      </c>
    </row>
    <row r="117" spans="1:14" x14ac:dyDescent="0.25">
      <c r="A117" s="61" t="s">
        <v>209</v>
      </c>
      <c r="B117" s="62" t="s">
        <v>210</v>
      </c>
      <c r="C117" s="246">
        <v>35000</v>
      </c>
      <c r="D117" s="246"/>
      <c r="E117" s="247">
        <f t="shared" si="16"/>
        <v>35000</v>
      </c>
      <c r="F117" s="246">
        <v>35000</v>
      </c>
      <c r="G117" s="246"/>
      <c r="H117" s="247">
        <f t="shared" si="17"/>
        <v>35000</v>
      </c>
      <c r="I117" s="246">
        <v>35000</v>
      </c>
      <c r="J117" s="246"/>
      <c r="K117" s="247">
        <f t="shared" si="18"/>
        <v>35000</v>
      </c>
      <c r="L117" s="246">
        <v>2000</v>
      </c>
      <c r="M117" s="246"/>
      <c r="N117" s="247">
        <f t="shared" si="19"/>
        <v>2000</v>
      </c>
    </row>
    <row r="118" spans="1:14" x14ac:dyDescent="0.25">
      <c r="A118" s="61" t="s">
        <v>211</v>
      </c>
      <c r="B118" s="62" t="s">
        <v>212</v>
      </c>
      <c r="C118" s="246">
        <f>340000+298425</f>
        <v>638425</v>
      </c>
      <c r="D118" s="246"/>
      <c r="E118" s="247">
        <f t="shared" si="16"/>
        <v>638425</v>
      </c>
      <c r="F118" s="246">
        <f>340000+298425</f>
        <v>638425</v>
      </c>
      <c r="G118" s="246"/>
      <c r="H118" s="247">
        <f t="shared" si="17"/>
        <v>638425</v>
      </c>
      <c r="I118" s="246">
        <f>340000+298425-580000</f>
        <v>58425</v>
      </c>
      <c r="J118" s="246"/>
      <c r="K118" s="247">
        <f t="shared" si="18"/>
        <v>58425</v>
      </c>
      <c r="L118" s="246">
        <v>56200</v>
      </c>
      <c r="M118" s="246"/>
      <c r="N118" s="247">
        <f t="shared" si="19"/>
        <v>56200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6"/>
        <v>0</v>
      </c>
      <c r="F119" s="246"/>
      <c r="G119" s="246"/>
      <c r="H119" s="247">
        <f t="shared" si="17"/>
        <v>0</v>
      </c>
      <c r="I119" s="246"/>
      <c r="J119" s="246"/>
      <c r="K119" s="247">
        <f t="shared" si="18"/>
        <v>0</v>
      </c>
      <c r="L119" s="246"/>
      <c r="M119" s="246"/>
      <c r="N119" s="247">
        <f t="shared" si="19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6"/>
        <v>0</v>
      </c>
      <c r="F120" s="246"/>
      <c r="G120" s="246"/>
      <c r="H120" s="247">
        <f t="shared" si="17"/>
        <v>0</v>
      </c>
      <c r="I120" s="246">
        <v>235000</v>
      </c>
      <c r="J120" s="246"/>
      <c r="K120" s="247">
        <f t="shared" si="18"/>
        <v>235000</v>
      </c>
      <c r="L120" s="246">
        <v>125000</v>
      </c>
      <c r="M120" s="246"/>
      <c r="N120" s="247">
        <f t="shared" si="19"/>
        <v>125000</v>
      </c>
    </row>
    <row r="121" spans="1:14" x14ac:dyDescent="0.25">
      <c r="A121" s="61" t="s">
        <v>217</v>
      </c>
      <c r="B121" s="62" t="s">
        <v>218</v>
      </c>
      <c r="C121" s="246">
        <f>210000+236000</f>
        <v>446000</v>
      </c>
      <c r="D121" s="246"/>
      <c r="E121" s="247">
        <f t="shared" si="16"/>
        <v>446000</v>
      </c>
      <c r="F121" s="246">
        <f>210000+236000</f>
        <v>446000</v>
      </c>
      <c r="G121" s="246"/>
      <c r="H121" s="247">
        <f t="shared" si="17"/>
        <v>446000</v>
      </c>
      <c r="I121" s="246">
        <f>210000+236000+50000</f>
        <v>496000</v>
      </c>
      <c r="J121" s="246"/>
      <c r="K121" s="247">
        <f t="shared" si="18"/>
        <v>496000</v>
      </c>
      <c r="L121" s="246">
        <f>496045+11500</f>
        <v>507545</v>
      </c>
      <c r="M121" s="246"/>
      <c r="N121" s="247">
        <f t="shared" si="19"/>
        <v>507545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6"/>
        <v>0</v>
      </c>
      <c r="F122" s="246"/>
      <c r="G122" s="246"/>
      <c r="H122" s="247">
        <f t="shared" si="17"/>
        <v>0</v>
      </c>
      <c r="I122" s="246"/>
      <c r="J122" s="246"/>
      <c r="K122" s="247">
        <f t="shared" si="18"/>
        <v>0</v>
      </c>
      <c r="L122" s="246"/>
      <c r="M122" s="246"/>
      <c r="N122" s="247">
        <f t="shared" si="19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1864205</v>
      </c>
      <c r="D123" s="246">
        <f>SUM(D124:D126)</f>
        <v>0</v>
      </c>
      <c r="E123" s="247">
        <f t="shared" si="16"/>
        <v>1864205</v>
      </c>
      <c r="F123" s="246">
        <f>SUM(F124:F126)</f>
        <v>1864205</v>
      </c>
      <c r="G123" s="246">
        <f>SUM(G124:G126)</f>
        <v>0</v>
      </c>
      <c r="H123" s="247">
        <f t="shared" si="17"/>
        <v>1864205</v>
      </c>
      <c r="I123" s="246">
        <f>SUM(I124:I126)</f>
        <v>1864205</v>
      </c>
      <c r="J123" s="246">
        <f>SUM(J124:J126)</f>
        <v>0</v>
      </c>
      <c r="K123" s="247">
        <f t="shared" si="18"/>
        <v>1864205</v>
      </c>
      <c r="L123" s="246">
        <f>SUM(L124:L126)</f>
        <v>1545308</v>
      </c>
      <c r="M123" s="246">
        <f>SUM(M124:M126)</f>
        <v>0</v>
      </c>
      <c r="N123" s="247">
        <f t="shared" si="19"/>
        <v>1545308</v>
      </c>
    </row>
    <row r="124" spans="1:14" x14ac:dyDescent="0.25">
      <c r="A124" s="61"/>
      <c r="B124" s="62" t="s">
        <v>223</v>
      </c>
      <c r="C124" s="246">
        <f>5810000*0.27+64000+231505</f>
        <v>1864205</v>
      </c>
      <c r="D124" s="246"/>
      <c r="E124" s="247">
        <f t="shared" si="16"/>
        <v>1864205</v>
      </c>
      <c r="F124" s="246">
        <f>5810000*0.27+64000+231505</f>
        <v>1864205</v>
      </c>
      <c r="G124" s="246"/>
      <c r="H124" s="247">
        <f t="shared" si="17"/>
        <v>1864205</v>
      </c>
      <c r="I124" s="246">
        <f>5810000*0.27+64000+231505</f>
        <v>1864205</v>
      </c>
      <c r="J124" s="246"/>
      <c r="K124" s="247">
        <f t="shared" si="18"/>
        <v>1864205</v>
      </c>
      <c r="L124" s="246">
        <v>1545308</v>
      </c>
      <c r="M124" s="246"/>
      <c r="N124" s="247">
        <f t="shared" si="19"/>
        <v>1545308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6"/>
        <v>0</v>
      </c>
      <c r="F125" s="246"/>
      <c r="G125" s="246"/>
      <c r="H125" s="247">
        <f t="shared" si="17"/>
        <v>0</v>
      </c>
      <c r="I125" s="246"/>
      <c r="J125" s="246"/>
      <c r="K125" s="247">
        <f t="shared" si="18"/>
        <v>0</v>
      </c>
      <c r="L125" s="246"/>
      <c r="M125" s="246"/>
      <c r="N125" s="247">
        <f t="shared" si="19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6"/>
        <v>0</v>
      </c>
      <c r="F126" s="248"/>
      <c r="G126" s="248"/>
      <c r="H126" s="249">
        <f t="shared" si="17"/>
        <v>0</v>
      </c>
      <c r="I126" s="248"/>
      <c r="J126" s="248"/>
      <c r="K126" s="249">
        <f t="shared" si="18"/>
        <v>0</v>
      </c>
      <c r="L126" s="248"/>
      <c r="M126" s="248"/>
      <c r="N126" s="249">
        <f t="shared" si="19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6"/>
        <v>0</v>
      </c>
      <c r="F127" s="250"/>
      <c r="G127" s="250"/>
      <c r="H127" s="251">
        <f t="shared" si="17"/>
        <v>0</v>
      </c>
      <c r="I127" s="250"/>
      <c r="J127" s="250"/>
      <c r="K127" s="251">
        <f t="shared" si="18"/>
        <v>0</v>
      </c>
      <c r="L127" s="250"/>
      <c r="M127" s="250"/>
      <c r="N127" s="251">
        <f t="shared" si="19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6"/>
        <v>0</v>
      </c>
      <c r="F128" s="244">
        <f>SUM(F129:F134)</f>
        <v>0</v>
      </c>
      <c r="G128" s="244">
        <f>SUM(G129:G134)</f>
        <v>0</v>
      </c>
      <c r="H128" s="245">
        <f t="shared" si="17"/>
        <v>0</v>
      </c>
      <c r="I128" s="244">
        <f>SUM(I129:I134)</f>
        <v>0</v>
      </c>
      <c r="J128" s="244">
        <f>SUM(J129:J134)</f>
        <v>0</v>
      </c>
      <c r="K128" s="245">
        <f t="shared" si="18"/>
        <v>0</v>
      </c>
      <c r="L128" s="244">
        <f>SUM(L129:L134)</f>
        <v>0</v>
      </c>
      <c r="M128" s="244">
        <f>SUM(M129:M134)</f>
        <v>0</v>
      </c>
      <c r="N128" s="245">
        <f t="shared" si="19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6"/>
        <v>0</v>
      </c>
      <c r="F129" s="246"/>
      <c r="G129" s="246"/>
      <c r="H129" s="247">
        <f t="shared" si="17"/>
        <v>0</v>
      </c>
      <c r="I129" s="246"/>
      <c r="J129" s="246"/>
      <c r="K129" s="247">
        <f t="shared" si="18"/>
        <v>0</v>
      </c>
      <c r="L129" s="246"/>
      <c r="M129" s="246"/>
      <c r="N129" s="247">
        <f t="shared" si="19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6"/>
        <v>0</v>
      </c>
      <c r="F130" s="246"/>
      <c r="G130" s="246"/>
      <c r="H130" s="247">
        <f t="shared" si="17"/>
        <v>0</v>
      </c>
      <c r="I130" s="246"/>
      <c r="J130" s="246"/>
      <c r="K130" s="247">
        <f t="shared" si="18"/>
        <v>0</v>
      </c>
      <c r="L130" s="246"/>
      <c r="M130" s="246"/>
      <c r="N130" s="247">
        <f t="shared" si="19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6"/>
        <v>0</v>
      </c>
      <c r="F131" s="246"/>
      <c r="G131" s="246"/>
      <c r="H131" s="247">
        <f t="shared" si="17"/>
        <v>0</v>
      </c>
      <c r="I131" s="246"/>
      <c r="J131" s="246"/>
      <c r="K131" s="247">
        <f t="shared" si="18"/>
        <v>0</v>
      </c>
      <c r="L131" s="246"/>
      <c r="M131" s="246"/>
      <c r="N131" s="247">
        <f t="shared" si="19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6"/>
        <v>0</v>
      </c>
      <c r="F132" s="246"/>
      <c r="G132" s="246"/>
      <c r="H132" s="247">
        <f t="shared" si="17"/>
        <v>0</v>
      </c>
      <c r="I132" s="246"/>
      <c r="J132" s="246"/>
      <c r="K132" s="247">
        <f t="shared" si="18"/>
        <v>0</v>
      </c>
      <c r="L132" s="246"/>
      <c r="M132" s="246"/>
      <c r="N132" s="247">
        <f t="shared" si="19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6"/>
        <v>0</v>
      </c>
      <c r="F133" s="246"/>
      <c r="G133" s="246"/>
      <c r="H133" s="247">
        <f t="shared" si="17"/>
        <v>0</v>
      </c>
      <c r="I133" s="246"/>
      <c r="J133" s="246"/>
      <c r="K133" s="247">
        <f t="shared" si="18"/>
        <v>0</v>
      </c>
      <c r="L133" s="246"/>
      <c r="M133" s="246"/>
      <c r="N133" s="247">
        <f t="shared" si="19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6"/>
        <v>0</v>
      </c>
      <c r="F134" s="246">
        <f>SUM(F135:F136)</f>
        <v>0</v>
      </c>
      <c r="G134" s="246">
        <f>SUM(G135:G136)</f>
        <v>0</v>
      </c>
      <c r="H134" s="247">
        <f t="shared" si="17"/>
        <v>0</v>
      </c>
      <c r="I134" s="246">
        <f>SUM(I135:I136)</f>
        <v>0</v>
      </c>
      <c r="J134" s="246">
        <f>SUM(J135:J136)</f>
        <v>0</v>
      </c>
      <c r="K134" s="247">
        <f t="shared" si="18"/>
        <v>0</v>
      </c>
      <c r="L134" s="246">
        <f>SUM(L135:L136)</f>
        <v>0</v>
      </c>
      <c r="M134" s="246">
        <f>SUM(M135:M136)</f>
        <v>0</v>
      </c>
      <c r="N134" s="247">
        <f t="shared" si="19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6"/>
        <v>0</v>
      </c>
      <c r="F135" s="246"/>
      <c r="G135" s="246"/>
      <c r="H135" s="247">
        <f t="shared" si="17"/>
        <v>0</v>
      </c>
      <c r="I135" s="246"/>
      <c r="J135" s="246"/>
      <c r="K135" s="247">
        <f t="shared" si="18"/>
        <v>0</v>
      </c>
      <c r="L135" s="246"/>
      <c r="M135" s="246"/>
      <c r="N135" s="247">
        <f t="shared" si="19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6"/>
        <v>0</v>
      </c>
      <c r="F136" s="248"/>
      <c r="G136" s="248"/>
      <c r="H136" s="249">
        <f t="shared" si="17"/>
        <v>0</v>
      </c>
      <c r="I136" s="248"/>
      <c r="J136" s="248"/>
      <c r="K136" s="249">
        <f t="shared" si="18"/>
        <v>0</v>
      </c>
      <c r="L136" s="248"/>
      <c r="M136" s="248"/>
      <c r="N136" s="249">
        <f t="shared" si="19"/>
        <v>0</v>
      </c>
    </row>
    <row r="137" spans="1:14" x14ac:dyDescent="0.25">
      <c r="A137" s="60" t="s">
        <v>241</v>
      </c>
      <c r="B137" s="48" t="s">
        <v>38</v>
      </c>
      <c r="C137" s="244">
        <v>393701</v>
      </c>
      <c r="D137" s="244"/>
      <c r="E137" s="245">
        <f t="shared" si="16"/>
        <v>393701</v>
      </c>
      <c r="F137" s="244">
        <v>393701</v>
      </c>
      <c r="G137" s="244"/>
      <c r="H137" s="245">
        <f t="shared" si="17"/>
        <v>393701</v>
      </c>
      <c r="I137" s="244">
        <f>549131+6587</f>
        <v>555718</v>
      </c>
      <c r="J137" s="244"/>
      <c r="K137" s="245">
        <f t="shared" si="18"/>
        <v>555718</v>
      </c>
      <c r="L137" s="244">
        <v>549131</v>
      </c>
      <c r="M137" s="244"/>
      <c r="N137" s="245">
        <f t="shared" si="19"/>
        <v>549131</v>
      </c>
    </row>
    <row r="138" spans="1:14" ht="15.75" thickBot="1" x14ac:dyDescent="0.3">
      <c r="A138" s="63" t="s">
        <v>242</v>
      </c>
      <c r="B138" s="64" t="s">
        <v>243</v>
      </c>
      <c r="C138" s="248">
        <v>106299</v>
      </c>
      <c r="D138" s="248"/>
      <c r="E138" s="249">
        <f t="shared" si="16"/>
        <v>106299</v>
      </c>
      <c r="F138" s="248">
        <v>106299</v>
      </c>
      <c r="G138" s="248"/>
      <c r="H138" s="249">
        <f t="shared" si="17"/>
        <v>106299</v>
      </c>
      <c r="I138" s="248">
        <v>130574</v>
      </c>
      <c r="J138" s="248"/>
      <c r="K138" s="249">
        <f t="shared" si="18"/>
        <v>130574</v>
      </c>
      <c r="L138" s="248">
        <v>130574</v>
      </c>
      <c r="M138" s="248"/>
      <c r="N138" s="249">
        <f t="shared" si="19"/>
        <v>130574</v>
      </c>
    </row>
    <row r="139" spans="1:14" x14ac:dyDescent="0.25">
      <c r="A139" s="60" t="s">
        <v>244</v>
      </c>
      <c r="B139" s="48" t="s">
        <v>39</v>
      </c>
      <c r="C139" s="244">
        <v>2714961</v>
      </c>
      <c r="D139" s="244"/>
      <c r="E139" s="245">
        <f t="shared" si="16"/>
        <v>2714961</v>
      </c>
      <c r="F139" s="244">
        <f>2714961-2281890</f>
        <v>433071</v>
      </c>
      <c r="G139" s="244"/>
      <c r="H139" s="245">
        <f t="shared" si="17"/>
        <v>433071</v>
      </c>
      <c r="I139" s="244">
        <f>2714961-2281890-201276</f>
        <v>231795</v>
      </c>
      <c r="J139" s="244"/>
      <c r="K139" s="245">
        <f t="shared" si="18"/>
        <v>231795</v>
      </c>
      <c r="L139" s="244"/>
      <c r="M139" s="244"/>
      <c r="N139" s="245">
        <f t="shared" si="19"/>
        <v>0</v>
      </c>
    </row>
    <row r="140" spans="1:14" ht="15.75" thickBot="1" x14ac:dyDescent="0.3">
      <c r="A140" s="63" t="s">
        <v>245</v>
      </c>
      <c r="B140" s="64" t="s">
        <v>246</v>
      </c>
      <c r="C140" s="248">
        <v>733039</v>
      </c>
      <c r="D140" s="248"/>
      <c r="E140" s="249">
        <f t="shared" si="16"/>
        <v>733039</v>
      </c>
      <c r="F140" s="248">
        <f>733039-616110</f>
        <v>116929</v>
      </c>
      <c r="G140" s="248"/>
      <c r="H140" s="249">
        <f t="shared" si="17"/>
        <v>116929</v>
      </c>
      <c r="I140" s="248">
        <f>733039-616110-26344</f>
        <v>90585</v>
      </c>
      <c r="J140" s="248"/>
      <c r="K140" s="249">
        <f t="shared" si="18"/>
        <v>90585</v>
      </c>
      <c r="L140" s="248"/>
      <c r="M140" s="248"/>
      <c r="N140" s="249">
        <f t="shared" si="19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6"/>
        <v>0</v>
      </c>
      <c r="F141" s="254"/>
      <c r="G141" s="254"/>
      <c r="H141" s="255">
        <f t="shared" si="17"/>
        <v>0</v>
      </c>
      <c r="I141" s="254"/>
      <c r="J141" s="254"/>
      <c r="K141" s="255">
        <f t="shared" si="18"/>
        <v>0</v>
      </c>
      <c r="L141" s="254"/>
      <c r="M141" s="254"/>
      <c r="N141" s="255">
        <f t="shared" si="19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23535531</v>
      </c>
      <c r="D142" s="250">
        <f>D141+D140+D139+D138+D137+D128+D127+D111+D105+D88</f>
        <v>0</v>
      </c>
      <c r="E142" s="251">
        <f t="shared" si="16"/>
        <v>23535531</v>
      </c>
      <c r="F142" s="250">
        <f>F141+F140+F139+F138+F137+F128+F127+F111+F105+F88</f>
        <v>20637531</v>
      </c>
      <c r="G142" s="250">
        <f>G141+G140+G139+G138+G137+G128+G127+G111+G105+G88</f>
        <v>0</v>
      </c>
      <c r="H142" s="251">
        <f t="shared" si="17"/>
        <v>20637531</v>
      </c>
      <c r="I142" s="250">
        <f>I141+I140+I139+I138+I137+I128+I127+I111+I105+I88</f>
        <v>21128050</v>
      </c>
      <c r="J142" s="250">
        <f>J141+J140+J139+J138+J137+J128+J127+J111+J105+J88</f>
        <v>0</v>
      </c>
      <c r="K142" s="251">
        <f t="shared" si="18"/>
        <v>21128050</v>
      </c>
      <c r="L142" s="250">
        <f>L141+L140+L139+L138+L137+L128+L127+L111+L105+L88</f>
        <v>20171736</v>
      </c>
      <c r="M142" s="250">
        <f>M141+M140+M139+M138+M137+M128+M127+M111+M105+M88</f>
        <v>0</v>
      </c>
      <c r="N142" s="251">
        <f t="shared" si="19"/>
        <v>20171736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6"/>
        <v>0</v>
      </c>
      <c r="F143" s="244">
        <f>SUM(F144:F150)</f>
        <v>0</v>
      </c>
      <c r="G143" s="244">
        <f>SUM(G144:G150)</f>
        <v>0</v>
      </c>
      <c r="H143" s="245">
        <f t="shared" si="17"/>
        <v>0</v>
      </c>
      <c r="I143" s="244">
        <f>SUM(I144:I150)</f>
        <v>0</v>
      </c>
      <c r="J143" s="244">
        <f>SUM(J144:J150)</f>
        <v>0</v>
      </c>
      <c r="K143" s="245">
        <f t="shared" si="18"/>
        <v>0</v>
      </c>
      <c r="L143" s="244">
        <f>SUM(L144:L150)</f>
        <v>0</v>
      </c>
      <c r="M143" s="244">
        <f>SUM(M144:M150)</f>
        <v>0</v>
      </c>
      <c r="N143" s="245">
        <f t="shared" si="19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6"/>
        <v>0</v>
      </c>
      <c r="F144" s="246"/>
      <c r="G144" s="246"/>
      <c r="H144" s="247">
        <f t="shared" si="17"/>
        <v>0</v>
      </c>
      <c r="I144" s="246"/>
      <c r="J144" s="246"/>
      <c r="K144" s="247">
        <f t="shared" si="18"/>
        <v>0</v>
      </c>
      <c r="L144" s="246"/>
      <c r="M144" s="246"/>
      <c r="N144" s="247">
        <f t="shared" si="19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6"/>
        <v>0</v>
      </c>
      <c r="F145" s="246"/>
      <c r="G145" s="246"/>
      <c r="H145" s="247">
        <f t="shared" si="17"/>
        <v>0</v>
      </c>
      <c r="I145" s="246"/>
      <c r="J145" s="246"/>
      <c r="K145" s="247">
        <f t="shared" si="18"/>
        <v>0</v>
      </c>
      <c r="L145" s="246"/>
      <c r="M145" s="246"/>
      <c r="N145" s="247">
        <f t="shared" si="19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6"/>
        <v>0</v>
      </c>
      <c r="F147" s="246"/>
      <c r="G147" s="246"/>
      <c r="H147" s="247">
        <f t="shared" ref="H147:H150" si="20">SUM(F147:G147)</f>
        <v>0</v>
      </c>
      <c r="I147" s="246"/>
      <c r="J147" s="246"/>
      <c r="K147" s="247">
        <f t="shared" ref="K147:K150" si="21">SUM(I147:J147)</f>
        <v>0</v>
      </c>
      <c r="L147" s="246"/>
      <c r="M147" s="246"/>
      <c r="N147" s="247">
        <f t="shared" ref="N147:N150" si="22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6"/>
        <v>0</v>
      </c>
      <c r="F148" s="246"/>
      <c r="G148" s="246"/>
      <c r="H148" s="247">
        <f t="shared" si="20"/>
        <v>0</v>
      </c>
      <c r="I148" s="246"/>
      <c r="J148" s="246"/>
      <c r="K148" s="247">
        <f t="shared" si="21"/>
        <v>0</v>
      </c>
      <c r="L148" s="246"/>
      <c r="M148" s="246"/>
      <c r="N148" s="247">
        <f t="shared" si="22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6"/>
        <v>0</v>
      </c>
      <c r="F149" s="246"/>
      <c r="G149" s="246"/>
      <c r="H149" s="247">
        <f t="shared" si="20"/>
        <v>0</v>
      </c>
      <c r="I149" s="246"/>
      <c r="J149" s="246"/>
      <c r="K149" s="247">
        <f t="shared" si="21"/>
        <v>0</v>
      </c>
      <c r="L149" s="246"/>
      <c r="M149" s="246"/>
      <c r="N149" s="247">
        <f t="shared" si="22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6"/>
        <v>0</v>
      </c>
      <c r="F150" s="256"/>
      <c r="G150" s="248"/>
      <c r="H150" s="249">
        <f t="shared" si="20"/>
        <v>0</v>
      </c>
      <c r="I150" s="256"/>
      <c r="J150" s="248"/>
      <c r="K150" s="249">
        <f t="shared" si="21"/>
        <v>0</v>
      </c>
      <c r="L150" s="256"/>
      <c r="M150" s="248"/>
      <c r="N150" s="249">
        <f t="shared" si="22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23535531</v>
      </c>
      <c r="D151" s="257">
        <f>D143+D142</f>
        <v>0</v>
      </c>
      <c r="E151" s="258">
        <f>SUM(C151:D151)</f>
        <v>23535531</v>
      </c>
      <c r="F151" s="250">
        <f>F143+F142</f>
        <v>20637531</v>
      </c>
      <c r="G151" s="257">
        <f>G143+G142</f>
        <v>0</v>
      </c>
      <c r="H151" s="258">
        <f>SUM(F151:G151)</f>
        <v>20637531</v>
      </c>
      <c r="I151" s="250">
        <f>I143+I142</f>
        <v>21128050</v>
      </c>
      <c r="J151" s="257">
        <f>J143+J142</f>
        <v>0</v>
      </c>
      <c r="K151" s="258">
        <f>SUM(I151:J151)</f>
        <v>21128050</v>
      </c>
      <c r="L151" s="250">
        <f>L143+L142</f>
        <v>20171736</v>
      </c>
      <c r="M151" s="257">
        <f>M143+M142</f>
        <v>0</v>
      </c>
      <c r="N151" s="258">
        <f>SUM(L151:M151)</f>
        <v>20171736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3">E85-E151</f>
        <v>-20285531</v>
      </c>
      <c r="F153" s="148"/>
      <c r="G153" s="148"/>
      <c r="H153" s="148">
        <f t="shared" ref="H153" si="24">H85-H151</f>
        <v>-17068602</v>
      </c>
      <c r="I153" s="148"/>
      <c r="J153" s="148"/>
      <c r="K153" s="148">
        <f t="shared" ref="K153" si="25">K85-K151</f>
        <v>-17522186</v>
      </c>
      <c r="L153" s="148"/>
      <c r="M153" s="148"/>
      <c r="N153" s="148">
        <f t="shared" ref="N153" si="26">N85-N151</f>
        <v>-17534417</v>
      </c>
    </row>
    <row r="154" spans="1:14" x14ac:dyDescent="0.25">
      <c r="H154" s="148"/>
      <c r="K154" s="148"/>
      <c r="N154" s="148"/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2" fitToHeight="0" orientation="portrait" horizontalDpi="300" verticalDpi="3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N153"/>
  <sheetViews>
    <sheetView zoomScaleNormal="100" workbookViewId="0">
      <selection activeCell="I80" sqref="I80"/>
    </sheetView>
  </sheetViews>
  <sheetFormatPr defaultRowHeight="15" x14ac:dyDescent="0.25"/>
  <cols>
    <col min="1" max="1" width="9.140625" style="179"/>
    <col min="2" max="2" width="57" style="179" customWidth="1"/>
    <col min="3" max="3" width="10.85546875" style="179" bestFit="1" customWidth="1"/>
    <col min="4" max="4" width="9.140625" style="179"/>
    <col min="5" max="6" width="10.85546875" style="179" bestFit="1" customWidth="1"/>
    <col min="7" max="7" width="9.140625" style="179"/>
    <col min="8" max="9" width="10.85546875" style="179" bestFit="1" customWidth="1"/>
    <col min="10" max="10" width="9.140625" style="179"/>
    <col min="11" max="12" width="10.85546875" style="179" bestFit="1" customWidth="1"/>
    <col min="13" max="13" width="9.140625" style="179"/>
    <col min="14" max="14" width="10.85546875" style="179" bestFit="1" customWidth="1"/>
  </cols>
  <sheetData>
    <row r="1" spans="1:14" s="179" customFormat="1" x14ac:dyDescent="0.25">
      <c r="A1" s="912" t="s">
        <v>272</v>
      </c>
      <c r="B1" s="912"/>
      <c r="C1" s="912"/>
      <c r="D1" s="912"/>
      <c r="E1" s="912"/>
    </row>
    <row r="2" spans="1:14" s="179" customFormat="1" x14ac:dyDescent="0.25">
      <c r="A2" s="912" t="s">
        <v>271</v>
      </c>
      <c r="B2" s="912"/>
      <c r="C2" s="912"/>
      <c r="D2" s="912"/>
      <c r="E2" s="912"/>
    </row>
    <row r="4" spans="1:14" x14ac:dyDescent="0.25">
      <c r="A4" s="79" t="s">
        <v>270</v>
      </c>
      <c r="B4" s="81"/>
      <c r="C4" s="45" t="str">
        <f>'6.4 sportcsarnok'!C4</f>
        <v xml:space="preserve"> 12 / 2020. (VI.15) sz rendelet</v>
      </c>
    </row>
    <row r="5" spans="1:14" x14ac:dyDescent="0.25">
      <c r="A5" s="89"/>
      <c r="B5" s="81" t="s">
        <v>818</v>
      </c>
    </row>
    <row r="6" spans="1:14" x14ac:dyDescent="0.25">
      <c r="C6" s="519" t="s">
        <v>728</v>
      </c>
      <c r="D6" s="622" t="str">
        <f>'6.4 sportcsarnok'!D6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x14ac:dyDescent="0.25">
      <c r="A74" s="187" t="s">
        <v>143</v>
      </c>
      <c r="B74" s="198" t="s">
        <v>144</v>
      </c>
      <c r="C74" s="244">
        <f t="shared" ref="C74:M74" si="4">C75</f>
        <v>4302000</v>
      </c>
      <c r="D74" s="244">
        <f t="shared" si="4"/>
        <v>0</v>
      </c>
      <c r="E74" s="245">
        <f t="shared" ref="E74:E85" si="5">SUM(C74:D74)</f>
        <v>4302000</v>
      </c>
      <c r="F74" s="244">
        <f t="shared" si="4"/>
        <v>4302000</v>
      </c>
      <c r="G74" s="244">
        <f t="shared" si="4"/>
        <v>0</v>
      </c>
      <c r="H74" s="245">
        <f t="shared" ref="H74:H81" si="6">SUM(F74:G74)</f>
        <v>4302000</v>
      </c>
      <c r="I74" s="244">
        <f t="shared" si="4"/>
        <v>4302000</v>
      </c>
      <c r="J74" s="244">
        <f t="shared" si="4"/>
        <v>0</v>
      </c>
      <c r="K74" s="245">
        <f t="shared" ref="K74:K81" si="7">SUM(I74:J74)</f>
        <v>4302000</v>
      </c>
      <c r="L74" s="244">
        <f t="shared" si="4"/>
        <v>4302000</v>
      </c>
      <c r="M74" s="244">
        <f t="shared" si="4"/>
        <v>0</v>
      </c>
      <c r="N74" s="245">
        <f t="shared" ref="N74:N81" si="8">SUM(L74:M74)</f>
        <v>4302000</v>
      </c>
    </row>
    <row r="75" spans="1:14" x14ac:dyDescent="0.25">
      <c r="A75" s="184" t="s">
        <v>145</v>
      </c>
      <c r="B75" s="180" t="s">
        <v>146</v>
      </c>
      <c r="C75" s="246">
        <f t="shared" ref="C75:D75" si="9">SUM(C76:C77,C78,C79,C83,C82)</f>
        <v>4302000</v>
      </c>
      <c r="D75" s="246">
        <f t="shared" si="9"/>
        <v>0</v>
      </c>
      <c r="E75" s="247">
        <f t="shared" si="5"/>
        <v>4302000</v>
      </c>
      <c r="F75" s="246">
        <f t="shared" ref="F75:G75" si="10">SUM(F76:F77,F78,F79,F83,F82)</f>
        <v>4302000</v>
      </c>
      <c r="G75" s="246">
        <f t="shared" si="10"/>
        <v>0</v>
      </c>
      <c r="H75" s="247">
        <f t="shared" si="6"/>
        <v>4302000</v>
      </c>
      <c r="I75" s="246">
        <f t="shared" ref="I75:J75" si="11">SUM(I76:I77,I78,I79,I83,I82)</f>
        <v>4302000</v>
      </c>
      <c r="J75" s="246">
        <f t="shared" si="11"/>
        <v>0</v>
      </c>
      <c r="K75" s="247">
        <f t="shared" si="7"/>
        <v>4302000</v>
      </c>
      <c r="L75" s="246">
        <f t="shared" ref="L75:M75" si="12">SUM(L76:L77,L78,L79,L83,L82)</f>
        <v>4302000</v>
      </c>
      <c r="M75" s="246">
        <f t="shared" si="12"/>
        <v>0</v>
      </c>
      <c r="N75" s="247">
        <f t="shared" si="8"/>
        <v>4302000</v>
      </c>
    </row>
    <row r="76" spans="1:14" hidden="1" x14ac:dyDescent="0.25">
      <c r="A76" s="184" t="s">
        <v>147</v>
      </c>
      <c r="B76" s="180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idden="1" x14ac:dyDescent="0.25">
      <c r="A77" s="184" t="s">
        <v>149</v>
      </c>
      <c r="B77" s="180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idden="1" x14ac:dyDescent="0.25">
      <c r="A78" s="184" t="s">
        <v>151</v>
      </c>
      <c r="B78" s="180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x14ac:dyDescent="0.25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0</v>
      </c>
      <c r="G79" s="246">
        <f>SUM(G80:G81)</f>
        <v>0</v>
      </c>
      <c r="H79" s="247">
        <f t="shared" si="6"/>
        <v>0</v>
      </c>
      <c r="I79" s="246">
        <f>SUM(I80:I81)</f>
        <v>0</v>
      </c>
      <c r="J79" s="246">
        <f>SUM(J80:J81)</f>
        <v>0</v>
      </c>
      <c r="K79" s="247">
        <f t="shared" si="7"/>
        <v>0</v>
      </c>
      <c r="L79" s="246">
        <f>SUM(L80:L81)</f>
        <v>0</v>
      </c>
      <c r="M79" s="246">
        <f>SUM(M80:M81)</f>
        <v>0</v>
      </c>
      <c r="N79" s="247">
        <f t="shared" si="8"/>
        <v>0</v>
      </c>
    </row>
    <row r="80" spans="1:14" x14ac:dyDescent="0.25">
      <c r="A80" s="184"/>
      <c r="B80" s="180" t="s">
        <v>29</v>
      </c>
      <c r="C80" s="246"/>
      <c r="D80" s="246"/>
      <c r="E80" s="247">
        <f t="shared" si="5"/>
        <v>0</v>
      </c>
      <c r="F80" s="246"/>
      <c r="G80" s="246"/>
      <c r="H80" s="247">
        <f t="shared" si="6"/>
        <v>0</v>
      </c>
      <c r="I80" s="246"/>
      <c r="J80" s="246"/>
      <c r="K80" s="247">
        <f t="shared" si="7"/>
        <v>0</v>
      </c>
      <c r="L80" s="246"/>
      <c r="M80" s="246"/>
      <c r="N80" s="247">
        <f t="shared" si="8"/>
        <v>0</v>
      </c>
    </row>
    <row r="81" spans="1:14" x14ac:dyDescent="0.25">
      <c r="A81" s="184"/>
      <c r="B81" s="180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x14ac:dyDescent="0.25">
      <c r="A83" s="184" t="s">
        <v>155</v>
      </c>
      <c r="B83" s="180" t="s">
        <v>156</v>
      </c>
      <c r="C83" s="246">
        <v>4302000</v>
      </c>
      <c r="D83" s="246"/>
      <c r="E83" s="247">
        <f t="shared" si="5"/>
        <v>4302000</v>
      </c>
      <c r="F83" s="246">
        <v>4302000</v>
      </c>
      <c r="G83" s="246"/>
      <c r="H83" s="247">
        <f t="shared" ref="H83:H85" si="13">SUM(F83:G83)</f>
        <v>4302000</v>
      </c>
      <c r="I83" s="246">
        <v>4302000</v>
      </c>
      <c r="J83" s="246"/>
      <c r="K83" s="247">
        <f t="shared" ref="K83:K85" si="14">SUM(I83:J83)</f>
        <v>4302000</v>
      </c>
      <c r="L83" s="246">
        <v>4302000</v>
      </c>
      <c r="M83" s="246"/>
      <c r="N83" s="247">
        <f t="shared" ref="N83:N85" si="15">SUM(L83:M83)</f>
        <v>4302000</v>
      </c>
    </row>
    <row r="84" spans="1:14" ht="15.75" thickBot="1" x14ac:dyDescent="0.3">
      <c r="A84" s="185" t="s">
        <v>157</v>
      </c>
      <c r="B84" s="192" t="s">
        <v>158</v>
      </c>
      <c r="C84" s="248"/>
      <c r="D84" s="248"/>
      <c r="E84" s="249">
        <f t="shared" si="5"/>
        <v>0</v>
      </c>
      <c r="F84" s="248"/>
      <c r="G84" s="248"/>
      <c r="H84" s="249">
        <f t="shared" si="13"/>
        <v>0</v>
      </c>
      <c r="I84" s="248"/>
      <c r="J84" s="248"/>
      <c r="K84" s="249">
        <f t="shared" si="14"/>
        <v>0</v>
      </c>
      <c r="L84" s="248"/>
      <c r="M84" s="248"/>
      <c r="N84" s="249">
        <f t="shared" si="15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4302000</v>
      </c>
      <c r="D85" s="250">
        <f>D73+D74</f>
        <v>0</v>
      </c>
      <c r="E85" s="251">
        <f t="shared" si="5"/>
        <v>4302000</v>
      </c>
      <c r="F85" s="250">
        <f>F73+F74</f>
        <v>4302000</v>
      </c>
      <c r="G85" s="250">
        <f>G73+G74</f>
        <v>0</v>
      </c>
      <c r="H85" s="251">
        <f t="shared" si="13"/>
        <v>4302000</v>
      </c>
      <c r="I85" s="250">
        <f>I73+I74</f>
        <v>4302000</v>
      </c>
      <c r="J85" s="250">
        <f>J73+J74</f>
        <v>0</v>
      </c>
      <c r="K85" s="251">
        <f t="shared" si="14"/>
        <v>4302000</v>
      </c>
      <c r="L85" s="250">
        <f>L73+L74</f>
        <v>4302000</v>
      </c>
      <c r="M85" s="250">
        <f>M73+M74</f>
        <v>0</v>
      </c>
      <c r="N85" s="251">
        <f t="shared" si="15"/>
        <v>4302000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188" t="s">
        <v>160</v>
      </c>
      <c r="B88" s="189" t="s">
        <v>34</v>
      </c>
      <c r="C88" s="244">
        <f>C89+C101</f>
        <v>3600000</v>
      </c>
      <c r="D88" s="244">
        <f>D89+D101</f>
        <v>0</v>
      </c>
      <c r="E88" s="253">
        <f t="shared" ref="E88:E150" si="16">SUM(C88:D88)</f>
        <v>3600000</v>
      </c>
      <c r="F88" s="244">
        <f>F89+F101</f>
        <v>3600000</v>
      </c>
      <c r="G88" s="244">
        <f>G89+G101</f>
        <v>0</v>
      </c>
      <c r="H88" s="253">
        <f t="shared" ref="H88:H145" si="17">SUM(F88:G88)</f>
        <v>3600000</v>
      </c>
      <c r="I88" s="244">
        <f>I89+I101</f>
        <v>3600000</v>
      </c>
      <c r="J88" s="244">
        <f>J89+J101</f>
        <v>0</v>
      </c>
      <c r="K88" s="253">
        <f t="shared" ref="K88:K145" si="18">SUM(I88:J88)</f>
        <v>3600000</v>
      </c>
      <c r="L88" s="244">
        <f>L89+L101</f>
        <v>3600000</v>
      </c>
      <c r="M88" s="244">
        <f>M89+M101</f>
        <v>0</v>
      </c>
      <c r="N88" s="253">
        <f t="shared" ref="N88:N145" si="19">SUM(L88:M88)</f>
        <v>3600000</v>
      </c>
    </row>
    <row r="89" spans="1:14" x14ac:dyDescent="0.25">
      <c r="A89" s="190" t="s">
        <v>161</v>
      </c>
      <c r="B89" s="180" t="s">
        <v>162</v>
      </c>
      <c r="C89" s="246">
        <f>SUM(C90:C100)</f>
        <v>3600000</v>
      </c>
      <c r="D89" s="246">
        <f>SUM(D90:D100)</f>
        <v>0</v>
      </c>
      <c r="E89" s="247">
        <f t="shared" si="16"/>
        <v>3600000</v>
      </c>
      <c r="F89" s="246">
        <f>SUM(F90:F100)</f>
        <v>3600000</v>
      </c>
      <c r="G89" s="246">
        <f>SUM(G90:G100)</f>
        <v>0</v>
      </c>
      <c r="H89" s="247">
        <f t="shared" si="17"/>
        <v>3600000</v>
      </c>
      <c r="I89" s="246">
        <f>SUM(I90:I100)</f>
        <v>3600000</v>
      </c>
      <c r="J89" s="246">
        <f>SUM(J90:J100)</f>
        <v>0</v>
      </c>
      <c r="K89" s="247">
        <f t="shared" si="18"/>
        <v>3600000</v>
      </c>
      <c r="L89" s="246">
        <f>SUM(L90:L100)</f>
        <v>3600000</v>
      </c>
      <c r="M89" s="246">
        <f>SUM(M90:M100)</f>
        <v>0</v>
      </c>
      <c r="N89" s="247">
        <f t="shared" si="19"/>
        <v>3600000</v>
      </c>
    </row>
    <row r="90" spans="1:14" x14ac:dyDescent="0.25">
      <c r="A90" s="190" t="s">
        <v>163</v>
      </c>
      <c r="B90" s="180" t="s">
        <v>164</v>
      </c>
      <c r="C90" s="246">
        <v>3600000</v>
      </c>
      <c r="D90" s="246"/>
      <c r="E90" s="247">
        <f t="shared" si="16"/>
        <v>3600000</v>
      </c>
      <c r="F90" s="246">
        <v>3600000</v>
      </c>
      <c r="G90" s="246"/>
      <c r="H90" s="247">
        <f t="shared" si="17"/>
        <v>3600000</v>
      </c>
      <c r="I90" s="246">
        <v>3600000</v>
      </c>
      <c r="J90" s="246"/>
      <c r="K90" s="247">
        <f t="shared" si="18"/>
        <v>3600000</v>
      </c>
      <c r="L90" s="246">
        <v>3600000</v>
      </c>
      <c r="M90" s="246"/>
      <c r="N90" s="247">
        <f t="shared" si="19"/>
        <v>3600000</v>
      </c>
    </row>
    <row r="91" spans="1:14" x14ac:dyDescent="0.25">
      <c r="A91" s="190" t="s">
        <v>533</v>
      </c>
      <c r="B91" s="180" t="s">
        <v>534</v>
      </c>
      <c r="C91" s="246"/>
      <c r="D91" s="246"/>
      <c r="E91" s="247">
        <f t="shared" si="16"/>
        <v>0</v>
      </c>
      <c r="F91" s="246"/>
      <c r="G91" s="246"/>
      <c r="H91" s="247">
        <f t="shared" si="17"/>
        <v>0</v>
      </c>
      <c r="I91" s="246"/>
      <c r="J91" s="246"/>
      <c r="K91" s="247">
        <f t="shared" si="18"/>
        <v>0</v>
      </c>
      <c r="L91" s="246"/>
      <c r="M91" s="246"/>
      <c r="N91" s="247">
        <f t="shared" si="19"/>
        <v>0</v>
      </c>
    </row>
    <row r="92" spans="1:14" x14ac:dyDescent="0.25">
      <c r="A92" s="190" t="s">
        <v>165</v>
      </c>
      <c r="B92" s="180" t="s">
        <v>166</v>
      </c>
      <c r="C92" s="246"/>
      <c r="D92" s="246"/>
      <c r="E92" s="247">
        <f t="shared" si="16"/>
        <v>0</v>
      </c>
      <c r="F92" s="246"/>
      <c r="G92" s="246"/>
      <c r="H92" s="247">
        <f t="shared" si="17"/>
        <v>0</v>
      </c>
      <c r="I92" s="246"/>
      <c r="J92" s="246"/>
      <c r="K92" s="247">
        <f t="shared" si="18"/>
        <v>0</v>
      </c>
      <c r="L92" s="246"/>
      <c r="M92" s="246"/>
      <c r="N92" s="247">
        <f t="shared" si="19"/>
        <v>0</v>
      </c>
    </row>
    <row r="93" spans="1:14" x14ac:dyDescent="0.25">
      <c r="A93" s="190" t="s">
        <v>167</v>
      </c>
      <c r="B93" s="180" t="s">
        <v>168</v>
      </c>
      <c r="C93" s="246"/>
      <c r="D93" s="246"/>
      <c r="E93" s="247">
        <f t="shared" si="16"/>
        <v>0</v>
      </c>
      <c r="F93" s="246"/>
      <c r="G93" s="246"/>
      <c r="H93" s="247">
        <f t="shared" si="17"/>
        <v>0</v>
      </c>
      <c r="I93" s="246"/>
      <c r="J93" s="246"/>
      <c r="K93" s="247">
        <f t="shared" si="18"/>
        <v>0</v>
      </c>
      <c r="L93" s="246"/>
      <c r="M93" s="246"/>
      <c r="N93" s="247">
        <f t="shared" si="19"/>
        <v>0</v>
      </c>
    </row>
    <row r="94" spans="1:14" x14ac:dyDescent="0.25">
      <c r="A94" s="190" t="s">
        <v>169</v>
      </c>
      <c r="B94" s="180" t="s">
        <v>170</v>
      </c>
      <c r="C94" s="246"/>
      <c r="D94" s="246"/>
      <c r="E94" s="247">
        <f t="shared" si="16"/>
        <v>0</v>
      </c>
      <c r="F94" s="246"/>
      <c r="G94" s="246"/>
      <c r="H94" s="247">
        <f t="shared" si="17"/>
        <v>0</v>
      </c>
      <c r="I94" s="246"/>
      <c r="J94" s="246"/>
      <c r="K94" s="247">
        <f t="shared" si="18"/>
        <v>0</v>
      </c>
      <c r="L94" s="246"/>
      <c r="M94" s="246"/>
      <c r="N94" s="247">
        <f t="shared" si="19"/>
        <v>0</v>
      </c>
    </row>
    <row r="95" spans="1:14" x14ac:dyDescent="0.25">
      <c r="A95" s="190" t="s">
        <v>171</v>
      </c>
      <c r="B95" s="180" t="s">
        <v>172</v>
      </c>
      <c r="C95" s="246"/>
      <c r="D95" s="246"/>
      <c r="E95" s="247">
        <f t="shared" si="16"/>
        <v>0</v>
      </c>
      <c r="F95" s="246"/>
      <c r="G95" s="246"/>
      <c r="H95" s="247">
        <f t="shared" si="17"/>
        <v>0</v>
      </c>
      <c r="I95" s="246"/>
      <c r="J95" s="246"/>
      <c r="K95" s="247">
        <f t="shared" si="18"/>
        <v>0</v>
      </c>
      <c r="L95" s="246"/>
      <c r="M95" s="246"/>
      <c r="N95" s="247">
        <f t="shared" si="19"/>
        <v>0</v>
      </c>
    </row>
    <row r="96" spans="1:14" x14ac:dyDescent="0.25">
      <c r="A96" s="190" t="s">
        <v>173</v>
      </c>
      <c r="B96" s="180" t="s">
        <v>174</v>
      </c>
      <c r="C96" s="246"/>
      <c r="D96" s="246"/>
      <c r="E96" s="247">
        <f t="shared" si="16"/>
        <v>0</v>
      </c>
      <c r="F96" s="246"/>
      <c r="G96" s="246"/>
      <c r="H96" s="247">
        <f t="shared" si="17"/>
        <v>0</v>
      </c>
      <c r="I96" s="246"/>
      <c r="J96" s="246"/>
      <c r="K96" s="247">
        <f t="shared" si="18"/>
        <v>0</v>
      </c>
      <c r="L96" s="246"/>
      <c r="M96" s="246"/>
      <c r="N96" s="247">
        <f t="shared" si="19"/>
        <v>0</v>
      </c>
    </row>
    <row r="97" spans="1:14" x14ac:dyDescent="0.25">
      <c r="A97" s="190" t="s">
        <v>175</v>
      </c>
      <c r="B97" s="180" t="s">
        <v>176</v>
      </c>
      <c r="C97" s="246"/>
      <c r="D97" s="246"/>
      <c r="E97" s="247">
        <f t="shared" si="16"/>
        <v>0</v>
      </c>
      <c r="F97" s="246"/>
      <c r="G97" s="246"/>
      <c r="H97" s="247">
        <f t="shared" si="17"/>
        <v>0</v>
      </c>
      <c r="I97" s="246"/>
      <c r="J97" s="246"/>
      <c r="K97" s="247">
        <f t="shared" si="18"/>
        <v>0</v>
      </c>
      <c r="L97" s="246"/>
      <c r="M97" s="246"/>
      <c r="N97" s="247">
        <f t="shared" si="19"/>
        <v>0</v>
      </c>
    </row>
    <row r="98" spans="1:14" x14ac:dyDescent="0.25">
      <c r="A98" s="190" t="s">
        <v>177</v>
      </c>
      <c r="B98" s="180" t="s">
        <v>178</v>
      </c>
      <c r="C98" s="246"/>
      <c r="D98" s="246"/>
      <c r="E98" s="247">
        <f t="shared" si="16"/>
        <v>0</v>
      </c>
      <c r="F98" s="246"/>
      <c r="G98" s="246"/>
      <c r="H98" s="247">
        <f t="shared" si="17"/>
        <v>0</v>
      </c>
      <c r="I98" s="246"/>
      <c r="J98" s="246"/>
      <c r="K98" s="247">
        <f t="shared" si="18"/>
        <v>0</v>
      </c>
      <c r="L98" s="246"/>
      <c r="M98" s="246"/>
      <c r="N98" s="247">
        <f t="shared" si="19"/>
        <v>0</v>
      </c>
    </row>
    <row r="99" spans="1:14" x14ac:dyDescent="0.25">
      <c r="A99" s="190" t="s">
        <v>179</v>
      </c>
      <c r="B99" s="180" t="s">
        <v>180</v>
      </c>
      <c r="C99" s="246"/>
      <c r="D99" s="246"/>
      <c r="E99" s="247">
        <f t="shared" si="16"/>
        <v>0</v>
      </c>
      <c r="F99" s="246"/>
      <c r="G99" s="246"/>
      <c r="H99" s="247">
        <f t="shared" si="17"/>
        <v>0</v>
      </c>
      <c r="I99" s="246"/>
      <c r="J99" s="246"/>
      <c r="K99" s="247">
        <f t="shared" si="18"/>
        <v>0</v>
      </c>
      <c r="L99" s="246"/>
      <c r="M99" s="246"/>
      <c r="N99" s="247">
        <f t="shared" si="19"/>
        <v>0</v>
      </c>
    </row>
    <row r="100" spans="1:14" x14ac:dyDescent="0.25">
      <c r="A100" s="190" t="s">
        <v>181</v>
      </c>
      <c r="B100" s="180" t="s">
        <v>182</v>
      </c>
      <c r="C100" s="246"/>
      <c r="D100" s="246"/>
      <c r="E100" s="247">
        <f t="shared" si="16"/>
        <v>0</v>
      </c>
      <c r="F100" s="246"/>
      <c r="G100" s="246"/>
      <c r="H100" s="247">
        <f t="shared" si="17"/>
        <v>0</v>
      </c>
      <c r="I100" s="246"/>
      <c r="J100" s="246"/>
      <c r="K100" s="247">
        <f t="shared" si="18"/>
        <v>0</v>
      </c>
      <c r="L100" s="246"/>
      <c r="M100" s="246"/>
      <c r="N100" s="247">
        <f t="shared" si="19"/>
        <v>0</v>
      </c>
    </row>
    <row r="101" spans="1:14" ht="15.75" thickBot="1" x14ac:dyDescent="0.3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6"/>
        <v>0</v>
      </c>
      <c r="F101" s="246">
        <f>SUM(F102:F104)</f>
        <v>0</v>
      </c>
      <c r="G101" s="246">
        <f>SUM(G102:G104)</f>
        <v>0</v>
      </c>
      <c r="H101" s="247">
        <f t="shared" si="17"/>
        <v>0</v>
      </c>
      <c r="I101" s="246">
        <f>SUM(I102:I104)</f>
        <v>0</v>
      </c>
      <c r="J101" s="246">
        <f>SUM(J102:J104)</f>
        <v>0</v>
      </c>
      <c r="K101" s="247">
        <f t="shared" si="18"/>
        <v>0</v>
      </c>
      <c r="L101" s="246">
        <f>SUM(L102:L104)</f>
        <v>0</v>
      </c>
      <c r="M101" s="246">
        <f>SUM(M102:M104)</f>
        <v>0</v>
      </c>
      <c r="N101" s="247">
        <f t="shared" si="19"/>
        <v>0</v>
      </c>
    </row>
    <row r="102" spans="1:14" ht="15.75" hidden="1" thickBot="1" x14ac:dyDescent="0.3">
      <c r="A102" s="190" t="s">
        <v>185</v>
      </c>
      <c r="B102" s="180" t="s">
        <v>186</v>
      </c>
      <c r="C102" s="246"/>
      <c r="D102" s="246"/>
      <c r="E102" s="247">
        <f t="shared" si="16"/>
        <v>0</v>
      </c>
      <c r="F102" s="246"/>
      <c r="G102" s="246"/>
      <c r="H102" s="247">
        <f t="shared" si="17"/>
        <v>0</v>
      </c>
      <c r="I102" s="246"/>
      <c r="J102" s="246"/>
      <c r="K102" s="247">
        <f t="shared" si="18"/>
        <v>0</v>
      </c>
      <c r="L102" s="246"/>
      <c r="M102" s="246"/>
      <c r="N102" s="247">
        <f t="shared" si="19"/>
        <v>0</v>
      </c>
    </row>
    <row r="103" spans="1:14" ht="15.75" hidden="1" thickBot="1" x14ac:dyDescent="0.3">
      <c r="A103" s="190" t="s">
        <v>187</v>
      </c>
      <c r="B103" s="180" t="s">
        <v>188</v>
      </c>
      <c r="C103" s="246"/>
      <c r="D103" s="246"/>
      <c r="E103" s="247">
        <f t="shared" si="16"/>
        <v>0</v>
      </c>
      <c r="F103" s="246"/>
      <c r="G103" s="246"/>
      <c r="H103" s="247">
        <f t="shared" si="17"/>
        <v>0</v>
      </c>
      <c r="I103" s="246"/>
      <c r="J103" s="246"/>
      <c r="K103" s="247">
        <f t="shared" si="18"/>
        <v>0</v>
      </c>
      <c r="L103" s="246"/>
      <c r="M103" s="246"/>
      <c r="N103" s="247">
        <f t="shared" si="19"/>
        <v>0</v>
      </c>
    </row>
    <row r="104" spans="1:14" ht="15.75" hidden="1" thickBot="1" x14ac:dyDescent="0.3">
      <c r="A104" s="191" t="s">
        <v>189</v>
      </c>
      <c r="B104" s="192" t="s">
        <v>190</v>
      </c>
      <c r="C104" s="248"/>
      <c r="D104" s="248"/>
      <c r="E104" s="249">
        <f t="shared" si="16"/>
        <v>0</v>
      </c>
      <c r="F104" s="248"/>
      <c r="G104" s="248"/>
      <c r="H104" s="249">
        <f t="shared" si="17"/>
        <v>0</v>
      </c>
      <c r="I104" s="248"/>
      <c r="J104" s="248"/>
      <c r="K104" s="249">
        <f t="shared" si="18"/>
        <v>0</v>
      </c>
      <c r="L104" s="248"/>
      <c r="M104" s="248"/>
      <c r="N104" s="249">
        <f t="shared" si="19"/>
        <v>0</v>
      </c>
    </row>
    <row r="105" spans="1:14" x14ac:dyDescent="0.25">
      <c r="A105" s="188" t="s">
        <v>191</v>
      </c>
      <c r="B105" s="189" t="s">
        <v>192</v>
      </c>
      <c r="C105" s="244">
        <f>SUM(C106:C110)</f>
        <v>702000</v>
      </c>
      <c r="D105" s="244">
        <f>SUM(D106:D110)</f>
        <v>0</v>
      </c>
      <c r="E105" s="245">
        <f t="shared" si="16"/>
        <v>702000</v>
      </c>
      <c r="F105" s="244">
        <f>SUM(F106:F110)</f>
        <v>702000</v>
      </c>
      <c r="G105" s="244">
        <f>SUM(G106:G110)</f>
        <v>0</v>
      </c>
      <c r="H105" s="245">
        <f t="shared" si="17"/>
        <v>702000</v>
      </c>
      <c r="I105" s="244">
        <f>SUM(I106:I110)</f>
        <v>702000</v>
      </c>
      <c r="J105" s="244">
        <f>SUM(J106:J110)</f>
        <v>0</v>
      </c>
      <c r="K105" s="245">
        <f t="shared" si="18"/>
        <v>702000</v>
      </c>
      <c r="L105" s="244">
        <f>SUM(L106:L110)</f>
        <v>672000</v>
      </c>
      <c r="M105" s="244">
        <f>SUM(M106:M110)</f>
        <v>0</v>
      </c>
      <c r="N105" s="245">
        <f t="shared" si="19"/>
        <v>672000</v>
      </c>
    </row>
    <row r="106" spans="1:14" ht="15.75" thickBot="1" x14ac:dyDescent="0.3">
      <c r="A106" s="190"/>
      <c r="B106" s="180" t="s">
        <v>193</v>
      </c>
      <c r="C106" s="246">
        <v>702000</v>
      </c>
      <c r="D106" s="246"/>
      <c r="E106" s="247">
        <f t="shared" si="16"/>
        <v>702000</v>
      </c>
      <c r="F106" s="246">
        <v>702000</v>
      </c>
      <c r="G106" s="246"/>
      <c r="H106" s="247">
        <f t="shared" si="17"/>
        <v>702000</v>
      </c>
      <c r="I106" s="246">
        <v>702000</v>
      </c>
      <c r="J106" s="246"/>
      <c r="K106" s="247">
        <f t="shared" si="18"/>
        <v>702000</v>
      </c>
      <c r="L106" s="246">
        <v>672000</v>
      </c>
      <c r="M106" s="246"/>
      <c r="N106" s="247">
        <f t="shared" si="19"/>
        <v>672000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6"/>
        <v>0</v>
      </c>
      <c r="F107" s="246"/>
      <c r="G107" s="246"/>
      <c r="H107" s="247">
        <f t="shared" si="17"/>
        <v>0</v>
      </c>
      <c r="I107" s="246"/>
      <c r="J107" s="246"/>
      <c r="K107" s="247">
        <f t="shared" si="18"/>
        <v>0</v>
      </c>
      <c r="L107" s="246"/>
      <c r="M107" s="246"/>
      <c r="N107" s="247">
        <f t="shared" si="19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6"/>
        <v>0</v>
      </c>
      <c r="F108" s="246"/>
      <c r="G108" s="246"/>
      <c r="H108" s="247">
        <f t="shared" si="17"/>
        <v>0</v>
      </c>
      <c r="I108" s="246"/>
      <c r="J108" s="246"/>
      <c r="K108" s="247">
        <f t="shared" si="18"/>
        <v>0</v>
      </c>
      <c r="L108" s="246"/>
      <c r="M108" s="246"/>
      <c r="N108" s="247">
        <f t="shared" si="19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6"/>
        <v>0</v>
      </c>
      <c r="F109" s="246"/>
      <c r="G109" s="246"/>
      <c r="H109" s="247">
        <f t="shared" si="17"/>
        <v>0</v>
      </c>
      <c r="I109" s="246"/>
      <c r="J109" s="246"/>
      <c r="K109" s="247">
        <f t="shared" si="18"/>
        <v>0</v>
      </c>
      <c r="L109" s="246"/>
      <c r="M109" s="246"/>
      <c r="N109" s="247">
        <f t="shared" si="19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6"/>
        <v>0</v>
      </c>
      <c r="F110" s="248"/>
      <c r="G110" s="248"/>
      <c r="H110" s="249">
        <f t="shared" si="17"/>
        <v>0</v>
      </c>
      <c r="I110" s="248"/>
      <c r="J110" s="248"/>
      <c r="K110" s="249">
        <f t="shared" si="18"/>
        <v>0</v>
      </c>
      <c r="L110" s="248"/>
      <c r="M110" s="248"/>
      <c r="N110" s="249">
        <f t="shared" si="19"/>
        <v>0</v>
      </c>
    </row>
    <row r="111" spans="1:14" ht="15.75" thickBot="1" x14ac:dyDescent="0.3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6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7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18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19"/>
        <v>0</v>
      </c>
    </row>
    <row r="112" spans="1:14" ht="15.75" hidden="1" thickBot="1" x14ac:dyDescent="0.3">
      <c r="A112" s="190" t="s">
        <v>199</v>
      </c>
      <c r="B112" s="180" t="s">
        <v>200</v>
      </c>
      <c r="C112" s="246"/>
      <c r="D112" s="246"/>
      <c r="E112" s="247">
        <f t="shared" si="16"/>
        <v>0</v>
      </c>
      <c r="F112" s="246"/>
      <c r="G112" s="246"/>
      <c r="H112" s="247">
        <f t="shared" si="17"/>
        <v>0</v>
      </c>
      <c r="I112" s="246"/>
      <c r="J112" s="246"/>
      <c r="K112" s="247">
        <f t="shared" si="18"/>
        <v>0</v>
      </c>
      <c r="L112" s="246"/>
      <c r="M112" s="246"/>
      <c r="N112" s="247">
        <f t="shared" si="19"/>
        <v>0</v>
      </c>
    </row>
    <row r="113" spans="1:14" ht="15.75" hidden="1" thickBot="1" x14ac:dyDescent="0.3">
      <c r="A113" s="190" t="s">
        <v>201</v>
      </c>
      <c r="B113" s="180" t="s">
        <v>202</v>
      </c>
      <c r="C113" s="246"/>
      <c r="D113" s="246"/>
      <c r="E113" s="247">
        <f t="shared" si="16"/>
        <v>0</v>
      </c>
      <c r="F113" s="246"/>
      <c r="G113" s="246"/>
      <c r="H113" s="247">
        <f t="shared" si="17"/>
        <v>0</v>
      </c>
      <c r="I113" s="246"/>
      <c r="J113" s="246"/>
      <c r="K113" s="247">
        <f t="shared" si="18"/>
        <v>0</v>
      </c>
      <c r="L113" s="246"/>
      <c r="M113" s="246"/>
      <c r="N113" s="247">
        <f t="shared" si="19"/>
        <v>0</v>
      </c>
    </row>
    <row r="114" spans="1:14" ht="15.75" hidden="1" thickBot="1" x14ac:dyDescent="0.3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6"/>
        <v>0</v>
      </c>
      <c r="F114" s="246">
        <f>SUM(F115:F121)</f>
        <v>0</v>
      </c>
      <c r="G114" s="246">
        <f>SUM(G115:G121)</f>
        <v>0</v>
      </c>
      <c r="H114" s="247">
        <f t="shared" si="17"/>
        <v>0</v>
      </c>
      <c r="I114" s="246">
        <f>SUM(I115:I121)</f>
        <v>0</v>
      </c>
      <c r="J114" s="246">
        <f>SUM(J115:J121)</f>
        <v>0</v>
      </c>
      <c r="K114" s="247">
        <f t="shared" si="18"/>
        <v>0</v>
      </c>
      <c r="L114" s="246">
        <f>SUM(L115:L121)</f>
        <v>0</v>
      </c>
      <c r="M114" s="246">
        <f>SUM(M115:M121)</f>
        <v>0</v>
      </c>
      <c r="N114" s="247">
        <f t="shared" si="19"/>
        <v>0</v>
      </c>
    </row>
    <row r="115" spans="1:14" ht="15.75" hidden="1" thickBot="1" x14ac:dyDescent="0.3">
      <c r="A115" s="190" t="s">
        <v>205</v>
      </c>
      <c r="B115" s="180" t="s">
        <v>206</v>
      </c>
      <c r="C115" s="246"/>
      <c r="D115" s="246"/>
      <c r="E115" s="247">
        <f t="shared" si="16"/>
        <v>0</v>
      </c>
      <c r="F115" s="246"/>
      <c r="G115" s="246"/>
      <c r="H115" s="247">
        <f t="shared" si="17"/>
        <v>0</v>
      </c>
      <c r="I115" s="246"/>
      <c r="J115" s="246"/>
      <c r="K115" s="247">
        <f t="shared" si="18"/>
        <v>0</v>
      </c>
      <c r="L115" s="246"/>
      <c r="M115" s="246"/>
      <c r="N115" s="247">
        <f t="shared" si="19"/>
        <v>0</v>
      </c>
    </row>
    <row r="116" spans="1:14" ht="15.75" hidden="1" thickBot="1" x14ac:dyDescent="0.3">
      <c r="A116" s="190" t="s">
        <v>207</v>
      </c>
      <c r="B116" s="180" t="s">
        <v>208</v>
      </c>
      <c r="C116" s="246"/>
      <c r="D116" s="246"/>
      <c r="E116" s="247">
        <f t="shared" si="16"/>
        <v>0</v>
      </c>
      <c r="F116" s="246"/>
      <c r="G116" s="246"/>
      <c r="H116" s="247">
        <f t="shared" si="17"/>
        <v>0</v>
      </c>
      <c r="I116" s="246"/>
      <c r="J116" s="246"/>
      <c r="K116" s="247">
        <f t="shared" si="18"/>
        <v>0</v>
      </c>
      <c r="L116" s="246"/>
      <c r="M116" s="246"/>
      <c r="N116" s="247">
        <f t="shared" si="19"/>
        <v>0</v>
      </c>
    </row>
    <row r="117" spans="1:14" ht="15.75" hidden="1" thickBot="1" x14ac:dyDescent="0.3">
      <c r="A117" s="190" t="s">
        <v>209</v>
      </c>
      <c r="B117" s="180" t="s">
        <v>210</v>
      </c>
      <c r="C117" s="246"/>
      <c r="D117" s="246"/>
      <c r="E117" s="247">
        <f t="shared" si="16"/>
        <v>0</v>
      </c>
      <c r="F117" s="246"/>
      <c r="G117" s="246"/>
      <c r="H117" s="247">
        <f t="shared" si="17"/>
        <v>0</v>
      </c>
      <c r="I117" s="246"/>
      <c r="J117" s="246"/>
      <c r="K117" s="247">
        <f t="shared" si="18"/>
        <v>0</v>
      </c>
      <c r="L117" s="246"/>
      <c r="M117" s="246"/>
      <c r="N117" s="247">
        <f t="shared" si="19"/>
        <v>0</v>
      </c>
    </row>
    <row r="118" spans="1:14" ht="15.75" hidden="1" thickBot="1" x14ac:dyDescent="0.3">
      <c r="A118" s="190" t="s">
        <v>211</v>
      </c>
      <c r="B118" s="180" t="s">
        <v>212</v>
      </c>
      <c r="C118" s="246"/>
      <c r="D118" s="246"/>
      <c r="E118" s="247">
        <f t="shared" si="16"/>
        <v>0</v>
      </c>
      <c r="F118" s="246"/>
      <c r="G118" s="246"/>
      <c r="H118" s="247">
        <f t="shared" si="17"/>
        <v>0</v>
      </c>
      <c r="I118" s="246"/>
      <c r="J118" s="246"/>
      <c r="K118" s="247">
        <f t="shared" si="18"/>
        <v>0</v>
      </c>
      <c r="L118" s="246"/>
      <c r="M118" s="246"/>
      <c r="N118" s="247">
        <f t="shared" si="19"/>
        <v>0</v>
      </c>
    </row>
    <row r="119" spans="1:14" ht="15.75" hidden="1" thickBot="1" x14ac:dyDescent="0.3">
      <c r="A119" s="190" t="s">
        <v>213</v>
      </c>
      <c r="B119" s="180" t="s">
        <v>214</v>
      </c>
      <c r="C119" s="246"/>
      <c r="D119" s="246"/>
      <c r="E119" s="247">
        <f t="shared" si="16"/>
        <v>0</v>
      </c>
      <c r="F119" s="246"/>
      <c r="G119" s="246"/>
      <c r="H119" s="247">
        <f t="shared" si="17"/>
        <v>0</v>
      </c>
      <c r="I119" s="246"/>
      <c r="J119" s="246"/>
      <c r="K119" s="247">
        <f t="shared" si="18"/>
        <v>0</v>
      </c>
      <c r="L119" s="246"/>
      <c r="M119" s="246"/>
      <c r="N119" s="247">
        <f t="shared" si="19"/>
        <v>0</v>
      </c>
    </row>
    <row r="120" spans="1:14" ht="15.75" hidden="1" thickBot="1" x14ac:dyDescent="0.3">
      <c r="A120" s="190" t="s">
        <v>215</v>
      </c>
      <c r="B120" s="180" t="s">
        <v>216</v>
      </c>
      <c r="C120" s="246"/>
      <c r="D120" s="246"/>
      <c r="E120" s="247">
        <f t="shared" si="16"/>
        <v>0</v>
      </c>
      <c r="F120" s="246"/>
      <c r="G120" s="246"/>
      <c r="H120" s="247">
        <f t="shared" si="17"/>
        <v>0</v>
      </c>
      <c r="I120" s="246"/>
      <c r="J120" s="246"/>
      <c r="K120" s="247">
        <f t="shared" si="18"/>
        <v>0</v>
      </c>
      <c r="L120" s="246"/>
      <c r="M120" s="246"/>
      <c r="N120" s="247">
        <f t="shared" si="19"/>
        <v>0</v>
      </c>
    </row>
    <row r="121" spans="1:14" ht="15.75" hidden="1" thickBot="1" x14ac:dyDescent="0.3">
      <c r="A121" s="190" t="s">
        <v>217</v>
      </c>
      <c r="B121" s="180" t="s">
        <v>218</v>
      </c>
      <c r="C121" s="246"/>
      <c r="D121" s="246"/>
      <c r="E121" s="247">
        <f t="shared" si="16"/>
        <v>0</v>
      </c>
      <c r="F121" s="246"/>
      <c r="G121" s="246"/>
      <c r="H121" s="247">
        <f t="shared" si="17"/>
        <v>0</v>
      </c>
      <c r="I121" s="246"/>
      <c r="J121" s="246"/>
      <c r="K121" s="247">
        <f t="shared" si="18"/>
        <v>0</v>
      </c>
      <c r="L121" s="246"/>
      <c r="M121" s="246"/>
      <c r="N121" s="247">
        <f t="shared" si="19"/>
        <v>0</v>
      </c>
    </row>
    <row r="122" spans="1:14" ht="15.75" hidden="1" thickBot="1" x14ac:dyDescent="0.3">
      <c r="A122" s="190" t="s">
        <v>219</v>
      </c>
      <c r="B122" s="180" t="s">
        <v>220</v>
      </c>
      <c r="C122" s="246"/>
      <c r="D122" s="246"/>
      <c r="E122" s="247">
        <f t="shared" si="16"/>
        <v>0</v>
      </c>
      <c r="F122" s="246"/>
      <c r="G122" s="246"/>
      <c r="H122" s="247">
        <f t="shared" si="17"/>
        <v>0</v>
      </c>
      <c r="I122" s="246"/>
      <c r="J122" s="246"/>
      <c r="K122" s="247">
        <f t="shared" si="18"/>
        <v>0</v>
      </c>
      <c r="L122" s="246"/>
      <c r="M122" s="246"/>
      <c r="N122" s="247">
        <f t="shared" si="19"/>
        <v>0</v>
      </c>
    </row>
    <row r="123" spans="1:14" ht="15.75" hidden="1" thickBot="1" x14ac:dyDescent="0.3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6"/>
        <v>0</v>
      </c>
      <c r="F123" s="246">
        <f>SUM(F124:F126)</f>
        <v>0</v>
      </c>
      <c r="G123" s="246">
        <f>SUM(G124:G126)</f>
        <v>0</v>
      </c>
      <c r="H123" s="247">
        <f t="shared" si="17"/>
        <v>0</v>
      </c>
      <c r="I123" s="246">
        <f>SUM(I124:I126)</f>
        <v>0</v>
      </c>
      <c r="J123" s="246">
        <f>SUM(J124:J126)</f>
        <v>0</v>
      </c>
      <c r="K123" s="247">
        <f t="shared" si="18"/>
        <v>0</v>
      </c>
      <c r="L123" s="246">
        <f>SUM(L124:L126)</f>
        <v>0</v>
      </c>
      <c r="M123" s="246">
        <f>SUM(M124:M126)</f>
        <v>0</v>
      </c>
      <c r="N123" s="247">
        <f t="shared" si="19"/>
        <v>0</v>
      </c>
    </row>
    <row r="124" spans="1:14" ht="15.75" hidden="1" thickBot="1" x14ac:dyDescent="0.3">
      <c r="A124" s="190"/>
      <c r="B124" s="180" t="s">
        <v>223</v>
      </c>
      <c r="C124" s="246"/>
      <c r="D124" s="246"/>
      <c r="E124" s="247">
        <f t="shared" si="16"/>
        <v>0</v>
      </c>
      <c r="F124" s="246"/>
      <c r="G124" s="246"/>
      <c r="H124" s="247">
        <f t="shared" si="17"/>
        <v>0</v>
      </c>
      <c r="I124" s="246"/>
      <c r="J124" s="246"/>
      <c r="K124" s="247">
        <f t="shared" si="18"/>
        <v>0</v>
      </c>
      <c r="L124" s="246"/>
      <c r="M124" s="246"/>
      <c r="N124" s="247">
        <f t="shared" si="19"/>
        <v>0</v>
      </c>
    </row>
    <row r="125" spans="1:14" ht="15.75" hidden="1" thickBot="1" x14ac:dyDescent="0.3">
      <c r="A125" s="191"/>
      <c r="B125" s="192" t="s">
        <v>224</v>
      </c>
      <c r="C125" s="246"/>
      <c r="D125" s="246"/>
      <c r="E125" s="247">
        <f t="shared" si="16"/>
        <v>0</v>
      </c>
      <c r="F125" s="246"/>
      <c r="G125" s="246"/>
      <c r="H125" s="247">
        <f t="shared" si="17"/>
        <v>0</v>
      </c>
      <c r="I125" s="246"/>
      <c r="J125" s="246"/>
      <c r="K125" s="247">
        <f t="shared" si="18"/>
        <v>0</v>
      </c>
      <c r="L125" s="246"/>
      <c r="M125" s="246"/>
      <c r="N125" s="247">
        <f t="shared" si="19"/>
        <v>0</v>
      </c>
    </row>
    <row r="126" spans="1:14" ht="15.75" hidden="1" thickBot="1" x14ac:dyDescent="0.3">
      <c r="A126" s="191" t="s">
        <v>225</v>
      </c>
      <c r="B126" s="192" t="s">
        <v>226</v>
      </c>
      <c r="C126" s="248"/>
      <c r="D126" s="248"/>
      <c r="E126" s="249">
        <f t="shared" si="16"/>
        <v>0</v>
      </c>
      <c r="F126" s="248"/>
      <c r="G126" s="248"/>
      <c r="H126" s="249">
        <f t="shared" si="17"/>
        <v>0</v>
      </c>
      <c r="I126" s="248"/>
      <c r="J126" s="248"/>
      <c r="K126" s="249">
        <f t="shared" si="18"/>
        <v>0</v>
      </c>
      <c r="L126" s="248"/>
      <c r="M126" s="248"/>
      <c r="N126" s="249">
        <f t="shared" si="19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6"/>
        <v>0</v>
      </c>
      <c r="F127" s="250"/>
      <c r="G127" s="250"/>
      <c r="H127" s="251">
        <f t="shared" si="17"/>
        <v>0</v>
      </c>
      <c r="I127" s="250"/>
      <c r="J127" s="250"/>
      <c r="K127" s="251">
        <f t="shared" si="18"/>
        <v>0</v>
      </c>
      <c r="L127" s="250"/>
      <c r="M127" s="250"/>
      <c r="N127" s="251">
        <f t="shared" si="19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6"/>
        <v>0</v>
      </c>
      <c r="F128" s="244">
        <f>SUM(F129:F134)</f>
        <v>0</v>
      </c>
      <c r="G128" s="244">
        <f>SUM(G129:G134)</f>
        <v>0</v>
      </c>
      <c r="H128" s="245">
        <f t="shared" si="17"/>
        <v>0</v>
      </c>
      <c r="I128" s="244">
        <f>SUM(I129:I134)</f>
        <v>0</v>
      </c>
      <c r="J128" s="244">
        <f>SUM(J129:J134)</f>
        <v>0</v>
      </c>
      <c r="K128" s="245">
        <f t="shared" si="18"/>
        <v>0</v>
      </c>
      <c r="L128" s="244">
        <f>SUM(L129:L134)</f>
        <v>0</v>
      </c>
      <c r="M128" s="244">
        <f>SUM(M129:M134)</f>
        <v>0</v>
      </c>
      <c r="N128" s="245">
        <f t="shared" si="19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6"/>
        <v>0</v>
      </c>
      <c r="F129" s="246"/>
      <c r="G129" s="246"/>
      <c r="H129" s="247">
        <f t="shared" si="17"/>
        <v>0</v>
      </c>
      <c r="I129" s="246"/>
      <c r="J129" s="246"/>
      <c r="K129" s="247">
        <f t="shared" si="18"/>
        <v>0</v>
      </c>
      <c r="L129" s="246"/>
      <c r="M129" s="246"/>
      <c r="N129" s="247">
        <f t="shared" si="19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6"/>
        <v>0</v>
      </c>
      <c r="F130" s="246"/>
      <c r="G130" s="246"/>
      <c r="H130" s="247">
        <f t="shared" si="17"/>
        <v>0</v>
      </c>
      <c r="I130" s="246"/>
      <c r="J130" s="246"/>
      <c r="K130" s="247">
        <f t="shared" si="18"/>
        <v>0</v>
      </c>
      <c r="L130" s="246"/>
      <c r="M130" s="246"/>
      <c r="N130" s="247">
        <f t="shared" si="19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6"/>
        <v>0</v>
      </c>
      <c r="F131" s="246"/>
      <c r="G131" s="246"/>
      <c r="H131" s="247">
        <f t="shared" si="17"/>
        <v>0</v>
      </c>
      <c r="I131" s="246"/>
      <c r="J131" s="246"/>
      <c r="K131" s="247">
        <f t="shared" si="18"/>
        <v>0</v>
      </c>
      <c r="L131" s="246"/>
      <c r="M131" s="246"/>
      <c r="N131" s="247">
        <f t="shared" si="19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6"/>
        <v>0</v>
      </c>
      <c r="F132" s="246"/>
      <c r="G132" s="246"/>
      <c r="H132" s="247">
        <f t="shared" si="17"/>
        <v>0</v>
      </c>
      <c r="I132" s="246"/>
      <c r="J132" s="246"/>
      <c r="K132" s="247">
        <f t="shared" si="18"/>
        <v>0</v>
      </c>
      <c r="L132" s="246"/>
      <c r="M132" s="246"/>
      <c r="N132" s="247">
        <f t="shared" si="19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6"/>
        <v>0</v>
      </c>
      <c r="F133" s="246"/>
      <c r="G133" s="246"/>
      <c r="H133" s="247">
        <f t="shared" si="17"/>
        <v>0</v>
      </c>
      <c r="I133" s="246"/>
      <c r="J133" s="246"/>
      <c r="K133" s="247">
        <f t="shared" si="18"/>
        <v>0</v>
      </c>
      <c r="L133" s="246"/>
      <c r="M133" s="246"/>
      <c r="N133" s="247">
        <f t="shared" si="19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6"/>
        <v>0</v>
      </c>
      <c r="F134" s="246">
        <f>SUM(F135:F136)</f>
        <v>0</v>
      </c>
      <c r="G134" s="246">
        <f>SUM(G135:G136)</f>
        <v>0</v>
      </c>
      <c r="H134" s="247">
        <f t="shared" si="17"/>
        <v>0</v>
      </c>
      <c r="I134" s="246">
        <f>SUM(I135:I136)</f>
        <v>0</v>
      </c>
      <c r="J134" s="246">
        <f>SUM(J135:J136)</f>
        <v>0</v>
      </c>
      <c r="K134" s="247">
        <f t="shared" si="18"/>
        <v>0</v>
      </c>
      <c r="L134" s="246">
        <f>SUM(L135:L136)</f>
        <v>0</v>
      </c>
      <c r="M134" s="246">
        <f>SUM(M135:M136)</f>
        <v>0</v>
      </c>
      <c r="N134" s="247">
        <f t="shared" si="19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6"/>
        <v>0</v>
      </c>
      <c r="F135" s="246"/>
      <c r="G135" s="246"/>
      <c r="H135" s="247">
        <f t="shared" si="17"/>
        <v>0</v>
      </c>
      <c r="I135" s="246"/>
      <c r="J135" s="246"/>
      <c r="K135" s="247">
        <f t="shared" si="18"/>
        <v>0</v>
      </c>
      <c r="L135" s="246"/>
      <c r="M135" s="246"/>
      <c r="N135" s="247">
        <f t="shared" si="19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6"/>
        <v>0</v>
      </c>
      <c r="F136" s="248"/>
      <c r="G136" s="248"/>
      <c r="H136" s="249">
        <f t="shared" si="17"/>
        <v>0</v>
      </c>
      <c r="I136" s="248"/>
      <c r="J136" s="248"/>
      <c r="K136" s="249">
        <f t="shared" si="18"/>
        <v>0</v>
      </c>
      <c r="L136" s="248"/>
      <c r="M136" s="248"/>
      <c r="N136" s="249">
        <f t="shared" si="19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6"/>
        <v>0</v>
      </c>
      <c r="F137" s="244"/>
      <c r="G137" s="244"/>
      <c r="H137" s="245">
        <f t="shared" si="17"/>
        <v>0</v>
      </c>
      <c r="I137" s="244"/>
      <c r="J137" s="244"/>
      <c r="K137" s="245">
        <f t="shared" si="18"/>
        <v>0</v>
      </c>
      <c r="L137" s="244"/>
      <c r="M137" s="244"/>
      <c r="N137" s="245">
        <f t="shared" si="19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6"/>
        <v>0</v>
      </c>
      <c r="F138" s="248"/>
      <c r="G138" s="248"/>
      <c r="H138" s="249">
        <f t="shared" si="17"/>
        <v>0</v>
      </c>
      <c r="I138" s="248"/>
      <c r="J138" s="248"/>
      <c r="K138" s="249">
        <f t="shared" si="18"/>
        <v>0</v>
      </c>
      <c r="L138" s="248"/>
      <c r="M138" s="248"/>
      <c r="N138" s="249">
        <f t="shared" si="19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6"/>
        <v>0</v>
      </c>
      <c r="F139" s="244"/>
      <c r="G139" s="244"/>
      <c r="H139" s="245">
        <f t="shared" si="17"/>
        <v>0</v>
      </c>
      <c r="I139" s="244"/>
      <c r="J139" s="244"/>
      <c r="K139" s="245">
        <f t="shared" si="18"/>
        <v>0</v>
      </c>
      <c r="L139" s="244"/>
      <c r="M139" s="244"/>
      <c r="N139" s="245">
        <f t="shared" si="19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6"/>
        <v>0</v>
      </c>
      <c r="F140" s="248"/>
      <c r="G140" s="248"/>
      <c r="H140" s="249">
        <f t="shared" si="17"/>
        <v>0</v>
      </c>
      <c r="I140" s="248"/>
      <c r="J140" s="248"/>
      <c r="K140" s="249">
        <f t="shared" si="18"/>
        <v>0</v>
      </c>
      <c r="L140" s="248"/>
      <c r="M140" s="248"/>
      <c r="N140" s="249">
        <f t="shared" si="19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6"/>
        <v>0</v>
      </c>
      <c r="F141" s="254"/>
      <c r="G141" s="254"/>
      <c r="H141" s="255">
        <f t="shared" si="17"/>
        <v>0</v>
      </c>
      <c r="I141" s="254"/>
      <c r="J141" s="254"/>
      <c r="K141" s="255">
        <f t="shared" si="18"/>
        <v>0</v>
      </c>
      <c r="L141" s="254"/>
      <c r="M141" s="254"/>
      <c r="N141" s="255">
        <f t="shared" si="19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4302000</v>
      </c>
      <c r="D142" s="250">
        <f>D141+D140+D139+D138+D137+D128+D127+D111+D105+D88</f>
        <v>0</v>
      </c>
      <c r="E142" s="251">
        <f t="shared" si="16"/>
        <v>4302000</v>
      </c>
      <c r="F142" s="250">
        <f>F141+F140+F139+F138+F137+F128+F127+F111+F105+F88</f>
        <v>4302000</v>
      </c>
      <c r="G142" s="250">
        <f>G141+G140+G139+G138+G137+G128+G127+G111+G105+G88</f>
        <v>0</v>
      </c>
      <c r="H142" s="251">
        <f t="shared" si="17"/>
        <v>4302000</v>
      </c>
      <c r="I142" s="250">
        <f>I141+I140+I139+I138+I137+I128+I127+I111+I105+I88</f>
        <v>4302000</v>
      </c>
      <c r="J142" s="250">
        <f>J141+J140+J139+J138+J137+J128+J127+J111+J105+J88</f>
        <v>0</v>
      </c>
      <c r="K142" s="251">
        <f t="shared" si="18"/>
        <v>4302000</v>
      </c>
      <c r="L142" s="250">
        <f>L141+L140+L139+L138+L137+L128+L127+L111+L105+L88</f>
        <v>4272000</v>
      </c>
      <c r="M142" s="250">
        <f>M141+M140+M139+M138+M137+M128+M127+M111+M105+M88</f>
        <v>0</v>
      </c>
      <c r="N142" s="251">
        <f t="shared" si="19"/>
        <v>4272000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6"/>
        <v>0</v>
      </c>
      <c r="F143" s="244">
        <f>SUM(F144:F150)</f>
        <v>0</v>
      </c>
      <c r="G143" s="244">
        <f>SUM(G144:G150)</f>
        <v>0</v>
      </c>
      <c r="H143" s="245">
        <f t="shared" si="17"/>
        <v>0</v>
      </c>
      <c r="I143" s="244">
        <f>SUM(I144:I150)</f>
        <v>0</v>
      </c>
      <c r="J143" s="244">
        <f>SUM(J144:J150)</f>
        <v>0</v>
      </c>
      <c r="K143" s="245">
        <f t="shared" si="18"/>
        <v>0</v>
      </c>
      <c r="L143" s="244">
        <f>SUM(L144:L150)</f>
        <v>0</v>
      </c>
      <c r="M143" s="244">
        <f>SUM(M144:M150)</f>
        <v>0</v>
      </c>
      <c r="N143" s="245">
        <f t="shared" si="19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6"/>
        <v>0</v>
      </c>
      <c r="F144" s="246"/>
      <c r="G144" s="246"/>
      <c r="H144" s="247">
        <f t="shared" si="17"/>
        <v>0</v>
      </c>
      <c r="I144" s="246"/>
      <c r="J144" s="246"/>
      <c r="K144" s="247">
        <f t="shared" si="18"/>
        <v>0</v>
      </c>
      <c r="L144" s="246"/>
      <c r="M144" s="246"/>
      <c r="N144" s="247">
        <f t="shared" si="19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6"/>
        <v>0</v>
      </c>
      <c r="F145" s="246"/>
      <c r="G145" s="246"/>
      <c r="H145" s="247">
        <f t="shared" si="17"/>
        <v>0</v>
      </c>
      <c r="I145" s="246"/>
      <c r="J145" s="246"/>
      <c r="K145" s="247">
        <f t="shared" si="18"/>
        <v>0</v>
      </c>
      <c r="L145" s="246"/>
      <c r="M145" s="246"/>
      <c r="N145" s="247">
        <f t="shared" si="19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6"/>
        <v>0</v>
      </c>
      <c r="F147" s="246"/>
      <c r="G147" s="246"/>
      <c r="H147" s="247">
        <f t="shared" ref="H147:H150" si="20">SUM(F147:G147)</f>
        <v>0</v>
      </c>
      <c r="I147" s="246"/>
      <c r="J147" s="246"/>
      <c r="K147" s="247">
        <f t="shared" ref="K147:K150" si="21">SUM(I147:J147)</f>
        <v>0</v>
      </c>
      <c r="L147" s="246"/>
      <c r="M147" s="246"/>
      <c r="N147" s="247">
        <f t="shared" ref="N147:N150" si="22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6"/>
        <v>0</v>
      </c>
      <c r="F148" s="246"/>
      <c r="G148" s="246"/>
      <c r="H148" s="247">
        <f t="shared" si="20"/>
        <v>0</v>
      </c>
      <c r="I148" s="246"/>
      <c r="J148" s="246"/>
      <c r="K148" s="247">
        <f t="shared" si="21"/>
        <v>0</v>
      </c>
      <c r="L148" s="246"/>
      <c r="M148" s="246"/>
      <c r="N148" s="247">
        <f t="shared" si="22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6"/>
        <v>0</v>
      </c>
      <c r="F149" s="246"/>
      <c r="G149" s="246"/>
      <c r="H149" s="247">
        <f t="shared" si="20"/>
        <v>0</v>
      </c>
      <c r="I149" s="246"/>
      <c r="J149" s="246"/>
      <c r="K149" s="247">
        <f t="shared" si="21"/>
        <v>0</v>
      </c>
      <c r="L149" s="246"/>
      <c r="M149" s="246"/>
      <c r="N149" s="247">
        <f t="shared" si="22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6"/>
        <v>0</v>
      </c>
      <c r="F150" s="256"/>
      <c r="G150" s="248"/>
      <c r="H150" s="249">
        <f t="shared" si="20"/>
        <v>0</v>
      </c>
      <c r="I150" s="256"/>
      <c r="J150" s="248"/>
      <c r="K150" s="249">
        <f t="shared" si="21"/>
        <v>0</v>
      </c>
      <c r="L150" s="256"/>
      <c r="M150" s="248"/>
      <c r="N150" s="249">
        <f t="shared" si="22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4302000</v>
      </c>
      <c r="D151" s="257">
        <f>D143+D142</f>
        <v>0</v>
      </c>
      <c r="E151" s="258">
        <f>SUM(C151:D151)</f>
        <v>4302000</v>
      </c>
      <c r="F151" s="250">
        <f>F143+F142</f>
        <v>4302000</v>
      </c>
      <c r="G151" s="257">
        <f>G143+G142</f>
        <v>0</v>
      </c>
      <c r="H151" s="258">
        <f>SUM(F151:G151)</f>
        <v>4302000</v>
      </c>
      <c r="I151" s="250">
        <f>I143+I142</f>
        <v>4302000</v>
      </c>
      <c r="J151" s="257">
        <f>J143+J142</f>
        <v>0</v>
      </c>
      <c r="K151" s="258">
        <f>SUM(I151:J151)</f>
        <v>4302000</v>
      </c>
      <c r="L151" s="250">
        <f>L143+L142</f>
        <v>4272000</v>
      </c>
      <c r="M151" s="257">
        <f>M143+M142</f>
        <v>0</v>
      </c>
      <c r="N151" s="258">
        <f>SUM(L151:M151)</f>
        <v>4272000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3">E85-E151</f>
        <v>0</v>
      </c>
      <c r="F153" s="148"/>
      <c r="G153" s="148"/>
      <c r="H153" s="148">
        <f t="shared" ref="H153" si="24">H85-H151</f>
        <v>0</v>
      </c>
      <c r="I153" s="148"/>
      <c r="J153" s="148"/>
      <c r="K153" s="148">
        <f t="shared" ref="K153" si="25">K85-K151</f>
        <v>0</v>
      </c>
      <c r="L153" s="148"/>
      <c r="M153" s="148"/>
      <c r="N153" s="148">
        <f t="shared" ref="N153" si="26">N85-N151</f>
        <v>30000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1" fitToHeight="0" orientation="portrait" horizontalDpi="300" verticalDpi="300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W159"/>
  <sheetViews>
    <sheetView zoomScale="98" zoomScaleNormal="98" workbookViewId="0">
      <selection activeCell="N82" sqref="N82"/>
    </sheetView>
  </sheetViews>
  <sheetFormatPr defaultRowHeight="15" x14ac:dyDescent="0.25"/>
  <cols>
    <col min="1" max="1" width="8.140625" style="44" customWidth="1"/>
    <col min="2" max="2" width="52.85546875" style="44" customWidth="1"/>
    <col min="3" max="3" width="14.85546875" style="44" bestFit="1" customWidth="1"/>
    <col min="4" max="4" width="10.5703125" style="44" customWidth="1"/>
    <col min="5" max="5" width="14.85546875" style="44" bestFit="1" customWidth="1"/>
    <col min="6" max="6" width="14.85546875" style="179" bestFit="1" customWidth="1"/>
    <col min="7" max="7" width="10.5703125" style="179" customWidth="1"/>
    <col min="8" max="9" width="14.85546875" style="179" bestFit="1" customWidth="1"/>
    <col min="10" max="10" width="10.5703125" style="179" customWidth="1"/>
    <col min="11" max="12" width="14.85546875" style="179" bestFit="1" customWidth="1"/>
    <col min="13" max="13" width="10.5703125" style="179" customWidth="1"/>
    <col min="14" max="14" width="14.85546875" style="179" bestFit="1" customWidth="1"/>
    <col min="15" max="15" width="10.85546875" style="148" bestFit="1" customWidth="1"/>
    <col min="16" max="16" width="12.28515625" style="646" bestFit="1" customWidth="1"/>
    <col min="17" max="17" width="12.5703125" style="646" customWidth="1"/>
    <col min="18" max="18" width="9.85546875" style="148" bestFit="1" customWidth="1"/>
    <col min="19" max="19" width="10.140625" customWidth="1"/>
    <col min="20" max="20" width="13" customWidth="1"/>
    <col min="22" max="22" width="11.140625" bestFit="1" customWidth="1"/>
  </cols>
  <sheetData>
    <row r="1" spans="1:23" s="44" customFormat="1" x14ac:dyDescent="0.25">
      <c r="A1" s="912" t="s">
        <v>811</v>
      </c>
      <c r="B1" s="912"/>
      <c r="C1" s="912"/>
      <c r="D1" s="912"/>
      <c r="E1" s="912"/>
      <c r="I1" s="179"/>
      <c r="J1" s="179"/>
      <c r="K1" s="179"/>
      <c r="L1" s="179"/>
      <c r="M1" s="179"/>
      <c r="N1" s="179"/>
      <c r="O1" s="148"/>
      <c r="P1" s="646"/>
      <c r="Q1" s="646"/>
      <c r="R1" s="148"/>
    </row>
    <row r="2" spans="1:23" s="44" customFormat="1" x14ac:dyDescent="0.25">
      <c r="A2" s="912">
        <v>2019</v>
      </c>
      <c r="B2" s="912"/>
      <c r="C2" s="912"/>
      <c r="D2" s="912"/>
      <c r="E2" s="912"/>
      <c r="I2" s="179"/>
      <c r="J2" s="179"/>
      <c r="K2" s="179"/>
      <c r="L2" s="179"/>
      <c r="M2" s="179"/>
      <c r="N2" s="179"/>
      <c r="O2" s="148"/>
      <c r="P2" s="646"/>
      <c r="Q2" s="646"/>
      <c r="R2" s="148"/>
    </row>
    <row r="3" spans="1:23" s="44" customFormat="1" x14ac:dyDescent="0.25">
      <c r="F3" s="179"/>
      <c r="G3" s="179"/>
      <c r="H3" s="179"/>
      <c r="I3" s="179"/>
      <c r="J3" s="179"/>
      <c r="K3" s="179"/>
      <c r="L3" s="179"/>
      <c r="M3" s="179"/>
      <c r="N3" s="179"/>
      <c r="O3" s="148"/>
      <c r="P3" s="646"/>
      <c r="Q3" s="646"/>
      <c r="R3" s="148"/>
    </row>
    <row r="4" spans="1:23" x14ac:dyDescent="0.25">
      <c r="D4" s="45" t="str">
        <f>'6.5 pályázat_1'!C4</f>
        <v xml:space="preserve"> 12 / 2020. (VI.15) sz rendelet</v>
      </c>
    </row>
    <row r="5" spans="1:23" x14ac:dyDescent="0.25">
      <c r="B5" s="386" t="s">
        <v>410</v>
      </c>
    </row>
    <row r="6" spans="1:23" x14ac:dyDescent="0.25">
      <c r="C6" s="519" t="s">
        <v>804</v>
      </c>
      <c r="D6" s="622" t="str">
        <f>'6.5 pályázat_1'!D6</f>
        <v xml:space="preserve"> melléklet az 12/2020. (VI.15.) rendelethez</v>
      </c>
      <c r="E6" s="45"/>
      <c r="F6" s="883"/>
      <c r="G6" s="883"/>
      <c r="H6" s="883"/>
      <c r="I6" s="883"/>
      <c r="J6" s="883"/>
      <c r="K6" s="883"/>
      <c r="L6" s="883"/>
      <c r="M6" s="883"/>
      <c r="N6" s="883"/>
    </row>
    <row r="7" spans="1:23" ht="15.75" thickBot="1" x14ac:dyDescent="0.3"/>
    <row r="8" spans="1:23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23" x14ac:dyDescent="0.25">
      <c r="A9" s="52" t="s">
        <v>43</v>
      </c>
      <c r="B9" s="48" t="s">
        <v>44</v>
      </c>
      <c r="C9" s="246">
        <f>'7.1. igazg 011130'!C9+'7.2 temető 013320'!C9+'7.3. vagyon 013350'!C9+'7.4 018010'!C9+'7.5 finansz műveletek 018030'!C9+'7.7 közütak működtetés 045160'!C9+'7.8 parkoló 045170'!C9+'7.9 kábeltv 046020'!C9+'7.10 piac 047120'!C9+'7.11 tdm tám047320'!C9+'7.12 szemét 051030'!C9+'7.13 szennyvíz 052080'!C9+'7.14 víz 063080'!C9+'7.15 közvil 064010'!C9+'7.16 zöldterület 066010'!C9+'7.17 város 066020'!C9+'7.18 háziorvos 072111'!C9+'7.19 ügyelet 072112'!C9+'7.20 fülészet 072210'!C9+'7.21 védőnők 074031'!C9+'7.22 isk eü 074032'!C9+'7.23 sportcsépület 081030'!C9+'7.24 sport tám 081041'!C9+'7.25 diáksport 081043'!C9+'7.26 közműv 082091'!C9+'7.27 közműv 082092'!C9+'7.28  óvoda 091140'!C9+'7.29 intézmkiv gyétk 104037'!C9+'7.30 szoc étk 107051'!C9+'7.31 segélyek 107060'!C9+'7.32 adóbev 900020'!C9+'7.33 pályázatok összesen'!C9+'7.6 út építés 045127'!C9</f>
        <v>723205890</v>
      </c>
      <c r="D9" s="246">
        <f>'7.1. igazg 011130'!D9+'7.2 temető 013320'!D9+'7.3. vagyon 013350'!D9+'7.4 018010'!D9+'7.5 finansz műveletek 018030'!D9+'7.7 közütak működtetés 045160'!D9+'7.8 parkoló 045170'!D9+'7.9 kábeltv 046020'!D9+'7.10 piac 047120'!D9+'7.11 tdm tám047320'!D9+'7.12 szemét 051030'!D9+'7.13 szennyvíz 052080'!D9+'7.14 víz 063080'!D9+'7.15 közvil 064010'!D9+'7.16 zöldterület 066010'!D9+'7.17 város 066020'!D9+'7.18 háziorvos 072111'!D9+'7.19 ügyelet 072112'!D9+'7.20 fülészet 072210'!D9+'7.21 védőnők 074031'!D9+'7.22 isk eü 074032'!D9+'7.23 sportcsépület 081030'!D9+'7.24 sport tám 081041'!D9+'7.25 diáksport 081043'!D9+'7.26 közműv 082091'!D9+'7.27 közműv 082092'!D9+'7.28  óvoda 091140'!D9+'7.29 intézmkiv gyétk 104037'!D9+'7.30 szoc étk 107051'!D9+'7.31 segélyek 107060'!D9+'7.32 adóbev 900020'!D9+'7.33 pályázatok összesen'!D9+'7.6 út építés 045127'!D9</f>
        <v>0</v>
      </c>
      <c r="E9" s="245">
        <f t="shared" ref="E9:E73" si="0">SUM(C9:D9)</f>
        <v>723205890</v>
      </c>
      <c r="F9" s="246">
        <f>'7.1. igazg 011130'!F9+'7.2 temető 013320'!F9+'7.3. vagyon 013350'!F9+'7.4 018010'!F9+'7.5 finansz műveletek 018030'!F9+'7.7 közütak működtetés 045160'!F9+'7.8 parkoló 045170'!F9+'7.9 kábeltv 046020'!F9+'7.10 piac 047120'!F9+'7.11 tdm tám047320'!F9+'7.12 szemét 051030'!F9+'7.13 szennyvíz 052080'!F9+'7.14 víz 063080'!F9+'7.15 közvil 064010'!F9+'7.16 zöldterület 066010'!F9+'7.17 város 066020'!F9+'7.18 háziorvos 072111'!F9+'7.19 ügyelet 072112'!F9+'7.20 fülészet 072210'!F9+'7.21 védőnők 074031'!F9+'7.22 isk eü 074032'!F9+'7.23 sportcsépület 081030'!F9+'7.24 sport tám 081041'!F9+'7.25 diáksport 081043'!F9+'7.26 közműv 082091'!F9+'7.27 közműv 082092'!F9+'7.28  óvoda 091140'!F9+'7.29 intézmkiv gyétk 104037'!F9+'7.30 szoc étk 107051'!F9+'7.31 segélyek 107060'!F9+'7.32 adóbev 900020'!F9+'7.33 pályázatok összesen'!F9+'7.6 út építés 045127'!F9</f>
        <v>738371505</v>
      </c>
      <c r="G9" s="246">
        <f>'7.1. igazg 011130'!G9+'7.2 temető 013320'!G9+'7.3. vagyon 013350'!G9+'7.4 018010'!G9+'7.5 finansz műveletek 018030'!G9+'7.7 közütak működtetés 045160'!G9+'7.8 parkoló 045170'!G9+'7.9 kábeltv 046020'!G9+'7.10 piac 047120'!G9+'7.11 tdm tám047320'!G9+'7.12 szemét 051030'!G9+'7.13 szennyvíz 052080'!G9+'7.14 víz 063080'!G9+'7.15 közvil 064010'!G9+'7.16 zöldterület 066010'!G9+'7.17 város 066020'!G9+'7.18 háziorvos 072111'!G9+'7.19 ügyelet 072112'!G9+'7.20 fülészet 072210'!G9+'7.21 védőnők 074031'!G9+'7.22 isk eü 074032'!G9+'7.23 sportcsépület 081030'!G9+'7.24 sport tám 081041'!G9+'7.25 diáksport 081043'!G9+'7.26 közműv 082091'!G9+'7.27 közműv 082092'!G9+'7.28  óvoda 091140'!G9+'7.29 intézmkiv gyétk 104037'!G9+'7.30 szoc étk 107051'!G9+'7.31 segélyek 107060'!G9+'7.32 adóbev 900020'!G9+'7.33 pályázatok összesen'!G9+'7.6 út építés 045127'!G9</f>
        <v>0</v>
      </c>
      <c r="H9" s="245">
        <f t="shared" ref="H9:H73" si="1">SUM(F9:G9)</f>
        <v>738371505</v>
      </c>
      <c r="I9" s="246">
        <f ca="1">'7.1. igazg 011130'!I9+'7.2 temető 013320'!I9+'7.3. vagyon 013350'!I9+'7.4 018010'!I9+'7.5 finansz műveletek 018030'!I9+'7.7 közütak működtetés 045160'!I9+'7.8 parkoló 045170'!I9+'7.9 kábeltv 046020'!I9+'7.10 piac 047120'!I9+'7.11 tdm tám047320'!I9+'7.12 szemét 051030'!I9+'7.13 szennyvíz 052080'!I9+'7.14 víz 063080'!I9+'7.15 közvil 064010'!I9+'7.16 zöldterület 066010'!I9+'7.17 város 066020'!I9+'7.18 háziorvos 072111'!I9+'7.19 ügyelet 072112'!I9+'7.20 fülészet 072210'!I9+'7.21 védőnők 074031'!I9+'7.22 isk eü 074032'!I9+'7.23 sportcsépület 081030'!I9+'7.24 sport tám 081041'!I9+'7.25 diáksport 081043'!I9+'7.26 közműv 082091'!I9+'7.27 közműv 082092'!I9+'7.28  óvoda 091140'!I9+'7.29 intézmkiv gyétk 104037'!I9+'7.30 szoc étk 107051'!I9+'7.31 segélyek 107060'!I9+'7.32 adóbev 900020'!I9+'7.33 pályázatok összesen'!I9+'7.6 út építés 045127'!I9</f>
        <v>745054763</v>
      </c>
      <c r="J9" s="246">
        <f>'7.1. igazg 011130'!J9+'7.2 temető 013320'!J9+'7.3. vagyon 013350'!J9+'7.4 018010'!J9+'7.5 finansz műveletek 018030'!J9+'7.7 közütak működtetés 045160'!J9+'7.8 parkoló 045170'!J9+'7.9 kábeltv 046020'!J9+'7.10 piac 047120'!J9+'7.11 tdm tám047320'!J9+'7.12 szemét 051030'!J9+'7.13 szennyvíz 052080'!J9+'7.14 víz 063080'!J9+'7.15 közvil 064010'!J9+'7.16 zöldterület 066010'!J9+'7.17 város 066020'!J9+'7.18 háziorvos 072111'!J9+'7.19 ügyelet 072112'!J9+'7.20 fülészet 072210'!J9+'7.21 védőnők 074031'!J9+'7.22 isk eü 074032'!J9+'7.23 sportcsépület 081030'!J9+'7.24 sport tám 081041'!J9+'7.25 diáksport 081043'!J9+'7.26 közműv 082091'!J9+'7.27 közműv 082092'!J9+'7.28  óvoda 091140'!J9+'7.29 intézmkiv gyétk 104037'!J9+'7.30 szoc étk 107051'!J9+'7.31 segélyek 107060'!J9+'7.32 adóbev 900020'!J9+'7.33 pályázatok összesen'!J9+'7.6 út építés 045127'!J9</f>
        <v>0</v>
      </c>
      <c r="K9" s="245">
        <f t="shared" ref="K9:K73" ca="1" si="2">SUM(I9:J9)</f>
        <v>745054763</v>
      </c>
      <c r="L9" s="246">
        <f ca="1">'7.1. igazg 011130'!L9+'7.2 temető 013320'!L9+'7.3. vagyon 013350'!L9+'7.4 018010'!L9+'7.5 finansz műveletek 018030'!L9+'7.7 közütak működtetés 045160'!L9+'7.8 parkoló 045170'!L9+'7.9 kábeltv 046020'!L9+'7.10 piac 047120'!L9+'7.11 tdm tám047320'!L9+'7.12 szemét 051030'!L9+'7.13 szennyvíz 052080'!L9+'7.14 víz 063080'!L9+'7.15 közvil 064010'!L9+'7.16 zöldterület 066010'!L9+'7.17 város 066020'!L9+'7.18 háziorvos 072111'!L9+'7.19 ügyelet 072112'!L9+'7.20 fülészet 072210'!L9+'7.21 védőnők 074031'!L9+'7.22 isk eü 074032'!L9+'7.23 sportcsépület 081030'!L9+'7.24 sport tám 081041'!L9+'7.25 diáksport 081043'!L9+'7.26 közműv 082091'!L9+'7.27 közműv 082092'!L9+'7.28  óvoda 091140'!L9+'7.29 intézmkiv gyétk 104037'!L9+'7.30 szoc étk 107051'!L9+'7.31 segélyek 107060'!L9+'7.32 adóbev 900020'!L9+'7.33 pályázatok összesen'!L9+'7.6 út építés 045127'!L9</f>
        <v>692864084</v>
      </c>
      <c r="M9" s="246">
        <f>'7.1. igazg 011130'!M9+'7.2 temető 013320'!M9+'7.3. vagyon 013350'!M9+'7.4 018010'!M9+'7.5 finansz műveletek 018030'!M9+'7.7 közütak működtetés 045160'!M9+'7.8 parkoló 045170'!M9+'7.9 kábeltv 046020'!M9+'7.10 piac 047120'!M9+'7.11 tdm tám047320'!M9+'7.12 szemét 051030'!M9+'7.13 szennyvíz 052080'!M9+'7.14 víz 063080'!M9+'7.15 közvil 064010'!M9+'7.16 zöldterület 066010'!M9+'7.17 város 066020'!M9+'7.18 háziorvos 072111'!M9+'7.19 ügyelet 072112'!M9+'7.20 fülészet 072210'!M9+'7.21 védőnők 074031'!M9+'7.22 isk eü 074032'!M9+'7.23 sportcsépület 081030'!M9+'7.24 sport tám 081041'!M9+'7.25 diáksport 081043'!M9+'7.26 közműv 082091'!M9+'7.27 közműv 082092'!M9+'7.28  óvoda 091140'!M9+'7.29 intézmkiv gyétk 104037'!M9+'7.30 szoc étk 107051'!M9+'7.31 segélyek 107060'!M9+'7.32 adóbev 900020'!M9+'7.33 pályázatok összesen'!M9+'7.6 út építés 045127'!M9</f>
        <v>0</v>
      </c>
      <c r="N9" s="245">
        <f t="shared" ref="N9:N73" ca="1" si="3">SUM(L9:M9)</f>
        <v>692864084</v>
      </c>
    </row>
    <row r="10" spans="1:23" x14ac:dyDescent="0.25">
      <c r="A10" s="53" t="s">
        <v>45</v>
      </c>
      <c r="B10" s="62" t="s">
        <v>46</v>
      </c>
      <c r="C10" s="246">
        <f>'7.1. igazg 011130'!C10+'7.2 temető 013320'!C10+'7.3. vagyon 013350'!C10+'7.4 018010'!C10+'7.5 finansz műveletek 018030'!C10+'7.7 közütak működtetés 045160'!C10+'7.8 parkoló 045170'!C10+'7.9 kábeltv 046020'!C10+'7.10 piac 047120'!C10+'7.11 tdm tám047320'!C10+'7.12 szemét 051030'!C10+'7.13 szennyvíz 052080'!C10+'7.14 víz 063080'!C10+'7.15 közvil 064010'!C10+'7.16 zöldterület 066010'!C10+'7.17 város 066020'!C10+'7.18 háziorvos 072111'!C10+'7.19 ügyelet 072112'!C10+'7.20 fülészet 072210'!C10+'7.21 védőnők 074031'!C10+'7.22 isk eü 074032'!C10+'7.23 sportcsépület 081030'!C10+'7.24 sport tám 081041'!C10+'7.25 diáksport 081043'!C10+'7.26 közműv 082091'!C10+'7.27 közműv 082092'!C10+'7.28  óvoda 091140'!C10+'7.29 intézmkiv gyétk 104037'!C10+'7.30 szoc étk 107051'!C10+'7.31 segélyek 107060'!C10+'7.32 adóbev 900020'!C10+'7.33 pályázatok összesen'!C10+'7.6 út építés 045127'!C10</f>
        <v>458484335</v>
      </c>
      <c r="D10" s="246">
        <f>'7.1. igazg 011130'!D10+'7.2 temető 013320'!D10+'7.3. vagyon 013350'!D10+'7.4 018010'!D10+'7.5 finansz műveletek 018030'!D10+'7.7 közütak működtetés 045160'!D10+'7.8 parkoló 045170'!D10+'7.9 kábeltv 046020'!D10+'7.10 piac 047120'!D10+'7.11 tdm tám047320'!D10+'7.12 szemét 051030'!D10+'7.13 szennyvíz 052080'!D10+'7.14 víz 063080'!D10+'7.15 közvil 064010'!D10+'7.16 zöldterület 066010'!D10+'7.17 város 066020'!D10+'7.18 háziorvos 072111'!D10+'7.19 ügyelet 072112'!D10+'7.20 fülészet 072210'!D10+'7.21 védőnők 074031'!D10+'7.22 isk eü 074032'!D10+'7.23 sportcsépület 081030'!D10+'7.24 sport tám 081041'!D10+'7.25 diáksport 081043'!D10+'7.26 közműv 082091'!D10+'7.27 közműv 082092'!D10+'7.28  óvoda 091140'!D10+'7.29 intézmkiv gyétk 104037'!D10+'7.30 szoc étk 107051'!D10+'7.31 segélyek 107060'!D10+'7.32 adóbev 900020'!D10+'7.33 pályázatok összesen'!D10+'7.6 út építés 045127'!D10</f>
        <v>0</v>
      </c>
      <c r="E10" s="247">
        <f t="shared" si="0"/>
        <v>458484335</v>
      </c>
      <c r="F10" s="246">
        <f>'7.1. igazg 011130'!F10+'7.2 temető 013320'!F10+'7.3. vagyon 013350'!F10+'7.4 018010'!F10+'7.5 finansz műveletek 018030'!F10+'7.7 közütak működtetés 045160'!F10+'7.8 parkoló 045170'!F10+'7.9 kábeltv 046020'!F10+'7.10 piac 047120'!F10+'7.11 tdm tám047320'!F10+'7.12 szemét 051030'!F10+'7.13 szennyvíz 052080'!F10+'7.14 víz 063080'!F10+'7.15 közvil 064010'!F10+'7.16 zöldterület 066010'!F10+'7.17 város 066020'!F10+'7.18 háziorvos 072111'!F10+'7.19 ügyelet 072112'!F10+'7.20 fülészet 072210'!F10+'7.21 védőnők 074031'!F10+'7.22 isk eü 074032'!F10+'7.23 sportcsépület 081030'!F10+'7.24 sport tám 081041'!F10+'7.25 diáksport 081043'!F10+'7.26 közműv 082091'!F10+'7.27 közműv 082092'!F10+'7.28  óvoda 091140'!F10+'7.29 intézmkiv gyétk 104037'!F10+'7.30 szoc étk 107051'!F10+'7.31 segélyek 107060'!F10+'7.32 adóbev 900020'!F10+'7.33 pályázatok összesen'!F10+'7.6 út építés 045127'!F10</f>
        <v>485214421</v>
      </c>
      <c r="G10" s="246">
        <f>'7.1. igazg 011130'!G10+'7.2 temető 013320'!G10+'7.3. vagyon 013350'!G10+'7.4 018010'!G10+'7.5 finansz műveletek 018030'!G10+'7.7 közütak működtetés 045160'!G10+'7.8 parkoló 045170'!G10+'7.9 kábeltv 046020'!G10+'7.10 piac 047120'!G10+'7.11 tdm tám047320'!G10+'7.12 szemét 051030'!G10+'7.13 szennyvíz 052080'!G10+'7.14 víz 063080'!G10+'7.15 közvil 064010'!G10+'7.16 zöldterület 066010'!G10+'7.17 város 066020'!G10+'7.18 háziorvos 072111'!G10+'7.19 ügyelet 072112'!G10+'7.20 fülészet 072210'!G10+'7.21 védőnők 074031'!G10+'7.22 isk eü 074032'!G10+'7.23 sportcsépület 081030'!G10+'7.24 sport tám 081041'!G10+'7.25 diáksport 081043'!G10+'7.26 közműv 082091'!G10+'7.27 közműv 082092'!G10+'7.28  óvoda 091140'!G10+'7.29 intézmkiv gyétk 104037'!G10+'7.30 szoc étk 107051'!G10+'7.31 segélyek 107060'!G10+'7.32 adóbev 900020'!G10+'7.33 pályázatok összesen'!G10+'7.6 út építés 045127'!G10</f>
        <v>0</v>
      </c>
      <c r="H10" s="247">
        <f t="shared" si="1"/>
        <v>485214421</v>
      </c>
      <c r="I10" s="246">
        <f ca="1">'7.1. igazg 011130'!I10+'7.2 temető 013320'!I10+'7.3. vagyon 013350'!I10+'7.4 018010'!I10+'7.5 finansz műveletek 018030'!I10+'7.7 közütak működtetés 045160'!I10+'7.8 parkoló 045170'!I10+'7.9 kábeltv 046020'!I10+'7.10 piac 047120'!I10+'7.11 tdm tám047320'!I10+'7.12 szemét 051030'!I10+'7.13 szennyvíz 052080'!I10+'7.14 víz 063080'!I10+'7.15 közvil 064010'!I10+'7.16 zöldterület 066010'!I10+'7.17 város 066020'!I10+'7.18 háziorvos 072111'!I10+'7.19 ügyelet 072112'!I10+'7.20 fülészet 072210'!I10+'7.21 védőnők 074031'!I10+'7.22 isk eü 074032'!I10+'7.23 sportcsépület 081030'!I10+'7.24 sport tám 081041'!I10+'7.25 diáksport 081043'!I10+'7.26 közműv 082091'!I10+'7.27 közműv 082092'!I10+'7.28  óvoda 091140'!I10+'7.29 intézmkiv gyétk 104037'!I10+'7.30 szoc étk 107051'!I10+'7.31 segélyek 107060'!I10+'7.32 adóbev 900020'!I10+'7.33 pályázatok összesen'!I10+'7.6 út építés 045127'!I10</f>
        <v>493544130</v>
      </c>
      <c r="J10" s="246">
        <f>'7.1. igazg 011130'!J10+'7.2 temető 013320'!J10+'7.3. vagyon 013350'!J10+'7.4 018010'!J10+'7.5 finansz műveletek 018030'!J10+'7.7 közütak működtetés 045160'!J10+'7.8 parkoló 045170'!J10+'7.9 kábeltv 046020'!J10+'7.10 piac 047120'!J10+'7.11 tdm tám047320'!J10+'7.12 szemét 051030'!J10+'7.13 szennyvíz 052080'!J10+'7.14 víz 063080'!J10+'7.15 közvil 064010'!J10+'7.16 zöldterület 066010'!J10+'7.17 város 066020'!J10+'7.18 háziorvos 072111'!J10+'7.19 ügyelet 072112'!J10+'7.20 fülészet 072210'!J10+'7.21 védőnők 074031'!J10+'7.22 isk eü 074032'!J10+'7.23 sportcsépület 081030'!J10+'7.24 sport tám 081041'!J10+'7.25 diáksport 081043'!J10+'7.26 közműv 082091'!J10+'7.27 közműv 082092'!J10+'7.28  óvoda 091140'!J10+'7.29 intézmkiv gyétk 104037'!J10+'7.30 szoc étk 107051'!J10+'7.31 segélyek 107060'!J10+'7.32 adóbev 900020'!J10+'7.33 pályázatok összesen'!J10+'7.6 út építés 045127'!J10</f>
        <v>0</v>
      </c>
      <c r="K10" s="247">
        <f t="shared" ca="1" si="2"/>
        <v>493544130</v>
      </c>
      <c r="L10" s="246">
        <f ca="1">'7.1. igazg 011130'!L10+'7.2 temető 013320'!L10+'7.3. vagyon 013350'!L10+'7.4 018010'!L10+'7.5 finansz műveletek 018030'!L10+'7.7 közütak működtetés 045160'!L10+'7.8 parkoló 045170'!L10+'7.9 kábeltv 046020'!L10+'7.10 piac 047120'!L10+'7.11 tdm tám047320'!L10+'7.12 szemét 051030'!L10+'7.13 szennyvíz 052080'!L10+'7.14 víz 063080'!L10+'7.15 közvil 064010'!L10+'7.16 zöldterület 066010'!L10+'7.17 város 066020'!L10+'7.18 háziorvos 072111'!L10+'7.19 ügyelet 072112'!L10+'7.20 fülészet 072210'!L10+'7.21 védőnők 074031'!L10+'7.22 isk eü 074032'!L10+'7.23 sportcsépület 081030'!L10+'7.24 sport tám 081041'!L10+'7.25 diáksport 081043'!L10+'7.26 közműv 082091'!L10+'7.27 közműv 082092'!L10+'7.28  óvoda 091140'!L10+'7.29 intézmkiv gyétk 104037'!L10+'7.30 szoc étk 107051'!L10+'7.31 segélyek 107060'!L10+'7.32 adóbev 900020'!L10+'7.33 pályázatok összesen'!L10+'7.6 út építés 045127'!L10</f>
        <v>493544130</v>
      </c>
      <c r="M10" s="246">
        <f>'7.1. igazg 011130'!M10+'7.2 temető 013320'!M10+'7.3. vagyon 013350'!M10+'7.4 018010'!M10+'7.5 finansz műveletek 018030'!M10+'7.7 közütak működtetés 045160'!M10+'7.8 parkoló 045170'!M10+'7.9 kábeltv 046020'!M10+'7.10 piac 047120'!M10+'7.11 tdm tám047320'!M10+'7.12 szemét 051030'!M10+'7.13 szennyvíz 052080'!M10+'7.14 víz 063080'!M10+'7.15 közvil 064010'!M10+'7.16 zöldterület 066010'!M10+'7.17 város 066020'!M10+'7.18 háziorvos 072111'!M10+'7.19 ügyelet 072112'!M10+'7.20 fülészet 072210'!M10+'7.21 védőnők 074031'!M10+'7.22 isk eü 074032'!M10+'7.23 sportcsépület 081030'!M10+'7.24 sport tám 081041'!M10+'7.25 diáksport 081043'!M10+'7.26 közműv 082091'!M10+'7.27 közműv 082092'!M10+'7.28  óvoda 091140'!M10+'7.29 intézmkiv gyétk 104037'!M10+'7.30 szoc étk 107051'!M10+'7.31 segélyek 107060'!M10+'7.32 adóbev 900020'!M10+'7.33 pályázatok összesen'!M10+'7.6 út építés 045127'!M10</f>
        <v>0</v>
      </c>
      <c r="N10" s="247">
        <f t="shared" ca="1" si="3"/>
        <v>493544130</v>
      </c>
    </row>
    <row r="11" spans="1:23" x14ac:dyDescent="0.25">
      <c r="A11" s="53" t="s">
        <v>47</v>
      </c>
      <c r="B11" s="62" t="s">
        <v>48</v>
      </c>
      <c r="C11" s="246">
        <f>'7.1. igazg 011130'!C11+'7.2 temető 013320'!C11+'7.3. vagyon 013350'!C11+'7.4 018010'!C11+'7.5 finansz műveletek 018030'!C11+'7.7 közütak működtetés 045160'!C11+'7.8 parkoló 045170'!C11+'7.9 kábeltv 046020'!C11+'7.10 piac 047120'!C11+'7.11 tdm tám047320'!C11+'7.12 szemét 051030'!C11+'7.13 szennyvíz 052080'!C11+'7.14 víz 063080'!C11+'7.15 közvil 064010'!C11+'7.16 zöldterület 066010'!C11+'7.17 város 066020'!C11+'7.18 háziorvos 072111'!C11+'7.19 ügyelet 072112'!C11+'7.20 fülészet 072210'!C11+'7.21 védőnők 074031'!C11+'7.22 isk eü 074032'!C11+'7.23 sportcsépület 081030'!C11+'7.24 sport tám 081041'!C11+'7.25 diáksport 081043'!C11+'7.26 közműv 082091'!C11+'7.27 közműv 082092'!C11+'7.28  óvoda 091140'!C11+'7.29 intézmkiv gyétk 104037'!C11+'7.30 szoc étk 107051'!C11+'7.31 segélyek 107060'!C11+'7.32 adóbev 900020'!C11+'7.33 pályázatok összesen'!C11+'7.6 út építés 045127'!C11</f>
        <v>251398914</v>
      </c>
      <c r="D11" s="246">
        <f>'7.1. igazg 011130'!D11+'7.2 temető 013320'!D11+'7.3. vagyon 013350'!D11+'7.4 018010'!D11+'7.5 finansz műveletek 018030'!D11+'7.7 közütak működtetés 045160'!D11+'7.8 parkoló 045170'!D11+'7.9 kábeltv 046020'!D11+'7.10 piac 047120'!D11+'7.11 tdm tám047320'!D11+'7.12 szemét 051030'!D11+'7.13 szennyvíz 052080'!D11+'7.14 víz 063080'!D11+'7.15 közvil 064010'!D11+'7.16 zöldterület 066010'!D11+'7.17 város 066020'!D11+'7.18 háziorvos 072111'!D11+'7.19 ügyelet 072112'!D11+'7.20 fülészet 072210'!D11+'7.21 védőnők 074031'!D11+'7.22 isk eü 074032'!D11+'7.23 sportcsépület 081030'!D11+'7.24 sport tám 081041'!D11+'7.25 diáksport 081043'!D11+'7.26 közműv 082091'!D11+'7.27 közműv 082092'!D11+'7.28  óvoda 091140'!D11+'7.29 intézmkiv gyétk 104037'!D11+'7.30 szoc étk 107051'!D11+'7.31 segélyek 107060'!D11+'7.32 adóbev 900020'!D11+'7.33 pályázatok összesen'!D11+'7.6 út építés 045127'!D11</f>
        <v>0</v>
      </c>
      <c r="E11" s="247">
        <f t="shared" si="0"/>
        <v>251398914</v>
      </c>
      <c r="F11" s="246">
        <f>'7.1. igazg 011130'!F11+'7.2 temető 013320'!F11+'7.3. vagyon 013350'!F11+'7.4 018010'!F11+'7.5 finansz műveletek 018030'!F11+'7.7 közütak működtetés 045160'!F11+'7.8 parkoló 045170'!F11+'7.9 kábeltv 046020'!F11+'7.10 piac 047120'!F11+'7.11 tdm tám047320'!F11+'7.12 szemét 051030'!F11+'7.13 szennyvíz 052080'!F11+'7.14 víz 063080'!F11+'7.15 közvil 064010'!F11+'7.16 zöldterület 066010'!F11+'7.17 város 066020'!F11+'7.18 háziorvos 072111'!F11+'7.19 ügyelet 072112'!F11+'7.20 fülészet 072210'!F11+'7.21 védőnők 074031'!F11+'7.22 isk eü 074032'!F11+'7.23 sportcsépület 081030'!F11+'7.24 sport tám 081041'!F11+'7.25 diáksport 081043'!F11+'7.26 közműv 082091'!F11+'7.27 közműv 082092'!F11+'7.28  óvoda 091140'!F11+'7.29 intézmkiv gyétk 104037'!F11+'7.30 szoc étk 107051'!F11+'7.31 segélyek 107060'!F11+'7.32 adóbev 900020'!F11+'7.33 pályázatok összesen'!F11+'7.6 út építés 045127'!F11</f>
        <v>271251362</v>
      </c>
      <c r="G11" s="246">
        <f>'7.1. igazg 011130'!G11+'7.2 temető 013320'!G11+'7.3. vagyon 013350'!G11+'7.4 018010'!G11+'7.5 finansz műveletek 018030'!G11+'7.7 közütak működtetés 045160'!G11+'7.8 parkoló 045170'!G11+'7.9 kábeltv 046020'!G11+'7.10 piac 047120'!G11+'7.11 tdm tám047320'!G11+'7.12 szemét 051030'!G11+'7.13 szennyvíz 052080'!G11+'7.14 víz 063080'!G11+'7.15 közvil 064010'!G11+'7.16 zöldterület 066010'!G11+'7.17 város 066020'!G11+'7.18 háziorvos 072111'!G11+'7.19 ügyelet 072112'!G11+'7.20 fülészet 072210'!G11+'7.21 védőnők 074031'!G11+'7.22 isk eü 074032'!G11+'7.23 sportcsépület 081030'!G11+'7.24 sport tám 081041'!G11+'7.25 diáksport 081043'!G11+'7.26 közműv 082091'!G11+'7.27 közműv 082092'!G11+'7.28  óvoda 091140'!G11+'7.29 intézmkiv gyétk 104037'!G11+'7.30 szoc étk 107051'!G11+'7.31 segélyek 107060'!G11+'7.32 adóbev 900020'!G11+'7.33 pályázatok összesen'!G11+'7.6 út építés 045127'!G11</f>
        <v>0</v>
      </c>
      <c r="H11" s="247">
        <f t="shared" si="1"/>
        <v>271251362</v>
      </c>
      <c r="I11" s="246">
        <f ca="1">'7.1. igazg 011130'!I11+'7.2 temető 013320'!I11+'7.3. vagyon 013350'!I11+'7.4 018010'!I11+'7.5 finansz műveletek 018030'!I11+'7.7 közütak működtetés 045160'!I11+'7.8 parkoló 045170'!I11+'7.9 kábeltv 046020'!I11+'7.10 piac 047120'!I11+'7.11 tdm tám047320'!I11+'7.12 szemét 051030'!I11+'7.13 szennyvíz 052080'!I11+'7.14 víz 063080'!I11+'7.15 közvil 064010'!I11+'7.16 zöldterület 066010'!I11+'7.17 város 066020'!I11+'7.18 háziorvos 072111'!I11+'7.19 ügyelet 072112'!I11+'7.20 fülészet 072210'!I11+'7.21 védőnők 074031'!I11+'7.22 isk eü 074032'!I11+'7.23 sportcsépület 081030'!I11+'7.24 sport tám 081041'!I11+'7.25 diáksport 081043'!I11+'7.26 közműv 082091'!I11+'7.27 közműv 082092'!I11+'7.28  óvoda 091140'!I11+'7.29 intézmkiv gyétk 104037'!I11+'7.30 szoc étk 107051'!I11+'7.31 segélyek 107060'!I11+'7.32 adóbev 900020'!I11+'7.33 pályázatok összesen'!I11+'7.6 út építés 045127'!I11</f>
        <v>254578513</v>
      </c>
      <c r="J11" s="246">
        <f>'7.1. igazg 011130'!J11+'7.2 temető 013320'!J11+'7.3. vagyon 013350'!J11+'7.4 018010'!J11+'7.5 finansz műveletek 018030'!J11+'7.7 közütak működtetés 045160'!J11+'7.8 parkoló 045170'!J11+'7.9 kábeltv 046020'!J11+'7.10 piac 047120'!J11+'7.11 tdm tám047320'!J11+'7.12 szemét 051030'!J11+'7.13 szennyvíz 052080'!J11+'7.14 víz 063080'!J11+'7.15 közvil 064010'!J11+'7.16 zöldterület 066010'!J11+'7.17 város 066020'!J11+'7.18 háziorvos 072111'!J11+'7.19 ügyelet 072112'!J11+'7.20 fülészet 072210'!J11+'7.21 védőnők 074031'!J11+'7.22 isk eü 074032'!J11+'7.23 sportcsépület 081030'!J11+'7.24 sport tám 081041'!J11+'7.25 diáksport 081043'!J11+'7.26 közműv 082091'!J11+'7.27 közműv 082092'!J11+'7.28  óvoda 091140'!J11+'7.29 intézmkiv gyétk 104037'!J11+'7.30 szoc étk 107051'!J11+'7.31 segélyek 107060'!J11+'7.32 adóbev 900020'!J11+'7.33 pályázatok összesen'!J11+'7.6 út építés 045127'!J11</f>
        <v>0</v>
      </c>
      <c r="K11" s="247">
        <f t="shared" ca="1" si="2"/>
        <v>254578513</v>
      </c>
      <c r="L11" s="246">
        <f ca="1">'7.1. igazg 011130'!L11+'7.2 temető 013320'!L11+'7.3. vagyon 013350'!L11+'7.4 018010'!L11+'7.5 finansz műveletek 018030'!L11+'7.7 közütak működtetés 045160'!L11+'7.8 parkoló 045170'!L11+'7.9 kábeltv 046020'!L11+'7.10 piac 047120'!L11+'7.11 tdm tám047320'!L11+'7.12 szemét 051030'!L11+'7.13 szennyvíz 052080'!L11+'7.14 víz 063080'!L11+'7.15 közvil 064010'!L11+'7.16 zöldterület 066010'!L11+'7.17 város 066020'!L11+'7.18 háziorvos 072111'!L11+'7.19 ügyelet 072112'!L11+'7.20 fülészet 072210'!L11+'7.21 védőnők 074031'!L11+'7.22 isk eü 074032'!L11+'7.23 sportcsépület 081030'!L11+'7.24 sport tám 081041'!L11+'7.25 diáksport 081043'!L11+'7.26 közműv 082091'!L11+'7.27 közműv 082092'!L11+'7.28  óvoda 091140'!L11+'7.29 intézmkiv gyétk 104037'!L11+'7.30 szoc étk 107051'!L11+'7.31 segélyek 107060'!L11+'7.32 adóbev 900020'!L11+'7.33 pályázatok összesen'!L11+'7.6 út építés 045127'!L11</f>
        <v>254578513</v>
      </c>
      <c r="M11" s="246">
        <f>'7.1. igazg 011130'!M11+'7.2 temető 013320'!M11+'7.3. vagyon 013350'!M11+'7.4 018010'!M11+'7.5 finansz műveletek 018030'!M11+'7.7 közütak működtetés 045160'!M11+'7.8 parkoló 045170'!M11+'7.9 kábeltv 046020'!M11+'7.10 piac 047120'!M11+'7.11 tdm tám047320'!M11+'7.12 szemét 051030'!M11+'7.13 szennyvíz 052080'!M11+'7.14 víz 063080'!M11+'7.15 közvil 064010'!M11+'7.16 zöldterület 066010'!M11+'7.17 város 066020'!M11+'7.18 háziorvos 072111'!M11+'7.19 ügyelet 072112'!M11+'7.20 fülészet 072210'!M11+'7.21 védőnők 074031'!M11+'7.22 isk eü 074032'!M11+'7.23 sportcsépület 081030'!M11+'7.24 sport tám 081041'!M11+'7.25 diáksport 081043'!M11+'7.26 közműv 082091'!M11+'7.27 közműv 082092'!M11+'7.28  óvoda 091140'!M11+'7.29 intézmkiv gyétk 104037'!M11+'7.30 szoc étk 107051'!M11+'7.31 segélyek 107060'!M11+'7.32 adóbev 900020'!M11+'7.33 pályázatok összesen'!M11+'7.6 út építés 045127'!M11</f>
        <v>0</v>
      </c>
      <c r="N11" s="247">
        <f t="shared" ca="1" si="3"/>
        <v>254578513</v>
      </c>
    </row>
    <row r="12" spans="1:23" x14ac:dyDescent="0.25">
      <c r="A12" s="53" t="s">
        <v>49</v>
      </c>
      <c r="B12" s="62" t="s">
        <v>50</v>
      </c>
      <c r="C12" s="246">
        <f>'7.1. igazg 011130'!C12+'7.2 temető 013320'!C12+'7.3. vagyon 013350'!C12+'7.4 018010'!C12+'7.5 finansz műveletek 018030'!C12+'7.7 közütak működtetés 045160'!C12+'7.8 parkoló 045170'!C12+'7.9 kábeltv 046020'!C12+'7.10 piac 047120'!C12+'7.11 tdm tám047320'!C12+'7.12 szemét 051030'!C12+'7.13 szennyvíz 052080'!C12+'7.14 víz 063080'!C12+'7.15 közvil 064010'!C12+'7.16 zöldterület 066010'!C12+'7.17 város 066020'!C12+'7.18 háziorvos 072111'!C12+'7.19 ügyelet 072112'!C12+'7.20 fülészet 072210'!C12+'7.21 védőnők 074031'!C12+'7.22 isk eü 074032'!C12+'7.23 sportcsépület 081030'!C12+'7.24 sport tám 081041'!C12+'7.25 diáksport 081043'!C12+'7.26 közműv 082091'!C12+'7.27 közműv 082092'!C12+'7.28  óvoda 091140'!C12+'7.29 intézmkiv gyétk 104037'!C12+'7.30 szoc étk 107051'!C12+'7.31 segélyek 107060'!C12+'7.32 adóbev 900020'!C12+'7.33 pályázatok összesen'!C12+'7.6 út építés 045127'!C12</f>
        <v>108088484</v>
      </c>
      <c r="D12" s="246">
        <f>'7.1. igazg 011130'!D12+'7.2 temető 013320'!D12+'7.3. vagyon 013350'!D12+'7.4 018010'!D12+'7.5 finansz műveletek 018030'!D12+'7.7 közütak működtetés 045160'!D12+'7.8 parkoló 045170'!D12+'7.9 kábeltv 046020'!D12+'7.10 piac 047120'!D12+'7.11 tdm tám047320'!D12+'7.12 szemét 051030'!D12+'7.13 szennyvíz 052080'!D12+'7.14 víz 063080'!D12+'7.15 közvil 064010'!D12+'7.16 zöldterület 066010'!D12+'7.17 város 066020'!D12+'7.18 háziorvos 072111'!D12+'7.19 ügyelet 072112'!D12+'7.20 fülészet 072210'!D12+'7.21 védőnők 074031'!D12+'7.22 isk eü 074032'!D12+'7.23 sportcsépület 081030'!D12+'7.24 sport tám 081041'!D12+'7.25 diáksport 081043'!D12+'7.26 közműv 082091'!D12+'7.27 közműv 082092'!D12+'7.28  óvoda 091140'!D12+'7.29 intézmkiv gyétk 104037'!D12+'7.30 szoc étk 107051'!D12+'7.31 segélyek 107060'!D12+'7.32 adóbev 900020'!D12+'7.33 pályázatok összesen'!D12+'7.6 út építés 045127'!D12</f>
        <v>0</v>
      </c>
      <c r="E12" s="247">
        <f t="shared" si="0"/>
        <v>108088484</v>
      </c>
      <c r="F12" s="246">
        <f>'7.1. igazg 011130'!F12+'7.2 temető 013320'!F12+'7.3. vagyon 013350'!F12+'7.4 018010'!F12+'7.5 finansz műveletek 018030'!F12+'7.7 közütak működtetés 045160'!F12+'7.8 parkoló 045170'!F12+'7.9 kábeltv 046020'!F12+'7.10 piac 047120'!F12+'7.11 tdm tám047320'!F12+'7.12 szemét 051030'!F12+'7.13 szennyvíz 052080'!F12+'7.14 víz 063080'!F12+'7.15 közvil 064010'!F12+'7.16 zöldterület 066010'!F12+'7.17 város 066020'!F12+'7.18 háziorvos 072111'!F12+'7.19 ügyelet 072112'!F12+'7.20 fülészet 072210'!F12+'7.21 védőnők 074031'!F12+'7.22 isk eü 074032'!F12+'7.23 sportcsépület 081030'!F12+'7.24 sport tám 081041'!F12+'7.25 diáksport 081043'!F12+'7.26 közműv 082091'!F12+'7.27 közműv 082092'!F12+'7.28  óvoda 091140'!F12+'7.29 intézmkiv gyétk 104037'!F12+'7.30 szoc étk 107051'!F12+'7.31 segélyek 107060'!F12+'7.32 adóbev 900020'!F12+'7.33 pályázatok összesen'!F12+'7.6 út építés 045127'!F12</f>
        <v>110038484</v>
      </c>
      <c r="G12" s="246">
        <f>'7.1. igazg 011130'!G12+'7.2 temető 013320'!G12+'7.3. vagyon 013350'!G12+'7.4 018010'!G12+'7.5 finansz műveletek 018030'!G12+'7.7 közütak működtetés 045160'!G12+'7.8 parkoló 045170'!G12+'7.9 kábeltv 046020'!G12+'7.10 piac 047120'!G12+'7.11 tdm tám047320'!G12+'7.12 szemét 051030'!G12+'7.13 szennyvíz 052080'!G12+'7.14 víz 063080'!G12+'7.15 közvil 064010'!G12+'7.16 zöldterület 066010'!G12+'7.17 város 066020'!G12+'7.18 háziorvos 072111'!G12+'7.19 ügyelet 072112'!G12+'7.20 fülészet 072210'!G12+'7.21 védőnők 074031'!G12+'7.22 isk eü 074032'!G12+'7.23 sportcsépület 081030'!G12+'7.24 sport tám 081041'!G12+'7.25 diáksport 081043'!G12+'7.26 közműv 082091'!G12+'7.27 közműv 082092'!G12+'7.28  óvoda 091140'!G12+'7.29 intézmkiv gyétk 104037'!G12+'7.30 szoc étk 107051'!G12+'7.31 segélyek 107060'!G12+'7.32 adóbev 900020'!G12+'7.33 pályázatok összesen'!G12+'7.6 út építés 045127'!G12</f>
        <v>0</v>
      </c>
      <c r="H12" s="247">
        <f t="shared" si="1"/>
        <v>110038484</v>
      </c>
      <c r="I12" s="246">
        <f ca="1">'7.1. igazg 011130'!I12+'7.2 temető 013320'!I12+'7.3. vagyon 013350'!I12+'7.4 018010'!I12+'7.5 finansz műveletek 018030'!I12+'7.7 közütak működtetés 045160'!I12+'7.8 parkoló 045170'!I12+'7.9 kábeltv 046020'!I12+'7.10 piac 047120'!I12+'7.11 tdm tám047320'!I12+'7.12 szemét 051030'!I12+'7.13 szennyvíz 052080'!I12+'7.14 víz 063080'!I12+'7.15 közvil 064010'!I12+'7.16 zöldterület 066010'!I12+'7.17 város 066020'!I12+'7.18 háziorvos 072111'!I12+'7.19 ügyelet 072112'!I12+'7.20 fülészet 072210'!I12+'7.21 védőnők 074031'!I12+'7.22 isk eü 074032'!I12+'7.23 sportcsépület 081030'!I12+'7.24 sport tám 081041'!I12+'7.25 diáksport 081043'!I12+'7.26 közműv 082091'!I12+'7.27 közműv 082092'!I12+'7.28  óvoda 091140'!I12+'7.29 intézmkiv gyétk 104037'!I12+'7.30 szoc étk 107051'!I12+'7.31 segélyek 107060'!I12+'7.32 adóbev 900020'!I12+'7.33 pályázatok összesen'!I12+'7.6 út építés 045127'!I12</f>
        <v>113359674</v>
      </c>
      <c r="J12" s="246">
        <f>'7.1. igazg 011130'!J12+'7.2 temető 013320'!J12+'7.3. vagyon 013350'!J12+'7.4 018010'!J12+'7.5 finansz műveletek 018030'!J12+'7.7 közütak működtetés 045160'!J12+'7.8 parkoló 045170'!J12+'7.9 kábeltv 046020'!J12+'7.10 piac 047120'!J12+'7.11 tdm tám047320'!J12+'7.12 szemét 051030'!J12+'7.13 szennyvíz 052080'!J12+'7.14 víz 063080'!J12+'7.15 közvil 064010'!J12+'7.16 zöldterület 066010'!J12+'7.17 város 066020'!J12+'7.18 háziorvos 072111'!J12+'7.19 ügyelet 072112'!J12+'7.20 fülészet 072210'!J12+'7.21 védőnők 074031'!J12+'7.22 isk eü 074032'!J12+'7.23 sportcsépület 081030'!J12+'7.24 sport tám 081041'!J12+'7.25 diáksport 081043'!J12+'7.26 közműv 082091'!J12+'7.27 közműv 082092'!J12+'7.28  óvoda 091140'!J12+'7.29 intézmkiv gyétk 104037'!J12+'7.30 szoc étk 107051'!J12+'7.31 segélyek 107060'!J12+'7.32 adóbev 900020'!J12+'7.33 pályázatok összesen'!J12+'7.6 út építés 045127'!J12</f>
        <v>0</v>
      </c>
      <c r="K12" s="247">
        <f t="shared" ca="1" si="2"/>
        <v>113359674</v>
      </c>
      <c r="L12" s="246">
        <f ca="1">'7.1. igazg 011130'!L12+'7.2 temető 013320'!L12+'7.3. vagyon 013350'!L12+'7.4 018010'!L12+'7.5 finansz műveletek 018030'!L12+'7.7 közütak működtetés 045160'!L12+'7.8 parkoló 045170'!L12+'7.9 kábeltv 046020'!L12+'7.10 piac 047120'!L12+'7.11 tdm tám047320'!L12+'7.12 szemét 051030'!L12+'7.13 szennyvíz 052080'!L12+'7.14 víz 063080'!L12+'7.15 közvil 064010'!L12+'7.16 zöldterület 066010'!L12+'7.17 város 066020'!L12+'7.18 háziorvos 072111'!L12+'7.19 ügyelet 072112'!L12+'7.20 fülészet 072210'!L12+'7.21 védőnők 074031'!L12+'7.22 isk eü 074032'!L12+'7.23 sportcsépület 081030'!L12+'7.24 sport tám 081041'!L12+'7.25 diáksport 081043'!L12+'7.26 közműv 082091'!L12+'7.27 közműv 082092'!L12+'7.28  óvoda 091140'!L12+'7.29 intézmkiv gyétk 104037'!L12+'7.30 szoc étk 107051'!L12+'7.31 segélyek 107060'!L12+'7.32 adóbev 900020'!L12+'7.33 pályázatok összesen'!L12+'7.6 út építés 045127'!L12</f>
        <v>113359674</v>
      </c>
      <c r="M12" s="246">
        <f>'7.1. igazg 011130'!M12+'7.2 temető 013320'!M12+'7.3. vagyon 013350'!M12+'7.4 018010'!M12+'7.5 finansz műveletek 018030'!M12+'7.7 közütak működtetés 045160'!M12+'7.8 parkoló 045170'!M12+'7.9 kábeltv 046020'!M12+'7.10 piac 047120'!M12+'7.11 tdm tám047320'!M12+'7.12 szemét 051030'!M12+'7.13 szennyvíz 052080'!M12+'7.14 víz 063080'!M12+'7.15 közvil 064010'!M12+'7.16 zöldterület 066010'!M12+'7.17 város 066020'!M12+'7.18 háziorvos 072111'!M12+'7.19 ügyelet 072112'!M12+'7.20 fülészet 072210'!M12+'7.21 védőnők 074031'!M12+'7.22 isk eü 074032'!M12+'7.23 sportcsépület 081030'!M12+'7.24 sport tám 081041'!M12+'7.25 diáksport 081043'!M12+'7.26 közműv 082091'!M12+'7.27 közműv 082092'!M12+'7.28  óvoda 091140'!M12+'7.29 intézmkiv gyétk 104037'!M12+'7.30 szoc étk 107051'!M12+'7.31 segélyek 107060'!M12+'7.32 adóbev 900020'!M12+'7.33 pályázatok összesen'!M12+'7.6 út építés 045127'!M12</f>
        <v>0</v>
      </c>
      <c r="N12" s="247">
        <f t="shared" ca="1" si="3"/>
        <v>113359674</v>
      </c>
    </row>
    <row r="13" spans="1:23" x14ac:dyDescent="0.25">
      <c r="A13" s="53" t="s">
        <v>51</v>
      </c>
      <c r="B13" s="62" t="s">
        <v>52</v>
      </c>
      <c r="C13" s="246">
        <f>'7.1. igazg 011130'!C13+'7.2 temető 013320'!C13+'7.3. vagyon 013350'!C13+'7.4 018010'!C13+'7.5 finansz műveletek 018030'!C13+'7.7 közütak működtetés 045160'!C13+'7.8 parkoló 045170'!C13+'7.9 kábeltv 046020'!C13+'7.10 piac 047120'!C13+'7.11 tdm tám047320'!C13+'7.12 szemét 051030'!C13+'7.13 szennyvíz 052080'!C13+'7.14 víz 063080'!C13+'7.15 közvil 064010'!C13+'7.16 zöldterület 066010'!C13+'7.17 város 066020'!C13+'7.18 háziorvos 072111'!C13+'7.19 ügyelet 072112'!C13+'7.20 fülészet 072210'!C13+'7.21 védőnők 074031'!C13+'7.22 isk eü 074032'!C13+'7.23 sportcsépület 081030'!C13+'7.24 sport tám 081041'!C13+'7.25 diáksport 081043'!C13+'7.26 közműv 082091'!C13+'7.27 közműv 082092'!C13+'7.28  óvoda 091140'!C13+'7.29 intézmkiv gyétk 104037'!C13+'7.30 szoc étk 107051'!C13+'7.31 segélyek 107060'!C13+'7.32 adóbev 900020'!C13+'7.33 pályázatok összesen'!C13+'7.6 út építés 045127'!C13</f>
        <v>93444247</v>
      </c>
      <c r="D13" s="246">
        <f>'7.1. igazg 011130'!D13+'7.2 temető 013320'!D13+'7.3. vagyon 013350'!D13+'7.4 018010'!D13+'7.5 finansz műveletek 018030'!D13+'7.7 közütak működtetés 045160'!D13+'7.8 parkoló 045170'!D13+'7.9 kábeltv 046020'!D13+'7.10 piac 047120'!D13+'7.11 tdm tám047320'!D13+'7.12 szemét 051030'!D13+'7.13 szennyvíz 052080'!D13+'7.14 víz 063080'!D13+'7.15 közvil 064010'!D13+'7.16 zöldterület 066010'!D13+'7.17 város 066020'!D13+'7.18 háziorvos 072111'!D13+'7.19 ügyelet 072112'!D13+'7.20 fülészet 072210'!D13+'7.21 védőnők 074031'!D13+'7.22 isk eü 074032'!D13+'7.23 sportcsépület 081030'!D13+'7.24 sport tám 081041'!D13+'7.25 diáksport 081043'!D13+'7.26 közműv 082091'!D13+'7.27 közműv 082092'!D13+'7.28  óvoda 091140'!D13+'7.29 intézmkiv gyétk 104037'!D13+'7.30 szoc étk 107051'!D13+'7.31 segélyek 107060'!D13+'7.32 adóbev 900020'!D13+'7.33 pályázatok összesen'!D13+'7.6 út építés 045127'!D13</f>
        <v>0</v>
      </c>
      <c r="E13" s="247">
        <f t="shared" si="0"/>
        <v>93444247</v>
      </c>
      <c r="F13" s="246">
        <f>'7.1. igazg 011130'!F13+'7.2 temető 013320'!F13+'7.3. vagyon 013350'!F13+'7.4 018010'!F13+'7.5 finansz műveletek 018030'!F13+'7.7 közütak működtetés 045160'!F13+'7.8 parkoló 045170'!F13+'7.9 kábeltv 046020'!F13+'7.10 piac 047120'!F13+'7.11 tdm tám047320'!F13+'7.12 szemét 051030'!F13+'7.13 szennyvíz 052080'!F13+'7.14 víz 063080'!F13+'7.15 közvil 064010'!F13+'7.16 zöldterület 066010'!F13+'7.17 város 066020'!F13+'7.18 háziorvos 072111'!F13+'7.19 ügyelet 072112'!F13+'7.20 fülészet 072210'!F13+'7.21 védőnők 074031'!F13+'7.22 isk eü 074032'!F13+'7.23 sportcsépület 081030'!F13+'7.24 sport tám 081041'!F13+'7.25 diáksport 081043'!F13+'7.26 közműv 082091'!F13+'7.27 közműv 082092'!F13+'7.28  óvoda 091140'!F13+'7.29 intézmkiv gyétk 104037'!F13+'7.30 szoc étk 107051'!F13+'7.31 segélyek 107060'!F13+'7.32 adóbev 900020'!F13+'7.33 pályázatok összesen'!F13+'7.6 út építés 045127'!F13</f>
        <v>96385605</v>
      </c>
      <c r="G13" s="246">
        <f>'7.1. igazg 011130'!G13+'7.2 temető 013320'!G13+'7.3. vagyon 013350'!G13+'7.4 018010'!G13+'7.5 finansz műveletek 018030'!G13+'7.7 közütak működtetés 045160'!G13+'7.8 parkoló 045170'!G13+'7.9 kábeltv 046020'!G13+'7.10 piac 047120'!G13+'7.11 tdm tám047320'!G13+'7.12 szemét 051030'!G13+'7.13 szennyvíz 052080'!G13+'7.14 víz 063080'!G13+'7.15 közvil 064010'!G13+'7.16 zöldterület 066010'!G13+'7.17 város 066020'!G13+'7.18 háziorvos 072111'!G13+'7.19 ügyelet 072112'!G13+'7.20 fülészet 072210'!G13+'7.21 védőnők 074031'!G13+'7.22 isk eü 074032'!G13+'7.23 sportcsépület 081030'!G13+'7.24 sport tám 081041'!G13+'7.25 diáksport 081043'!G13+'7.26 közműv 082091'!G13+'7.27 közműv 082092'!G13+'7.28  óvoda 091140'!G13+'7.29 intézmkiv gyétk 104037'!G13+'7.30 szoc étk 107051'!G13+'7.31 segélyek 107060'!G13+'7.32 adóbev 900020'!G13+'7.33 pályázatok összesen'!G13+'7.6 út építés 045127'!G13</f>
        <v>0</v>
      </c>
      <c r="H13" s="247">
        <f t="shared" si="1"/>
        <v>96385605</v>
      </c>
      <c r="I13" s="246">
        <f ca="1">'7.1. igazg 011130'!I13+'7.2 temető 013320'!I13+'7.3. vagyon 013350'!I13+'7.4 018010'!I13+'7.5 finansz műveletek 018030'!I13+'7.7 közütak működtetés 045160'!I13+'7.8 parkoló 045170'!I13+'7.9 kábeltv 046020'!I13+'7.10 piac 047120'!I13+'7.11 tdm tám047320'!I13+'7.12 szemét 051030'!I13+'7.13 szennyvíz 052080'!I13+'7.14 víz 063080'!I13+'7.15 közvil 064010'!I13+'7.16 zöldterület 066010'!I13+'7.17 város 066020'!I13+'7.18 háziorvos 072111'!I13+'7.19 ügyelet 072112'!I13+'7.20 fülészet 072210'!I13+'7.21 védőnők 074031'!I13+'7.22 isk eü 074032'!I13+'7.23 sportcsépület 081030'!I13+'7.24 sport tám 081041'!I13+'7.25 diáksport 081043'!I13+'7.26 közműv 082091'!I13+'7.27 közműv 082092'!I13+'7.28  óvoda 091140'!I13+'7.29 intézmkiv gyétk 104037'!I13+'7.30 szoc étk 107051'!I13+'7.31 segélyek 107060'!I13+'7.32 adóbev 900020'!I13+'7.33 pályázatok összesen'!I13+'7.6 út építés 045127'!I13</f>
        <v>100209040</v>
      </c>
      <c r="J13" s="246">
        <f>'7.1. igazg 011130'!J13+'7.2 temető 013320'!J13+'7.3. vagyon 013350'!J13+'7.4 018010'!J13+'7.5 finansz műveletek 018030'!J13+'7.7 közütak működtetés 045160'!J13+'7.8 parkoló 045170'!J13+'7.9 kábeltv 046020'!J13+'7.10 piac 047120'!J13+'7.11 tdm tám047320'!J13+'7.12 szemét 051030'!J13+'7.13 szennyvíz 052080'!J13+'7.14 víz 063080'!J13+'7.15 közvil 064010'!J13+'7.16 zöldterület 066010'!J13+'7.17 város 066020'!J13+'7.18 háziorvos 072111'!J13+'7.19 ügyelet 072112'!J13+'7.20 fülészet 072210'!J13+'7.21 védőnők 074031'!J13+'7.22 isk eü 074032'!J13+'7.23 sportcsépület 081030'!J13+'7.24 sport tám 081041'!J13+'7.25 diáksport 081043'!J13+'7.26 közműv 082091'!J13+'7.27 közműv 082092'!J13+'7.28  óvoda 091140'!J13+'7.29 intézmkiv gyétk 104037'!J13+'7.30 szoc étk 107051'!J13+'7.31 segélyek 107060'!J13+'7.32 adóbev 900020'!J13+'7.33 pályázatok összesen'!J13+'7.6 út építés 045127'!J13</f>
        <v>0</v>
      </c>
      <c r="K13" s="247">
        <f t="shared" ca="1" si="2"/>
        <v>100209040</v>
      </c>
      <c r="L13" s="246">
        <f ca="1">'7.1. igazg 011130'!L13+'7.2 temető 013320'!L13+'7.3. vagyon 013350'!L13+'7.4 018010'!L13+'7.5 finansz műveletek 018030'!L13+'7.7 közütak működtetés 045160'!L13+'7.8 parkoló 045170'!L13+'7.9 kábeltv 046020'!L13+'7.10 piac 047120'!L13+'7.11 tdm tám047320'!L13+'7.12 szemét 051030'!L13+'7.13 szennyvíz 052080'!L13+'7.14 víz 063080'!L13+'7.15 közvil 064010'!L13+'7.16 zöldterület 066010'!L13+'7.17 város 066020'!L13+'7.18 háziorvos 072111'!L13+'7.19 ügyelet 072112'!L13+'7.20 fülészet 072210'!L13+'7.21 védőnők 074031'!L13+'7.22 isk eü 074032'!L13+'7.23 sportcsépület 081030'!L13+'7.24 sport tám 081041'!L13+'7.25 diáksport 081043'!L13+'7.26 közműv 082091'!L13+'7.27 közműv 082092'!L13+'7.28  óvoda 091140'!L13+'7.29 intézmkiv gyétk 104037'!L13+'7.30 szoc étk 107051'!L13+'7.31 segélyek 107060'!L13+'7.32 adóbev 900020'!L13+'7.33 pályázatok összesen'!L13+'7.6 út építés 045127'!L13</f>
        <v>100209040</v>
      </c>
      <c r="M13" s="246">
        <f>'7.1. igazg 011130'!M13+'7.2 temető 013320'!M13+'7.3. vagyon 013350'!M13+'7.4 018010'!M13+'7.5 finansz műveletek 018030'!M13+'7.7 közütak működtetés 045160'!M13+'7.8 parkoló 045170'!M13+'7.9 kábeltv 046020'!M13+'7.10 piac 047120'!M13+'7.11 tdm tám047320'!M13+'7.12 szemét 051030'!M13+'7.13 szennyvíz 052080'!M13+'7.14 víz 063080'!M13+'7.15 közvil 064010'!M13+'7.16 zöldterület 066010'!M13+'7.17 város 066020'!M13+'7.18 háziorvos 072111'!M13+'7.19 ügyelet 072112'!M13+'7.20 fülészet 072210'!M13+'7.21 védőnők 074031'!M13+'7.22 isk eü 074032'!M13+'7.23 sportcsépület 081030'!M13+'7.24 sport tám 081041'!M13+'7.25 diáksport 081043'!M13+'7.26 közműv 082091'!M13+'7.27 közműv 082092'!M13+'7.28  óvoda 091140'!M13+'7.29 intézmkiv gyétk 104037'!M13+'7.30 szoc étk 107051'!M13+'7.31 segélyek 107060'!M13+'7.32 adóbev 900020'!M13+'7.33 pályázatok összesen'!M13+'7.6 út építés 045127'!M13</f>
        <v>0</v>
      </c>
      <c r="N13" s="247">
        <f t="shared" ca="1" si="3"/>
        <v>100209040</v>
      </c>
    </row>
    <row r="14" spans="1:23" x14ac:dyDescent="0.25">
      <c r="A14" s="53" t="s">
        <v>53</v>
      </c>
      <c r="B14" s="62" t="s">
        <v>54</v>
      </c>
      <c r="C14" s="246">
        <f>'7.1. igazg 011130'!C14+'7.2 temető 013320'!C14+'7.3. vagyon 013350'!C14+'7.4 018010'!C14+'7.5 finansz műveletek 018030'!C14+'7.7 közütak működtetés 045160'!C14+'7.8 parkoló 045170'!C14+'7.9 kábeltv 046020'!C14+'7.10 piac 047120'!C14+'7.11 tdm tám047320'!C14+'7.12 szemét 051030'!C14+'7.13 szennyvíz 052080'!C14+'7.14 víz 063080'!C14+'7.15 közvil 064010'!C14+'7.16 zöldterület 066010'!C14+'7.17 város 066020'!C14+'7.18 háziorvos 072111'!C14+'7.19 ügyelet 072112'!C14+'7.20 fülészet 072210'!C14+'7.21 védőnők 074031'!C14+'7.22 isk eü 074032'!C14+'7.23 sportcsépület 081030'!C14+'7.24 sport tám 081041'!C14+'7.25 diáksport 081043'!C14+'7.26 közműv 082091'!C14+'7.27 közműv 082092'!C14+'7.28  óvoda 091140'!C14+'7.29 intézmkiv gyétk 104037'!C14+'7.30 szoc étk 107051'!C14+'7.31 segélyek 107060'!C14+'7.32 adóbev 900020'!C14+'7.33 pályázatok összesen'!C14+'7.6 út építés 045127'!C14</f>
        <v>5552690</v>
      </c>
      <c r="D14" s="246">
        <f>'7.1. igazg 011130'!D14+'7.2 temető 013320'!D14+'7.3. vagyon 013350'!D14+'7.4 018010'!D14+'7.5 finansz műveletek 018030'!D14+'7.7 közütak működtetés 045160'!D14+'7.8 parkoló 045170'!D14+'7.9 kábeltv 046020'!D14+'7.10 piac 047120'!D14+'7.11 tdm tám047320'!D14+'7.12 szemét 051030'!D14+'7.13 szennyvíz 052080'!D14+'7.14 víz 063080'!D14+'7.15 közvil 064010'!D14+'7.16 zöldterület 066010'!D14+'7.17 város 066020'!D14+'7.18 háziorvos 072111'!D14+'7.19 ügyelet 072112'!D14+'7.20 fülészet 072210'!D14+'7.21 védőnők 074031'!D14+'7.22 isk eü 074032'!D14+'7.23 sportcsépület 081030'!D14+'7.24 sport tám 081041'!D14+'7.25 diáksport 081043'!D14+'7.26 közműv 082091'!D14+'7.27 közműv 082092'!D14+'7.28  óvoda 091140'!D14+'7.29 intézmkiv gyétk 104037'!D14+'7.30 szoc étk 107051'!D14+'7.31 segélyek 107060'!D14+'7.32 adóbev 900020'!D14+'7.33 pályázatok összesen'!D14+'7.6 út építés 045127'!D14</f>
        <v>0</v>
      </c>
      <c r="E14" s="247">
        <f t="shared" si="0"/>
        <v>5552690</v>
      </c>
      <c r="F14" s="246">
        <f>'7.1. igazg 011130'!F14+'7.2 temető 013320'!F14+'7.3. vagyon 013350'!F14+'7.4 018010'!F14+'7.5 finansz műveletek 018030'!F14+'7.7 közütak működtetés 045160'!F14+'7.8 parkoló 045170'!F14+'7.9 kábeltv 046020'!F14+'7.10 piac 047120'!F14+'7.11 tdm tám047320'!F14+'7.12 szemét 051030'!F14+'7.13 szennyvíz 052080'!F14+'7.14 víz 063080'!F14+'7.15 közvil 064010'!F14+'7.16 zöldterület 066010'!F14+'7.17 város 066020'!F14+'7.18 háziorvos 072111'!F14+'7.19 ügyelet 072112'!F14+'7.20 fülészet 072210'!F14+'7.21 védőnők 074031'!F14+'7.22 isk eü 074032'!F14+'7.23 sportcsépület 081030'!F14+'7.24 sport tám 081041'!F14+'7.25 diáksport 081043'!F14+'7.26 közműv 082091'!F14+'7.27 közműv 082092'!F14+'7.28  óvoda 091140'!F14+'7.29 intézmkiv gyétk 104037'!F14+'7.30 szoc étk 107051'!F14+'7.31 segélyek 107060'!F14+'7.32 adóbev 900020'!F14+'7.33 pályázatok összesen'!F14+'7.6 út építés 045127'!F14</f>
        <v>5552690</v>
      </c>
      <c r="G14" s="246">
        <f>'7.1. igazg 011130'!G14+'7.2 temető 013320'!G14+'7.3. vagyon 013350'!G14+'7.4 018010'!G14+'7.5 finansz műveletek 018030'!G14+'7.7 közütak működtetés 045160'!G14+'7.8 parkoló 045170'!G14+'7.9 kábeltv 046020'!G14+'7.10 piac 047120'!G14+'7.11 tdm tám047320'!G14+'7.12 szemét 051030'!G14+'7.13 szennyvíz 052080'!G14+'7.14 víz 063080'!G14+'7.15 közvil 064010'!G14+'7.16 zöldterület 066010'!G14+'7.17 város 066020'!G14+'7.18 háziorvos 072111'!G14+'7.19 ügyelet 072112'!G14+'7.20 fülészet 072210'!G14+'7.21 védőnők 074031'!G14+'7.22 isk eü 074032'!G14+'7.23 sportcsépület 081030'!G14+'7.24 sport tám 081041'!G14+'7.25 diáksport 081043'!G14+'7.26 közműv 082091'!G14+'7.27 közműv 082092'!G14+'7.28  óvoda 091140'!G14+'7.29 intézmkiv gyétk 104037'!G14+'7.30 szoc étk 107051'!G14+'7.31 segélyek 107060'!G14+'7.32 adóbev 900020'!G14+'7.33 pályázatok összesen'!G14+'7.6 út építés 045127'!G14</f>
        <v>0</v>
      </c>
      <c r="H14" s="247">
        <f t="shared" si="1"/>
        <v>5552690</v>
      </c>
      <c r="I14" s="246">
        <f ca="1">'7.1. igazg 011130'!I14+'7.2 temető 013320'!I14+'7.3. vagyon 013350'!I14+'7.4 018010'!I14+'7.5 finansz műveletek 018030'!I14+'7.7 közütak működtetés 045160'!I14+'7.8 parkoló 045170'!I14+'7.9 kábeltv 046020'!I14+'7.10 piac 047120'!I14+'7.11 tdm tám047320'!I14+'7.12 szemét 051030'!I14+'7.13 szennyvíz 052080'!I14+'7.14 víz 063080'!I14+'7.15 közvil 064010'!I14+'7.16 zöldterület 066010'!I14+'7.17 város 066020'!I14+'7.18 háziorvos 072111'!I14+'7.19 ügyelet 072112'!I14+'7.20 fülészet 072210'!I14+'7.21 védőnők 074031'!I14+'7.22 isk eü 074032'!I14+'7.23 sportcsépület 081030'!I14+'7.24 sport tám 081041'!I14+'7.25 diáksport 081043'!I14+'7.26 közműv 082091'!I14+'7.27 közműv 082092'!I14+'7.28  óvoda 091140'!I14+'7.29 intézmkiv gyétk 104037'!I14+'7.30 szoc étk 107051'!I14+'7.31 segélyek 107060'!I14+'7.32 adóbev 900020'!I14+'7.33 pályázatok összesen'!I14+'7.6 út építés 045127'!I14</f>
        <v>5552690</v>
      </c>
      <c r="J14" s="246">
        <f>'7.1. igazg 011130'!J14+'7.2 temető 013320'!J14+'7.3. vagyon 013350'!J14+'7.4 018010'!J14+'7.5 finansz műveletek 018030'!J14+'7.7 közütak működtetés 045160'!J14+'7.8 parkoló 045170'!J14+'7.9 kábeltv 046020'!J14+'7.10 piac 047120'!J14+'7.11 tdm tám047320'!J14+'7.12 szemét 051030'!J14+'7.13 szennyvíz 052080'!J14+'7.14 víz 063080'!J14+'7.15 közvil 064010'!J14+'7.16 zöldterület 066010'!J14+'7.17 város 066020'!J14+'7.18 háziorvos 072111'!J14+'7.19 ügyelet 072112'!J14+'7.20 fülészet 072210'!J14+'7.21 védőnők 074031'!J14+'7.22 isk eü 074032'!J14+'7.23 sportcsépület 081030'!J14+'7.24 sport tám 081041'!J14+'7.25 diáksport 081043'!J14+'7.26 közműv 082091'!J14+'7.27 közműv 082092'!J14+'7.28  óvoda 091140'!J14+'7.29 intézmkiv gyétk 104037'!J14+'7.30 szoc étk 107051'!J14+'7.31 segélyek 107060'!J14+'7.32 adóbev 900020'!J14+'7.33 pályázatok összesen'!J14+'7.6 út építés 045127'!J14</f>
        <v>0</v>
      </c>
      <c r="K14" s="247">
        <f t="shared" ca="1" si="2"/>
        <v>5552690</v>
      </c>
      <c r="L14" s="246">
        <f ca="1">'7.1. igazg 011130'!L14+'7.2 temető 013320'!L14+'7.3. vagyon 013350'!L14+'7.4 018010'!L14+'7.5 finansz műveletek 018030'!L14+'7.7 közütak működtetés 045160'!L14+'7.8 parkoló 045170'!L14+'7.9 kábeltv 046020'!L14+'7.10 piac 047120'!L14+'7.11 tdm tám047320'!L14+'7.12 szemét 051030'!L14+'7.13 szennyvíz 052080'!L14+'7.14 víz 063080'!L14+'7.15 közvil 064010'!L14+'7.16 zöldterület 066010'!L14+'7.17 város 066020'!L14+'7.18 háziorvos 072111'!L14+'7.19 ügyelet 072112'!L14+'7.20 fülészet 072210'!L14+'7.21 védőnők 074031'!L14+'7.22 isk eü 074032'!L14+'7.23 sportcsépület 081030'!L14+'7.24 sport tám 081041'!L14+'7.25 diáksport 081043'!L14+'7.26 közműv 082091'!L14+'7.27 közműv 082092'!L14+'7.28  óvoda 091140'!L14+'7.29 intézmkiv gyétk 104037'!L14+'7.30 szoc étk 107051'!L14+'7.31 segélyek 107060'!L14+'7.32 adóbev 900020'!L14+'7.33 pályázatok összesen'!L14+'7.6 út építés 045127'!L14</f>
        <v>5552690</v>
      </c>
      <c r="M14" s="246">
        <f>'7.1. igazg 011130'!M14+'7.2 temető 013320'!M14+'7.3. vagyon 013350'!M14+'7.4 018010'!M14+'7.5 finansz műveletek 018030'!M14+'7.7 közütak működtetés 045160'!M14+'7.8 parkoló 045170'!M14+'7.9 kábeltv 046020'!M14+'7.10 piac 047120'!M14+'7.11 tdm tám047320'!M14+'7.12 szemét 051030'!M14+'7.13 szennyvíz 052080'!M14+'7.14 víz 063080'!M14+'7.15 közvil 064010'!M14+'7.16 zöldterület 066010'!M14+'7.17 város 066020'!M14+'7.18 háziorvos 072111'!M14+'7.19 ügyelet 072112'!M14+'7.20 fülészet 072210'!M14+'7.21 védőnők 074031'!M14+'7.22 isk eü 074032'!M14+'7.23 sportcsépület 081030'!M14+'7.24 sport tám 081041'!M14+'7.25 diáksport 081043'!M14+'7.26 közműv 082091'!M14+'7.27 közműv 082092'!M14+'7.28  óvoda 091140'!M14+'7.29 intézmkiv gyétk 104037'!M14+'7.30 szoc étk 107051'!M14+'7.31 segélyek 107060'!M14+'7.32 adóbev 900020'!M14+'7.33 pályázatok összesen'!M14+'7.6 út építés 045127'!M14</f>
        <v>0</v>
      </c>
      <c r="N14" s="247">
        <f t="shared" ca="1" si="3"/>
        <v>5552690</v>
      </c>
    </row>
    <row r="15" spans="1:23" x14ac:dyDescent="0.25">
      <c r="A15" s="53" t="s">
        <v>55</v>
      </c>
      <c r="B15" s="62" t="s">
        <v>56</v>
      </c>
      <c r="C15" s="246">
        <f>'7.1. igazg 011130'!C15+'7.2 temető 013320'!C15+'7.3. vagyon 013350'!C15+'7.4 018010'!C15+'7.5 finansz műveletek 018030'!C15+'7.7 közütak működtetés 045160'!C15+'7.8 parkoló 045170'!C15+'7.9 kábeltv 046020'!C15+'7.10 piac 047120'!C15+'7.11 tdm tám047320'!C15+'7.12 szemét 051030'!C15+'7.13 szennyvíz 052080'!C15+'7.14 víz 063080'!C15+'7.15 közvil 064010'!C15+'7.16 zöldterület 066010'!C15+'7.17 város 066020'!C15+'7.18 háziorvos 072111'!C15+'7.19 ügyelet 072112'!C15+'7.20 fülészet 072210'!C15+'7.21 védőnők 074031'!C15+'7.22 isk eü 074032'!C15+'7.23 sportcsépület 081030'!C15+'7.24 sport tám 081041'!C15+'7.25 diáksport 081043'!C15+'7.26 közműv 082091'!C15+'7.27 közműv 082092'!C15+'7.28  óvoda 091140'!C15+'7.29 intézmkiv gyétk 104037'!C15+'7.30 szoc étk 107051'!C15+'7.31 segélyek 107060'!C15+'7.32 adóbev 900020'!C15+'7.33 pályázatok összesen'!C15+'7.6 út építés 045127'!C15</f>
        <v>0</v>
      </c>
      <c r="D15" s="246">
        <f>'7.1. igazg 011130'!D15+'7.2 temető 013320'!D15+'7.3. vagyon 013350'!D15+'7.4 018010'!D15+'7.5 finansz műveletek 018030'!D15+'7.7 közütak működtetés 045160'!D15+'7.8 parkoló 045170'!D15+'7.9 kábeltv 046020'!D15+'7.10 piac 047120'!D15+'7.11 tdm tám047320'!D15+'7.12 szemét 051030'!D15+'7.13 szennyvíz 052080'!D15+'7.14 víz 063080'!D15+'7.15 közvil 064010'!D15+'7.16 zöldterület 066010'!D15+'7.17 város 066020'!D15+'7.18 háziorvos 072111'!D15+'7.19 ügyelet 072112'!D15+'7.20 fülészet 072210'!D15+'7.21 védőnők 074031'!D15+'7.22 isk eü 074032'!D15+'7.23 sportcsépület 081030'!D15+'7.24 sport tám 081041'!D15+'7.25 diáksport 081043'!D15+'7.26 közműv 082091'!D15+'7.27 közműv 082092'!D15+'7.28  óvoda 091140'!D15+'7.29 intézmkiv gyétk 104037'!D15+'7.30 szoc étk 107051'!D15+'7.31 segélyek 107060'!D15+'7.32 adóbev 900020'!D15+'7.33 pályázatok összesen'!D15+'7.6 út építés 045127'!D15</f>
        <v>0</v>
      </c>
      <c r="E15" s="247">
        <f t="shared" si="0"/>
        <v>0</v>
      </c>
      <c r="F15" s="246">
        <f>'7.1. igazg 011130'!F15+'7.2 temető 013320'!F15+'7.3. vagyon 013350'!F15+'7.4 018010'!F15+'7.5 finansz műveletek 018030'!F15+'7.7 közütak működtetés 045160'!F15+'7.8 parkoló 045170'!F15+'7.9 kábeltv 046020'!F15+'7.10 piac 047120'!F15+'7.11 tdm tám047320'!F15+'7.12 szemét 051030'!F15+'7.13 szennyvíz 052080'!F15+'7.14 víz 063080'!F15+'7.15 közvil 064010'!F15+'7.16 zöldterület 066010'!F15+'7.17 város 066020'!F15+'7.18 háziorvos 072111'!F15+'7.19 ügyelet 072112'!F15+'7.20 fülészet 072210'!F15+'7.21 védőnők 074031'!F15+'7.22 isk eü 074032'!F15+'7.23 sportcsépület 081030'!F15+'7.24 sport tám 081041'!F15+'7.25 diáksport 081043'!F15+'7.26 közműv 082091'!F15+'7.27 közműv 082092'!F15+'7.28  óvoda 091140'!F15+'7.29 intézmkiv gyétk 104037'!F15+'7.30 szoc étk 107051'!F15+'7.31 segélyek 107060'!F15+'7.32 adóbev 900020'!F15+'7.33 pályázatok összesen'!F15+'7.6 út építés 045127'!F15</f>
        <v>1986280</v>
      </c>
      <c r="G15" s="246">
        <f>'7.1. igazg 011130'!G15+'7.2 temető 013320'!G15+'7.3. vagyon 013350'!G15+'7.4 018010'!G15+'7.5 finansz műveletek 018030'!G15+'7.7 közütak működtetés 045160'!G15+'7.8 parkoló 045170'!G15+'7.9 kábeltv 046020'!G15+'7.10 piac 047120'!G15+'7.11 tdm tám047320'!G15+'7.12 szemét 051030'!G15+'7.13 szennyvíz 052080'!G15+'7.14 víz 063080'!G15+'7.15 közvil 064010'!G15+'7.16 zöldterület 066010'!G15+'7.17 város 066020'!G15+'7.18 háziorvos 072111'!G15+'7.19 ügyelet 072112'!G15+'7.20 fülészet 072210'!G15+'7.21 védőnők 074031'!G15+'7.22 isk eü 074032'!G15+'7.23 sportcsépület 081030'!G15+'7.24 sport tám 081041'!G15+'7.25 diáksport 081043'!G15+'7.26 közműv 082091'!G15+'7.27 közműv 082092'!G15+'7.28  óvoda 091140'!G15+'7.29 intézmkiv gyétk 104037'!G15+'7.30 szoc étk 107051'!G15+'7.31 segélyek 107060'!G15+'7.32 adóbev 900020'!G15+'7.33 pályázatok összesen'!G15+'7.6 út építés 045127'!G15</f>
        <v>0</v>
      </c>
      <c r="H15" s="247">
        <f t="shared" si="1"/>
        <v>1986280</v>
      </c>
      <c r="I15" s="246">
        <f ca="1">'7.1. igazg 011130'!I15+'7.2 temető 013320'!I15+'7.3. vagyon 013350'!I15+'7.4 018010'!I15+'7.5 finansz műveletek 018030'!I15+'7.7 közütak működtetés 045160'!I15+'7.8 parkoló 045170'!I15+'7.9 kábeltv 046020'!I15+'7.10 piac 047120'!I15+'7.11 tdm tám047320'!I15+'7.12 szemét 051030'!I15+'7.13 szennyvíz 052080'!I15+'7.14 víz 063080'!I15+'7.15 közvil 064010'!I15+'7.16 zöldterület 066010'!I15+'7.17 város 066020'!I15+'7.18 háziorvos 072111'!I15+'7.19 ügyelet 072112'!I15+'7.20 fülészet 072210'!I15+'7.21 védőnők 074031'!I15+'7.22 isk eü 074032'!I15+'7.23 sportcsépület 081030'!I15+'7.24 sport tám 081041'!I15+'7.25 diáksport 081043'!I15+'7.26 közműv 082091'!I15+'7.27 közműv 082092'!I15+'7.28  óvoda 091140'!I15+'7.29 intézmkiv gyétk 104037'!I15+'7.30 szoc étk 107051'!I15+'7.31 segélyek 107060'!I15+'7.32 adóbev 900020'!I15+'7.33 pályázatok összesen'!I15+'7.6 út építés 045127'!I15</f>
        <v>18736680</v>
      </c>
      <c r="J15" s="246">
        <f>'7.1. igazg 011130'!J15+'7.2 temető 013320'!J15+'7.3. vagyon 013350'!J15+'7.4 018010'!J15+'7.5 finansz műveletek 018030'!J15+'7.7 közütak működtetés 045160'!J15+'7.8 parkoló 045170'!J15+'7.9 kábeltv 046020'!J15+'7.10 piac 047120'!J15+'7.11 tdm tám047320'!J15+'7.12 szemét 051030'!J15+'7.13 szennyvíz 052080'!J15+'7.14 víz 063080'!J15+'7.15 közvil 064010'!J15+'7.16 zöldterület 066010'!J15+'7.17 város 066020'!J15+'7.18 háziorvos 072111'!J15+'7.19 ügyelet 072112'!J15+'7.20 fülészet 072210'!J15+'7.21 védőnők 074031'!J15+'7.22 isk eü 074032'!J15+'7.23 sportcsépület 081030'!J15+'7.24 sport tám 081041'!J15+'7.25 diáksport 081043'!J15+'7.26 közműv 082091'!J15+'7.27 közműv 082092'!J15+'7.28  óvoda 091140'!J15+'7.29 intézmkiv gyétk 104037'!J15+'7.30 szoc étk 107051'!J15+'7.31 segélyek 107060'!J15+'7.32 adóbev 900020'!J15+'7.33 pályázatok összesen'!J15+'7.6 út építés 045127'!J15</f>
        <v>0</v>
      </c>
      <c r="K15" s="247">
        <f t="shared" ca="1" si="2"/>
        <v>18736680</v>
      </c>
      <c r="L15" s="246">
        <f ca="1">'7.1. igazg 011130'!L15+'7.2 temető 013320'!L15+'7.3. vagyon 013350'!L15+'7.4 018010'!L15+'7.5 finansz műveletek 018030'!L15+'7.7 közütak működtetés 045160'!L15+'7.8 parkoló 045170'!L15+'7.9 kábeltv 046020'!L15+'7.10 piac 047120'!L15+'7.11 tdm tám047320'!L15+'7.12 szemét 051030'!L15+'7.13 szennyvíz 052080'!L15+'7.14 víz 063080'!L15+'7.15 közvil 064010'!L15+'7.16 zöldterület 066010'!L15+'7.17 város 066020'!L15+'7.18 háziorvos 072111'!L15+'7.19 ügyelet 072112'!L15+'7.20 fülészet 072210'!L15+'7.21 védőnők 074031'!L15+'7.22 isk eü 074032'!L15+'7.23 sportcsépület 081030'!L15+'7.24 sport tám 081041'!L15+'7.25 diáksport 081043'!L15+'7.26 közműv 082091'!L15+'7.27 közműv 082092'!L15+'7.28  óvoda 091140'!L15+'7.29 intézmkiv gyétk 104037'!L15+'7.30 szoc étk 107051'!L15+'7.31 segélyek 107060'!L15+'7.32 adóbev 900020'!L15+'7.33 pályázatok összesen'!L15+'7.6 út építés 045127'!L15</f>
        <v>18736680</v>
      </c>
      <c r="M15" s="246">
        <f>'7.1. igazg 011130'!M15+'7.2 temető 013320'!M15+'7.3. vagyon 013350'!M15+'7.4 018010'!M15+'7.5 finansz műveletek 018030'!M15+'7.7 közütak működtetés 045160'!M15+'7.8 parkoló 045170'!M15+'7.9 kábeltv 046020'!M15+'7.10 piac 047120'!M15+'7.11 tdm tám047320'!M15+'7.12 szemét 051030'!M15+'7.13 szennyvíz 052080'!M15+'7.14 víz 063080'!M15+'7.15 közvil 064010'!M15+'7.16 zöldterület 066010'!M15+'7.17 város 066020'!M15+'7.18 háziorvos 072111'!M15+'7.19 ügyelet 072112'!M15+'7.20 fülészet 072210'!M15+'7.21 védőnők 074031'!M15+'7.22 isk eü 074032'!M15+'7.23 sportcsépület 081030'!M15+'7.24 sport tám 081041'!M15+'7.25 diáksport 081043'!M15+'7.26 közműv 082091'!M15+'7.27 közműv 082092'!M15+'7.28  óvoda 091140'!M15+'7.29 intézmkiv gyétk 104037'!M15+'7.30 szoc étk 107051'!M15+'7.31 segélyek 107060'!M15+'7.32 adóbev 900020'!M15+'7.33 pályázatok összesen'!M15+'7.6 út építés 045127'!M15</f>
        <v>0</v>
      </c>
      <c r="N15" s="247">
        <f t="shared" ca="1" si="3"/>
        <v>18736680</v>
      </c>
    </row>
    <row r="16" spans="1:23" x14ac:dyDescent="0.25">
      <c r="A16" s="53" t="s">
        <v>57</v>
      </c>
      <c r="B16" s="62" t="s">
        <v>58</v>
      </c>
      <c r="C16" s="246">
        <f>'7.1. igazg 011130'!C16+'7.2 temető 013320'!C16+'7.3. vagyon 013350'!C16+'7.4 018010'!C16+'7.5 finansz műveletek 018030'!C16+'7.7 közütak működtetés 045160'!C16+'7.8 parkoló 045170'!C16+'7.9 kábeltv 046020'!C16+'7.10 piac 047120'!C16+'7.11 tdm tám047320'!C16+'7.12 szemét 051030'!C16+'7.13 szennyvíz 052080'!C16+'7.14 víz 063080'!C16+'7.15 közvil 064010'!C16+'7.16 zöldterület 066010'!C16+'7.17 város 066020'!C16+'7.18 háziorvos 072111'!C16+'7.19 ügyelet 072112'!C16+'7.20 fülészet 072210'!C16+'7.21 védőnők 074031'!C16+'7.22 isk eü 074032'!C16+'7.23 sportcsépület 081030'!C16+'7.24 sport tám 081041'!C16+'7.25 diáksport 081043'!C16+'7.26 közműv 082091'!C16+'7.27 közműv 082092'!C16+'7.28  óvoda 091140'!C16+'7.29 intézmkiv gyétk 104037'!C16+'7.30 szoc étk 107051'!C16+'7.31 segélyek 107060'!C16+'7.32 adóbev 900020'!C16+'7.33 pályázatok összesen'!C16+'7.6 út építés 045127'!C16</f>
        <v>0</v>
      </c>
      <c r="D16" s="246">
        <f>'7.1. igazg 011130'!D16+'7.2 temető 013320'!D16+'7.3. vagyon 013350'!D16+'7.4 018010'!D16+'7.5 finansz műveletek 018030'!D16+'7.7 közütak működtetés 045160'!D16+'7.8 parkoló 045170'!D16+'7.9 kábeltv 046020'!D16+'7.10 piac 047120'!D16+'7.11 tdm tám047320'!D16+'7.12 szemét 051030'!D16+'7.13 szennyvíz 052080'!D16+'7.14 víz 063080'!D16+'7.15 közvil 064010'!D16+'7.16 zöldterület 066010'!D16+'7.17 város 066020'!D16+'7.18 háziorvos 072111'!D16+'7.19 ügyelet 072112'!D16+'7.20 fülészet 072210'!D16+'7.21 védőnők 074031'!D16+'7.22 isk eü 074032'!D16+'7.23 sportcsépület 081030'!D16+'7.24 sport tám 081041'!D16+'7.25 diáksport 081043'!D16+'7.26 közműv 082091'!D16+'7.27 közműv 082092'!D16+'7.28  óvoda 091140'!D16+'7.29 intézmkiv gyétk 104037'!D16+'7.30 szoc étk 107051'!D16+'7.31 segélyek 107060'!D16+'7.32 adóbev 900020'!D16+'7.33 pályázatok összesen'!D16+'7.6 út építés 045127'!D16</f>
        <v>0</v>
      </c>
      <c r="E16" s="247">
        <f t="shared" si="0"/>
        <v>0</v>
      </c>
      <c r="F16" s="246">
        <f>'7.1. igazg 011130'!F16+'7.2 temető 013320'!F16+'7.3. vagyon 013350'!F16+'7.4 018010'!F16+'7.5 finansz műveletek 018030'!F16+'7.7 közütak működtetés 045160'!F16+'7.8 parkoló 045170'!F16+'7.9 kábeltv 046020'!F16+'7.10 piac 047120'!F16+'7.11 tdm tám047320'!F16+'7.12 szemét 051030'!F16+'7.13 szennyvíz 052080'!F16+'7.14 víz 063080'!F16+'7.15 közvil 064010'!F16+'7.16 zöldterület 066010'!F16+'7.17 város 066020'!F16+'7.18 háziorvos 072111'!F16+'7.19 ügyelet 072112'!F16+'7.20 fülészet 072210'!F16+'7.21 védőnők 074031'!F16+'7.22 isk eü 074032'!F16+'7.23 sportcsépület 081030'!F16+'7.24 sport tám 081041'!F16+'7.25 diáksport 081043'!F16+'7.26 közműv 082091'!F16+'7.27 közműv 082092'!F16+'7.28  óvoda 091140'!F16+'7.29 intézmkiv gyétk 104037'!F16+'7.30 szoc étk 107051'!F16+'7.31 segélyek 107060'!F16+'7.32 adóbev 900020'!F16+'7.33 pályázatok összesen'!F16+'7.6 út építés 045127'!F16</f>
        <v>0</v>
      </c>
      <c r="G16" s="246">
        <f>'7.1. igazg 011130'!G16+'7.2 temető 013320'!G16+'7.3. vagyon 013350'!G16+'7.4 018010'!G16+'7.5 finansz műveletek 018030'!G16+'7.7 közütak működtetés 045160'!G16+'7.8 parkoló 045170'!G16+'7.9 kábeltv 046020'!G16+'7.10 piac 047120'!G16+'7.11 tdm tám047320'!G16+'7.12 szemét 051030'!G16+'7.13 szennyvíz 052080'!G16+'7.14 víz 063080'!G16+'7.15 közvil 064010'!G16+'7.16 zöldterület 066010'!G16+'7.17 város 066020'!G16+'7.18 háziorvos 072111'!G16+'7.19 ügyelet 072112'!G16+'7.20 fülészet 072210'!G16+'7.21 védőnők 074031'!G16+'7.22 isk eü 074032'!G16+'7.23 sportcsépület 081030'!G16+'7.24 sport tám 081041'!G16+'7.25 diáksport 081043'!G16+'7.26 közműv 082091'!G16+'7.27 közműv 082092'!G16+'7.28  óvoda 091140'!G16+'7.29 intézmkiv gyétk 104037'!G16+'7.30 szoc étk 107051'!G16+'7.31 segélyek 107060'!G16+'7.32 adóbev 900020'!G16+'7.33 pályázatok összesen'!G16+'7.6 út építés 045127'!G16</f>
        <v>0</v>
      </c>
      <c r="H16" s="247">
        <f t="shared" si="1"/>
        <v>0</v>
      </c>
      <c r="I16" s="246">
        <f ca="1">'7.1. igazg 011130'!I16+'7.2 temető 013320'!I16+'7.3. vagyon 013350'!I16+'7.4 018010'!I16+'7.5 finansz műveletek 018030'!I16+'7.7 közütak működtetés 045160'!I16+'7.8 parkoló 045170'!I16+'7.9 kábeltv 046020'!I16+'7.10 piac 047120'!I16+'7.11 tdm tám047320'!I16+'7.12 szemét 051030'!I16+'7.13 szennyvíz 052080'!I16+'7.14 víz 063080'!I16+'7.15 közvil 064010'!I16+'7.16 zöldterület 066010'!I16+'7.17 város 066020'!I16+'7.18 háziorvos 072111'!I16+'7.19 ügyelet 072112'!I16+'7.20 fülészet 072210'!I16+'7.21 védőnők 074031'!I16+'7.22 isk eü 074032'!I16+'7.23 sportcsépület 081030'!I16+'7.24 sport tám 081041'!I16+'7.25 diáksport 081043'!I16+'7.26 közműv 082091'!I16+'7.27 közműv 082092'!I16+'7.28  óvoda 091140'!I16+'7.29 intézmkiv gyétk 104037'!I16+'7.30 szoc étk 107051'!I16+'7.31 segélyek 107060'!I16+'7.32 adóbev 900020'!I16+'7.33 pályázatok összesen'!I16+'7.6 út építés 045127'!I16</f>
        <v>1107533</v>
      </c>
      <c r="J16" s="246">
        <f>'7.1. igazg 011130'!J16+'7.2 temető 013320'!J16+'7.3. vagyon 013350'!J16+'7.4 018010'!J16+'7.5 finansz műveletek 018030'!J16+'7.7 közütak működtetés 045160'!J16+'7.8 parkoló 045170'!J16+'7.9 kábeltv 046020'!J16+'7.10 piac 047120'!J16+'7.11 tdm tám047320'!J16+'7.12 szemét 051030'!J16+'7.13 szennyvíz 052080'!J16+'7.14 víz 063080'!J16+'7.15 közvil 064010'!J16+'7.16 zöldterület 066010'!J16+'7.17 város 066020'!J16+'7.18 háziorvos 072111'!J16+'7.19 ügyelet 072112'!J16+'7.20 fülészet 072210'!J16+'7.21 védőnők 074031'!J16+'7.22 isk eü 074032'!J16+'7.23 sportcsépület 081030'!J16+'7.24 sport tám 081041'!J16+'7.25 diáksport 081043'!J16+'7.26 közműv 082091'!J16+'7.27 közműv 082092'!J16+'7.28  óvoda 091140'!J16+'7.29 intézmkiv gyétk 104037'!J16+'7.30 szoc étk 107051'!J16+'7.31 segélyek 107060'!J16+'7.32 adóbev 900020'!J16+'7.33 pályázatok összesen'!J16+'7.6 út építés 045127'!J16</f>
        <v>0</v>
      </c>
      <c r="K16" s="247">
        <f t="shared" ca="1" si="2"/>
        <v>1107533</v>
      </c>
      <c r="L16" s="246">
        <f ca="1">'7.1. igazg 011130'!L16+'7.2 temető 013320'!L16+'7.3. vagyon 013350'!L16+'7.4 018010'!L16+'7.5 finansz műveletek 018030'!L16+'7.7 közütak működtetés 045160'!L16+'7.8 parkoló 045170'!L16+'7.9 kábeltv 046020'!L16+'7.10 piac 047120'!L16+'7.11 tdm tám047320'!L16+'7.12 szemét 051030'!L16+'7.13 szennyvíz 052080'!L16+'7.14 víz 063080'!L16+'7.15 közvil 064010'!L16+'7.16 zöldterület 066010'!L16+'7.17 város 066020'!L16+'7.18 háziorvos 072111'!L16+'7.19 ügyelet 072112'!L16+'7.20 fülészet 072210'!L16+'7.21 védőnők 074031'!L16+'7.22 isk eü 074032'!L16+'7.23 sportcsépület 081030'!L16+'7.24 sport tám 081041'!L16+'7.25 diáksport 081043'!L16+'7.26 közműv 082091'!L16+'7.27 közműv 082092'!L16+'7.28  óvoda 091140'!L16+'7.29 intézmkiv gyétk 104037'!L16+'7.30 szoc étk 107051'!L16+'7.31 segélyek 107060'!L16+'7.32 adóbev 900020'!L16+'7.33 pályázatok összesen'!L16+'7.6 út építés 045127'!L16</f>
        <v>1107533</v>
      </c>
      <c r="M16" s="246">
        <f>'7.1. igazg 011130'!M16+'7.2 temető 013320'!M16+'7.3. vagyon 013350'!M16+'7.4 018010'!M16+'7.5 finansz műveletek 018030'!M16+'7.7 közütak működtetés 045160'!M16+'7.8 parkoló 045170'!M16+'7.9 kábeltv 046020'!M16+'7.10 piac 047120'!M16+'7.11 tdm tám047320'!M16+'7.12 szemét 051030'!M16+'7.13 szennyvíz 052080'!M16+'7.14 víz 063080'!M16+'7.15 közvil 064010'!M16+'7.16 zöldterület 066010'!M16+'7.17 város 066020'!M16+'7.18 háziorvos 072111'!M16+'7.19 ügyelet 072112'!M16+'7.20 fülészet 072210'!M16+'7.21 védőnők 074031'!M16+'7.22 isk eü 074032'!M16+'7.23 sportcsépület 081030'!M16+'7.24 sport tám 081041'!M16+'7.25 diáksport 081043'!M16+'7.26 közműv 082091'!M16+'7.27 közműv 082092'!M16+'7.28  óvoda 091140'!M16+'7.29 intézmkiv gyétk 104037'!M16+'7.30 szoc étk 107051'!M16+'7.31 segélyek 107060'!M16+'7.32 adóbev 900020'!M16+'7.33 pályázatok összesen'!M16+'7.6 út építés 045127'!M16</f>
        <v>0</v>
      </c>
      <c r="N16" s="247">
        <f t="shared" ca="1" si="3"/>
        <v>1107533</v>
      </c>
      <c r="V16" s="148"/>
      <c r="W16" s="148"/>
    </row>
    <row r="17" spans="1:23" x14ac:dyDescent="0.25">
      <c r="A17" s="53" t="s">
        <v>59</v>
      </c>
      <c r="B17" s="62" t="s">
        <v>60</v>
      </c>
      <c r="C17" s="246">
        <f>'7.1. igazg 011130'!C17+'7.2 temető 013320'!C17+'7.3. vagyon 013350'!C17+'7.4 018010'!C17+'7.5 finansz műveletek 018030'!C17+'7.7 közütak működtetés 045160'!C17+'7.8 parkoló 045170'!C17+'7.9 kábeltv 046020'!C17+'7.10 piac 047120'!C17+'7.11 tdm tám047320'!C17+'7.12 szemét 051030'!C17+'7.13 szennyvíz 052080'!C17+'7.14 víz 063080'!C17+'7.15 közvil 064010'!C17+'7.16 zöldterület 066010'!C17+'7.17 város 066020'!C17+'7.18 háziorvos 072111'!C17+'7.19 ügyelet 072112'!C17+'7.20 fülészet 072210'!C17+'7.21 védőnők 074031'!C17+'7.22 isk eü 074032'!C17+'7.23 sportcsépület 081030'!C17+'7.24 sport tám 081041'!C17+'7.25 diáksport 081043'!C17+'7.26 közműv 082091'!C17+'7.27 közműv 082092'!C17+'7.28  óvoda 091140'!C17+'7.29 intézmkiv gyétk 104037'!C17+'7.30 szoc étk 107051'!C17+'7.31 segélyek 107060'!C17+'7.32 adóbev 900020'!C17+'7.33 pályázatok összesen'!C17+'7.6 út építés 045127'!C17</f>
        <v>0</v>
      </c>
      <c r="D17" s="246">
        <f>'7.1. igazg 011130'!D17+'7.2 temető 013320'!D17+'7.3. vagyon 013350'!D17+'7.4 018010'!D17+'7.5 finansz műveletek 018030'!D17+'7.7 közütak működtetés 045160'!D17+'7.8 parkoló 045170'!D17+'7.9 kábeltv 046020'!D17+'7.10 piac 047120'!D17+'7.11 tdm tám047320'!D17+'7.12 szemét 051030'!D17+'7.13 szennyvíz 052080'!D17+'7.14 víz 063080'!D17+'7.15 közvil 064010'!D17+'7.16 zöldterület 066010'!D17+'7.17 város 066020'!D17+'7.18 háziorvos 072111'!D17+'7.19 ügyelet 072112'!D17+'7.20 fülészet 072210'!D17+'7.21 védőnők 074031'!D17+'7.22 isk eü 074032'!D17+'7.23 sportcsépület 081030'!D17+'7.24 sport tám 081041'!D17+'7.25 diáksport 081043'!D17+'7.26 közműv 082091'!D17+'7.27 közműv 082092'!D17+'7.28  óvoda 091140'!D17+'7.29 intézmkiv gyétk 104037'!D17+'7.30 szoc étk 107051'!D17+'7.31 segélyek 107060'!D17+'7.32 adóbev 900020'!D17+'7.33 pályázatok összesen'!D17+'7.6 út építés 045127'!D17</f>
        <v>0</v>
      </c>
      <c r="E17" s="247">
        <f t="shared" si="0"/>
        <v>0</v>
      </c>
      <c r="F17" s="246">
        <f>'7.1. igazg 011130'!F17+'7.2 temető 013320'!F17+'7.3. vagyon 013350'!F17+'7.4 018010'!F17+'7.5 finansz műveletek 018030'!F17+'7.7 közütak működtetés 045160'!F17+'7.8 parkoló 045170'!F17+'7.9 kábeltv 046020'!F17+'7.10 piac 047120'!F17+'7.11 tdm tám047320'!F17+'7.12 szemét 051030'!F17+'7.13 szennyvíz 052080'!F17+'7.14 víz 063080'!F17+'7.15 közvil 064010'!F17+'7.16 zöldterület 066010'!F17+'7.17 város 066020'!F17+'7.18 háziorvos 072111'!F17+'7.19 ügyelet 072112'!F17+'7.20 fülészet 072210'!F17+'7.21 védőnők 074031'!F17+'7.22 isk eü 074032'!F17+'7.23 sportcsépület 081030'!F17+'7.24 sport tám 081041'!F17+'7.25 diáksport 081043'!F17+'7.26 közműv 082091'!F17+'7.27 közműv 082092'!F17+'7.28  óvoda 091140'!F17+'7.29 intézmkiv gyétk 104037'!F17+'7.30 szoc étk 107051'!F17+'7.31 segélyek 107060'!F17+'7.32 adóbev 900020'!F17+'7.33 pályázatok összesen'!F17+'7.6 út építés 045127'!F17</f>
        <v>0</v>
      </c>
      <c r="G17" s="246">
        <f>'7.1. igazg 011130'!G17+'7.2 temető 013320'!G17+'7.3. vagyon 013350'!G17+'7.4 018010'!G17+'7.5 finansz műveletek 018030'!G17+'7.7 közütak működtetés 045160'!G17+'7.8 parkoló 045170'!G17+'7.9 kábeltv 046020'!G17+'7.10 piac 047120'!G17+'7.11 tdm tám047320'!G17+'7.12 szemét 051030'!G17+'7.13 szennyvíz 052080'!G17+'7.14 víz 063080'!G17+'7.15 közvil 064010'!G17+'7.16 zöldterület 066010'!G17+'7.17 város 066020'!G17+'7.18 háziorvos 072111'!G17+'7.19 ügyelet 072112'!G17+'7.20 fülészet 072210'!G17+'7.21 védőnők 074031'!G17+'7.22 isk eü 074032'!G17+'7.23 sportcsépület 081030'!G17+'7.24 sport tám 081041'!G17+'7.25 diáksport 081043'!G17+'7.26 közműv 082091'!G17+'7.27 közműv 082092'!G17+'7.28  óvoda 091140'!G17+'7.29 intézmkiv gyétk 104037'!G17+'7.30 szoc étk 107051'!G17+'7.31 segélyek 107060'!G17+'7.32 adóbev 900020'!G17+'7.33 pályázatok összesen'!G17+'7.6 út építés 045127'!G17</f>
        <v>0</v>
      </c>
      <c r="H17" s="247">
        <f t="shared" si="1"/>
        <v>0</v>
      </c>
      <c r="I17" s="246">
        <f ca="1">'7.1. igazg 011130'!I17+'7.2 temető 013320'!I17+'7.3. vagyon 013350'!I17+'7.4 018010'!I17+'7.5 finansz műveletek 018030'!I17+'7.7 közütak működtetés 045160'!I17+'7.8 parkoló 045170'!I17+'7.9 kábeltv 046020'!I17+'7.10 piac 047120'!I17+'7.11 tdm tám047320'!I17+'7.12 szemét 051030'!I17+'7.13 szennyvíz 052080'!I17+'7.14 víz 063080'!I17+'7.15 közvil 064010'!I17+'7.16 zöldterület 066010'!I17+'7.17 város 066020'!I17+'7.18 háziorvos 072111'!I17+'7.19 ügyelet 072112'!I17+'7.20 fülészet 072210'!I17+'7.21 védőnők 074031'!I17+'7.22 isk eü 074032'!I17+'7.23 sportcsépület 081030'!I17+'7.24 sport tám 081041'!I17+'7.25 diáksport 081043'!I17+'7.26 közműv 082091'!I17+'7.27 közműv 082092'!I17+'7.28  óvoda 091140'!I17+'7.29 intézmkiv gyétk 104037'!I17+'7.30 szoc étk 107051'!I17+'7.31 segélyek 107060'!I17+'7.32 adóbev 900020'!I17+'7.33 pályázatok összesen'!I17+'7.6 út építés 045127'!I17</f>
        <v>0</v>
      </c>
      <c r="J17" s="246">
        <f>'7.1. igazg 011130'!J17+'7.2 temető 013320'!J17+'7.3. vagyon 013350'!J17+'7.4 018010'!J17+'7.5 finansz műveletek 018030'!J17+'7.7 közütak működtetés 045160'!J17+'7.8 parkoló 045170'!J17+'7.9 kábeltv 046020'!J17+'7.10 piac 047120'!J17+'7.11 tdm tám047320'!J17+'7.12 szemét 051030'!J17+'7.13 szennyvíz 052080'!J17+'7.14 víz 063080'!J17+'7.15 közvil 064010'!J17+'7.16 zöldterület 066010'!J17+'7.17 város 066020'!J17+'7.18 háziorvos 072111'!J17+'7.19 ügyelet 072112'!J17+'7.20 fülészet 072210'!J17+'7.21 védőnők 074031'!J17+'7.22 isk eü 074032'!J17+'7.23 sportcsépület 081030'!J17+'7.24 sport tám 081041'!J17+'7.25 diáksport 081043'!J17+'7.26 közműv 082091'!J17+'7.27 közműv 082092'!J17+'7.28  óvoda 091140'!J17+'7.29 intézmkiv gyétk 104037'!J17+'7.30 szoc étk 107051'!J17+'7.31 segélyek 107060'!J17+'7.32 adóbev 900020'!J17+'7.33 pályázatok összesen'!J17+'7.6 út építés 045127'!J17</f>
        <v>0</v>
      </c>
      <c r="K17" s="247">
        <f t="shared" ca="1" si="2"/>
        <v>0</v>
      </c>
      <c r="L17" s="246">
        <f ca="1">'7.1. igazg 011130'!L17+'7.2 temető 013320'!L17+'7.3. vagyon 013350'!L17+'7.4 018010'!L17+'7.5 finansz műveletek 018030'!L17+'7.7 közütak működtetés 045160'!L17+'7.8 parkoló 045170'!L17+'7.9 kábeltv 046020'!L17+'7.10 piac 047120'!L17+'7.11 tdm tám047320'!L17+'7.12 szemét 051030'!L17+'7.13 szennyvíz 052080'!L17+'7.14 víz 063080'!L17+'7.15 közvil 064010'!L17+'7.16 zöldterület 066010'!L17+'7.17 város 066020'!L17+'7.18 háziorvos 072111'!L17+'7.19 ügyelet 072112'!L17+'7.20 fülészet 072210'!L17+'7.21 védőnők 074031'!L17+'7.22 isk eü 074032'!L17+'7.23 sportcsépület 081030'!L17+'7.24 sport tám 081041'!L17+'7.25 diáksport 081043'!L17+'7.26 közműv 082091'!L17+'7.27 közműv 082092'!L17+'7.28  óvoda 091140'!L17+'7.29 intézmkiv gyétk 104037'!L17+'7.30 szoc étk 107051'!L17+'7.31 segélyek 107060'!L17+'7.32 adóbev 900020'!L17+'7.33 pályázatok összesen'!L17+'7.6 út építés 045127'!L17</f>
        <v>0</v>
      </c>
      <c r="M17" s="246">
        <f>'7.1. igazg 011130'!M17+'7.2 temető 013320'!M17+'7.3. vagyon 013350'!M17+'7.4 018010'!M17+'7.5 finansz műveletek 018030'!M17+'7.7 közütak működtetés 045160'!M17+'7.8 parkoló 045170'!M17+'7.9 kábeltv 046020'!M17+'7.10 piac 047120'!M17+'7.11 tdm tám047320'!M17+'7.12 szemét 051030'!M17+'7.13 szennyvíz 052080'!M17+'7.14 víz 063080'!M17+'7.15 közvil 064010'!M17+'7.16 zöldterület 066010'!M17+'7.17 város 066020'!M17+'7.18 háziorvos 072111'!M17+'7.19 ügyelet 072112'!M17+'7.20 fülészet 072210'!M17+'7.21 védőnők 074031'!M17+'7.22 isk eü 074032'!M17+'7.23 sportcsépület 081030'!M17+'7.24 sport tám 081041'!M17+'7.25 diáksport 081043'!M17+'7.26 közműv 082091'!M17+'7.27 közműv 082092'!M17+'7.28  óvoda 091140'!M17+'7.29 intézmkiv gyétk 104037'!M17+'7.30 szoc étk 107051'!M17+'7.31 segélyek 107060'!M17+'7.32 adóbev 900020'!M17+'7.33 pályázatok összesen'!M17+'7.6 út építés 045127'!M17</f>
        <v>0</v>
      </c>
      <c r="N17" s="247">
        <f t="shared" ca="1" si="3"/>
        <v>0</v>
      </c>
      <c r="V17" s="148"/>
      <c r="W17" s="148"/>
    </row>
    <row r="18" spans="1:23" x14ac:dyDescent="0.25">
      <c r="A18" s="53" t="s">
        <v>61</v>
      </c>
      <c r="B18" s="62" t="s">
        <v>62</v>
      </c>
      <c r="C18" s="246">
        <f>'7.1. igazg 011130'!C18+'7.2 temető 013320'!C18+'7.3. vagyon 013350'!C18+'7.4 018010'!C18+'7.5 finansz műveletek 018030'!C18+'7.7 közütak működtetés 045160'!C18+'7.8 parkoló 045170'!C18+'7.9 kábeltv 046020'!C18+'7.10 piac 047120'!C18+'7.11 tdm tám047320'!C18+'7.12 szemét 051030'!C18+'7.13 szennyvíz 052080'!C18+'7.14 víz 063080'!C18+'7.15 közvil 064010'!C18+'7.16 zöldterület 066010'!C18+'7.17 város 066020'!C18+'7.18 háziorvos 072111'!C18+'7.19 ügyelet 072112'!C18+'7.20 fülészet 072210'!C18+'7.21 védőnők 074031'!C18+'7.22 isk eü 074032'!C18+'7.23 sportcsépület 081030'!C18+'7.24 sport tám 081041'!C18+'7.25 diáksport 081043'!C18+'7.26 közműv 082091'!C18+'7.27 közműv 082092'!C18+'7.28  óvoda 091140'!C18+'7.29 intézmkiv gyétk 104037'!C18+'7.30 szoc étk 107051'!C18+'7.31 segélyek 107060'!C18+'7.32 adóbev 900020'!C18+'7.33 pályázatok összesen'!C18+'7.6 út építés 045127'!C18</f>
        <v>0</v>
      </c>
      <c r="D18" s="246">
        <f>'7.1. igazg 011130'!D18+'7.2 temető 013320'!D18+'7.3. vagyon 013350'!D18+'7.4 018010'!D18+'7.5 finansz műveletek 018030'!D18+'7.7 közütak működtetés 045160'!D18+'7.8 parkoló 045170'!D18+'7.9 kábeltv 046020'!D18+'7.10 piac 047120'!D18+'7.11 tdm tám047320'!D18+'7.12 szemét 051030'!D18+'7.13 szennyvíz 052080'!D18+'7.14 víz 063080'!D18+'7.15 közvil 064010'!D18+'7.16 zöldterület 066010'!D18+'7.17 város 066020'!D18+'7.18 háziorvos 072111'!D18+'7.19 ügyelet 072112'!D18+'7.20 fülészet 072210'!D18+'7.21 védőnők 074031'!D18+'7.22 isk eü 074032'!D18+'7.23 sportcsépület 081030'!D18+'7.24 sport tám 081041'!D18+'7.25 diáksport 081043'!D18+'7.26 közműv 082091'!D18+'7.27 közműv 082092'!D18+'7.28  óvoda 091140'!D18+'7.29 intézmkiv gyétk 104037'!D18+'7.30 szoc étk 107051'!D18+'7.31 segélyek 107060'!D18+'7.32 adóbev 900020'!D18+'7.33 pályázatok összesen'!D18+'7.6 út építés 045127'!D18</f>
        <v>0</v>
      </c>
      <c r="E18" s="247">
        <f t="shared" si="0"/>
        <v>0</v>
      </c>
      <c r="F18" s="246">
        <f>'7.1. igazg 011130'!F18+'7.2 temető 013320'!F18+'7.3. vagyon 013350'!F18+'7.4 018010'!F18+'7.5 finansz műveletek 018030'!F18+'7.7 közütak működtetés 045160'!F18+'7.8 parkoló 045170'!F18+'7.9 kábeltv 046020'!F18+'7.10 piac 047120'!F18+'7.11 tdm tám047320'!F18+'7.12 szemét 051030'!F18+'7.13 szennyvíz 052080'!F18+'7.14 víz 063080'!F18+'7.15 közvil 064010'!F18+'7.16 zöldterület 066010'!F18+'7.17 város 066020'!F18+'7.18 háziorvos 072111'!F18+'7.19 ügyelet 072112'!F18+'7.20 fülészet 072210'!F18+'7.21 védőnők 074031'!F18+'7.22 isk eü 074032'!F18+'7.23 sportcsépület 081030'!F18+'7.24 sport tám 081041'!F18+'7.25 diáksport 081043'!F18+'7.26 közműv 082091'!F18+'7.27 közműv 082092'!F18+'7.28  óvoda 091140'!F18+'7.29 intézmkiv gyétk 104037'!F18+'7.30 szoc étk 107051'!F18+'7.31 segélyek 107060'!F18+'7.32 adóbev 900020'!F18+'7.33 pályázatok összesen'!F18+'7.6 út építés 045127'!F18</f>
        <v>0</v>
      </c>
      <c r="G18" s="246">
        <f>'7.1. igazg 011130'!G18+'7.2 temető 013320'!G18+'7.3. vagyon 013350'!G18+'7.4 018010'!G18+'7.5 finansz műveletek 018030'!G18+'7.7 közütak működtetés 045160'!G18+'7.8 parkoló 045170'!G18+'7.9 kábeltv 046020'!G18+'7.10 piac 047120'!G18+'7.11 tdm tám047320'!G18+'7.12 szemét 051030'!G18+'7.13 szennyvíz 052080'!G18+'7.14 víz 063080'!G18+'7.15 közvil 064010'!G18+'7.16 zöldterület 066010'!G18+'7.17 város 066020'!G18+'7.18 háziorvos 072111'!G18+'7.19 ügyelet 072112'!G18+'7.20 fülészet 072210'!G18+'7.21 védőnők 074031'!G18+'7.22 isk eü 074032'!G18+'7.23 sportcsépület 081030'!G18+'7.24 sport tám 081041'!G18+'7.25 diáksport 081043'!G18+'7.26 közműv 082091'!G18+'7.27 közműv 082092'!G18+'7.28  óvoda 091140'!G18+'7.29 intézmkiv gyétk 104037'!G18+'7.30 szoc étk 107051'!G18+'7.31 segélyek 107060'!G18+'7.32 adóbev 900020'!G18+'7.33 pályázatok összesen'!G18+'7.6 út építés 045127'!G18</f>
        <v>0</v>
      </c>
      <c r="H18" s="247">
        <f t="shared" si="1"/>
        <v>0</v>
      </c>
      <c r="I18" s="246">
        <f ca="1">'7.1. igazg 011130'!I18+'7.2 temető 013320'!I18+'7.3. vagyon 013350'!I18+'7.4 018010'!I18+'7.5 finansz műveletek 018030'!I18+'7.7 közütak működtetés 045160'!I18+'7.8 parkoló 045170'!I18+'7.9 kábeltv 046020'!I18+'7.10 piac 047120'!I18+'7.11 tdm tám047320'!I18+'7.12 szemét 051030'!I18+'7.13 szennyvíz 052080'!I18+'7.14 víz 063080'!I18+'7.15 közvil 064010'!I18+'7.16 zöldterület 066010'!I18+'7.17 város 066020'!I18+'7.18 háziorvos 072111'!I18+'7.19 ügyelet 072112'!I18+'7.20 fülészet 072210'!I18+'7.21 védőnők 074031'!I18+'7.22 isk eü 074032'!I18+'7.23 sportcsépület 081030'!I18+'7.24 sport tám 081041'!I18+'7.25 diáksport 081043'!I18+'7.26 közműv 082091'!I18+'7.27 közműv 082092'!I18+'7.28  óvoda 091140'!I18+'7.29 intézmkiv gyétk 104037'!I18+'7.30 szoc étk 107051'!I18+'7.31 segélyek 107060'!I18+'7.32 adóbev 900020'!I18+'7.33 pályázatok összesen'!I18+'7.6 út építés 045127'!I18</f>
        <v>0</v>
      </c>
      <c r="J18" s="246">
        <f>'7.1. igazg 011130'!J18+'7.2 temető 013320'!J18+'7.3. vagyon 013350'!J18+'7.4 018010'!J18+'7.5 finansz műveletek 018030'!J18+'7.7 közütak működtetés 045160'!J18+'7.8 parkoló 045170'!J18+'7.9 kábeltv 046020'!J18+'7.10 piac 047120'!J18+'7.11 tdm tám047320'!J18+'7.12 szemét 051030'!J18+'7.13 szennyvíz 052080'!J18+'7.14 víz 063080'!J18+'7.15 közvil 064010'!J18+'7.16 zöldterület 066010'!J18+'7.17 város 066020'!J18+'7.18 háziorvos 072111'!J18+'7.19 ügyelet 072112'!J18+'7.20 fülészet 072210'!J18+'7.21 védőnők 074031'!J18+'7.22 isk eü 074032'!J18+'7.23 sportcsépület 081030'!J18+'7.24 sport tám 081041'!J18+'7.25 diáksport 081043'!J18+'7.26 közműv 082091'!J18+'7.27 közműv 082092'!J18+'7.28  óvoda 091140'!J18+'7.29 intézmkiv gyétk 104037'!J18+'7.30 szoc étk 107051'!J18+'7.31 segélyek 107060'!J18+'7.32 adóbev 900020'!J18+'7.33 pályázatok összesen'!J18+'7.6 út építés 045127'!J18</f>
        <v>0</v>
      </c>
      <c r="K18" s="247">
        <f t="shared" ca="1" si="2"/>
        <v>0</v>
      </c>
      <c r="L18" s="246">
        <f ca="1">'7.1. igazg 011130'!L18+'7.2 temető 013320'!L18+'7.3. vagyon 013350'!L18+'7.4 018010'!L18+'7.5 finansz műveletek 018030'!L18+'7.7 közütak működtetés 045160'!L18+'7.8 parkoló 045170'!L18+'7.9 kábeltv 046020'!L18+'7.10 piac 047120'!L18+'7.11 tdm tám047320'!L18+'7.12 szemét 051030'!L18+'7.13 szennyvíz 052080'!L18+'7.14 víz 063080'!L18+'7.15 közvil 064010'!L18+'7.16 zöldterület 066010'!L18+'7.17 város 066020'!L18+'7.18 háziorvos 072111'!L18+'7.19 ügyelet 072112'!L18+'7.20 fülészet 072210'!L18+'7.21 védőnők 074031'!L18+'7.22 isk eü 074032'!L18+'7.23 sportcsépület 081030'!L18+'7.24 sport tám 081041'!L18+'7.25 diáksport 081043'!L18+'7.26 közműv 082091'!L18+'7.27 közműv 082092'!L18+'7.28  óvoda 091140'!L18+'7.29 intézmkiv gyétk 104037'!L18+'7.30 szoc étk 107051'!L18+'7.31 segélyek 107060'!L18+'7.32 adóbev 900020'!L18+'7.33 pályázatok összesen'!L18+'7.6 út építés 045127'!L18</f>
        <v>0</v>
      </c>
      <c r="M18" s="246">
        <f>'7.1. igazg 011130'!M18+'7.2 temető 013320'!M18+'7.3. vagyon 013350'!M18+'7.4 018010'!M18+'7.5 finansz műveletek 018030'!M18+'7.7 közütak működtetés 045160'!M18+'7.8 parkoló 045170'!M18+'7.9 kábeltv 046020'!M18+'7.10 piac 047120'!M18+'7.11 tdm tám047320'!M18+'7.12 szemét 051030'!M18+'7.13 szennyvíz 052080'!M18+'7.14 víz 063080'!M18+'7.15 közvil 064010'!M18+'7.16 zöldterület 066010'!M18+'7.17 város 066020'!M18+'7.18 háziorvos 072111'!M18+'7.19 ügyelet 072112'!M18+'7.20 fülészet 072210'!M18+'7.21 védőnők 074031'!M18+'7.22 isk eü 074032'!M18+'7.23 sportcsépület 081030'!M18+'7.24 sport tám 081041'!M18+'7.25 diáksport 081043'!M18+'7.26 közműv 082091'!M18+'7.27 közműv 082092'!M18+'7.28  óvoda 091140'!M18+'7.29 intézmkiv gyétk 104037'!M18+'7.30 szoc étk 107051'!M18+'7.31 segélyek 107060'!M18+'7.32 adóbev 900020'!M18+'7.33 pályázatok összesen'!M18+'7.6 út építés 045127'!M18</f>
        <v>0</v>
      </c>
      <c r="N18" s="247">
        <f t="shared" ca="1" si="3"/>
        <v>0</v>
      </c>
      <c r="V18" s="148"/>
      <c r="W18" s="148"/>
    </row>
    <row r="19" spans="1:23" x14ac:dyDescent="0.25">
      <c r="A19" s="55" t="s">
        <v>266</v>
      </c>
      <c r="B19" s="64" t="s">
        <v>267</v>
      </c>
      <c r="C19" s="246">
        <f>'7.1. igazg 011130'!C19+'7.2 temető 013320'!C19+'7.3. vagyon 013350'!C19+'7.4 018010'!C19+'7.5 finansz műveletek 018030'!C19+'7.7 közütak működtetés 045160'!C19+'7.8 parkoló 045170'!C19+'7.9 kábeltv 046020'!C19+'7.10 piac 047120'!C19+'7.11 tdm tám047320'!C19+'7.12 szemét 051030'!C19+'7.13 szennyvíz 052080'!C19+'7.14 víz 063080'!C19+'7.15 közvil 064010'!C19+'7.16 zöldterület 066010'!C19+'7.17 város 066020'!C19+'7.18 háziorvos 072111'!C19+'7.19 ügyelet 072112'!C19+'7.20 fülészet 072210'!C19+'7.21 védőnők 074031'!C19+'7.22 isk eü 074032'!C19+'7.23 sportcsépület 081030'!C19+'7.24 sport tám 081041'!C19+'7.25 diáksport 081043'!C19+'7.26 közműv 082091'!C19+'7.27 közműv 082092'!C19+'7.28  óvoda 091140'!C19+'7.29 intézmkiv gyétk 104037'!C19+'7.30 szoc étk 107051'!C19+'7.31 segélyek 107060'!C19+'7.32 adóbev 900020'!C19+'7.33 pályázatok összesen'!C19+'7.6 út építés 045127'!C19</f>
        <v>0</v>
      </c>
      <c r="D19" s="246">
        <f>'7.1. igazg 011130'!D19+'7.2 temető 013320'!D19+'7.3. vagyon 013350'!D19+'7.4 018010'!D19+'7.5 finansz műveletek 018030'!D19+'7.7 közütak működtetés 045160'!D19+'7.8 parkoló 045170'!D19+'7.9 kábeltv 046020'!D19+'7.10 piac 047120'!D19+'7.11 tdm tám047320'!D19+'7.12 szemét 051030'!D19+'7.13 szennyvíz 052080'!D19+'7.14 víz 063080'!D19+'7.15 közvil 064010'!D19+'7.16 zöldterület 066010'!D19+'7.17 város 066020'!D19+'7.18 háziorvos 072111'!D19+'7.19 ügyelet 072112'!D19+'7.20 fülészet 072210'!D19+'7.21 védőnők 074031'!D19+'7.22 isk eü 074032'!D19+'7.23 sportcsépület 081030'!D19+'7.24 sport tám 081041'!D19+'7.25 diáksport 081043'!D19+'7.26 közműv 082091'!D19+'7.27 közműv 082092'!D19+'7.28  óvoda 091140'!D19+'7.29 intézmkiv gyétk 104037'!D19+'7.30 szoc étk 107051'!D19+'7.31 segélyek 107060'!D19+'7.32 adóbev 900020'!D19+'7.33 pályázatok összesen'!D19+'7.6 út építés 045127'!D19</f>
        <v>0</v>
      </c>
      <c r="E19" s="247">
        <f t="shared" si="0"/>
        <v>0</v>
      </c>
      <c r="F19" s="246">
        <f>'7.1. igazg 011130'!F19+'7.2 temető 013320'!F19+'7.3. vagyon 013350'!F19+'7.4 018010'!F19+'7.5 finansz műveletek 018030'!F19+'7.7 közütak működtetés 045160'!F19+'7.8 parkoló 045170'!F19+'7.9 kábeltv 046020'!F19+'7.10 piac 047120'!F19+'7.11 tdm tám047320'!F19+'7.12 szemét 051030'!F19+'7.13 szennyvíz 052080'!F19+'7.14 víz 063080'!F19+'7.15 közvil 064010'!F19+'7.16 zöldterület 066010'!F19+'7.17 város 066020'!F19+'7.18 háziorvos 072111'!F19+'7.19 ügyelet 072112'!F19+'7.20 fülészet 072210'!F19+'7.21 védőnők 074031'!F19+'7.22 isk eü 074032'!F19+'7.23 sportcsépület 081030'!F19+'7.24 sport tám 081041'!F19+'7.25 diáksport 081043'!F19+'7.26 közműv 082091'!F19+'7.27 közműv 082092'!F19+'7.28  óvoda 091140'!F19+'7.29 intézmkiv gyétk 104037'!F19+'7.30 szoc étk 107051'!F19+'7.31 segélyek 107060'!F19+'7.32 adóbev 900020'!F19+'7.33 pályázatok összesen'!F19+'7.6 út építés 045127'!F19</f>
        <v>0</v>
      </c>
      <c r="G19" s="246">
        <f>'7.1. igazg 011130'!G19+'7.2 temető 013320'!G19+'7.3. vagyon 013350'!G19+'7.4 018010'!G19+'7.5 finansz műveletek 018030'!G19+'7.7 közütak működtetés 045160'!G19+'7.8 parkoló 045170'!G19+'7.9 kábeltv 046020'!G19+'7.10 piac 047120'!G19+'7.11 tdm tám047320'!G19+'7.12 szemét 051030'!G19+'7.13 szennyvíz 052080'!G19+'7.14 víz 063080'!G19+'7.15 közvil 064010'!G19+'7.16 zöldterület 066010'!G19+'7.17 város 066020'!G19+'7.18 háziorvos 072111'!G19+'7.19 ügyelet 072112'!G19+'7.20 fülészet 072210'!G19+'7.21 védőnők 074031'!G19+'7.22 isk eü 074032'!G19+'7.23 sportcsépület 081030'!G19+'7.24 sport tám 081041'!G19+'7.25 diáksport 081043'!G19+'7.26 közműv 082091'!G19+'7.27 közműv 082092'!G19+'7.28  óvoda 091140'!G19+'7.29 intézmkiv gyétk 104037'!G19+'7.30 szoc étk 107051'!G19+'7.31 segélyek 107060'!G19+'7.32 adóbev 900020'!G19+'7.33 pályázatok összesen'!G19+'7.6 út építés 045127'!G19</f>
        <v>0</v>
      </c>
      <c r="H19" s="247">
        <f t="shared" si="1"/>
        <v>0</v>
      </c>
      <c r="I19" s="246">
        <f ca="1">'7.1. igazg 011130'!I19+'7.2 temető 013320'!I19+'7.3. vagyon 013350'!I19+'7.4 018010'!I19+'7.5 finansz műveletek 018030'!I19+'7.7 közütak működtetés 045160'!I19+'7.8 parkoló 045170'!I19+'7.9 kábeltv 046020'!I19+'7.10 piac 047120'!I19+'7.11 tdm tám047320'!I19+'7.12 szemét 051030'!I19+'7.13 szennyvíz 052080'!I19+'7.14 víz 063080'!I19+'7.15 közvil 064010'!I19+'7.16 zöldterület 066010'!I19+'7.17 város 066020'!I19+'7.18 háziorvos 072111'!I19+'7.19 ügyelet 072112'!I19+'7.20 fülészet 072210'!I19+'7.21 védőnők 074031'!I19+'7.22 isk eü 074032'!I19+'7.23 sportcsépület 081030'!I19+'7.24 sport tám 081041'!I19+'7.25 diáksport 081043'!I19+'7.26 közműv 082091'!I19+'7.27 közműv 082092'!I19+'7.28  óvoda 091140'!I19+'7.29 intézmkiv gyétk 104037'!I19+'7.30 szoc étk 107051'!I19+'7.31 segélyek 107060'!I19+'7.32 adóbev 900020'!I19+'7.33 pályázatok összesen'!I19+'7.6 út építés 045127'!I19</f>
        <v>0</v>
      </c>
      <c r="J19" s="246">
        <f>'7.1. igazg 011130'!J19+'7.2 temető 013320'!J19+'7.3. vagyon 013350'!J19+'7.4 018010'!J19+'7.5 finansz műveletek 018030'!J19+'7.7 közütak működtetés 045160'!J19+'7.8 parkoló 045170'!J19+'7.9 kábeltv 046020'!J19+'7.10 piac 047120'!J19+'7.11 tdm tám047320'!J19+'7.12 szemét 051030'!J19+'7.13 szennyvíz 052080'!J19+'7.14 víz 063080'!J19+'7.15 közvil 064010'!J19+'7.16 zöldterület 066010'!J19+'7.17 város 066020'!J19+'7.18 háziorvos 072111'!J19+'7.19 ügyelet 072112'!J19+'7.20 fülészet 072210'!J19+'7.21 védőnők 074031'!J19+'7.22 isk eü 074032'!J19+'7.23 sportcsépület 081030'!J19+'7.24 sport tám 081041'!J19+'7.25 diáksport 081043'!J19+'7.26 közműv 082091'!J19+'7.27 közműv 082092'!J19+'7.28  óvoda 091140'!J19+'7.29 intézmkiv gyétk 104037'!J19+'7.30 szoc étk 107051'!J19+'7.31 segélyek 107060'!J19+'7.32 adóbev 900020'!J19+'7.33 pályázatok összesen'!J19+'7.6 út építés 045127'!J19</f>
        <v>0</v>
      </c>
      <c r="K19" s="247">
        <f t="shared" ca="1" si="2"/>
        <v>0</v>
      </c>
      <c r="L19" s="246">
        <f ca="1">'7.1. igazg 011130'!L19+'7.2 temető 013320'!L19+'7.3. vagyon 013350'!L19+'7.4 018010'!L19+'7.5 finansz műveletek 018030'!L19+'7.7 közütak működtetés 045160'!L19+'7.8 parkoló 045170'!L19+'7.9 kábeltv 046020'!L19+'7.10 piac 047120'!L19+'7.11 tdm tám047320'!L19+'7.12 szemét 051030'!L19+'7.13 szennyvíz 052080'!L19+'7.14 víz 063080'!L19+'7.15 közvil 064010'!L19+'7.16 zöldterület 066010'!L19+'7.17 város 066020'!L19+'7.18 háziorvos 072111'!L19+'7.19 ügyelet 072112'!L19+'7.20 fülészet 072210'!L19+'7.21 védőnők 074031'!L19+'7.22 isk eü 074032'!L19+'7.23 sportcsépület 081030'!L19+'7.24 sport tám 081041'!L19+'7.25 diáksport 081043'!L19+'7.26 közműv 082091'!L19+'7.27 közműv 082092'!L19+'7.28  óvoda 091140'!L19+'7.29 intézmkiv gyétk 104037'!L19+'7.30 szoc étk 107051'!L19+'7.31 segélyek 107060'!L19+'7.32 adóbev 900020'!L19+'7.33 pályázatok összesen'!L19+'7.6 út építés 045127'!L19</f>
        <v>0</v>
      </c>
      <c r="M19" s="246">
        <f>'7.1. igazg 011130'!M19+'7.2 temető 013320'!M19+'7.3. vagyon 013350'!M19+'7.4 018010'!M19+'7.5 finansz műveletek 018030'!M19+'7.7 közütak működtetés 045160'!M19+'7.8 parkoló 045170'!M19+'7.9 kábeltv 046020'!M19+'7.10 piac 047120'!M19+'7.11 tdm tám047320'!M19+'7.12 szemét 051030'!M19+'7.13 szennyvíz 052080'!M19+'7.14 víz 063080'!M19+'7.15 közvil 064010'!M19+'7.16 zöldterület 066010'!M19+'7.17 város 066020'!M19+'7.18 háziorvos 072111'!M19+'7.19 ügyelet 072112'!M19+'7.20 fülészet 072210'!M19+'7.21 védőnők 074031'!M19+'7.22 isk eü 074032'!M19+'7.23 sportcsépület 081030'!M19+'7.24 sport tám 081041'!M19+'7.25 diáksport 081043'!M19+'7.26 közműv 082091'!M19+'7.27 közműv 082092'!M19+'7.28  óvoda 091140'!M19+'7.29 intézmkiv gyétk 104037'!M19+'7.30 szoc étk 107051'!M19+'7.31 segélyek 107060'!M19+'7.32 adóbev 900020'!M19+'7.33 pályázatok összesen'!M19+'7.6 út építés 045127'!M19</f>
        <v>0</v>
      </c>
      <c r="N19" s="247">
        <f t="shared" ca="1" si="3"/>
        <v>0</v>
      </c>
      <c r="V19" s="148"/>
      <c r="W19" s="148"/>
    </row>
    <row r="20" spans="1:23" x14ac:dyDescent="0.25">
      <c r="A20" s="55" t="s">
        <v>63</v>
      </c>
      <c r="B20" s="64" t="s">
        <v>64</v>
      </c>
      <c r="C20" s="246">
        <f>'7.1. igazg 011130'!C20+'7.2 temető 013320'!C20+'7.3. vagyon 013350'!C20+'7.4 018010'!C20+'7.5 finansz műveletek 018030'!C20+'7.7 közütak működtetés 045160'!C20+'7.8 parkoló 045170'!C20+'7.9 kábeltv 046020'!C20+'7.10 piac 047120'!C20+'7.11 tdm tám047320'!C20+'7.12 szemét 051030'!C20+'7.13 szennyvíz 052080'!C20+'7.14 víz 063080'!C20+'7.15 közvil 064010'!C20+'7.16 zöldterület 066010'!C20+'7.17 város 066020'!C20+'7.18 háziorvos 072111'!C20+'7.19 ügyelet 072112'!C20+'7.20 fülészet 072210'!C20+'7.21 védőnők 074031'!C20+'7.22 isk eü 074032'!C20+'7.23 sportcsépület 081030'!C20+'7.24 sport tám 081041'!C20+'7.25 diáksport 081043'!C20+'7.26 közműv 082091'!C20+'7.27 közműv 082092'!C20+'7.28  óvoda 091140'!C20+'7.29 intézmkiv gyétk 104037'!C20+'7.30 szoc étk 107051'!C20+'7.31 segélyek 107060'!C20+'7.32 adóbev 900020'!C20+'7.33 pályázatok összesen'!C20+'7.6 út építés 045127'!C20</f>
        <v>0</v>
      </c>
      <c r="D20" s="246">
        <f>'7.1. igazg 011130'!D20+'7.2 temető 013320'!D20+'7.3. vagyon 013350'!D20+'7.4 018010'!D20+'7.5 finansz műveletek 018030'!D20+'7.7 közütak működtetés 045160'!D20+'7.8 parkoló 045170'!D20+'7.9 kábeltv 046020'!D20+'7.10 piac 047120'!D20+'7.11 tdm tám047320'!D20+'7.12 szemét 051030'!D20+'7.13 szennyvíz 052080'!D20+'7.14 víz 063080'!D20+'7.15 közvil 064010'!D20+'7.16 zöldterület 066010'!D20+'7.17 város 066020'!D20+'7.18 háziorvos 072111'!D20+'7.19 ügyelet 072112'!D20+'7.20 fülészet 072210'!D20+'7.21 védőnők 074031'!D20+'7.22 isk eü 074032'!D20+'7.23 sportcsépület 081030'!D20+'7.24 sport tám 081041'!D20+'7.25 diáksport 081043'!D20+'7.26 közműv 082091'!D20+'7.27 közműv 082092'!D20+'7.28  óvoda 091140'!D20+'7.29 intézmkiv gyétk 104037'!D20+'7.30 szoc étk 107051'!D20+'7.31 segélyek 107060'!D20+'7.32 adóbev 900020'!D20+'7.33 pályázatok összesen'!D20+'7.6 út építés 045127'!D20</f>
        <v>0</v>
      </c>
      <c r="E20" s="247">
        <f t="shared" si="0"/>
        <v>0</v>
      </c>
      <c r="F20" s="246">
        <f>'7.1. igazg 011130'!F20+'7.2 temető 013320'!F20+'7.3. vagyon 013350'!F20+'7.4 018010'!F20+'7.5 finansz műveletek 018030'!F20+'7.7 közütak működtetés 045160'!F20+'7.8 parkoló 045170'!F20+'7.9 kábeltv 046020'!F20+'7.10 piac 047120'!F20+'7.11 tdm tám047320'!F20+'7.12 szemét 051030'!F20+'7.13 szennyvíz 052080'!F20+'7.14 víz 063080'!F20+'7.15 közvil 064010'!F20+'7.16 zöldterület 066010'!F20+'7.17 város 066020'!F20+'7.18 háziorvos 072111'!F20+'7.19 ügyelet 072112'!F20+'7.20 fülészet 072210'!F20+'7.21 védőnők 074031'!F20+'7.22 isk eü 074032'!F20+'7.23 sportcsépület 081030'!F20+'7.24 sport tám 081041'!F20+'7.25 diáksport 081043'!F20+'7.26 közműv 082091'!F20+'7.27 közműv 082092'!F20+'7.28  óvoda 091140'!F20+'7.29 intézmkiv gyétk 104037'!F20+'7.30 szoc étk 107051'!F20+'7.31 segélyek 107060'!F20+'7.32 adóbev 900020'!F20+'7.33 pályázatok összesen'!F20+'7.6 út építés 045127'!F20</f>
        <v>0</v>
      </c>
      <c r="G20" s="246">
        <f>'7.1. igazg 011130'!G20+'7.2 temető 013320'!G20+'7.3. vagyon 013350'!G20+'7.4 018010'!G20+'7.5 finansz műveletek 018030'!G20+'7.7 közütak működtetés 045160'!G20+'7.8 parkoló 045170'!G20+'7.9 kábeltv 046020'!G20+'7.10 piac 047120'!G20+'7.11 tdm tám047320'!G20+'7.12 szemét 051030'!G20+'7.13 szennyvíz 052080'!G20+'7.14 víz 063080'!G20+'7.15 közvil 064010'!G20+'7.16 zöldterület 066010'!G20+'7.17 város 066020'!G20+'7.18 háziorvos 072111'!G20+'7.19 ügyelet 072112'!G20+'7.20 fülészet 072210'!G20+'7.21 védőnők 074031'!G20+'7.22 isk eü 074032'!G20+'7.23 sportcsépület 081030'!G20+'7.24 sport tám 081041'!G20+'7.25 diáksport 081043'!G20+'7.26 közműv 082091'!G20+'7.27 közműv 082092'!G20+'7.28  óvoda 091140'!G20+'7.29 intézmkiv gyétk 104037'!G20+'7.30 szoc étk 107051'!G20+'7.31 segélyek 107060'!G20+'7.32 adóbev 900020'!G20+'7.33 pályázatok összesen'!G20+'7.6 út építés 045127'!G20</f>
        <v>0</v>
      </c>
      <c r="H20" s="247">
        <f t="shared" si="1"/>
        <v>0</v>
      </c>
      <c r="I20" s="246">
        <f ca="1">'7.1. igazg 011130'!I20+'7.2 temető 013320'!I20+'7.3. vagyon 013350'!I20+'7.4 018010'!I20+'7.5 finansz műveletek 018030'!I20+'7.7 közütak működtetés 045160'!I20+'7.8 parkoló 045170'!I20+'7.9 kábeltv 046020'!I20+'7.10 piac 047120'!I20+'7.11 tdm tám047320'!I20+'7.12 szemét 051030'!I20+'7.13 szennyvíz 052080'!I20+'7.14 víz 063080'!I20+'7.15 közvil 064010'!I20+'7.16 zöldterület 066010'!I20+'7.17 város 066020'!I20+'7.18 háziorvos 072111'!I20+'7.19 ügyelet 072112'!I20+'7.20 fülészet 072210'!I20+'7.21 védőnők 074031'!I20+'7.22 isk eü 074032'!I20+'7.23 sportcsépület 081030'!I20+'7.24 sport tám 081041'!I20+'7.25 diáksport 081043'!I20+'7.26 közműv 082091'!I20+'7.27 közműv 082092'!I20+'7.28  óvoda 091140'!I20+'7.29 intézmkiv gyétk 104037'!I20+'7.30 szoc étk 107051'!I20+'7.31 segélyek 107060'!I20+'7.32 adóbev 900020'!I20+'7.33 pályázatok összesen'!I20+'7.6 út építés 045127'!I20</f>
        <v>0</v>
      </c>
      <c r="J20" s="246">
        <f>'7.1. igazg 011130'!J20+'7.2 temető 013320'!J20+'7.3. vagyon 013350'!J20+'7.4 018010'!J20+'7.5 finansz műveletek 018030'!J20+'7.7 közütak működtetés 045160'!J20+'7.8 parkoló 045170'!J20+'7.9 kábeltv 046020'!J20+'7.10 piac 047120'!J20+'7.11 tdm tám047320'!J20+'7.12 szemét 051030'!J20+'7.13 szennyvíz 052080'!J20+'7.14 víz 063080'!J20+'7.15 közvil 064010'!J20+'7.16 zöldterület 066010'!J20+'7.17 város 066020'!J20+'7.18 háziorvos 072111'!J20+'7.19 ügyelet 072112'!J20+'7.20 fülészet 072210'!J20+'7.21 védőnők 074031'!J20+'7.22 isk eü 074032'!J20+'7.23 sportcsépület 081030'!J20+'7.24 sport tám 081041'!J20+'7.25 diáksport 081043'!J20+'7.26 közműv 082091'!J20+'7.27 közműv 082092'!J20+'7.28  óvoda 091140'!J20+'7.29 intézmkiv gyétk 104037'!J20+'7.30 szoc étk 107051'!J20+'7.31 segélyek 107060'!J20+'7.32 adóbev 900020'!J20+'7.33 pályázatok összesen'!J20+'7.6 út építés 045127'!J20</f>
        <v>0</v>
      </c>
      <c r="K20" s="247">
        <f t="shared" ca="1" si="2"/>
        <v>0</v>
      </c>
      <c r="L20" s="246">
        <f ca="1">'7.1. igazg 011130'!L20+'7.2 temető 013320'!L20+'7.3. vagyon 013350'!L20+'7.4 018010'!L20+'7.5 finansz műveletek 018030'!L20+'7.7 közütak működtetés 045160'!L20+'7.8 parkoló 045170'!L20+'7.9 kábeltv 046020'!L20+'7.10 piac 047120'!L20+'7.11 tdm tám047320'!L20+'7.12 szemét 051030'!L20+'7.13 szennyvíz 052080'!L20+'7.14 víz 063080'!L20+'7.15 közvil 064010'!L20+'7.16 zöldterület 066010'!L20+'7.17 város 066020'!L20+'7.18 háziorvos 072111'!L20+'7.19 ügyelet 072112'!L20+'7.20 fülészet 072210'!L20+'7.21 védőnők 074031'!L20+'7.22 isk eü 074032'!L20+'7.23 sportcsépület 081030'!L20+'7.24 sport tám 081041'!L20+'7.25 diáksport 081043'!L20+'7.26 közműv 082091'!L20+'7.27 közműv 082092'!L20+'7.28  óvoda 091140'!L20+'7.29 intézmkiv gyétk 104037'!L20+'7.30 szoc étk 107051'!L20+'7.31 segélyek 107060'!L20+'7.32 adóbev 900020'!L20+'7.33 pályázatok összesen'!L20+'7.6 út építés 045127'!L20</f>
        <v>0</v>
      </c>
      <c r="M20" s="246">
        <f>'7.1. igazg 011130'!M20+'7.2 temető 013320'!M20+'7.3. vagyon 013350'!M20+'7.4 018010'!M20+'7.5 finansz műveletek 018030'!M20+'7.7 közütak működtetés 045160'!M20+'7.8 parkoló 045170'!M20+'7.9 kábeltv 046020'!M20+'7.10 piac 047120'!M20+'7.11 tdm tám047320'!M20+'7.12 szemét 051030'!M20+'7.13 szennyvíz 052080'!M20+'7.14 víz 063080'!M20+'7.15 közvil 064010'!M20+'7.16 zöldterület 066010'!M20+'7.17 város 066020'!M20+'7.18 háziorvos 072111'!M20+'7.19 ügyelet 072112'!M20+'7.20 fülészet 072210'!M20+'7.21 védőnők 074031'!M20+'7.22 isk eü 074032'!M20+'7.23 sportcsépület 081030'!M20+'7.24 sport tám 081041'!M20+'7.25 diáksport 081043'!M20+'7.26 közműv 082091'!M20+'7.27 közműv 082092'!M20+'7.28  óvoda 091140'!M20+'7.29 intézmkiv gyétk 104037'!M20+'7.30 szoc étk 107051'!M20+'7.31 segélyek 107060'!M20+'7.32 adóbev 900020'!M20+'7.33 pályázatok összesen'!M20+'7.6 út építés 045127'!M20</f>
        <v>0</v>
      </c>
      <c r="N20" s="247">
        <f t="shared" ca="1" si="3"/>
        <v>0</v>
      </c>
      <c r="V20" s="148"/>
      <c r="W20" s="148"/>
    </row>
    <row r="21" spans="1:23" ht="15.75" thickBot="1" x14ac:dyDescent="0.3">
      <c r="A21" s="55" t="s">
        <v>65</v>
      </c>
      <c r="B21" s="64" t="s">
        <v>66</v>
      </c>
      <c r="C21" s="248">
        <f>'7.1. igazg 011130'!C21+'7.2 temető 013320'!C21+'7.3. vagyon 013350'!C21+'7.4 018010'!C21+'7.5 finansz műveletek 018030'!C21+'7.7 közütak működtetés 045160'!C21+'7.8 parkoló 045170'!C21+'7.9 kábeltv 046020'!C21+'7.10 piac 047120'!C21+'7.11 tdm tám047320'!C21+'7.12 szemét 051030'!C21+'7.13 szennyvíz 052080'!C21+'7.14 víz 063080'!C21+'7.15 közvil 064010'!C21+'7.16 zöldterület 066010'!C21+'7.17 város 066020'!C21+'7.18 háziorvos 072111'!C21+'7.19 ügyelet 072112'!C21+'7.20 fülészet 072210'!C21+'7.21 védőnők 074031'!C21+'7.22 isk eü 074032'!C21+'7.23 sportcsépület 081030'!C21+'7.24 sport tám 081041'!C21+'7.25 diáksport 081043'!C21+'7.26 közműv 082091'!C21+'7.27 közműv 082092'!C21+'7.28  óvoda 091140'!C21+'7.29 intézmkiv gyétk 104037'!C21+'7.30 szoc étk 107051'!C21+'7.31 segélyek 107060'!C21+'7.32 adóbev 900020'!C21+'7.33 pályázatok összesen'!C21+'7.6 út építés 045127'!C21</f>
        <v>264721555</v>
      </c>
      <c r="D21" s="248">
        <f>'7.1. igazg 011130'!D21+'7.2 temető 013320'!D21+'7.3. vagyon 013350'!D21+'7.4 018010'!D21+'7.5 finansz műveletek 018030'!D21+'7.7 közütak működtetés 045160'!D21+'7.8 parkoló 045170'!D21+'7.9 kábeltv 046020'!D21+'7.10 piac 047120'!D21+'7.11 tdm tám047320'!D21+'7.12 szemét 051030'!D21+'7.13 szennyvíz 052080'!D21+'7.14 víz 063080'!D21+'7.15 közvil 064010'!D21+'7.16 zöldterület 066010'!D21+'7.17 város 066020'!D21+'7.18 háziorvos 072111'!D21+'7.19 ügyelet 072112'!D21+'7.20 fülészet 072210'!D21+'7.21 védőnők 074031'!D21+'7.22 isk eü 074032'!D21+'7.23 sportcsépület 081030'!D21+'7.24 sport tám 081041'!D21+'7.25 diáksport 081043'!D21+'7.26 közműv 082091'!D21+'7.27 közműv 082092'!D21+'7.28  óvoda 091140'!D21+'7.29 intézmkiv gyétk 104037'!D21+'7.30 szoc étk 107051'!D21+'7.31 segélyek 107060'!D21+'7.32 adóbev 900020'!D21+'7.33 pályázatok összesen'!D21+'7.6 út építés 045127'!D21</f>
        <v>0</v>
      </c>
      <c r="E21" s="249">
        <f t="shared" si="0"/>
        <v>264721555</v>
      </c>
      <c r="F21" s="248">
        <f>'7.1. igazg 011130'!F21+'7.2 temető 013320'!F21+'7.3. vagyon 013350'!F21+'7.4 018010'!F21+'7.5 finansz műveletek 018030'!F21+'7.7 közütak működtetés 045160'!F21+'7.8 parkoló 045170'!F21+'7.9 kábeltv 046020'!F21+'7.10 piac 047120'!F21+'7.11 tdm tám047320'!F21+'7.12 szemét 051030'!F21+'7.13 szennyvíz 052080'!F21+'7.14 víz 063080'!F21+'7.15 közvil 064010'!F21+'7.16 zöldterület 066010'!F21+'7.17 város 066020'!F21+'7.18 háziorvos 072111'!F21+'7.19 ügyelet 072112'!F21+'7.20 fülészet 072210'!F21+'7.21 védőnők 074031'!F21+'7.22 isk eü 074032'!F21+'7.23 sportcsépület 081030'!F21+'7.24 sport tám 081041'!F21+'7.25 diáksport 081043'!F21+'7.26 közműv 082091'!F21+'7.27 közműv 082092'!F21+'7.28  óvoda 091140'!F21+'7.29 intézmkiv gyétk 104037'!F21+'7.30 szoc étk 107051'!F21+'7.31 segélyek 107060'!F21+'7.32 adóbev 900020'!F21+'7.33 pályázatok összesen'!F21+'7.6 út építés 045127'!F21</f>
        <v>253157084</v>
      </c>
      <c r="G21" s="248">
        <f>'7.1. igazg 011130'!G21+'7.2 temető 013320'!G21+'7.3. vagyon 013350'!G21+'7.4 018010'!G21+'7.5 finansz műveletek 018030'!G21+'7.7 közütak működtetés 045160'!G21+'7.8 parkoló 045170'!G21+'7.9 kábeltv 046020'!G21+'7.10 piac 047120'!G21+'7.11 tdm tám047320'!G21+'7.12 szemét 051030'!G21+'7.13 szennyvíz 052080'!G21+'7.14 víz 063080'!G21+'7.15 közvil 064010'!G21+'7.16 zöldterület 066010'!G21+'7.17 város 066020'!G21+'7.18 háziorvos 072111'!G21+'7.19 ügyelet 072112'!G21+'7.20 fülészet 072210'!G21+'7.21 védőnők 074031'!G21+'7.22 isk eü 074032'!G21+'7.23 sportcsépület 081030'!G21+'7.24 sport tám 081041'!G21+'7.25 diáksport 081043'!G21+'7.26 közműv 082091'!G21+'7.27 közműv 082092'!G21+'7.28  óvoda 091140'!G21+'7.29 intézmkiv gyétk 104037'!G21+'7.30 szoc étk 107051'!G21+'7.31 segélyek 107060'!G21+'7.32 adóbev 900020'!G21+'7.33 pályázatok összesen'!G21+'7.6 út építés 045127'!G21</f>
        <v>0</v>
      </c>
      <c r="H21" s="249">
        <f t="shared" si="1"/>
        <v>253157084</v>
      </c>
      <c r="I21" s="248">
        <f ca="1">'7.1. igazg 011130'!I21+'7.2 temető 013320'!I21+'7.3. vagyon 013350'!I21+'7.4 018010'!I21+'7.5 finansz műveletek 018030'!I21+'7.7 közütak működtetés 045160'!I21+'7.8 parkoló 045170'!I21+'7.9 kábeltv 046020'!I21+'7.10 piac 047120'!I21+'7.11 tdm tám047320'!I21+'7.12 szemét 051030'!I21+'7.13 szennyvíz 052080'!I21+'7.14 víz 063080'!I21+'7.15 közvil 064010'!I21+'7.16 zöldterület 066010'!I21+'7.17 város 066020'!I21+'7.18 háziorvos 072111'!I21+'7.19 ügyelet 072112'!I21+'7.20 fülészet 072210'!I21+'7.21 védőnők 074031'!I21+'7.22 isk eü 074032'!I21+'7.23 sportcsépület 081030'!I21+'7.24 sport tám 081041'!I21+'7.25 diáksport 081043'!I21+'7.26 közműv 082091'!I21+'7.27 közműv 082092'!I21+'7.28  óvoda 091140'!I21+'7.29 intézmkiv gyétk 104037'!I21+'7.30 szoc étk 107051'!I21+'7.31 segélyek 107060'!I21+'7.32 adóbev 900020'!I21+'7.33 pályázatok összesen'!I21+'7.6 út építés 045127'!I21</f>
        <v>251510633</v>
      </c>
      <c r="J21" s="248">
        <f>'7.1. igazg 011130'!J21+'7.2 temető 013320'!J21+'7.3. vagyon 013350'!J21+'7.4 018010'!J21+'7.5 finansz műveletek 018030'!J21+'7.7 közütak működtetés 045160'!J21+'7.8 parkoló 045170'!J21+'7.9 kábeltv 046020'!J21+'7.10 piac 047120'!J21+'7.11 tdm tám047320'!J21+'7.12 szemét 051030'!J21+'7.13 szennyvíz 052080'!J21+'7.14 víz 063080'!J21+'7.15 közvil 064010'!J21+'7.16 zöldterület 066010'!J21+'7.17 város 066020'!J21+'7.18 háziorvos 072111'!J21+'7.19 ügyelet 072112'!J21+'7.20 fülészet 072210'!J21+'7.21 védőnők 074031'!J21+'7.22 isk eü 074032'!J21+'7.23 sportcsépület 081030'!J21+'7.24 sport tám 081041'!J21+'7.25 diáksport 081043'!J21+'7.26 közműv 082091'!J21+'7.27 közműv 082092'!J21+'7.28  óvoda 091140'!J21+'7.29 intézmkiv gyétk 104037'!J21+'7.30 szoc étk 107051'!J21+'7.31 segélyek 107060'!J21+'7.32 adóbev 900020'!J21+'7.33 pályázatok összesen'!J21+'7.6 út építés 045127'!J21</f>
        <v>0</v>
      </c>
      <c r="K21" s="249">
        <f t="shared" ca="1" si="2"/>
        <v>251510633</v>
      </c>
      <c r="L21" s="248">
        <f ca="1">'7.1. igazg 011130'!L21+'7.2 temető 013320'!L21+'7.3. vagyon 013350'!L21+'7.4 018010'!L21+'7.5 finansz műveletek 018030'!L21+'7.7 közütak működtetés 045160'!L21+'7.8 parkoló 045170'!L21+'7.9 kábeltv 046020'!L21+'7.10 piac 047120'!L21+'7.11 tdm tám047320'!L21+'7.12 szemét 051030'!L21+'7.13 szennyvíz 052080'!L21+'7.14 víz 063080'!L21+'7.15 közvil 064010'!L21+'7.16 zöldterület 066010'!L21+'7.17 város 066020'!L21+'7.18 háziorvos 072111'!L21+'7.19 ügyelet 072112'!L21+'7.20 fülészet 072210'!L21+'7.21 védőnők 074031'!L21+'7.22 isk eü 074032'!L21+'7.23 sportcsépület 081030'!L21+'7.24 sport tám 081041'!L21+'7.25 diáksport 081043'!L21+'7.26 közműv 082091'!L21+'7.27 közműv 082092'!L21+'7.28  óvoda 091140'!L21+'7.29 intézmkiv gyétk 104037'!L21+'7.30 szoc étk 107051'!L21+'7.31 segélyek 107060'!L21+'7.32 adóbev 900020'!L21+'7.33 pályázatok összesen'!L21+'7.6 út építés 045127'!L21</f>
        <v>199319954</v>
      </c>
      <c r="M21" s="248">
        <f>'7.1. igazg 011130'!M21+'7.2 temető 013320'!M21+'7.3. vagyon 013350'!M21+'7.4 018010'!M21+'7.5 finansz műveletek 018030'!M21+'7.7 közütak működtetés 045160'!M21+'7.8 parkoló 045170'!M21+'7.9 kábeltv 046020'!M21+'7.10 piac 047120'!M21+'7.11 tdm tám047320'!M21+'7.12 szemét 051030'!M21+'7.13 szennyvíz 052080'!M21+'7.14 víz 063080'!M21+'7.15 közvil 064010'!M21+'7.16 zöldterület 066010'!M21+'7.17 város 066020'!M21+'7.18 háziorvos 072111'!M21+'7.19 ügyelet 072112'!M21+'7.20 fülészet 072210'!M21+'7.21 védőnők 074031'!M21+'7.22 isk eü 074032'!M21+'7.23 sportcsépület 081030'!M21+'7.24 sport tám 081041'!M21+'7.25 diáksport 081043'!M21+'7.26 közműv 082091'!M21+'7.27 közműv 082092'!M21+'7.28  óvoda 091140'!M21+'7.29 intézmkiv gyétk 104037'!M21+'7.30 szoc étk 107051'!M21+'7.31 segélyek 107060'!M21+'7.32 adóbev 900020'!M21+'7.33 pályázatok összesen'!M21+'7.6 út építés 045127'!M21</f>
        <v>0</v>
      </c>
      <c r="N21" s="249">
        <f t="shared" ca="1" si="3"/>
        <v>199319954</v>
      </c>
      <c r="V21" s="148"/>
      <c r="W21" s="148"/>
    </row>
    <row r="22" spans="1:23" x14ac:dyDescent="0.25">
      <c r="A22" s="75" t="s">
        <v>67</v>
      </c>
      <c r="B22" s="49" t="s">
        <v>27</v>
      </c>
      <c r="C22" s="244">
        <f>'7.1. igazg 011130'!C22+'7.2 temető 013320'!C22+'7.3. vagyon 013350'!C22+'7.4 018010'!C22+'7.5 finansz műveletek 018030'!C22+'7.7 közütak működtetés 045160'!C22+'7.8 parkoló 045170'!C22+'7.9 kábeltv 046020'!C22+'7.10 piac 047120'!C22+'7.11 tdm tám047320'!C22+'7.12 szemét 051030'!C22+'7.13 szennyvíz 052080'!C22+'7.14 víz 063080'!C22+'7.15 közvil 064010'!C22+'7.16 zöldterület 066010'!C22+'7.17 város 066020'!C22+'7.18 háziorvos 072111'!C22+'7.19 ügyelet 072112'!C22+'7.20 fülészet 072210'!C22+'7.21 védőnők 074031'!C22+'7.22 isk eü 074032'!C22+'7.23 sportcsépület 081030'!C22+'7.24 sport tám 081041'!C22+'7.25 diáksport 081043'!C22+'7.26 közműv 082091'!C22+'7.27 közműv 082092'!C22+'7.28  óvoda 091140'!C22+'7.29 intézmkiv gyétk 104037'!C22+'7.30 szoc étk 107051'!C22+'7.31 segélyek 107060'!C22+'7.32 adóbev 900020'!C22+'7.33 pályázatok összesen'!C22+'7.6 út építés 045127'!C22</f>
        <v>1006762937</v>
      </c>
      <c r="D22" s="244">
        <f>'7.1. igazg 011130'!D22+'7.2 temető 013320'!D22+'7.3. vagyon 013350'!D22+'7.4 018010'!D22+'7.5 finansz műveletek 018030'!D22+'7.7 közütak működtetés 045160'!D22+'7.8 parkoló 045170'!D22+'7.9 kábeltv 046020'!D22+'7.10 piac 047120'!D22+'7.11 tdm tám047320'!D22+'7.12 szemét 051030'!D22+'7.13 szennyvíz 052080'!D22+'7.14 víz 063080'!D22+'7.15 közvil 064010'!D22+'7.16 zöldterület 066010'!D22+'7.17 város 066020'!D22+'7.18 háziorvos 072111'!D22+'7.19 ügyelet 072112'!D22+'7.20 fülészet 072210'!D22+'7.21 védőnők 074031'!D22+'7.22 isk eü 074032'!D22+'7.23 sportcsépület 081030'!D22+'7.24 sport tám 081041'!D22+'7.25 diáksport 081043'!D22+'7.26 közműv 082091'!D22+'7.27 közműv 082092'!D22+'7.28  óvoda 091140'!D22+'7.29 intézmkiv gyétk 104037'!D22+'7.30 szoc étk 107051'!D22+'7.31 segélyek 107060'!D22+'7.32 adóbev 900020'!D22+'7.33 pályázatok összesen'!D22+'7.6 út építés 045127'!D22</f>
        <v>0</v>
      </c>
      <c r="E22" s="245">
        <f t="shared" si="0"/>
        <v>1006762937</v>
      </c>
      <c r="F22" s="244">
        <f>'7.1. igazg 011130'!F22+'7.2 temető 013320'!F22+'7.3. vagyon 013350'!F22+'7.4 018010'!F22+'7.5 finansz műveletek 018030'!F22+'7.7 közütak működtetés 045160'!F22+'7.8 parkoló 045170'!F22+'7.9 kábeltv 046020'!F22+'7.10 piac 047120'!F22+'7.11 tdm tám047320'!F22+'7.12 szemét 051030'!F22+'7.13 szennyvíz 052080'!F22+'7.14 víz 063080'!F22+'7.15 közvil 064010'!F22+'7.16 zöldterület 066010'!F22+'7.17 város 066020'!F22+'7.18 háziorvos 072111'!F22+'7.19 ügyelet 072112'!F22+'7.20 fülészet 072210'!F22+'7.21 védőnők 074031'!F22+'7.22 isk eü 074032'!F22+'7.23 sportcsépület 081030'!F22+'7.24 sport tám 081041'!F22+'7.25 diáksport 081043'!F22+'7.26 közműv 082091'!F22+'7.27 közműv 082092'!F22+'7.28  óvoda 091140'!F22+'7.29 intézmkiv gyétk 104037'!F22+'7.30 szoc étk 107051'!F22+'7.31 segélyek 107060'!F22+'7.32 adóbev 900020'!F22+'7.33 pályázatok összesen'!F22+'7.6 út építés 045127'!F22</f>
        <v>1006762937</v>
      </c>
      <c r="G22" s="244">
        <f>'7.1. igazg 011130'!G22+'7.2 temető 013320'!G22+'7.3. vagyon 013350'!G22+'7.4 018010'!G22+'7.5 finansz műveletek 018030'!G22+'7.7 közütak működtetés 045160'!G22+'7.8 parkoló 045170'!G22+'7.9 kábeltv 046020'!G22+'7.10 piac 047120'!G22+'7.11 tdm tám047320'!G22+'7.12 szemét 051030'!G22+'7.13 szennyvíz 052080'!G22+'7.14 víz 063080'!G22+'7.15 közvil 064010'!G22+'7.16 zöldterület 066010'!G22+'7.17 város 066020'!G22+'7.18 háziorvos 072111'!G22+'7.19 ügyelet 072112'!G22+'7.20 fülészet 072210'!G22+'7.21 védőnők 074031'!G22+'7.22 isk eü 074032'!G22+'7.23 sportcsépület 081030'!G22+'7.24 sport tám 081041'!G22+'7.25 diáksport 081043'!G22+'7.26 közműv 082091'!G22+'7.27 közműv 082092'!G22+'7.28  óvoda 091140'!G22+'7.29 intézmkiv gyétk 104037'!G22+'7.30 szoc étk 107051'!G22+'7.31 segélyek 107060'!G22+'7.32 adóbev 900020'!G22+'7.33 pályázatok összesen'!G22+'7.6 út építés 045127'!G22</f>
        <v>0</v>
      </c>
      <c r="H22" s="245">
        <f t="shared" si="1"/>
        <v>1006762937</v>
      </c>
      <c r="I22" s="244">
        <f ca="1">'7.1. igazg 011130'!I22+'7.2 temető 013320'!I22+'7.3. vagyon 013350'!I22+'7.4 018010'!I22+'7.5 finansz műveletek 018030'!I22+'7.7 közütak működtetés 045160'!I22+'7.8 parkoló 045170'!I22+'7.9 kábeltv 046020'!I22+'7.10 piac 047120'!I22+'7.11 tdm tám047320'!I22+'7.12 szemét 051030'!I22+'7.13 szennyvíz 052080'!I22+'7.14 víz 063080'!I22+'7.15 közvil 064010'!I22+'7.16 zöldterület 066010'!I22+'7.17 város 066020'!I22+'7.18 háziorvos 072111'!I22+'7.19 ügyelet 072112'!I22+'7.20 fülészet 072210'!I22+'7.21 védőnők 074031'!I22+'7.22 isk eü 074032'!I22+'7.23 sportcsépület 081030'!I22+'7.24 sport tám 081041'!I22+'7.25 diáksport 081043'!I22+'7.26 közműv 082091'!I22+'7.27 közműv 082092'!I22+'7.28  óvoda 091140'!I22+'7.29 intézmkiv gyétk 104037'!I22+'7.30 szoc étk 107051'!I22+'7.31 segélyek 107060'!I22+'7.32 adóbev 900020'!I22+'7.33 pályázatok összesen'!I22+'7.6 út építés 045127'!I22</f>
        <v>1011738782</v>
      </c>
      <c r="J22" s="244">
        <f>'7.1. igazg 011130'!J22+'7.2 temető 013320'!J22+'7.3. vagyon 013350'!J22+'7.4 018010'!J22+'7.5 finansz műveletek 018030'!J22+'7.7 közütak működtetés 045160'!J22+'7.8 parkoló 045170'!J22+'7.9 kábeltv 046020'!J22+'7.10 piac 047120'!J22+'7.11 tdm tám047320'!J22+'7.12 szemét 051030'!J22+'7.13 szennyvíz 052080'!J22+'7.14 víz 063080'!J22+'7.15 közvil 064010'!J22+'7.16 zöldterület 066010'!J22+'7.17 város 066020'!J22+'7.18 háziorvos 072111'!J22+'7.19 ügyelet 072112'!J22+'7.20 fülészet 072210'!J22+'7.21 védőnők 074031'!J22+'7.22 isk eü 074032'!J22+'7.23 sportcsépület 081030'!J22+'7.24 sport tám 081041'!J22+'7.25 diáksport 081043'!J22+'7.26 közműv 082091'!J22+'7.27 közműv 082092'!J22+'7.28  óvoda 091140'!J22+'7.29 intézmkiv gyétk 104037'!J22+'7.30 szoc étk 107051'!J22+'7.31 segélyek 107060'!J22+'7.32 adóbev 900020'!J22+'7.33 pályázatok összesen'!J22+'7.6 út építés 045127'!J22</f>
        <v>0</v>
      </c>
      <c r="K22" s="245">
        <f t="shared" ca="1" si="2"/>
        <v>1011738782</v>
      </c>
      <c r="L22" s="244">
        <f ca="1">'7.1. igazg 011130'!L22+'7.2 temető 013320'!L22+'7.3. vagyon 013350'!L22+'7.4 018010'!L22+'7.5 finansz műveletek 018030'!L22+'7.7 közütak működtetés 045160'!L22+'7.8 parkoló 045170'!L22+'7.9 kábeltv 046020'!L22+'7.10 piac 047120'!L22+'7.11 tdm tám047320'!L22+'7.12 szemét 051030'!L22+'7.13 szennyvíz 052080'!L22+'7.14 víz 063080'!L22+'7.15 közvil 064010'!L22+'7.16 zöldterület 066010'!L22+'7.17 város 066020'!L22+'7.18 háziorvos 072111'!L22+'7.19 ügyelet 072112'!L22+'7.20 fülészet 072210'!L22+'7.21 védőnők 074031'!L22+'7.22 isk eü 074032'!L22+'7.23 sportcsépület 081030'!L22+'7.24 sport tám 081041'!L22+'7.25 diáksport 081043'!L22+'7.26 közműv 082091'!L22+'7.27 közműv 082092'!L22+'7.28  óvoda 091140'!L22+'7.29 intézmkiv gyétk 104037'!L22+'7.30 szoc étk 107051'!L22+'7.31 segélyek 107060'!L22+'7.32 adóbev 900020'!L22+'7.33 pályázatok összesen'!L22+'7.6 út építés 045127'!L22</f>
        <v>957123845</v>
      </c>
      <c r="M22" s="244">
        <f>'7.1. igazg 011130'!M22+'7.2 temető 013320'!M22+'7.3. vagyon 013350'!M22+'7.4 018010'!M22+'7.5 finansz műveletek 018030'!M22+'7.7 közütak működtetés 045160'!M22+'7.8 parkoló 045170'!M22+'7.9 kábeltv 046020'!M22+'7.10 piac 047120'!M22+'7.11 tdm tám047320'!M22+'7.12 szemét 051030'!M22+'7.13 szennyvíz 052080'!M22+'7.14 víz 063080'!M22+'7.15 közvil 064010'!M22+'7.16 zöldterület 066010'!M22+'7.17 város 066020'!M22+'7.18 háziorvos 072111'!M22+'7.19 ügyelet 072112'!M22+'7.20 fülészet 072210'!M22+'7.21 védőnők 074031'!M22+'7.22 isk eü 074032'!M22+'7.23 sportcsépület 081030'!M22+'7.24 sport tám 081041'!M22+'7.25 diáksport 081043'!M22+'7.26 közműv 082091'!M22+'7.27 közműv 082092'!M22+'7.28  óvoda 091140'!M22+'7.29 intézmkiv gyétk 104037'!M22+'7.30 szoc étk 107051'!M22+'7.31 segélyek 107060'!M22+'7.32 adóbev 900020'!M22+'7.33 pályázatok összesen'!M22+'7.6 út építés 045127'!M22</f>
        <v>0</v>
      </c>
      <c r="N22" s="245">
        <f t="shared" ca="1" si="3"/>
        <v>957123845</v>
      </c>
      <c r="V22" s="148"/>
      <c r="W22" s="148"/>
    </row>
    <row r="23" spans="1:23" x14ac:dyDescent="0.25">
      <c r="A23" s="76"/>
      <c r="B23" s="54" t="s">
        <v>268</v>
      </c>
      <c r="C23" s="246">
        <f>'7.1. igazg 011130'!C23+'7.2 temető 013320'!C23+'7.3. vagyon 013350'!C23+'7.4 018010'!C23+'7.5 finansz műveletek 018030'!C23+'7.7 közütak működtetés 045160'!C23+'7.8 parkoló 045170'!C23+'7.9 kábeltv 046020'!C23+'7.10 piac 047120'!C23+'7.11 tdm tám047320'!C23+'7.12 szemét 051030'!C23+'7.13 szennyvíz 052080'!C23+'7.14 víz 063080'!C23+'7.15 közvil 064010'!C23+'7.16 zöldterület 066010'!C23+'7.17 város 066020'!C23+'7.18 háziorvos 072111'!C23+'7.19 ügyelet 072112'!C23+'7.20 fülészet 072210'!C23+'7.21 védőnők 074031'!C23+'7.22 isk eü 074032'!C23+'7.23 sportcsépület 081030'!C23+'7.24 sport tám 081041'!C23+'7.25 diáksport 081043'!C23+'7.26 közműv 082091'!C23+'7.27 közműv 082092'!C23+'7.28  óvoda 091140'!C23+'7.29 intézmkiv gyétk 104037'!C23+'7.30 szoc étk 107051'!C23+'7.31 segélyek 107060'!C23+'7.32 adóbev 900020'!C23+'7.33 pályázatok összesen'!C23+'7.6 út építés 045127'!C23</f>
        <v>952724500</v>
      </c>
      <c r="D23" s="246">
        <f>'7.1. igazg 011130'!D23+'7.2 temető 013320'!D23+'7.3. vagyon 013350'!D23+'7.4 018010'!D23+'7.5 finansz műveletek 018030'!D23+'7.7 közütak működtetés 045160'!D23+'7.8 parkoló 045170'!D23+'7.9 kábeltv 046020'!D23+'7.10 piac 047120'!D23+'7.11 tdm tám047320'!D23+'7.12 szemét 051030'!D23+'7.13 szennyvíz 052080'!D23+'7.14 víz 063080'!D23+'7.15 közvil 064010'!D23+'7.16 zöldterület 066010'!D23+'7.17 város 066020'!D23+'7.18 háziorvos 072111'!D23+'7.19 ügyelet 072112'!D23+'7.20 fülészet 072210'!D23+'7.21 védőnők 074031'!D23+'7.22 isk eü 074032'!D23+'7.23 sportcsépület 081030'!D23+'7.24 sport tám 081041'!D23+'7.25 diáksport 081043'!D23+'7.26 közműv 082091'!D23+'7.27 közműv 082092'!D23+'7.28  óvoda 091140'!D23+'7.29 intézmkiv gyétk 104037'!D23+'7.30 szoc étk 107051'!D23+'7.31 segélyek 107060'!D23+'7.32 adóbev 900020'!D23+'7.33 pályázatok összesen'!D23+'7.6 út építés 045127'!D23</f>
        <v>0</v>
      </c>
      <c r="E23" s="247">
        <f t="shared" si="0"/>
        <v>952724500</v>
      </c>
      <c r="F23" s="246">
        <f>'7.1. igazg 011130'!F23+'7.2 temető 013320'!F23+'7.3. vagyon 013350'!F23+'7.4 018010'!F23+'7.5 finansz műveletek 018030'!F23+'7.7 közütak működtetés 045160'!F23+'7.8 parkoló 045170'!F23+'7.9 kábeltv 046020'!F23+'7.10 piac 047120'!F23+'7.11 tdm tám047320'!F23+'7.12 szemét 051030'!F23+'7.13 szennyvíz 052080'!F23+'7.14 víz 063080'!F23+'7.15 közvil 064010'!F23+'7.16 zöldterület 066010'!F23+'7.17 város 066020'!F23+'7.18 háziorvos 072111'!F23+'7.19 ügyelet 072112'!F23+'7.20 fülészet 072210'!F23+'7.21 védőnők 074031'!F23+'7.22 isk eü 074032'!F23+'7.23 sportcsépület 081030'!F23+'7.24 sport tám 081041'!F23+'7.25 diáksport 081043'!F23+'7.26 közműv 082091'!F23+'7.27 közműv 082092'!F23+'7.28  óvoda 091140'!F23+'7.29 intézmkiv gyétk 104037'!F23+'7.30 szoc étk 107051'!F23+'7.31 segélyek 107060'!F23+'7.32 adóbev 900020'!F23+'7.33 pályázatok összesen'!F23+'7.6 út építés 045127'!F23</f>
        <v>952724500</v>
      </c>
      <c r="G23" s="246">
        <f>'7.1. igazg 011130'!G23+'7.2 temető 013320'!G23+'7.3. vagyon 013350'!G23+'7.4 018010'!G23+'7.5 finansz műveletek 018030'!G23+'7.7 közütak működtetés 045160'!G23+'7.8 parkoló 045170'!G23+'7.9 kábeltv 046020'!G23+'7.10 piac 047120'!G23+'7.11 tdm tám047320'!G23+'7.12 szemét 051030'!G23+'7.13 szennyvíz 052080'!G23+'7.14 víz 063080'!G23+'7.15 közvil 064010'!G23+'7.16 zöldterület 066010'!G23+'7.17 város 066020'!G23+'7.18 háziorvos 072111'!G23+'7.19 ügyelet 072112'!G23+'7.20 fülészet 072210'!G23+'7.21 védőnők 074031'!G23+'7.22 isk eü 074032'!G23+'7.23 sportcsépület 081030'!G23+'7.24 sport tám 081041'!G23+'7.25 diáksport 081043'!G23+'7.26 közműv 082091'!G23+'7.27 közműv 082092'!G23+'7.28  óvoda 091140'!G23+'7.29 intézmkiv gyétk 104037'!G23+'7.30 szoc étk 107051'!G23+'7.31 segélyek 107060'!G23+'7.32 adóbev 900020'!G23+'7.33 pályázatok összesen'!G23+'7.6 út építés 045127'!G23</f>
        <v>0</v>
      </c>
      <c r="H23" s="247">
        <f t="shared" si="1"/>
        <v>952724500</v>
      </c>
      <c r="I23" s="246">
        <f ca="1">'7.1. igazg 011130'!I23+'7.2 temető 013320'!I23+'7.3. vagyon 013350'!I23+'7.4 018010'!I23+'7.5 finansz műveletek 018030'!I23+'7.7 közütak működtetés 045160'!I23+'7.8 parkoló 045170'!I23+'7.9 kábeltv 046020'!I23+'7.10 piac 047120'!I23+'7.11 tdm tám047320'!I23+'7.12 szemét 051030'!I23+'7.13 szennyvíz 052080'!I23+'7.14 víz 063080'!I23+'7.15 közvil 064010'!I23+'7.16 zöldterület 066010'!I23+'7.17 város 066020'!I23+'7.18 háziorvos 072111'!I23+'7.19 ügyelet 072112'!I23+'7.20 fülészet 072210'!I23+'7.21 védőnők 074031'!I23+'7.22 isk eü 074032'!I23+'7.23 sportcsépület 081030'!I23+'7.24 sport tám 081041'!I23+'7.25 diáksport 081043'!I23+'7.26 közműv 082091'!I23+'7.27 közműv 082092'!I23+'7.28  óvoda 091140'!I23+'7.29 intézmkiv gyétk 104037'!I23+'7.30 szoc étk 107051'!I23+'7.31 segélyek 107060'!I23+'7.32 adóbev 900020'!I23+'7.33 pályázatok összesen'!I23+'7.6 út építés 045127'!I23</f>
        <v>957700345</v>
      </c>
      <c r="J23" s="246">
        <f>'7.1. igazg 011130'!J23+'7.2 temető 013320'!J23+'7.3. vagyon 013350'!J23+'7.4 018010'!J23+'7.5 finansz műveletek 018030'!J23+'7.7 közütak működtetés 045160'!J23+'7.8 parkoló 045170'!J23+'7.9 kábeltv 046020'!J23+'7.10 piac 047120'!J23+'7.11 tdm tám047320'!J23+'7.12 szemét 051030'!J23+'7.13 szennyvíz 052080'!J23+'7.14 víz 063080'!J23+'7.15 közvil 064010'!J23+'7.16 zöldterület 066010'!J23+'7.17 város 066020'!J23+'7.18 háziorvos 072111'!J23+'7.19 ügyelet 072112'!J23+'7.20 fülészet 072210'!J23+'7.21 védőnők 074031'!J23+'7.22 isk eü 074032'!J23+'7.23 sportcsépület 081030'!J23+'7.24 sport tám 081041'!J23+'7.25 diáksport 081043'!J23+'7.26 közműv 082091'!J23+'7.27 közműv 082092'!J23+'7.28  óvoda 091140'!J23+'7.29 intézmkiv gyétk 104037'!J23+'7.30 szoc étk 107051'!J23+'7.31 segélyek 107060'!J23+'7.32 adóbev 900020'!J23+'7.33 pályázatok összesen'!J23+'7.6 út építés 045127'!J23</f>
        <v>0</v>
      </c>
      <c r="K23" s="247">
        <f t="shared" ca="1" si="2"/>
        <v>957700345</v>
      </c>
      <c r="L23" s="246">
        <f ca="1">'7.1. igazg 011130'!L23+'7.2 temető 013320'!L23+'7.3. vagyon 013350'!L23+'7.4 018010'!L23+'7.5 finansz műveletek 018030'!L23+'7.7 közütak működtetés 045160'!L23+'7.8 parkoló 045170'!L23+'7.9 kábeltv 046020'!L23+'7.10 piac 047120'!L23+'7.11 tdm tám047320'!L23+'7.12 szemét 051030'!L23+'7.13 szennyvíz 052080'!L23+'7.14 víz 063080'!L23+'7.15 közvil 064010'!L23+'7.16 zöldterület 066010'!L23+'7.17 város 066020'!L23+'7.18 háziorvos 072111'!L23+'7.19 ügyelet 072112'!L23+'7.20 fülészet 072210'!L23+'7.21 védőnők 074031'!L23+'7.22 isk eü 074032'!L23+'7.23 sportcsépület 081030'!L23+'7.24 sport tám 081041'!L23+'7.25 diáksport 081043'!L23+'7.26 közműv 082091'!L23+'7.27 közműv 082092'!L23+'7.28  óvoda 091140'!L23+'7.29 intézmkiv gyétk 104037'!L23+'7.30 szoc étk 107051'!L23+'7.31 segélyek 107060'!L23+'7.32 adóbev 900020'!L23+'7.33 pályázatok összesen'!L23+'7.6 út építés 045127'!L23</f>
        <v>957123845</v>
      </c>
      <c r="M23" s="246">
        <f>'7.1. igazg 011130'!M23+'7.2 temető 013320'!M23+'7.3. vagyon 013350'!M23+'7.4 018010'!M23+'7.5 finansz műveletek 018030'!M23+'7.7 közütak működtetés 045160'!M23+'7.8 parkoló 045170'!M23+'7.9 kábeltv 046020'!M23+'7.10 piac 047120'!M23+'7.11 tdm tám047320'!M23+'7.12 szemét 051030'!M23+'7.13 szennyvíz 052080'!M23+'7.14 víz 063080'!M23+'7.15 közvil 064010'!M23+'7.16 zöldterület 066010'!M23+'7.17 város 066020'!M23+'7.18 háziorvos 072111'!M23+'7.19 ügyelet 072112'!M23+'7.20 fülészet 072210'!M23+'7.21 védőnők 074031'!M23+'7.22 isk eü 074032'!M23+'7.23 sportcsépület 081030'!M23+'7.24 sport tám 081041'!M23+'7.25 diáksport 081043'!M23+'7.26 közműv 082091'!M23+'7.27 közműv 082092'!M23+'7.28  óvoda 091140'!M23+'7.29 intézmkiv gyétk 104037'!M23+'7.30 szoc étk 107051'!M23+'7.31 segélyek 107060'!M23+'7.32 adóbev 900020'!M23+'7.33 pályázatok összesen'!M23+'7.6 út építés 045127'!M23</f>
        <v>0</v>
      </c>
      <c r="N23" s="247">
        <f t="shared" ca="1" si="3"/>
        <v>957123845</v>
      </c>
      <c r="V23" s="148"/>
      <c r="W23" s="148"/>
    </row>
    <row r="24" spans="1:23" ht="15.75" thickBot="1" x14ac:dyDescent="0.3">
      <c r="A24" s="77"/>
      <c r="B24" s="74" t="s">
        <v>269</v>
      </c>
      <c r="C24" s="248">
        <f>'7.1. igazg 011130'!C24+'7.2 temető 013320'!C24+'7.3. vagyon 013350'!C24+'7.4 018010'!C24+'7.5 finansz műveletek 018030'!C24+'7.7 közütak működtetés 045160'!C24+'7.8 parkoló 045170'!C24+'7.9 kábeltv 046020'!C24+'7.10 piac 047120'!C24+'7.11 tdm tám047320'!C24+'7.12 szemét 051030'!C24+'7.13 szennyvíz 052080'!C24+'7.14 víz 063080'!C24+'7.15 közvil 064010'!C24+'7.16 zöldterület 066010'!C24+'7.17 város 066020'!C24+'7.18 háziorvos 072111'!C24+'7.19 ügyelet 072112'!C24+'7.20 fülészet 072210'!C24+'7.21 védőnők 074031'!C24+'7.22 isk eü 074032'!C24+'7.23 sportcsépület 081030'!C24+'7.24 sport tám 081041'!C24+'7.25 diáksport 081043'!C24+'7.26 közműv 082091'!C24+'7.27 közműv 082092'!C24+'7.28  óvoda 091140'!C24+'7.29 intézmkiv gyétk 104037'!C24+'7.30 szoc étk 107051'!C24+'7.31 segélyek 107060'!C24+'7.32 adóbev 900020'!C24+'7.33 pályázatok összesen'!C24+'7.6 út építés 045127'!C24</f>
        <v>54038437</v>
      </c>
      <c r="D24" s="248">
        <f>'7.1. igazg 011130'!D24+'7.2 temető 013320'!D24+'7.3. vagyon 013350'!D24+'7.4 018010'!D24+'7.5 finansz műveletek 018030'!D24+'7.7 közütak működtetés 045160'!D24+'7.8 parkoló 045170'!D24+'7.9 kábeltv 046020'!D24+'7.10 piac 047120'!D24+'7.11 tdm tám047320'!D24+'7.12 szemét 051030'!D24+'7.13 szennyvíz 052080'!D24+'7.14 víz 063080'!D24+'7.15 közvil 064010'!D24+'7.16 zöldterület 066010'!D24+'7.17 város 066020'!D24+'7.18 háziorvos 072111'!D24+'7.19 ügyelet 072112'!D24+'7.20 fülészet 072210'!D24+'7.21 védőnők 074031'!D24+'7.22 isk eü 074032'!D24+'7.23 sportcsépület 081030'!D24+'7.24 sport tám 081041'!D24+'7.25 diáksport 081043'!D24+'7.26 közműv 082091'!D24+'7.27 közműv 082092'!D24+'7.28  óvoda 091140'!D24+'7.29 intézmkiv gyétk 104037'!D24+'7.30 szoc étk 107051'!D24+'7.31 segélyek 107060'!D24+'7.32 adóbev 900020'!D24+'7.33 pályázatok összesen'!D24+'7.6 út építés 045127'!D24</f>
        <v>0</v>
      </c>
      <c r="E24" s="249">
        <f t="shared" si="0"/>
        <v>54038437</v>
      </c>
      <c r="F24" s="248">
        <f>'7.1. igazg 011130'!F24+'7.2 temető 013320'!F24+'7.3. vagyon 013350'!F24+'7.4 018010'!F24+'7.5 finansz műveletek 018030'!F24+'7.7 közütak működtetés 045160'!F24+'7.8 parkoló 045170'!F24+'7.9 kábeltv 046020'!F24+'7.10 piac 047120'!F24+'7.11 tdm tám047320'!F24+'7.12 szemét 051030'!F24+'7.13 szennyvíz 052080'!F24+'7.14 víz 063080'!F24+'7.15 közvil 064010'!F24+'7.16 zöldterület 066010'!F24+'7.17 város 066020'!F24+'7.18 háziorvos 072111'!F24+'7.19 ügyelet 072112'!F24+'7.20 fülészet 072210'!F24+'7.21 védőnők 074031'!F24+'7.22 isk eü 074032'!F24+'7.23 sportcsépület 081030'!F24+'7.24 sport tám 081041'!F24+'7.25 diáksport 081043'!F24+'7.26 közműv 082091'!F24+'7.27 közműv 082092'!F24+'7.28  óvoda 091140'!F24+'7.29 intézmkiv gyétk 104037'!F24+'7.30 szoc étk 107051'!F24+'7.31 segélyek 107060'!F24+'7.32 adóbev 900020'!F24+'7.33 pályázatok összesen'!F24+'7.6 út építés 045127'!F24</f>
        <v>54038437</v>
      </c>
      <c r="G24" s="248">
        <f>'7.1. igazg 011130'!G24+'7.2 temető 013320'!G24+'7.3. vagyon 013350'!G24+'7.4 018010'!G24+'7.5 finansz műveletek 018030'!G24+'7.7 közütak működtetés 045160'!G24+'7.8 parkoló 045170'!G24+'7.9 kábeltv 046020'!G24+'7.10 piac 047120'!G24+'7.11 tdm tám047320'!G24+'7.12 szemét 051030'!G24+'7.13 szennyvíz 052080'!G24+'7.14 víz 063080'!G24+'7.15 közvil 064010'!G24+'7.16 zöldterület 066010'!G24+'7.17 város 066020'!G24+'7.18 háziorvos 072111'!G24+'7.19 ügyelet 072112'!G24+'7.20 fülészet 072210'!G24+'7.21 védőnők 074031'!G24+'7.22 isk eü 074032'!G24+'7.23 sportcsépület 081030'!G24+'7.24 sport tám 081041'!G24+'7.25 diáksport 081043'!G24+'7.26 közműv 082091'!G24+'7.27 közműv 082092'!G24+'7.28  óvoda 091140'!G24+'7.29 intézmkiv gyétk 104037'!G24+'7.30 szoc étk 107051'!G24+'7.31 segélyek 107060'!G24+'7.32 adóbev 900020'!G24+'7.33 pályázatok összesen'!G24+'7.6 út építés 045127'!G24</f>
        <v>0</v>
      </c>
      <c r="H24" s="249">
        <f t="shared" si="1"/>
        <v>54038437</v>
      </c>
      <c r="I24" s="248">
        <f ca="1">'7.1. igazg 011130'!I24+'7.2 temető 013320'!I24+'7.3. vagyon 013350'!I24+'7.4 018010'!I24+'7.5 finansz műveletek 018030'!I24+'7.7 közütak működtetés 045160'!I24+'7.8 parkoló 045170'!I24+'7.9 kábeltv 046020'!I24+'7.10 piac 047120'!I24+'7.11 tdm tám047320'!I24+'7.12 szemét 051030'!I24+'7.13 szennyvíz 052080'!I24+'7.14 víz 063080'!I24+'7.15 közvil 064010'!I24+'7.16 zöldterület 066010'!I24+'7.17 város 066020'!I24+'7.18 háziorvos 072111'!I24+'7.19 ügyelet 072112'!I24+'7.20 fülészet 072210'!I24+'7.21 védőnők 074031'!I24+'7.22 isk eü 074032'!I24+'7.23 sportcsépület 081030'!I24+'7.24 sport tám 081041'!I24+'7.25 diáksport 081043'!I24+'7.26 közműv 082091'!I24+'7.27 közműv 082092'!I24+'7.28  óvoda 091140'!I24+'7.29 intézmkiv gyétk 104037'!I24+'7.30 szoc étk 107051'!I24+'7.31 segélyek 107060'!I24+'7.32 adóbev 900020'!I24+'7.33 pályázatok összesen'!I24+'7.6 út építés 045127'!I24</f>
        <v>54038437</v>
      </c>
      <c r="J24" s="248">
        <f>'7.1. igazg 011130'!J24+'7.2 temető 013320'!J24+'7.3. vagyon 013350'!J24+'7.4 018010'!J24+'7.5 finansz műveletek 018030'!J24+'7.7 közütak működtetés 045160'!J24+'7.8 parkoló 045170'!J24+'7.9 kábeltv 046020'!J24+'7.10 piac 047120'!J24+'7.11 tdm tám047320'!J24+'7.12 szemét 051030'!J24+'7.13 szennyvíz 052080'!J24+'7.14 víz 063080'!J24+'7.15 közvil 064010'!J24+'7.16 zöldterület 066010'!J24+'7.17 város 066020'!J24+'7.18 háziorvos 072111'!J24+'7.19 ügyelet 072112'!J24+'7.20 fülészet 072210'!J24+'7.21 védőnők 074031'!J24+'7.22 isk eü 074032'!J24+'7.23 sportcsépület 081030'!J24+'7.24 sport tám 081041'!J24+'7.25 diáksport 081043'!J24+'7.26 közműv 082091'!J24+'7.27 közműv 082092'!J24+'7.28  óvoda 091140'!J24+'7.29 intézmkiv gyétk 104037'!J24+'7.30 szoc étk 107051'!J24+'7.31 segélyek 107060'!J24+'7.32 adóbev 900020'!J24+'7.33 pályázatok összesen'!J24+'7.6 út építés 045127'!J24</f>
        <v>0</v>
      </c>
      <c r="K24" s="249">
        <f t="shared" ca="1" si="2"/>
        <v>54038437</v>
      </c>
      <c r="L24" s="248">
        <f ca="1">'7.1. igazg 011130'!L24+'7.2 temető 013320'!L24+'7.3. vagyon 013350'!L24+'7.4 018010'!L24+'7.5 finansz műveletek 018030'!L24+'7.7 közütak működtetés 045160'!L24+'7.8 parkoló 045170'!L24+'7.9 kábeltv 046020'!L24+'7.10 piac 047120'!L24+'7.11 tdm tám047320'!L24+'7.12 szemét 051030'!L24+'7.13 szennyvíz 052080'!L24+'7.14 víz 063080'!L24+'7.15 közvil 064010'!L24+'7.16 zöldterület 066010'!L24+'7.17 város 066020'!L24+'7.18 háziorvos 072111'!L24+'7.19 ügyelet 072112'!L24+'7.20 fülészet 072210'!L24+'7.21 védőnők 074031'!L24+'7.22 isk eü 074032'!L24+'7.23 sportcsépület 081030'!L24+'7.24 sport tám 081041'!L24+'7.25 diáksport 081043'!L24+'7.26 közműv 082091'!L24+'7.27 közműv 082092'!L24+'7.28  óvoda 091140'!L24+'7.29 intézmkiv gyétk 104037'!L24+'7.30 szoc étk 107051'!L24+'7.31 segélyek 107060'!L24+'7.32 adóbev 900020'!L24+'7.33 pályázatok összesen'!L24+'7.6 út építés 045127'!L24</f>
        <v>0</v>
      </c>
      <c r="M24" s="248">
        <f>'7.1. igazg 011130'!M24+'7.2 temető 013320'!M24+'7.3. vagyon 013350'!M24+'7.4 018010'!M24+'7.5 finansz műveletek 018030'!M24+'7.7 közütak működtetés 045160'!M24+'7.8 parkoló 045170'!M24+'7.9 kábeltv 046020'!M24+'7.10 piac 047120'!M24+'7.11 tdm tám047320'!M24+'7.12 szemét 051030'!M24+'7.13 szennyvíz 052080'!M24+'7.14 víz 063080'!M24+'7.15 közvil 064010'!M24+'7.16 zöldterület 066010'!M24+'7.17 város 066020'!M24+'7.18 háziorvos 072111'!M24+'7.19 ügyelet 072112'!M24+'7.20 fülészet 072210'!M24+'7.21 védőnők 074031'!M24+'7.22 isk eü 074032'!M24+'7.23 sportcsépület 081030'!M24+'7.24 sport tám 081041'!M24+'7.25 diáksport 081043'!M24+'7.26 közműv 082091'!M24+'7.27 közműv 082092'!M24+'7.28  óvoda 091140'!M24+'7.29 intézmkiv gyétk 104037'!M24+'7.30 szoc étk 107051'!M24+'7.31 segélyek 107060'!M24+'7.32 adóbev 900020'!M24+'7.33 pályázatok összesen'!M24+'7.6 út építés 045127'!M24</f>
        <v>0</v>
      </c>
      <c r="N24" s="249">
        <f t="shared" ca="1" si="3"/>
        <v>0</v>
      </c>
      <c r="V24" s="148"/>
      <c r="W24" s="148"/>
    </row>
    <row r="25" spans="1:23" x14ac:dyDescent="0.25">
      <c r="A25" s="57" t="s">
        <v>68</v>
      </c>
      <c r="B25" s="68" t="s">
        <v>25</v>
      </c>
      <c r="C25" s="244">
        <f>'7.1. igazg 011130'!C25+'7.2 temető 013320'!C25+'7.3. vagyon 013350'!C25+'7.4 018010'!C25+'7.5 finansz műveletek 018030'!C25+'7.7 közütak működtetés 045160'!C25+'7.8 parkoló 045170'!C25+'7.9 kábeltv 046020'!C25+'7.10 piac 047120'!C25+'7.11 tdm tám047320'!C25+'7.12 szemét 051030'!C25+'7.13 szennyvíz 052080'!C25+'7.14 víz 063080'!C25+'7.15 közvil 064010'!C25+'7.16 zöldterület 066010'!C25+'7.17 város 066020'!C25+'7.18 háziorvos 072111'!C25+'7.19 ügyelet 072112'!C25+'7.20 fülészet 072210'!C25+'7.21 védőnők 074031'!C25+'7.22 isk eü 074032'!C25+'7.23 sportcsépület 081030'!C25+'7.24 sport tám 081041'!C25+'7.25 diáksport 081043'!C25+'7.26 közműv 082091'!C25+'7.27 közműv 082092'!C25+'7.28  óvoda 091140'!C25+'7.29 intézmkiv gyétk 104037'!C25+'7.30 szoc étk 107051'!C25+'7.31 segélyek 107060'!C25+'7.32 adóbev 900020'!C25+'7.33 pályázatok összesen'!C25+'7.6 út építés 045127'!C25</f>
        <v>504000000</v>
      </c>
      <c r="D25" s="244">
        <f>'7.1. igazg 011130'!D25+'7.2 temető 013320'!D25+'7.3. vagyon 013350'!D25+'7.4 018010'!D25+'7.5 finansz műveletek 018030'!D25+'7.7 közütak működtetés 045160'!D25+'7.8 parkoló 045170'!D25+'7.9 kábeltv 046020'!D25+'7.10 piac 047120'!D25+'7.11 tdm tám047320'!D25+'7.12 szemét 051030'!D25+'7.13 szennyvíz 052080'!D25+'7.14 víz 063080'!D25+'7.15 közvil 064010'!D25+'7.16 zöldterület 066010'!D25+'7.17 város 066020'!D25+'7.18 háziorvos 072111'!D25+'7.19 ügyelet 072112'!D25+'7.20 fülészet 072210'!D25+'7.21 védőnők 074031'!D25+'7.22 isk eü 074032'!D25+'7.23 sportcsépület 081030'!D25+'7.24 sport tám 081041'!D25+'7.25 diáksport 081043'!D25+'7.26 közműv 082091'!D25+'7.27 közműv 082092'!D25+'7.28  óvoda 091140'!D25+'7.29 intézmkiv gyétk 104037'!D25+'7.30 szoc étk 107051'!D25+'7.31 segélyek 107060'!D25+'7.32 adóbev 900020'!D25+'7.33 pályázatok összesen'!D25+'7.6 út építés 045127'!D25</f>
        <v>0</v>
      </c>
      <c r="E25" s="245">
        <f t="shared" si="0"/>
        <v>504000000</v>
      </c>
      <c r="F25" s="244">
        <f>'7.1. igazg 011130'!F25+'7.2 temető 013320'!F25+'7.3. vagyon 013350'!F25+'7.4 018010'!F25+'7.5 finansz műveletek 018030'!F25+'7.7 közütak működtetés 045160'!F25+'7.8 parkoló 045170'!F25+'7.9 kábeltv 046020'!F25+'7.10 piac 047120'!F25+'7.11 tdm tám047320'!F25+'7.12 szemét 051030'!F25+'7.13 szennyvíz 052080'!F25+'7.14 víz 063080'!F25+'7.15 közvil 064010'!F25+'7.16 zöldterület 066010'!F25+'7.17 város 066020'!F25+'7.18 háziorvos 072111'!F25+'7.19 ügyelet 072112'!F25+'7.20 fülészet 072210'!F25+'7.21 védőnők 074031'!F25+'7.22 isk eü 074032'!F25+'7.23 sportcsépület 081030'!F25+'7.24 sport tám 081041'!F25+'7.25 diáksport 081043'!F25+'7.26 közműv 082091'!F25+'7.27 közműv 082092'!F25+'7.28  óvoda 091140'!F25+'7.29 intézmkiv gyétk 104037'!F25+'7.30 szoc étk 107051'!F25+'7.31 segélyek 107060'!F25+'7.32 adóbev 900020'!F25+'7.33 pályázatok összesen'!F25+'7.6 út építés 045127'!F25</f>
        <v>504000000</v>
      </c>
      <c r="G25" s="244">
        <f>'7.1. igazg 011130'!G25+'7.2 temető 013320'!G25+'7.3. vagyon 013350'!G25+'7.4 018010'!G25+'7.5 finansz műveletek 018030'!G25+'7.7 közütak működtetés 045160'!G25+'7.8 parkoló 045170'!G25+'7.9 kábeltv 046020'!G25+'7.10 piac 047120'!G25+'7.11 tdm tám047320'!G25+'7.12 szemét 051030'!G25+'7.13 szennyvíz 052080'!G25+'7.14 víz 063080'!G25+'7.15 közvil 064010'!G25+'7.16 zöldterület 066010'!G25+'7.17 város 066020'!G25+'7.18 háziorvos 072111'!G25+'7.19 ügyelet 072112'!G25+'7.20 fülészet 072210'!G25+'7.21 védőnők 074031'!G25+'7.22 isk eü 074032'!G25+'7.23 sportcsépület 081030'!G25+'7.24 sport tám 081041'!G25+'7.25 diáksport 081043'!G25+'7.26 közműv 082091'!G25+'7.27 közműv 082092'!G25+'7.28  óvoda 091140'!G25+'7.29 intézmkiv gyétk 104037'!G25+'7.30 szoc étk 107051'!G25+'7.31 segélyek 107060'!G25+'7.32 adóbev 900020'!G25+'7.33 pályázatok összesen'!G25+'7.6 út építés 045127'!G25</f>
        <v>0</v>
      </c>
      <c r="H25" s="245">
        <f t="shared" si="1"/>
        <v>504000000</v>
      </c>
      <c r="I25" s="244">
        <f ca="1">'7.1. igazg 011130'!I25+'7.2 temető 013320'!I25+'7.3. vagyon 013350'!I25+'7.4 018010'!I25+'7.5 finansz műveletek 018030'!I25+'7.7 közütak működtetés 045160'!I25+'7.8 parkoló 045170'!I25+'7.9 kábeltv 046020'!I25+'7.10 piac 047120'!I25+'7.11 tdm tám047320'!I25+'7.12 szemét 051030'!I25+'7.13 szennyvíz 052080'!I25+'7.14 víz 063080'!I25+'7.15 közvil 064010'!I25+'7.16 zöldterület 066010'!I25+'7.17 város 066020'!I25+'7.18 háziorvos 072111'!I25+'7.19 ügyelet 072112'!I25+'7.20 fülészet 072210'!I25+'7.21 védőnők 074031'!I25+'7.22 isk eü 074032'!I25+'7.23 sportcsépület 081030'!I25+'7.24 sport tám 081041'!I25+'7.25 diáksport 081043'!I25+'7.26 közműv 082091'!I25+'7.27 közműv 082092'!I25+'7.28  óvoda 091140'!I25+'7.29 intézmkiv gyétk 104037'!I25+'7.30 szoc étk 107051'!I25+'7.31 segélyek 107060'!I25+'7.32 adóbev 900020'!I25+'7.33 pályázatok összesen'!I25+'7.6 út építés 045127'!I25</f>
        <v>537389831</v>
      </c>
      <c r="J25" s="244">
        <f>'7.1. igazg 011130'!J25+'7.2 temető 013320'!J25+'7.3. vagyon 013350'!J25+'7.4 018010'!J25+'7.5 finansz műveletek 018030'!J25+'7.7 közütak működtetés 045160'!J25+'7.8 parkoló 045170'!J25+'7.9 kábeltv 046020'!J25+'7.10 piac 047120'!J25+'7.11 tdm tám047320'!J25+'7.12 szemét 051030'!J25+'7.13 szennyvíz 052080'!J25+'7.14 víz 063080'!J25+'7.15 közvil 064010'!J25+'7.16 zöldterület 066010'!J25+'7.17 város 066020'!J25+'7.18 háziorvos 072111'!J25+'7.19 ügyelet 072112'!J25+'7.20 fülészet 072210'!J25+'7.21 védőnők 074031'!J25+'7.22 isk eü 074032'!J25+'7.23 sportcsépület 081030'!J25+'7.24 sport tám 081041'!J25+'7.25 diáksport 081043'!J25+'7.26 közműv 082091'!J25+'7.27 közműv 082092'!J25+'7.28  óvoda 091140'!J25+'7.29 intézmkiv gyétk 104037'!J25+'7.30 szoc étk 107051'!J25+'7.31 segélyek 107060'!J25+'7.32 adóbev 900020'!J25+'7.33 pályázatok összesen'!J25+'7.6 út építés 045127'!J25</f>
        <v>0</v>
      </c>
      <c r="K25" s="245">
        <f t="shared" ca="1" si="2"/>
        <v>537389831</v>
      </c>
      <c r="L25" s="244">
        <f ca="1">'7.1. igazg 011130'!L25+'7.2 temető 013320'!L25+'7.3. vagyon 013350'!L25+'7.4 018010'!L25+'7.5 finansz műveletek 018030'!L25+'7.7 közütak működtetés 045160'!L25+'7.8 parkoló 045170'!L25+'7.9 kábeltv 046020'!L25+'7.10 piac 047120'!L25+'7.11 tdm tám047320'!L25+'7.12 szemét 051030'!L25+'7.13 szennyvíz 052080'!L25+'7.14 víz 063080'!L25+'7.15 közvil 064010'!L25+'7.16 zöldterület 066010'!L25+'7.17 város 066020'!L25+'7.18 háziorvos 072111'!L25+'7.19 ügyelet 072112'!L25+'7.20 fülészet 072210'!L25+'7.21 védőnők 074031'!L25+'7.22 isk eü 074032'!L25+'7.23 sportcsépület 081030'!L25+'7.24 sport tám 081041'!L25+'7.25 diáksport 081043'!L25+'7.26 közműv 082091'!L25+'7.27 közműv 082092'!L25+'7.28  óvoda 091140'!L25+'7.29 intézmkiv gyétk 104037'!L25+'7.30 szoc étk 107051'!L25+'7.31 segélyek 107060'!L25+'7.32 adóbev 900020'!L25+'7.33 pályázatok összesen'!L25+'7.6 út építés 045127'!L25</f>
        <v>570271624</v>
      </c>
      <c r="M25" s="244">
        <f>'7.1. igazg 011130'!M25+'7.2 temető 013320'!M25+'7.3. vagyon 013350'!M25+'7.4 018010'!M25+'7.5 finansz műveletek 018030'!M25+'7.7 közütak működtetés 045160'!M25+'7.8 parkoló 045170'!M25+'7.9 kábeltv 046020'!M25+'7.10 piac 047120'!M25+'7.11 tdm tám047320'!M25+'7.12 szemét 051030'!M25+'7.13 szennyvíz 052080'!M25+'7.14 víz 063080'!M25+'7.15 közvil 064010'!M25+'7.16 zöldterület 066010'!M25+'7.17 város 066020'!M25+'7.18 háziorvos 072111'!M25+'7.19 ügyelet 072112'!M25+'7.20 fülészet 072210'!M25+'7.21 védőnők 074031'!M25+'7.22 isk eü 074032'!M25+'7.23 sportcsépület 081030'!M25+'7.24 sport tám 081041'!M25+'7.25 diáksport 081043'!M25+'7.26 közműv 082091'!M25+'7.27 közműv 082092'!M25+'7.28  óvoda 091140'!M25+'7.29 intézmkiv gyétk 104037'!M25+'7.30 szoc étk 107051'!M25+'7.31 segélyek 107060'!M25+'7.32 adóbev 900020'!M25+'7.33 pályázatok összesen'!M25+'7.6 út építés 045127'!M25</f>
        <v>0</v>
      </c>
      <c r="N25" s="245">
        <f t="shared" ca="1" si="3"/>
        <v>570271624</v>
      </c>
      <c r="V25" s="148"/>
      <c r="W25" s="148"/>
    </row>
    <row r="26" spans="1:23" x14ac:dyDescent="0.25">
      <c r="A26" s="53" t="s">
        <v>69</v>
      </c>
      <c r="B26" s="62" t="s">
        <v>70</v>
      </c>
      <c r="C26" s="246">
        <f>'7.1. igazg 011130'!C26+'7.2 temető 013320'!C26+'7.3. vagyon 013350'!C26+'7.4 018010'!C26+'7.5 finansz műveletek 018030'!C26+'7.7 közütak működtetés 045160'!C26+'7.8 parkoló 045170'!C26+'7.9 kábeltv 046020'!C26+'7.10 piac 047120'!C26+'7.11 tdm tám047320'!C26+'7.12 szemét 051030'!C26+'7.13 szennyvíz 052080'!C26+'7.14 víz 063080'!C26+'7.15 közvil 064010'!C26+'7.16 zöldterület 066010'!C26+'7.17 város 066020'!C26+'7.18 háziorvos 072111'!C26+'7.19 ügyelet 072112'!C26+'7.20 fülészet 072210'!C26+'7.21 védőnők 074031'!C26+'7.22 isk eü 074032'!C26+'7.23 sportcsépület 081030'!C26+'7.24 sport tám 081041'!C26+'7.25 diáksport 081043'!C26+'7.26 közműv 082091'!C26+'7.27 közműv 082092'!C26+'7.28  óvoda 091140'!C26+'7.29 intézmkiv gyétk 104037'!C26+'7.30 szoc étk 107051'!C26+'7.31 segélyek 107060'!C26+'7.32 adóbev 900020'!C26+'7.33 pályázatok összesen'!C26+'7.6 út építés 045127'!C26</f>
        <v>198000000</v>
      </c>
      <c r="D26" s="246">
        <f>'7.1. igazg 011130'!D26+'7.2 temető 013320'!D26+'7.3. vagyon 013350'!D26+'7.4 018010'!D26+'7.5 finansz műveletek 018030'!D26+'7.7 közütak működtetés 045160'!D26+'7.8 parkoló 045170'!D26+'7.9 kábeltv 046020'!D26+'7.10 piac 047120'!D26+'7.11 tdm tám047320'!D26+'7.12 szemét 051030'!D26+'7.13 szennyvíz 052080'!D26+'7.14 víz 063080'!D26+'7.15 közvil 064010'!D26+'7.16 zöldterület 066010'!D26+'7.17 város 066020'!D26+'7.18 háziorvos 072111'!D26+'7.19 ügyelet 072112'!D26+'7.20 fülészet 072210'!D26+'7.21 védőnők 074031'!D26+'7.22 isk eü 074032'!D26+'7.23 sportcsépület 081030'!D26+'7.24 sport tám 081041'!D26+'7.25 diáksport 081043'!D26+'7.26 közműv 082091'!D26+'7.27 közműv 082092'!D26+'7.28  óvoda 091140'!D26+'7.29 intézmkiv gyétk 104037'!D26+'7.30 szoc étk 107051'!D26+'7.31 segélyek 107060'!D26+'7.32 adóbev 900020'!D26+'7.33 pályázatok összesen'!D26+'7.6 út építés 045127'!D26</f>
        <v>0</v>
      </c>
      <c r="E26" s="247">
        <f t="shared" si="0"/>
        <v>198000000</v>
      </c>
      <c r="F26" s="246">
        <f>'7.1. igazg 011130'!F26+'7.2 temető 013320'!F26+'7.3. vagyon 013350'!F26+'7.4 018010'!F26+'7.5 finansz műveletek 018030'!F26+'7.7 közütak működtetés 045160'!F26+'7.8 parkoló 045170'!F26+'7.9 kábeltv 046020'!F26+'7.10 piac 047120'!F26+'7.11 tdm tám047320'!F26+'7.12 szemét 051030'!F26+'7.13 szennyvíz 052080'!F26+'7.14 víz 063080'!F26+'7.15 közvil 064010'!F26+'7.16 zöldterület 066010'!F26+'7.17 város 066020'!F26+'7.18 háziorvos 072111'!F26+'7.19 ügyelet 072112'!F26+'7.20 fülészet 072210'!F26+'7.21 védőnők 074031'!F26+'7.22 isk eü 074032'!F26+'7.23 sportcsépület 081030'!F26+'7.24 sport tám 081041'!F26+'7.25 diáksport 081043'!F26+'7.26 közműv 082091'!F26+'7.27 közműv 082092'!F26+'7.28  óvoda 091140'!F26+'7.29 intézmkiv gyétk 104037'!F26+'7.30 szoc étk 107051'!F26+'7.31 segélyek 107060'!F26+'7.32 adóbev 900020'!F26+'7.33 pályázatok összesen'!F26+'7.6 út építés 045127'!F26</f>
        <v>198000000</v>
      </c>
      <c r="G26" s="246">
        <f>'7.1. igazg 011130'!G26+'7.2 temető 013320'!G26+'7.3. vagyon 013350'!G26+'7.4 018010'!G26+'7.5 finansz műveletek 018030'!G26+'7.7 közütak működtetés 045160'!G26+'7.8 parkoló 045170'!G26+'7.9 kábeltv 046020'!G26+'7.10 piac 047120'!G26+'7.11 tdm tám047320'!G26+'7.12 szemét 051030'!G26+'7.13 szennyvíz 052080'!G26+'7.14 víz 063080'!G26+'7.15 közvil 064010'!G26+'7.16 zöldterület 066010'!G26+'7.17 város 066020'!G26+'7.18 háziorvos 072111'!G26+'7.19 ügyelet 072112'!G26+'7.20 fülészet 072210'!G26+'7.21 védőnők 074031'!G26+'7.22 isk eü 074032'!G26+'7.23 sportcsépület 081030'!G26+'7.24 sport tám 081041'!G26+'7.25 diáksport 081043'!G26+'7.26 közműv 082091'!G26+'7.27 közműv 082092'!G26+'7.28  óvoda 091140'!G26+'7.29 intézmkiv gyétk 104037'!G26+'7.30 szoc étk 107051'!G26+'7.31 segélyek 107060'!G26+'7.32 adóbev 900020'!G26+'7.33 pályázatok összesen'!G26+'7.6 út építés 045127'!G26</f>
        <v>0</v>
      </c>
      <c r="H26" s="247">
        <f t="shared" si="1"/>
        <v>198000000</v>
      </c>
      <c r="I26" s="246">
        <f ca="1">'7.1. igazg 011130'!I26+'7.2 temető 013320'!I26+'7.3. vagyon 013350'!I26+'7.4 018010'!I26+'7.5 finansz műveletek 018030'!I26+'7.7 közütak működtetés 045160'!I26+'7.8 parkoló 045170'!I26+'7.9 kábeltv 046020'!I26+'7.10 piac 047120'!I26+'7.11 tdm tám047320'!I26+'7.12 szemét 051030'!I26+'7.13 szennyvíz 052080'!I26+'7.14 víz 063080'!I26+'7.15 közvil 064010'!I26+'7.16 zöldterület 066010'!I26+'7.17 város 066020'!I26+'7.18 háziorvos 072111'!I26+'7.19 ügyelet 072112'!I26+'7.20 fülészet 072210'!I26+'7.21 védőnők 074031'!I26+'7.22 isk eü 074032'!I26+'7.23 sportcsépület 081030'!I26+'7.24 sport tám 081041'!I26+'7.25 diáksport 081043'!I26+'7.26 közműv 082091'!I26+'7.27 közműv 082092'!I26+'7.28  óvoda 091140'!I26+'7.29 intézmkiv gyétk 104037'!I26+'7.30 szoc étk 107051'!I26+'7.31 segélyek 107060'!I26+'7.32 adóbev 900020'!I26+'7.33 pályázatok összesen'!I26+'7.6 út építés 045127'!I26</f>
        <v>219992843</v>
      </c>
      <c r="J26" s="246">
        <f>'7.1. igazg 011130'!J26+'7.2 temető 013320'!J26+'7.3. vagyon 013350'!J26+'7.4 018010'!J26+'7.5 finansz műveletek 018030'!J26+'7.7 közütak működtetés 045160'!J26+'7.8 parkoló 045170'!J26+'7.9 kábeltv 046020'!J26+'7.10 piac 047120'!J26+'7.11 tdm tám047320'!J26+'7.12 szemét 051030'!J26+'7.13 szennyvíz 052080'!J26+'7.14 víz 063080'!J26+'7.15 közvil 064010'!J26+'7.16 zöldterület 066010'!J26+'7.17 város 066020'!J26+'7.18 háziorvos 072111'!J26+'7.19 ügyelet 072112'!J26+'7.20 fülészet 072210'!J26+'7.21 védőnők 074031'!J26+'7.22 isk eü 074032'!J26+'7.23 sportcsépület 081030'!J26+'7.24 sport tám 081041'!J26+'7.25 diáksport 081043'!J26+'7.26 közműv 082091'!J26+'7.27 közműv 082092'!J26+'7.28  óvoda 091140'!J26+'7.29 intézmkiv gyétk 104037'!J26+'7.30 szoc étk 107051'!J26+'7.31 segélyek 107060'!J26+'7.32 adóbev 900020'!J26+'7.33 pályázatok összesen'!J26+'7.6 út építés 045127'!J26</f>
        <v>0</v>
      </c>
      <c r="K26" s="247">
        <f t="shared" ca="1" si="2"/>
        <v>219992843</v>
      </c>
      <c r="L26" s="246">
        <f ca="1">'7.1. igazg 011130'!L26+'7.2 temető 013320'!L26+'7.3. vagyon 013350'!L26+'7.4 018010'!L26+'7.5 finansz műveletek 018030'!L26+'7.7 közütak működtetés 045160'!L26+'7.8 parkoló 045170'!L26+'7.9 kábeltv 046020'!L26+'7.10 piac 047120'!L26+'7.11 tdm tám047320'!L26+'7.12 szemét 051030'!L26+'7.13 szennyvíz 052080'!L26+'7.14 víz 063080'!L26+'7.15 közvil 064010'!L26+'7.16 zöldterület 066010'!L26+'7.17 város 066020'!L26+'7.18 háziorvos 072111'!L26+'7.19 ügyelet 072112'!L26+'7.20 fülészet 072210'!L26+'7.21 védőnők 074031'!L26+'7.22 isk eü 074032'!L26+'7.23 sportcsépület 081030'!L26+'7.24 sport tám 081041'!L26+'7.25 diáksport 081043'!L26+'7.26 közműv 082091'!L26+'7.27 közműv 082092'!L26+'7.28  óvoda 091140'!L26+'7.29 intézmkiv gyétk 104037'!L26+'7.30 szoc étk 107051'!L26+'7.31 segélyek 107060'!L26+'7.32 adóbev 900020'!L26+'7.33 pályázatok összesen'!L26+'7.6 út építés 045127'!L26</f>
        <v>224032780</v>
      </c>
      <c r="M26" s="246">
        <f>'7.1. igazg 011130'!M26+'7.2 temető 013320'!M26+'7.3. vagyon 013350'!M26+'7.4 018010'!M26+'7.5 finansz műveletek 018030'!M26+'7.7 közütak működtetés 045160'!M26+'7.8 parkoló 045170'!M26+'7.9 kábeltv 046020'!M26+'7.10 piac 047120'!M26+'7.11 tdm tám047320'!M26+'7.12 szemét 051030'!M26+'7.13 szennyvíz 052080'!M26+'7.14 víz 063080'!M26+'7.15 közvil 064010'!M26+'7.16 zöldterület 066010'!M26+'7.17 város 066020'!M26+'7.18 háziorvos 072111'!M26+'7.19 ügyelet 072112'!M26+'7.20 fülészet 072210'!M26+'7.21 védőnők 074031'!M26+'7.22 isk eü 074032'!M26+'7.23 sportcsépület 081030'!M26+'7.24 sport tám 081041'!M26+'7.25 diáksport 081043'!M26+'7.26 közműv 082091'!M26+'7.27 közműv 082092'!M26+'7.28  óvoda 091140'!M26+'7.29 intézmkiv gyétk 104037'!M26+'7.30 szoc étk 107051'!M26+'7.31 segélyek 107060'!M26+'7.32 adóbev 900020'!M26+'7.33 pályázatok összesen'!M26+'7.6 út építés 045127'!M26</f>
        <v>0</v>
      </c>
      <c r="N26" s="247">
        <f t="shared" ca="1" si="3"/>
        <v>224032780</v>
      </c>
      <c r="V26" s="148"/>
      <c r="W26" s="148"/>
    </row>
    <row r="27" spans="1:23" x14ac:dyDescent="0.25">
      <c r="A27" s="53"/>
      <c r="B27" s="62" t="s">
        <v>71</v>
      </c>
      <c r="C27" s="246">
        <f>'7.1. igazg 011130'!C27+'7.2 temető 013320'!C27+'7.3. vagyon 013350'!C27+'7.4 018010'!C27+'7.5 finansz műveletek 018030'!C27+'7.7 közütak működtetés 045160'!C27+'7.8 parkoló 045170'!C27+'7.9 kábeltv 046020'!C27+'7.10 piac 047120'!C27+'7.11 tdm tám047320'!C27+'7.12 szemét 051030'!C27+'7.13 szennyvíz 052080'!C27+'7.14 víz 063080'!C27+'7.15 közvil 064010'!C27+'7.16 zöldterület 066010'!C27+'7.17 város 066020'!C27+'7.18 háziorvos 072111'!C27+'7.19 ügyelet 072112'!C27+'7.20 fülészet 072210'!C27+'7.21 védőnők 074031'!C27+'7.22 isk eü 074032'!C27+'7.23 sportcsépület 081030'!C27+'7.24 sport tám 081041'!C27+'7.25 diáksport 081043'!C27+'7.26 közműv 082091'!C27+'7.27 közműv 082092'!C27+'7.28  óvoda 091140'!C27+'7.29 intézmkiv gyétk 104037'!C27+'7.30 szoc étk 107051'!C27+'7.31 segélyek 107060'!C27+'7.32 adóbev 900020'!C27+'7.33 pályázatok összesen'!C27+'7.6 út építés 045127'!C27</f>
        <v>170000000</v>
      </c>
      <c r="D27" s="246">
        <f>'7.1. igazg 011130'!D27+'7.2 temető 013320'!D27+'7.3. vagyon 013350'!D27+'7.4 018010'!D27+'7.5 finansz műveletek 018030'!D27+'7.7 közütak működtetés 045160'!D27+'7.8 parkoló 045170'!D27+'7.9 kábeltv 046020'!D27+'7.10 piac 047120'!D27+'7.11 tdm tám047320'!D27+'7.12 szemét 051030'!D27+'7.13 szennyvíz 052080'!D27+'7.14 víz 063080'!D27+'7.15 közvil 064010'!D27+'7.16 zöldterület 066010'!D27+'7.17 város 066020'!D27+'7.18 háziorvos 072111'!D27+'7.19 ügyelet 072112'!D27+'7.20 fülészet 072210'!D27+'7.21 védőnők 074031'!D27+'7.22 isk eü 074032'!D27+'7.23 sportcsépület 081030'!D27+'7.24 sport tám 081041'!D27+'7.25 diáksport 081043'!D27+'7.26 közműv 082091'!D27+'7.27 közműv 082092'!D27+'7.28  óvoda 091140'!D27+'7.29 intézmkiv gyétk 104037'!D27+'7.30 szoc étk 107051'!D27+'7.31 segélyek 107060'!D27+'7.32 adóbev 900020'!D27+'7.33 pályázatok összesen'!D27+'7.6 út építés 045127'!D27</f>
        <v>0</v>
      </c>
      <c r="E27" s="247">
        <f t="shared" si="0"/>
        <v>170000000</v>
      </c>
      <c r="F27" s="246">
        <f>'7.1. igazg 011130'!F27+'7.2 temető 013320'!F27+'7.3. vagyon 013350'!F27+'7.4 018010'!F27+'7.5 finansz műveletek 018030'!F27+'7.7 közütak működtetés 045160'!F27+'7.8 parkoló 045170'!F27+'7.9 kábeltv 046020'!F27+'7.10 piac 047120'!F27+'7.11 tdm tám047320'!F27+'7.12 szemét 051030'!F27+'7.13 szennyvíz 052080'!F27+'7.14 víz 063080'!F27+'7.15 közvil 064010'!F27+'7.16 zöldterület 066010'!F27+'7.17 város 066020'!F27+'7.18 háziorvos 072111'!F27+'7.19 ügyelet 072112'!F27+'7.20 fülészet 072210'!F27+'7.21 védőnők 074031'!F27+'7.22 isk eü 074032'!F27+'7.23 sportcsépület 081030'!F27+'7.24 sport tám 081041'!F27+'7.25 diáksport 081043'!F27+'7.26 közműv 082091'!F27+'7.27 közműv 082092'!F27+'7.28  óvoda 091140'!F27+'7.29 intézmkiv gyétk 104037'!F27+'7.30 szoc étk 107051'!F27+'7.31 segélyek 107060'!F27+'7.32 adóbev 900020'!F27+'7.33 pályázatok összesen'!F27+'7.6 út építés 045127'!F27</f>
        <v>170000000</v>
      </c>
      <c r="G27" s="246">
        <f>'7.1. igazg 011130'!G27+'7.2 temető 013320'!G27+'7.3. vagyon 013350'!G27+'7.4 018010'!G27+'7.5 finansz műveletek 018030'!G27+'7.7 közütak működtetés 045160'!G27+'7.8 parkoló 045170'!G27+'7.9 kábeltv 046020'!G27+'7.10 piac 047120'!G27+'7.11 tdm tám047320'!G27+'7.12 szemét 051030'!G27+'7.13 szennyvíz 052080'!G27+'7.14 víz 063080'!G27+'7.15 közvil 064010'!G27+'7.16 zöldterület 066010'!G27+'7.17 város 066020'!G27+'7.18 háziorvos 072111'!G27+'7.19 ügyelet 072112'!G27+'7.20 fülészet 072210'!G27+'7.21 védőnők 074031'!G27+'7.22 isk eü 074032'!G27+'7.23 sportcsépület 081030'!G27+'7.24 sport tám 081041'!G27+'7.25 diáksport 081043'!G27+'7.26 közműv 082091'!G27+'7.27 közműv 082092'!G27+'7.28  óvoda 091140'!G27+'7.29 intézmkiv gyétk 104037'!G27+'7.30 szoc étk 107051'!G27+'7.31 segélyek 107060'!G27+'7.32 adóbev 900020'!G27+'7.33 pályázatok összesen'!G27+'7.6 út építés 045127'!G27</f>
        <v>0</v>
      </c>
      <c r="H27" s="247">
        <f t="shared" si="1"/>
        <v>170000000</v>
      </c>
      <c r="I27" s="246">
        <f ca="1">'7.1. igazg 011130'!I27+'7.2 temető 013320'!I27+'7.3. vagyon 013350'!I27+'7.4 018010'!I27+'7.5 finansz műveletek 018030'!I27+'7.7 közütak működtetés 045160'!I27+'7.8 parkoló 045170'!I27+'7.9 kábeltv 046020'!I27+'7.10 piac 047120'!I27+'7.11 tdm tám047320'!I27+'7.12 szemét 051030'!I27+'7.13 szennyvíz 052080'!I27+'7.14 víz 063080'!I27+'7.15 közvil 064010'!I27+'7.16 zöldterület 066010'!I27+'7.17 város 066020'!I27+'7.18 háziorvos 072111'!I27+'7.19 ügyelet 072112'!I27+'7.20 fülészet 072210'!I27+'7.21 védőnők 074031'!I27+'7.22 isk eü 074032'!I27+'7.23 sportcsépület 081030'!I27+'7.24 sport tám 081041'!I27+'7.25 diáksport 081043'!I27+'7.26 közműv 082091'!I27+'7.27 közműv 082092'!I27+'7.28  óvoda 091140'!I27+'7.29 intézmkiv gyétk 104037'!I27+'7.30 szoc étk 107051'!I27+'7.31 segélyek 107060'!I27+'7.32 adóbev 900020'!I27+'7.33 pályázatok összesen'!I27+'7.6 út építés 045127'!I27</f>
        <v>174992843</v>
      </c>
      <c r="J27" s="246">
        <f>'7.1. igazg 011130'!J27+'7.2 temető 013320'!J27+'7.3. vagyon 013350'!J27+'7.4 018010'!J27+'7.5 finansz műveletek 018030'!J27+'7.7 közütak működtetés 045160'!J27+'7.8 parkoló 045170'!J27+'7.9 kábeltv 046020'!J27+'7.10 piac 047120'!J27+'7.11 tdm tám047320'!J27+'7.12 szemét 051030'!J27+'7.13 szennyvíz 052080'!J27+'7.14 víz 063080'!J27+'7.15 közvil 064010'!J27+'7.16 zöldterület 066010'!J27+'7.17 város 066020'!J27+'7.18 háziorvos 072111'!J27+'7.19 ügyelet 072112'!J27+'7.20 fülészet 072210'!J27+'7.21 védőnők 074031'!J27+'7.22 isk eü 074032'!J27+'7.23 sportcsépület 081030'!J27+'7.24 sport tám 081041'!J27+'7.25 diáksport 081043'!J27+'7.26 közműv 082091'!J27+'7.27 közműv 082092'!J27+'7.28  óvoda 091140'!J27+'7.29 intézmkiv gyétk 104037'!J27+'7.30 szoc étk 107051'!J27+'7.31 segélyek 107060'!J27+'7.32 adóbev 900020'!J27+'7.33 pályázatok összesen'!J27+'7.6 út építés 045127'!J27</f>
        <v>0</v>
      </c>
      <c r="K27" s="247">
        <f t="shared" ca="1" si="2"/>
        <v>174992843</v>
      </c>
      <c r="L27" s="246">
        <f ca="1">'7.1. igazg 011130'!L27+'7.2 temető 013320'!L27+'7.3. vagyon 013350'!L27+'7.4 018010'!L27+'7.5 finansz műveletek 018030'!L27+'7.7 közütak működtetés 045160'!L27+'7.8 parkoló 045170'!L27+'7.9 kábeltv 046020'!L27+'7.10 piac 047120'!L27+'7.11 tdm tám047320'!L27+'7.12 szemét 051030'!L27+'7.13 szennyvíz 052080'!L27+'7.14 víz 063080'!L27+'7.15 közvil 064010'!L27+'7.16 zöldterület 066010'!L27+'7.17 város 066020'!L27+'7.18 háziorvos 072111'!L27+'7.19 ügyelet 072112'!L27+'7.20 fülészet 072210'!L27+'7.21 védőnők 074031'!L27+'7.22 isk eü 074032'!L27+'7.23 sportcsépület 081030'!L27+'7.24 sport tám 081041'!L27+'7.25 diáksport 081043'!L27+'7.26 közműv 082091'!L27+'7.27 közműv 082092'!L27+'7.28  óvoda 091140'!L27+'7.29 intézmkiv gyétk 104037'!L27+'7.30 szoc étk 107051'!L27+'7.31 segélyek 107060'!L27+'7.32 adóbev 900020'!L27+'7.33 pályázatok összesen'!L27+'7.6 út építés 045127'!L27</f>
        <v>178996761</v>
      </c>
      <c r="M27" s="246">
        <f>'7.1. igazg 011130'!M27+'7.2 temető 013320'!M27+'7.3. vagyon 013350'!M27+'7.4 018010'!M27+'7.5 finansz műveletek 018030'!M27+'7.7 közütak működtetés 045160'!M27+'7.8 parkoló 045170'!M27+'7.9 kábeltv 046020'!M27+'7.10 piac 047120'!M27+'7.11 tdm tám047320'!M27+'7.12 szemét 051030'!M27+'7.13 szennyvíz 052080'!M27+'7.14 víz 063080'!M27+'7.15 közvil 064010'!M27+'7.16 zöldterület 066010'!M27+'7.17 város 066020'!M27+'7.18 háziorvos 072111'!M27+'7.19 ügyelet 072112'!M27+'7.20 fülészet 072210'!M27+'7.21 védőnők 074031'!M27+'7.22 isk eü 074032'!M27+'7.23 sportcsépület 081030'!M27+'7.24 sport tám 081041'!M27+'7.25 diáksport 081043'!M27+'7.26 közműv 082091'!M27+'7.27 közműv 082092'!M27+'7.28  óvoda 091140'!M27+'7.29 intézmkiv gyétk 104037'!M27+'7.30 szoc étk 107051'!M27+'7.31 segélyek 107060'!M27+'7.32 adóbev 900020'!M27+'7.33 pályázatok összesen'!M27+'7.6 út építés 045127'!M27</f>
        <v>0</v>
      </c>
      <c r="N27" s="247">
        <f t="shared" ca="1" si="3"/>
        <v>178996761</v>
      </c>
      <c r="V27" s="148"/>
      <c r="W27" s="148"/>
    </row>
    <row r="28" spans="1:23" x14ac:dyDescent="0.25">
      <c r="A28" s="53"/>
      <c r="B28" s="62" t="s">
        <v>72</v>
      </c>
      <c r="C28" s="246">
        <f>'7.1. igazg 011130'!C28+'7.2 temető 013320'!C28+'7.3. vagyon 013350'!C28+'7.4 018010'!C28+'7.5 finansz műveletek 018030'!C28+'7.7 közütak működtetés 045160'!C28+'7.8 parkoló 045170'!C28+'7.9 kábeltv 046020'!C28+'7.10 piac 047120'!C28+'7.11 tdm tám047320'!C28+'7.12 szemét 051030'!C28+'7.13 szennyvíz 052080'!C28+'7.14 víz 063080'!C28+'7.15 közvil 064010'!C28+'7.16 zöldterület 066010'!C28+'7.17 város 066020'!C28+'7.18 háziorvos 072111'!C28+'7.19 ügyelet 072112'!C28+'7.20 fülészet 072210'!C28+'7.21 védőnők 074031'!C28+'7.22 isk eü 074032'!C28+'7.23 sportcsépület 081030'!C28+'7.24 sport tám 081041'!C28+'7.25 diáksport 081043'!C28+'7.26 közműv 082091'!C28+'7.27 közműv 082092'!C28+'7.28  óvoda 091140'!C28+'7.29 intézmkiv gyétk 104037'!C28+'7.30 szoc étk 107051'!C28+'7.31 segélyek 107060'!C28+'7.32 adóbev 900020'!C28+'7.33 pályázatok összesen'!C28+'7.6 út építés 045127'!C28</f>
        <v>0</v>
      </c>
      <c r="D28" s="246">
        <f>'7.1. igazg 011130'!D28+'7.2 temető 013320'!D28+'7.3. vagyon 013350'!D28+'7.4 018010'!D28+'7.5 finansz műveletek 018030'!D28+'7.7 közütak működtetés 045160'!D28+'7.8 parkoló 045170'!D28+'7.9 kábeltv 046020'!D28+'7.10 piac 047120'!D28+'7.11 tdm tám047320'!D28+'7.12 szemét 051030'!D28+'7.13 szennyvíz 052080'!D28+'7.14 víz 063080'!D28+'7.15 közvil 064010'!D28+'7.16 zöldterület 066010'!D28+'7.17 város 066020'!D28+'7.18 háziorvos 072111'!D28+'7.19 ügyelet 072112'!D28+'7.20 fülészet 072210'!D28+'7.21 védőnők 074031'!D28+'7.22 isk eü 074032'!D28+'7.23 sportcsépület 081030'!D28+'7.24 sport tám 081041'!D28+'7.25 diáksport 081043'!D28+'7.26 közműv 082091'!D28+'7.27 közműv 082092'!D28+'7.28  óvoda 091140'!D28+'7.29 intézmkiv gyétk 104037'!D28+'7.30 szoc étk 107051'!D28+'7.31 segélyek 107060'!D28+'7.32 adóbev 900020'!D28+'7.33 pályázatok összesen'!D28+'7.6 út építés 045127'!D28</f>
        <v>0</v>
      </c>
      <c r="E28" s="247">
        <f t="shared" si="0"/>
        <v>0</v>
      </c>
      <c r="F28" s="246">
        <f>'7.1. igazg 011130'!F28+'7.2 temető 013320'!F28+'7.3. vagyon 013350'!F28+'7.4 018010'!F28+'7.5 finansz műveletek 018030'!F28+'7.7 közütak működtetés 045160'!F28+'7.8 parkoló 045170'!F28+'7.9 kábeltv 046020'!F28+'7.10 piac 047120'!F28+'7.11 tdm tám047320'!F28+'7.12 szemét 051030'!F28+'7.13 szennyvíz 052080'!F28+'7.14 víz 063080'!F28+'7.15 közvil 064010'!F28+'7.16 zöldterület 066010'!F28+'7.17 város 066020'!F28+'7.18 háziorvos 072111'!F28+'7.19 ügyelet 072112'!F28+'7.20 fülészet 072210'!F28+'7.21 védőnők 074031'!F28+'7.22 isk eü 074032'!F28+'7.23 sportcsépület 081030'!F28+'7.24 sport tám 081041'!F28+'7.25 diáksport 081043'!F28+'7.26 közműv 082091'!F28+'7.27 közműv 082092'!F28+'7.28  óvoda 091140'!F28+'7.29 intézmkiv gyétk 104037'!F28+'7.30 szoc étk 107051'!F28+'7.31 segélyek 107060'!F28+'7.32 adóbev 900020'!F28+'7.33 pályázatok összesen'!F28+'7.6 út építés 045127'!F28</f>
        <v>0</v>
      </c>
      <c r="G28" s="246">
        <f>'7.1. igazg 011130'!G28+'7.2 temető 013320'!G28+'7.3. vagyon 013350'!G28+'7.4 018010'!G28+'7.5 finansz műveletek 018030'!G28+'7.7 közütak működtetés 045160'!G28+'7.8 parkoló 045170'!G28+'7.9 kábeltv 046020'!G28+'7.10 piac 047120'!G28+'7.11 tdm tám047320'!G28+'7.12 szemét 051030'!G28+'7.13 szennyvíz 052080'!G28+'7.14 víz 063080'!G28+'7.15 közvil 064010'!G28+'7.16 zöldterület 066010'!G28+'7.17 város 066020'!G28+'7.18 háziorvos 072111'!G28+'7.19 ügyelet 072112'!G28+'7.20 fülészet 072210'!G28+'7.21 védőnők 074031'!G28+'7.22 isk eü 074032'!G28+'7.23 sportcsépület 081030'!G28+'7.24 sport tám 081041'!G28+'7.25 diáksport 081043'!G28+'7.26 közműv 082091'!G28+'7.27 közműv 082092'!G28+'7.28  óvoda 091140'!G28+'7.29 intézmkiv gyétk 104037'!G28+'7.30 szoc étk 107051'!G28+'7.31 segélyek 107060'!G28+'7.32 adóbev 900020'!G28+'7.33 pályázatok összesen'!G28+'7.6 út építés 045127'!G28</f>
        <v>0</v>
      </c>
      <c r="H28" s="247">
        <f t="shared" si="1"/>
        <v>0</v>
      </c>
      <c r="I28" s="246">
        <f ca="1">'7.1. igazg 011130'!I28+'7.2 temető 013320'!I28+'7.3. vagyon 013350'!I28+'7.4 018010'!I28+'7.5 finansz műveletek 018030'!I28+'7.7 közütak működtetés 045160'!I28+'7.8 parkoló 045170'!I28+'7.9 kábeltv 046020'!I28+'7.10 piac 047120'!I28+'7.11 tdm tám047320'!I28+'7.12 szemét 051030'!I28+'7.13 szennyvíz 052080'!I28+'7.14 víz 063080'!I28+'7.15 közvil 064010'!I28+'7.16 zöldterület 066010'!I28+'7.17 város 066020'!I28+'7.18 háziorvos 072111'!I28+'7.19 ügyelet 072112'!I28+'7.20 fülészet 072210'!I28+'7.21 védőnők 074031'!I28+'7.22 isk eü 074032'!I28+'7.23 sportcsépület 081030'!I28+'7.24 sport tám 081041'!I28+'7.25 diáksport 081043'!I28+'7.26 közműv 082091'!I28+'7.27 közműv 082092'!I28+'7.28  óvoda 091140'!I28+'7.29 intézmkiv gyétk 104037'!I28+'7.30 szoc étk 107051'!I28+'7.31 segélyek 107060'!I28+'7.32 adóbev 900020'!I28+'7.33 pályázatok összesen'!I28+'7.6 út építés 045127'!I28</f>
        <v>0</v>
      </c>
      <c r="J28" s="246">
        <f>'7.1. igazg 011130'!J28+'7.2 temető 013320'!J28+'7.3. vagyon 013350'!J28+'7.4 018010'!J28+'7.5 finansz műveletek 018030'!J28+'7.7 közütak működtetés 045160'!J28+'7.8 parkoló 045170'!J28+'7.9 kábeltv 046020'!J28+'7.10 piac 047120'!J28+'7.11 tdm tám047320'!J28+'7.12 szemét 051030'!J28+'7.13 szennyvíz 052080'!J28+'7.14 víz 063080'!J28+'7.15 közvil 064010'!J28+'7.16 zöldterület 066010'!J28+'7.17 város 066020'!J28+'7.18 háziorvos 072111'!J28+'7.19 ügyelet 072112'!J28+'7.20 fülészet 072210'!J28+'7.21 védőnők 074031'!J28+'7.22 isk eü 074032'!J28+'7.23 sportcsépület 081030'!J28+'7.24 sport tám 081041'!J28+'7.25 diáksport 081043'!J28+'7.26 közműv 082091'!J28+'7.27 közműv 082092'!J28+'7.28  óvoda 091140'!J28+'7.29 intézmkiv gyétk 104037'!J28+'7.30 szoc étk 107051'!J28+'7.31 segélyek 107060'!J28+'7.32 adóbev 900020'!J28+'7.33 pályázatok összesen'!J28+'7.6 út építés 045127'!J28</f>
        <v>0</v>
      </c>
      <c r="K28" s="247">
        <f t="shared" ca="1" si="2"/>
        <v>0</v>
      </c>
      <c r="L28" s="246">
        <f ca="1">'7.1. igazg 011130'!L28+'7.2 temető 013320'!L28+'7.3. vagyon 013350'!L28+'7.4 018010'!L28+'7.5 finansz műveletek 018030'!L28+'7.7 közütak működtetés 045160'!L28+'7.8 parkoló 045170'!L28+'7.9 kábeltv 046020'!L28+'7.10 piac 047120'!L28+'7.11 tdm tám047320'!L28+'7.12 szemét 051030'!L28+'7.13 szennyvíz 052080'!L28+'7.14 víz 063080'!L28+'7.15 közvil 064010'!L28+'7.16 zöldterület 066010'!L28+'7.17 város 066020'!L28+'7.18 háziorvos 072111'!L28+'7.19 ügyelet 072112'!L28+'7.20 fülészet 072210'!L28+'7.21 védőnők 074031'!L28+'7.22 isk eü 074032'!L28+'7.23 sportcsépület 081030'!L28+'7.24 sport tám 081041'!L28+'7.25 diáksport 081043'!L28+'7.26 közműv 082091'!L28+'7.27 közműv 082092'!L28+'7.28  óvoda 091140'!L28+'7.29 intézmkiv gyétk 104037'!L28+'7.30 szoc étk 107051'!L28+'7.31 segélyek 107060'!L28+'7.32 adóbev 900020'!L28+'7.33 pályázatok összesen'!L28+'7.6 út építés 045127'!L28</f>
        <v>0</v>
      </c>
      <c r="M28" s="246">
        <f>'7.1. igazg 011130'!M28+'7.2 temető 013320'!M28+'7.3. vagyon 013350'!M28+'7.4 018010'!M28+'7.5 finansz műveletek 018030'!M28+'7.7 közütak működtetés 045160'!M28+'7.8 parkoló 045170'!M28+'7.9 kábeltv 046020'!M28+'7.10 piac 047120'!M28+'7.11 tdm tám047320'!M28+'7.12 szemét 051030'!M28+'7.13 szennyvíz 052080'!M28+'7.14 víz 063080'!M28+'7.15 közvil 064010'!M28+'7.16 zöldterület 066010'!M28+'7.17 város 066020'!M28+'7.18 háziorvos 072111'!M28+'7.19 ügyelet 072112'!M28+'7.20 fülészet 072210'!M28+'7.21 védőnők 074031'!M28+'7.22 isk eü 074032'!M28+'7.23 sportcsépület 081030'!M28+'7.24 sport tám 081041'!M28+'7.25 diáksport 081043'!M28+'7.26 közműv 082091'!M28+'7.27 közműv 082092'!M28+'7.28  óvoda 091140'!M28+'7.29 intézmkiv gyétk 104037'!M28+'7.30 szoc étk 107051'!M28+'7.31 segélyek 107060'!M28+'7.32 adóbev 900020'!M28+'7.33 pályázatok összesen'!M28+'7.6 út építés 045127'!M28</f>
        <v>0</v>
      </c>
      <c r="N28" s="247">
        <f t="shared" ca="1" si="3"/>
        <v>0</v>
      </c>
      <c r="V28" s="148"/>
      <c r="W28" s="148"/>
    </row>
    <row r="29" spans="1:23" x14ac:dyDescent="0.25">
      <c r="A29" s="53"/>
      <c r="B29" s="62" t="s">
        <v>73</v>
      </c>
      <c r="C29" s="246">
        <f>'7.1. igazg 011130'!C29+'7.2 temető 013320'!C29+'7.3. vagyon 013350'!C29+'7.4 018010'!C29+'7.5 finansz műveletek 018030'!C29+'7.7 közütak működtetés 045160'!C29+'7.8 parkoló 045170'!C29+'7.9 kábeltv 046020'!C29+'7.10 piac 047120'!C29+'7.11 tdm tám047320'!C29+'7.12 szemét 051030'!C29+'7.13 szennyvíz 052080'!C29+'7.14 víz 063080'!C29+'7.15 közvil 064010'!C29+'7.16 zöldterület 066010'!C29+'7.17 város 066020'!C29+'7.18 háziorvos 072111'!C29+'7.19 ügyelet 072112'!C29+'7.20 fülészet 072210'!C29+'7.21 védőnők 074031'!C29+'7.22 isk eü 074032'!C29+'7.23 sportcsépület 081030'!C29+'7.24 sport tám 081041'!C29+'7.25 diáksport 081043'!C29+'7.26 közműv 082091'!C29+'7.27 közműv 082092'!C29+'7.28  óvoda 091140'!C29+'7.29 intézmkiv gyétk 104037'!C29+'7.30 szoc étk 107051'!C29+'7.31 segélyek 107060'!C29+'7.32 adóbev 900020'!C29+'7.33 pályázatok összesen'!C29+'7.6 út építés 045127'!C29</f>
        <v>28000000</v>
      </c>
      <c r="D29" s="246">
        <f>'7.1. igazg 011130'!D29+'7.2 temető 013320'!D29+'7.3. vagyon 013350'!D29+'7.4 018010'!D29+'7.5 finansz műveletek 018030'!D29+'7.7 közütak működtetés 045160'!D29+'7.8 parkoló 045170'!D29+'7.9 kábeltv 046020'!D29+'7.10 piac 047120'!D29+'7.11 tdm tám047320'!D29+'7.12 szemét 051030'!D29+'7.13 szennyvíz 052080'!D29+'7.14 víz 063080'!D29+'7.15 közvil 064010'!D29+'7.16 zöldterület 066010'!D29+'7.17 város 066020'!D29+'7.18 háziorvos 072111'!D29+'7.19 ügyelet 072112'!D29+'7.20 fülészet 072210'!D29+'7.21 védőnők 074031'!D29+'7.22 isk eü 074032'!D29+'7.23 sportcsépület 081030'!D29+'7.24 sport tám 081041'!D29+'7.25 diáksport 081043'!D29+'7.26 közműv 082091'!D29+'7.27 közműv 082092'!D29+'7.28  óvoda 091140'!D29+'7.29 intézmkiv gyétk 104037'!D29+'7.30 szoc étk 107051'!D29+'7.31 segélyek 107060'!D29+'7.32 adóbev 900020'!D29+'7.33 pályázatok összesen'!D29+'7.6 út építés 045127'!D29</f>
        <v>0</v>
      </c>
      <c r="E29" s="247">
        <f t="shared" si="0"/>
        <v>28000000</v>
      </c>
      <c r="F29" s="246">
        <f>'7.1. igazg 011130'!F29+'7.2 temető 013320'!F29+'7.3. vagyon 013350'!F29+'7.4 018010'!F29+'7.5 finansz műveletek 018030'!F29+'7.7 közütak működtetés 045160'!F29+'7.8 parkoló 045170'!F29+'7.9 kábeltv 046020'!F29+'7.10 piac 047120'!F29+'7.11 tdm tám047320'!F29+'7.12 szemét 051030'!F29+'7.13 szennyvíz 052080'!F29+'7.14 víz 063080'!F29+'7.15 közvil 064010'!F29+'7.16 zöldterület 066010'!F29+'7.17 város 066020'!F29+'7.18 háziorvos 072111'!F29+'7.19 ügyelet 072112'!F29+'7.20 fülészet 072210'!F29+'7.21 védőnők 074031'!F29+'7.22 isk eü 074032'!F29+'7.23 sportcsépület 081030'!F29+'7.24 sport tám 081041'!F29+'7.25 diáksport 081043'!F29+'7.26 közműv 082091'!F29+'7.27 közműv 082092'!F29+'7.28  óvoda 091140'!F29+'7.29 intézmkiv gyétk 104037'!F29+'7.30 szoc étk 107051'!F29+'7.31 segélyek 107060'!F29+'7.32 adóbev 900020'!F29+'7.33 pályázatok összesen'!F29+'7.6 út építés 045127'!F29</f>
        <v>28000000</v>
      </c>
      <c r="G29" s="246">
        <f>'7.1. igazg 011130'!G29+'7.2 temető 013320'!G29+'7.3. vagyon 013350'!G29+'7.4 018010'!G29+'7.5 finansz műveletek 018030'!G29+'7.7 közütak működtetés 045160'!G29+'7.8 parkoló 045170'!G29+'7.9 kábeltv 046020'!G29+'7.10 piac 047120'!G29+'7.11 tdm tám047320'!G29+'7.12 szemét 051030'!G29+'7.13 szennyvíz 052080'!G29+'7.14 víz 063080'!G29+'7.15 közvil 064010'!G29+'7.16 zöldterület 066010'!G29+'7.17 város 066020'!G29+'7.18 háziorvos 072111'!G29+'7.19 ügyelet 072112'!G29+'7.20 fülészet 072210'!G29+'7.21 védőnők 074031'!G29+'7.22 isk eü 074032'!G29+'7.23 sportcsépület 081030'!G29+'7.24 sport tám 081041'!G29+'7.25 diáksport 081043'!G29+'7.26 közműv 082091'!G29+'7.27 közműv 082092'!G29+'7.28  óvoda 091140'!G29+'7.29 intézmkiv gyétk 104037'!G29+'7.30 szoc étk 107051'!G29+'7.31 segélyek 107060'!G29+'7.32 adóbev 900020'!G29+'7.33 pályázatok összesen'!G29+'7.6 út építés 045127'!G29</f>
        <v>0</v>
      </c>
      <c r="H29" s="247">
        <f t="shared" si="1"/>
        <v>28000000</v>
      </c>
      <c r="I29" s="246">
        <f ca="1">'7.1. igazg 011130'!I29+'7.2 temető 013320'!I29+'7.3. vagyon 013350'!I29+'7.4 018010'!I29+'7.5 finansz műveletek 018030'!I29+'7.7 közütak működtetés 045160'!I29+'7.8 parkoló 045170'!I29+'7.9 kábeltv 046020'!I29+'7.10 piac 047120'!I29+'7.11 tdm tám047320'!I29+'7.12 szemét 051030'!I29+'7.13 szennyvíz 052080'!I29+'7.14 víz 063080'!I29+'7.15 közvil 064010'!I29+'7.16 zöldterület 066010'!I29+'7.17 város 066020'!I29+'7.18 háziorvos 072111'!I29+'7.19 ügyelet 072112'!I29+'7.20 fülészet 072210'!I29+'7.21 védőnők 074031'!I29+'7.22 isk eü 074032'!I29+'7.23 sportcsépület 081030'!I29+'7.24 sport tám 081041'!I29+'7.25 diáksport 081043'!I29+'7.26 közműv 082091'!I29+'7.27 közműv 082092'!I29+'7.28  óvoda 091140'!I29+'7.29 intézmkiv gyétk 104037'!I29+'7.30 szoc étk 107051'!I29+'7.31 segélyek 107060'!I29+'7.32 adóbev 900020'!I29+'7.33 pályázatok összesen'!I29+'7.6 út építés 045127'!I29</f>
        <v>45000000</v>
      </c>
      <c r="J29" s="246">
        <f>'7.1. igazg 011130'!J29+'7.2 temető 013320'!J29+'7.3. vagyon 013350'!J29+'7.4 018010'!J29+'7.5 finansz műveletek 018030'!J29+'7.7 közütak működtetés 045160'!J29+'7.8 parkoló 045170'!J29+'7.9 kábeltv 046020'!J29+'7.10 piac 047120'!J29+'7.11 tdm tám047320'!J29+'7.12 szemét 051030'!J29+'7.13 szennyvíz 052080'!J29+'7.14 víz 063080'!J29+'7.15 közvil 064010'!J29+'7.16 zöldterület 066010'!J29+'7.17 város 066020'!J29+'7.18 háziorvos 072111'!J29+'7.19 ügyelet 072112'!J29+'7.20 fülészet 072210'!J29+'7.21 védőnők 074031'!J29+'7.22 isk eü 074032'!J29+'7.23 sportcsépület 081030'!J29+'7.24 sport tám 081041'!J29+'7.25 diáksport 081043'!J29+'7.26 közműv 082091'!J29+'7.27 közműv 082092'!J29+'7.28  óvoda 091140'!J29+'7.29 intézmkiv gyétk 104037'!J29+'7.30 szoc étk 107051'!J29+'7.31 segélyek 107060'!J29+'7.32 adóbev 900020'!J29+'7.33 pályázatok összesen'!J29+'7.6 út építés 045127'!J29</f>
        <v>0</v>
      </c>
      <c r="K29" s="247">
        <f t="shared" ca="1" si="2"/>
        <v>45000000</v>
      </c>
      <c r="L29" s="246">
        <f ca="1">'7.1. igazg 011130'!L29+'7.2 temető 013320'!L29+'7.3. vagyon 013350'!L29+'7.4 018010'!L29+'7.5 finansz műveletek 018030'!L29+'7.7 közütak működtetés 045160'!L29+'7.8 parkoló 045170'!L29+'7.9 kábeltv 046020'!L29+'7.10 piac 047120'!L29+'7.11 tdm tám047320'!L29+'7.12 szemét 051030'!L29+'7.13 szennyvíz 052080'!L29+'7.14 víz 063080'!L29+'7.15 közvil 064010'!L29+'7.16 zöldterület 066010'!L29+'7.17 város 066020'!L29+'7.18 háziorvos 072111'!L29+'7.19 ügyelet 072112'!L29+'7.20 fülészet 072210'!L29+'7.21 védőnők 074031'!L29+'7.22 isk eü 074032'!L29+'7.23 sportcsépület 081030'!L29+'7.24 sport tám 081041'!L29+'7.25 diáksport 081043'!L29+'7.26 közműv 082091'!L29+'7.27 közműv 082092'!L29+'7.28  óvoda 091140'!L29+'7.29 intézmkiv gyétk 104037'!L29+'7.30 szoc étk 107051'!L29+'7.31 segélyek 107060'!L29+'7.32 adóbev 900020'!L29+'7.33 pályázatok összesen'!L29+'7.6 út építés 045127'!L29</f>
        <v>45036019</v>
      </c>
      <c r="M29" s="246">
        <f>'7.1. igazg 011130'!M29+'7.2 temető 013320'!M29+'7.3. vagyon 013350'!M29+'7.4 018010'!M29+'7.5 finansz műveletek 018030'!M29+'7.7 közütak működtetés 045160'!M29+'7.8 parkoló 045170'!M29+'7.9 kábeltv 046020'!M29+'7.10 piac 047120'!M29+'7.11 tdm tám047320'!M29+'7.12 szemét 051030'!M29+'7.13 szennyvíz 052080'!M29+'7.14 víz 063080'!M29+'7.15 közvil 064010'!M29+'7.16 zöldterület 066010'!M29+'7.17 város 066020'!M29+'7.18 háziorvos 072111'!M29+'7.19 ügyelet 072112'!M29+'7.20 fülészet 072210'!M29+'7.21 védőnők 074031'!M29+'7.22 isk eü 074032'!M29+'7.23 sportcsépület 081030'!M29+'7.24 sport tám 081041'!M29+'7.25 diáksport 081043'!M29+'7.26 közműv 082091'!M29+'7.27 közműv 082092'!M29+'7.28  óvoda 091140'!M29+'7.29 intézmkiv gyétk 104037'!M29+'7.30 szoc étk 107051'!M29+'7.31 segélyek 107060'!M29+'7.32 adóbev 900020'!M29+'7.33 pályázatok összesen'!M29+'7.6 út építés 045127'!M29</f>
        <v>0</v>
      </c>
      <c r="N29" s="247">
        <f t="shared" ca="1" si="3"/>
        <v>45036019</v>
      </c>
      <c r="V29" s="148"/>
      <c r="W29" s="148"/>
    </row>
    <row r="30" spans="1:23" x14ac:dyDescent="0.25">
      <c r="A30" s="53" t="s">
        <v>74</v>
      </c>
      <c r="B30" s="62" t="s">
        <v>75</v>
      </c>
      <c r="C30" s="246">
        <f>'7.1. igazg 011130'!C30+'7.2 temető 013320'!C30+'7.3. vagyon 013350'!C30+'7.4 018010'!C30+'7.5 finansz műveletek 018030'!C30+'7.7 közütak működtetés 045160'!C30+'7.8 parkoló 045170'!C30+'7.9 kábeltv 046020'!C30+'7.10 piac 047120'!C30+'7.11 tdm tám047320'!C30+'7.12 szemét 051030'!C30+'7.13 szennyvíz 052080'!C30+'7.14 víz 063080'!C30+'7.15 közvil 064010'!C30+'7.16 zöldterület 066010'!C30+'7.17 város 066020'!C30+'7.18 háziorvos 072111'!C30+'7.19 ügyelet 072112'!C30+'7.20 fülészet 072210'!C30+'7.21 védőnők 074031'!C30+'7.22 isk eü 074032'!C30+'7.23 sportcsépület 081030'!C30+'7.24 sport tám 081041'!C30+'7.25 diáksport 081043'!C30+'7.26 közműv 082091'!C30+'7.27 közműv 082092'!C30+'7.28  óvoda 091140'!C30+'7.29 intézmkiv gyétk 104037'!C30+'7.30 szoc étk 107051'!C30+'7.31 segélyek 107060'!C30+'7.32 adóbev 900020'!C30+'7.33 pályázatok összesen'!C30+'7.6 út építés 045127'!C30</f>
        <v>294000000</v>
      </c>
      <c r="D30" s="246">
        <f>'7.1. igazg 011130'!D30+'7.2 temető 013320'!D30+'7.3. vagyon 013350'!D30+'7.4 018010'!D30+'7.5 finansz műveletek 018030'!D30+'7.7 közütak működtetés 045160'!D30+'7.8 parkoló 045170'!D30+'7.9 kábeltv 046020'!D30+'7.10 piac 047120'!D30+'7.11 tdm tám047320'!D30+'7.12 szemét 051030'!D30+'7.13 szennyvíz 052080'!D30+'7.14 víz 063080'!D30+'7.15 közvil 064010'!D30+'7.16 zöldterület 066010'!D30+'7.17 város 066020'!D30+'7.18 háziorvos 072111'!D30+'7.19 ügyelet 072112'!D30+'7.20 fülészet 072210'!D30+'7.21 védőnők 074031'!D30+'7.22 isk eü 074032'!D30+'7.23 sportcsépület 081030'!D30+'7.24 sport tám 081041'!D30+'7.25 diáksport 081043'!D30+'7.26 közműv 082091'!D30+'7.27 közműv 082092'!D30+'7.28  óvoda 091140'!D30+'7.29 intézmkiv gyétk 104037'!D30+'7.30 szoc étk 107051'!D30+'7.31 segélyek 107060'!D30+'7.32 adóbev 900020'!D30+'7.33 pályázatok összesen'!D30+'7.6 út építés 045127'!D30</f>
        <v>0</v>
      </c>
      <c r="E30" s="247">
        <f t="shared" si="0"/>
        <v>294000000</v>
      </c>
      <c r="F30" s="246">
        <f>'7.1. igazg 011130'!F30+'7.2 temető 013320'!F30+'7.3. vagyon 013350'!F30+'7.4 018010'!F30+'7.5 finansz műveletek 018030'!F30+'7.7 közütak működtetés 045160'!F30+'7.8 parkoló 045170'!F30+'7.9 kábeltv 046020'!F30+'7.10 piac 047120'!F30+'7.11 tdm tám047320'!F30+'7.12 szemét 051030'!F30+'7.13 szennyvíz 052080'!F30+'7.14 víz 063080'!F30+'7.15 közvil 064010'!F30+'7.16 zöldterület 066010'!F30+'7.17 város 066020'!F30+'7.18 háziorvos 072111'!F30+'7.19 ügyelet 072112'!F30+'7.20 fülészet 072210'!F30+'7.21 védőnők 074031'!F30+'7.22 isk eü 074032'!F30+'7.23 sportcsépület 081030'!F30+'7.24 sport tám 081041'!F30+'7.25 diáksport 081043'!F30+'7.26 közműv 082091'!F30+'7.27 közműv 082092'!F30+'7.28  óvoda 091140'!F30+'7.29 intézmkiv gyétk 104037'!F30+'7.30 szoc étk 107051'!F30+'7.31 segélyek 107060'!F30+'7.32 adóbev 900020'!F30+'7.33 pályázatok összesen'!F30+'7.6 út építés 045127'!F30</f>
        <v>294000000</v>
      </c>
      <c r="G30" s="246">
        <f>'7.1. igazg 011130'!G30+'7.2 temető 013320'!G30+'7.3. vagyon 013350'!G30+'7.4 018010'!G30+'7.5 finansz műveletek 018030'!G30+'7.7 közütak működtetés 045160'!G30+'7.8 parkoló 045170'!G30+'7.9 kábeltv 046020'!G30+'7.10 piac 047120'!G30+'7.11 tdm tám047320'!G30+'7.12 szemét 051030'!G30+'7.13 szennyvíz 052080'!G30+'7.14 víz 063080'!G30+'7.15 közvil 064010'!G30+'7.16 zöldterület 066010'!G30+'7.17 város 066020'!G30+'7.18 háziorvos 072111'!G30+'7.19 ügyelet 072112'!G30+'7.20 fülészet 072210'!G30+'7.21 védőnők 074031'!G30+'7.22 isk eü 074032'!G30+'7.23 sportcsépület 081030'!G30+'7.24 sport tám 081041'!G30+'7.25 diáksport 081043'!G30+'7.26 közműv 082091'!G30+'7.27 közműv 082092'!G30+'7.28  óvoda 091140'!G30+'7.29 intézmkiv gyétk 104037'!G30+'7.30 szoc étk 107051'!G30+'7.31 segélyek 107060'!G30+'7.32 adóbev 900020'!G30+'7.33 pályázatok összesen'!G30+'7.6 út építés 045127'!G30</f>
        <v>0</v>
      </c>
      <c r="H30" s="247">
        <f t="shared" si="1"/>
        <v>294000000</v>
      </c>
      <c r="I30" s="246">
        <f ca="1">'7.1. igazg 011130'!I30+'7.2 temető 013320'!I30+'7.3. vagyon 013350'!I30+'7.4 018010'!I30+'7.5 finansz műveletek 018030'!I30+'7.7 közütak működtetés 045160'!I30+'7.8 parkoló 045170'!I30+'7.9 kábeltv 046020'!I30+'7.10 piac 047120'!I30+'7.11 tdm tám047320'!I30+'7.12 szemét 051030'!I30+'7.13 szennyvíz 052080'!I30+'7.14 víz 063080'!I30+'7.15 közvil 064010'!I30+'7.16 zöldterület 066010'!I30+'7.17 város 066020'!I30+'7.18 háziorvos 072111'!I30+'7.19 ügyelet 072112'!I30+'7.20 fülészet 072210'!I30+'7.21 védőnők 074031'!I30+'7.22 isk eü 074032'!I30+'7.23 sportcsépület 081030'!I30+'7.24 sport tám 081041'!I30+'7.25 diáksport 081043'!I30+'7.26 közműv 082091'!I30+'7.27 közműv 082092'!I30+'7.28  óvoda 091140'!I30+'7.29 intézmkiv gyétk 104037'!I30+'7.30 szoc étk 107051'!I30+'7.31 segélyek 107060'!I30+'7.32 adóbev 900020'!I30+'7.33 pályázatok összesen'!I30+'7.6 út építés 045127'!I30</f>
        <v>305396988</v>
      </c>
      <c r="J30" s="246">
        <f>'7.1. igazg 011130'!J30+'7.2 temető 013320'!J30+'7.3. vagyon 013350'!J30+'7.4 018010'!J30+'7.5 finansz műveletek 018030'!J30+'7.7 közütak működtetés 045160'!J30+'7.8 parkoló 045170'!J30+'7.9 kábeltv 046020'!J30+'7.10 piac 047120'!J30+'7.11 tdm tám047320'!J30+'7.12 szemét 051030'!J30+'7.13 szennyvíz 052080'!J30+'7.14 víz 063080'!J30+'7.15 közvil 064010'!J30+'7.16 zöldterület 066010'!J30+'7.17 város 066020'!J30+'7.18 háziorvos 072111'!J30+'7.19 ügyelet 072112'!J30+'7.20 fülészet 072210'!J30+'7.21 védőnők 074031'!J30+'7.22 isk eü 074032'!J30+'7.23 sportcsépület 081030'!J30+'7.24 sport tám 081041'!J30+'7.25 diáksport 081043'!J30+'7.26 közműv 082091'!J30+'7.27 közműv 082092'!J30+'7.28  óvoda 091140'!J30+'7.29 intézmkiv gyétk 104037'!J30+'7.30 szoc étk 107051'!J30+'7.31 segélyek 107060'!J30+'7.32 adóbev 900020'!J30+'7.33 pályázatok összesen'!J30+'7.6 út építés 045127'!J30</f>
        <v>0</v>
      </c>
      <c r="K30" s="247">
        <f t="shared" ca="1" si="2"/>
        <v>305396988</v>
      </c>
      <c r="L30" s="246">
        <f ca="1">'7.1. igazg 011130'!L30+'7.2 temető 013320'!L30+'7.3. vagyon 013350'!L30+'7.4 018010'!L30+'7.5 finansz műveletek 018030'!L30+'7.7 közütak működtetés 045160'!L30+'7.8 parkoló 045170'!L30+'7.9 kábeltv 046020'!L30+'7.10 piac 047120'!L30+'7.11 tdm tám047320'!L30+'7.12 szemét 051030'!L30+'7.13 szennyvíz 052080'!L30+'7.14 víz 063080'!L30+'7.15 közvil 064010'!L30+'7.16 zöldterület 066010'!L30+'7.17 város 066020'!L30+'7.18 háziorvos 072111'!L30+'7.19 ügyelet 072112'!L30+'7.20 fülészet 072210'!L30+'7.21 védőnők 074031'!L30+'7.22 isk eü 074032'!L30+'7.23 sportcsépület 081030'!L30+'7.24 sport tám 081041'!L30+'7.25 diáksport 081043'!L30+'7.26 közműv 082091'!L30+'7.27 közműv 082092'!L30+'7.28  óvoda 091140'!L30+'7.29 intézmkiv gyétk 104037'!L30+'7.30 szoc étk 107051'!L30+'7.31 segélyek 107060'!L30+'7.32 adóbev 900020'!L30+'7.33 pályázatok összesen'!L30+'7.6 út építés 045127'!L30</f>
        <v>333149576</v>
      </c>
      <c r="M30" s="246">
        <f>'7.1. igazg 011130'!M30+'7.2 temető 013320'!M30+'7.3. vagyon 013350'!M30+'7.4 018010'!M30+'7.5 finansz műveletek 018030'!M30+'7.7 közütak működtetés 045160'!M30+'7.8 parkoló 045170'!M30+'7.9 kábeltv 046020'!M30+'7.10 piac 047120'!M30+'7.11 tdm tám047320'!M30+'7.12 szemét 051030'!M30+'7.13 szennyvíz 052080'!M30+'7.14 víz 063080'!M30+'7.15 közvil 064010'!M30+'7.16 zöldterület 066010'!M30+'7.17 város 066020'!M30+'7.18 háziorvos 072111'!M30+'7.19 ügyelet 072112'!M30+'7.20 fülészet 072210'!M30+'7.21 védőnők 074031'!M30+'7.22 isk eü 074032'!M30+'7.23 sportcsépület 081030'!M30+'7.24 sport tám 081041'!M30+'7.25 diáksport 081043'!M30+'7.26 közműv 082091'!M30+'7.27 közműv 082092'!M30+'7.28  óvoda 091140'!M30+'7.29 intézmkiv gyétk 104037'!M30+'7.30 szoc étk 107051'!M30+'7.31 segélyek 107060'!M30+'7.32 adóbev 900020'!M30+'7.33 pályázatok összesen'!M30+'7.6 út építés 045127'!M30</f>
        <v>0</v>
      </c>
      <c r="N30" s="247">
        <f t="shared" ca="1" si="3"/>
        <v>333149576</v>
      </c>
      <c r="V30" s="148"/>
      <c r="W30" s="148"/>
    </row>
    <row r="31" spans="1:23" x14ac:dyDescent="0.25">
      <c r="A31" s="53" t="s">
        <v>76</v>
      </c>
      <c r="B31" s="62" t="s">
        <v>77</v>
      </c>
      <c r="C31" s="246">
        <f>'7.1. igazg 011130'!C31+'7.2 temető 013320'!C31+'7.3. vagyon 013350'!C31+'7.4 018010'!C31+'7.5 finansz műveletek 018030'!C31+'7.7 közütak működtetés 045160'!C31+'7.8 parkoló 045170'!C31+'7.9 kábeltv 046020'!C31+'7.10 piac 047120'!C31+'7.11 tdm tám047320'!C31+'7.12 szemét 051030'!C31+'7.13 szennyvíz 052080'!C31+'7.14 víz 063080'!C31+'7.15 közvil 064010'!C31+'7.16 zöldterület 066010'!C31+'7.17 város 066020'!C31+'7.18 háziorvos 072111'!C31+'7.19 ügyelet 072112'!C31+'7.20 fülészet 072210'!C31+'7.21 védőnők 074031'!C31+'7.22 isk eü 074032'!C31+'7.23 sportcsépület 081030'!C31+'7.24 sport tám 081041'!C31+'7.25 diáksport 081043'!C31+'7.26 közműv 082091'!C31+'7.27 közműv 082092'!C31+'7.28  óvoda 091140'!C31+'7.29 intézmkiv gyétk 104037'!C31+'7.30 szoc étk 107051'!C31+'7.31 segélyek 107060'!C31+'7.32 adóbev 900020'!C31+'7.33 pályázatok összesen'!C31+'7.6 út építés 045127'!C31</f>
        <v>155000000</v>
      </c>
      <c r="D31" s="246">
        <f>'7.1. igazg 011130'!D31+'7.2 temető 013320'!D31+'7.3. vagyon 013350'!D31+'7.4 018010'!D31+'7.5 finansz műveletek 018030'!D31+'7.7 közütak működtetés 045160'!D31+'7.8 parkoló 045170'!D31+'7.9 kábeltv 046020'!D31+'7.10 piac 047120'!D31+'7.11 tdm tám047320'!D31+'7.12 szemét 051030'!D31+'7.13 szennyvíz 052080'!D31+'7.14 víz 063080'!D31+'7.15 közvil 064010'!D31+'7.16 zöldterület 066010'!D31+'7.17 város 066020'!D31+'7.18 háziorvos 072111'!D31+'7.19 ügyelet 072112'!D31+'7.20 fülészet 072210'!D31+'7.21 védőnők 074031'!D31+'7.22 isk eü 074032'!D31+'7.23 sportcsépület 081030'!D31+'7.24 sport tám 081041'!D31+'7.25 diáksport 081043'!D31+'7.26 közműv 082091'!D31+'7.27 közműv 082092'!D31+'7.28  óvoda 091140'!D31+'7.29 intézmkiv gyétk 104037'!D31+'7.30 szoc étk 107051'!D31+'7.31 segélyek 107060'!D31+'7.32 adóbev 900020'!D31+'7.33 pályázatok összesen'!D31+'7.6 út építés 045127'!D31</f>
        <v>0</v>
      </c>
      <c r="E31" s="247">
        <f t="shared" si="0"/>
        <v>155000000</v>
      </c>
      <c r="F31" s="246">
        <f>'7.1. igazg 011130'!F31+'7.2 temető 013320'!F31+'7.3. vagyon 013350'!F31+'7.4 018010'!F31+'7.5 finansz műveletek 018030'!F31+'7.7 közütak működtetés 045160'!F31+'7.8 parkoló 045170'!F31+'7.9 kábeltv 046020'!F31+'7.10 piac 047120'!F31+'7.11 tdm tám047320'!F31+'7.12 szemét 051030'!F31+'7.13 szennyvíz 052080'!F31+'7.14 víz 063080'!F31+'7.15 közvil 064010'!F31+'7.16 zöldterület 066010'!F31+'7.17 város 066020'!F31+'7.18 háziorvos 072111'!F31+'7.19 ügyelet 072112'!F31+'7.20 fülészet 072210'!F31+'7.21 védőnők 074031'!F31+'7.22 isk eü 074032'!F31+'7.23 sportcsépület 081030'!F31+'7.24 sport tám 081041'!F31+'7.25 diáksport 081043'!F31+'7.26 közműv 082091'!F31+'7.27 közműv 082092'!F31+'7.28  óvoda 091140'!F31+'7.29 intézmkiv gyétk 104037'!F31+'7.30 szoc étk 107051'!F31+'7.31 segélyek 107060'!F31+'7.32 adóbev 900020'!F31+'7.33 pályázatok összesen'!F31+'7.6 út építés 045127'!F31</f>
        <v>155000000</v>
      </c>
      <c r="G31" s="246">
        <f>'7.1. igazg 011130'!G31+'7.2 temető 013320'!G31+'7.3. vagyon 013350'!G31+'7.4 018010'!G31+'7.5 finansz műveletek 018030'!G31+'7.7 közütak működtetés 045160'!G31+'7.8 parkoló 045170'!G31+'7.9 kábeltv 046020'!G31+'7.10 piac 047120'!G31+'7.11 tdm tám047320'!G31+'7.12 szemét 051030'!G31+'7.13 szennyvíz 052080'!G31+'7.14 víz 063080'!G31+'7.15 közvil 064010'!G31+'7.16 zöldterület 066010'!G31+'7.17 város 066020'!G31+'7.18 háziorvos 072111'!G31+'7.19 ügyelet 072112'!G31+'7.20 fülészet 072210'!G31+'7.21 védőnők 074031'!G31+'7.22 isk eü 074032'!G31+'7.23 sportcsépület 081030'!G31+'7.24 sport tám 081041'!G31+'7.25 diáksport 081043'!G31+'7.26 közműv 082091'!G31+'7.27 közműv 082092'!G31+'7.28  óvoda 091140'!G31+'7.29 intézmkiv gyétk 104037'!G31+'7.30 szoc étk 107051'!G31+'7.31 segélyek 107060'!G31+'7.32 adóbev 900020'!G31+'7.33 pályázatok összesen'!G31+'7.6 út építés 045127'!G31</f>
        <v>0</v>
      </c>
      <c r="H31" s="247">
        <f t="shared" si="1"/>
        <v>155000000</v>
      </c>
      <c r="I31" s="246">
        <f ca="1">'7.1. igazg 011130'!I31+'7.2 temető 013320'!I31+'7.3. vagyon 013350'!I31+'7.4 018010'!I31+'7.5 finansz műveletek 018030'!I31+'7.7 közütak működtetés 045160'!I31+'7.8 parkoló 045170'!I31+'7.9 kábeltv 046020'!I31+'7.10 piac 047120'!I31+'7.11 tdm tám047320'!I31+'7.12 szemét 051030'!I31+'7.13 szennyvíz 052080'!I31+'7.14 víz 063080'!I31+'7.15 közvil 064010'!I31+'7.16 zöldterület 066010'!I31+'7.17 város 066020'!I31+'7.18 háziorvos 072111'!I31+'7.19 ügyelet 072112'!I31+'7.20 fülészet 072210'!I31+'7.21 védőnők 074031'!I31+'7.22 isk eü 074032'!I31+'7.23 sportcsépület 081030'!I31+'7.24 sport tám 081041'!I31+'7.25 diáksport 081043'!I31+'7.26 közműv 082091'!I31+'7.27 közműv 082092'!I31+'7.28  óvoda 091140'!I31+'7.29 intézmkiv gyétk 104037'!I31+'7.30 szoc étk 107051'!I31+'7.31 segélyek 107060'!I31+'7.32 adóbev 900020'!I31+'7.33 pályázatok összesen'!I31+'7.6 út építés 045127'!I31</f>
        <v>155000000</v>
      </c>
      <c r="J31" s="246">
        <f>'7.1. igazg 011130'!J31+'7.2 temető 013320'!J31+'7.3. vagyon 013350'!J31+'7.4 018010'!J31+'7.5 finansz műveletek 018030'!J31+'7.7 közütak működtetés 045160'!J31+'7.8 parkoló 045170'!J31+'7.9 kábeltv 046020'!J31+'7.10 piac 047120'!J31+'7.11 tdm tám047320'!J31+'7.12 szemét 051030'!J31+'7.13 szennyvíz 052080'!J31+'7.14 víz 063080'!J31+'7.15 közvil 064010'!J31+'7.16 zöldterület 066010'!J31+'7.17 város 066020'!J31+'7.18 háziorvos 072111'!J31+'7.19 ügyelet 072112'!J31+'7.20 fülészet 072210'!J31+'7.21 védőnők 074031'!J31+'7.22 isk eü 074032'!J31+'7.23 sportcsépület 081030'!J31+'7.24 sport tám 081041'!J31+'7.25 diáksport 081043'!J31+'7.26 közműv 082091'!J31+'7.27 közműv 082092'!J31+'7.28  óvoda 091140'!J31+'7.29 intézmkiv gyétk 104037'!J31+'7.30 szoc étk 107051'!J31+'7.31 segélyek 107060'!J31+'7.32 adóbev 900020'!J31+'7.33 pályázatok összesen'!J31+'7.6 út építés 045127'!J31</f>
        <v>0</v>
      </c>
      <c r="K31" s="247">
        <f t="shared" ca="1" si="2"/>
        <v>155000000</v>
      </c>
      <c r="L31" s="246">
        <f ca="1">'7.1. igazg 011130'!L31+'7.2 temető 013320'!L31+'7.3. vagyon 013350'!L31+'7.4 018010'!L31+'7.5 finansz műveletek 018030'!L31+'7.7 közütak működtetés 045160'!L31+'7.8 parkoló 045170'!L31+'7.9 kábeltv 046020'!L31+'7.10 piac 047120'!L31+'7.11 tdm tám047320'!L31+'7.12 szemét 051030'!L31+'7.13 szennyvíz 052080'!L31+'7.14 víz 063080'!L31+'7.15 közvil 064010'!L31+'7.16 zöldterület 066010'!L31+'7.17 város 066020'!L31+'7.18 háziorvos 072111'!L31+'7.19 ügyelet 072112'!L31+'7.20 fülészet 072210'!L31+'7.21 védőnők 074031'!L31+'7.22 isk eü 074032'!L31+'7.23 sportcsépület 081030'!L31+'7.24 sport tám 081041'!L31+'7.25 diáksport 081043'!L31+'7.26 közműv 082091'!L31+'7.27 közműv 082092'!L31+'7.28  óvoda 091140'!L31+'7.29 intézmkiv gyétk 104037'!L31+'7.30 szoc étk 107051'!L31+'7.31 segélyek 107060'!L31+'7.32 adóbev 900020'!L31+'7.33 pályázatok összesen'!L31+'7.6 út építés 045127'!L31</f>
        <v>180483848</v>
      </c>
      <c r="M31" s="246">
        <f>'7.1. igazg 011130'!M31+'7.2 temető 013320'!M31+'7.3. vagyon 013350'!M31+'7.4 018010'!M31+'7.5 finansz műveletek 018030'!M31+'7.7 közütak működtetés 045160'!M31+'7.8 parkoló 045170'!M31+'7.9 kábeltv 046020'!M31+'7.10 piac 047120'!M31+'7.11 tdm tám047320'!M31+'7.12 szemét 051030'!M31+'7.13 szennyvíz 052080'!M31+'7.14 víz 063080'!M31+'7.15 közvil 064010'!M31+'7.16 zöldterület 066010'!M31+'7.17 város 066020'!M31+'7.18 háziorvos 072111'!M31+'7.19 ügyelet 072112'!M31+'7.20 fülészet 072210'!M31+'7.21 védőnők 074031'!M31+'7.22 isk eü 074032'!M31+'7.23 sportcsépület 081030'!M31+'7.24 sport tám 081041'!M31+'7.25 diáksport 081043'!M31+'7.26 közműv 082091'!M31+'7.27 közműv 082092'!M31+'7.28  óvoda 091140'!M31+'7.29 intézmkiv gyétk 104037'!M31+'7.30 szoc étk 107051'!M31+'7.31 segélyek 107060'!M31+'7.32 adóbev 900020'!M31+'7.33 pályázatok összesen'!M31+'7.6 út építés 045127'!M31</f>
        <v>0</v>
      </c>
      <c r="N31" s="247">
        <f t="shared" ca="1" si="3"/>
        <v>180483848</v>
      </c>
      <c r="V31" s="148"/>
      <c r="W31" s="148"/>
    </row>
    <row r="32" spans="1:23" x14ac:dyDescent="0.25">
      <c r="A32" s="53"/>
      <c r="B32" s="62" t="s">
        <v>78</v>
      </c>
      <c r="C32" s="246">
        <f>'7.1. igazg 011130'!C32+'7.2 temető 013320'!C32+'7.3. vagyon 013350'!C32+'7.4 018010'!C32+'7.5 finansz műveletek 018030'!C32+'7.7 közütak működtetés 045160'!C32+'7.8 parkoló 045170'!C32+'7.9 kábeltv 046020'!C32+'7.10 piac 047120'!C32+'7.11 tdm tám047320'!C32+'7.12 szemét 051030'!C32+'7.13 szennyvíz 052080'!C32+'7.14 víz 063080'!C32+'7.15 közvil 064010'!C32+'7.16 zöldterület 066010'!C32+'7.17 város 066020'!C32+'7.18 háziorvos 072111'!C32+'7.19 ügyelet 072112'!C32+'7.20 fülészet 072210'!C32+'7.21 védőnők 074031'!C32+'7.22 isk eü 074032'!C32+'7.23 sportcsépület 081030'!C32+'7.24 sport tám 081041'!C32+'7.25 diáksport 081043'!C32+'7.26 közműv 082091'!C32+'7.27 közműv 082092'!C32+'7.28  óvoda 091140'!C32+'7.29 intézmkiv gyétk 104037'!C32+'7.30 szoc étk 107051'!C32+'7.31 segélyek 107060'!C32+'7.32 adóbev 900020'!C32+'7.33 pályázatok összesen'!C32+'7.6 út építés 045127'!C32</f>
        <v>155000000</v>
      </c>
      <c r="D32" s="246">
        <f>'7.1. igazg 011130'!D32+'7.2 temető 013320'!D32+'7.3. vagyon 013350'!D32+'7.4 018010'!D32+'7.5 finansz műveletek 018030'!D32+'7.7 közütak működtetés 045160'!D32+'7.8 parkoló 045170'!D32+'7.9 kábeltv 046020'!D32+'7.10 piac 047120'!D32+'7.11 tdm tám047320'!D32+'7.12 szemét 051030'!D32+'7.13 szennyvíz 052080'!D32+'7.14 víz 063080'!D32+'7.15 közvil 064010'!D32+'7.16 zöldterület 066010'!D32+'7.17 város 066020'!D32+'7.18 háziorvos 072111'!D32+'7.19 ügyelet 072112'!D32+'7.20 fülészet 072210'!D32+'7.21 védőnők 074031'!D32+'7.22 isk eü 074032'!D32+'7.23 sportcsépület 081030'!D32+'7.24 sport tám 081041'!D32+'7.25 diáksport 081043'!D32+'7.26 közműv 082091'!D32+'7.27 közműv 082092'!D32+'7.28  óvoda 091140'!D32+'7.29 intézmkiv gyétk 104037'!D32+'7.30 szoc étk 107051'!D32+'7.31 segélyek 107060'!D32+'7.32 adóbev 900020'!D32+'7.33 pályázatok összesen'!D32+'7.6 út építés 045127'!D32</f>
        <v>0</v>
      </c>
      <c r="E32" s="247">
        <f t="shared" si="0"/>
        <v>155000000</v>
      </c>
      <c r="F32" s="246">
        <f>'7.1. igazg 011130'!F32+'7.2 temető 013320'!F32+'7.3. vagyon 013350'!F32+'7.4 018010'!F32+'7.5 finansz műveletek 018030'!F32+'7.7 közütak működtetés 045160'!F32+'7.8 parkoló 045170'!F32+'7.9 kábeltv 046020'!F32+'7.10 piac 047120'!F32+'7.11 tdm tám047320'!F32+'7.12 szemét 051030'!F32+'7.13 szennyvíz 052080'!F32+'7.14 víz 063080'!F32+'7.15 közvil 064010'!F32+'7.16 zöldterület 066010'!F32+'7.17 város 066020'!F32+'7.18 háziorvos 072111'!F32+'7.19 ügyelet 072112'!F32+'7.20 fülészet 072210'!F32+'7.21 védőnők 074031'!F32+'7.22 isk eü 074032'!F32+'7.23 sportcsépület 081030'!F32+'7.24 sport tám 081041'!F32+'7.25 diáksport 081043'!F32+'7.26 közműv 082091'!F32+'7.27 közműv 082092'!F32+'7.28  óvoda 091140'!F32+'7.29 intézmkiv gyétk 104037'!F32+'7.30 szoc étk 107051'!F32+'7.31 segélyek 107060'!F32+'7.32 adóbev 900020'!F32+'7.33 pályázatok összesen'!F32+'7.6 út építés 045127'!F32</f>
        <v>155000000</v>
      </c>
      <c r="G32" s="246">
        <f>'7.1. igazg 011130'!G32+'7.2 temető 013320'!G32+'7.3. vagyon 013350'!G32+'7.4 018010'!G32+'7.5 finansz műveletek 018030'!G32+'7.7 közütak működtetés 045160'!G32+'7.8 parkoló 045170'!G32+'7.9 kábeltv 046020'!G32+'7.10 piac 047120'!G32+'7.11 tdm tám047320'!G32+'7.12 szemét 051030'!G32+'7.13 szennyvíz 052080'!G32+'7.14 víz 063080'!G32+'7.15 közvil 064010'!G32+'7.16 zöldterület 066010'!G32+'7.17 város 066020'!G32+'7.18 háziorvos 072111'!G32+'7.19 ügyelet 072112'!G32+'7.20 fülészet 072210'!G32+'7.21 védőnők 074031'!G32+'7.22 isk eü 074032'!G32+'7.23 sportcsépület 081030'!G32+'7.24 sport tám 081041'!G32+'7.25 diáksport 081043'!G32+'7.26 közműv 082091'!G32+'7.27 közműv 082092'!G32+'7.28  óvoda 091140'!G32+'7.29 intézmkiv gyétk 104037'!G32+'7.30 szoc étk 107051'!G32+'7.31 segélyek 107060'!G32+'7.32 adóbev 900020'!G32+'7.33 pályázatok összesen'!G32+'7.6 út építés 045127'!G32</f>
        <v>0</v>
      </c>
      <c r="H32" s="247">
        <f t="shared" si="1"/>
        <v>155000000</v>
      </c>
      <c r="I32" s="246">
        <f ca="1">'7.1. igazg 011130'!I32+'7.2 temető 013320'!I32+'7.3. vagyon 013350'!I32+'7.4 018010'!I32+'7.5 finansz műveletek 018030'!I32+'7.7 közütak működtetés 045160'!I32+'7.8 parkoló 045170'!I32+'7.9 kábeltv 046020'!I32+'7.10 piac 047120'!I32+'7.11 tdm tám047320'!I32+'7.12 szemét 051030'!I32+'7.13 szennyvíz 052080'!I32+'7.14 víz 063080'!I32+'7.15 közvil 064010'!I32+'7.16 zöldterület 066010'!I32+'7.17 város 066020'!I32+'7.18 háziorvos 072111'!I32+'7.19 ügyelet 072112'!I32+'7.20 fülészet 072210'!I32+'7.21 védőnők 074031'!I32+'7.22 isk eü 074032'!I32+'7.23 sportcsépület 081030'!I32+'7.24 sport tám 081041'!I32+'7.25 diáksport 081043'!I32+'7.26 közműv 082091'!I32+'7.27 közműv 082092'!I32+'7.28  óvoda 091140'!I32+'7.29 intézmkiv gyétk 104037'!I32+'7.30 szoc étk 107051'!I32+'7.31 segélyek 107060'!I32+'7.32 adóbev 900020'!I32+'7.33 pályázatok összesen'!I32+'7.6 út építés 045127'!I32</f>
        <v>155000000</v>
      </c>
      <c r="J32" s="246">
        <f>'7.1. igazg 011130'!J32+'7.2 temető 013320'!J32+'7.3. vagyon 013350'!J32+'7.4 018010'!J32+'7.5 finansz műveletek 018030'!J32+'7.7 közütak működtetés 045160'!J32+'7.8 parkoló 045170'!J32+'7.9 kábeltv 046020'!J32+'7.10 piac 047120'!J32+'7.11 tdm tám047320'!J32+'7.12 szemét 051030'!J32+'7.13 szennyvíz 052080'!J32+'7.14 víz 063080'!J32+'7.15 közvil 064010'!J32+'7.16 zöldterület 066010'!J32+'7.17 város 066020'!J32+'7.18 háziorvos 072111'!J32+'7.19 ügyelet 072112'!J32+'7.20 fülészet 072210'!J32+'7.21 védőnők 074031'!J32+'7.22 isk eü 074032'!J32+'7.23 sportcsépület 081030'!J32+'7.24 sport tám 081041'!J32+'7.25 diáksport 081043'!J32+'7.26 közműv 082091'!J32+'7.27 közműv 082092'!J32+'7.28  óvoda 091140'!J32+'7.29 intézmkiv gyétk 104037'!J32+'7.30 szoc étk 107051'!J32+'7.31 segélyek 107060'!J32+'7.32 adóbev 900020'!J32+'7.33 pályázatok összesen'!J32+'7.6 út építés 045127'!J32</f>
        <v>0</v>
      </c>
      <c r="K32" s="247">
        <f t="shared" ca="1" si="2"/>
        <v>155000000</v>
      </c>
      <c r="L32" s="246">
        <f ca="1">'7.1. igazg 011130'!L32+'7.2 temető 013320'!L32+'7.3. vagyon 013350'!L32+'7.4 018010'!L32+'7.5 finansz műveletek 018030'!L32+'7.7 közütak működtetés 045160'!L32+'7.8 parkoló 045170'!L32+'7.9 kábeltv 046020'!L32+'7.10 piac 047120'!L32+'7.11 tdm tám047320'!L32+'7.12 szemét 051030'!L32+'7.13 szennyvíz 052080'!L32+'7.14 víz 063080'!L32+'7.15 közvil 064010'!L32+'7.16 zöldterület 066010'!L32+'7.17 város 066020'!L32+'7.18 háziorvos 072111'!L32+'7.19 ügyelet 072112'!L32+'7.20 fülészet 072210'!L32+'7.21 védőnők 074031'!L32+'7.22 isk eü 074032'!L32+'7.23 sportcsépület 081030'!L32+'7.24 sport tám 081041'!L32+'7.25 diáksport 081043'!L32+'7.26 közműv 082091'!L32+'7.27 közműv 082092'!L32+'7.28  óvoda 091140'!L32+'7.29 intézmkiv gyétk 104037'!L32+'7.30 szoc étk 107051'!L32+'7.31 segélyek 107060'!L32+'7.32 adóbev 900020'!L32+'7.33 pályázatok összesen'!L32+'7.6 út építés 045127'!L32</f>
        <v>180483848</v>
      </c>
      <c r="M32" s="246">
        <f>'7.1. igazg 011130'!M32+'7.2 temető 013320'!M32+'7.3. vagyon 013350'!M32+'7.4 018010'!M32+'7.5 finansz műveletek 018030'!M32+'7.7 közütak működtetés 045160'!M32+'7.8 parkoló 045170'!M32+'7.9 kábeltv 046020'!M32+'7.10 piac 047120'!M32+'7.11 tdm tám047320'!M32+'7.12 szemét 051030'!M32+'7.13 szennyvíz 052080'!M32+'7.14 víz 063080'!M32+'7.15 közvil 064010'!M32+'7.16 zöldterület 066010'!M32+'7.17 város 066020'!M32+'7.18 háziorvos 072111'!M32+'7.19 ügyelet 072112'!M32+'7.20 fülészet 072210'!M32+'7.21 védőnők 074031'!M32+'7.22 isk eü 074032'!M32+'7.23 sportcsépület 081030'!M32+'7.24 sport tám 081041'!M32+'7.25 diáksport 081043'!M32+'7.26 közműv 082091'!M32+'7.27 közműv 082092'!M32+'7.28  óvoda 091140'!M32+'7.29 intézmkiv gyétk 104037'!M32+'7.30 szoc étk 107051'!M32+'7.31 segélyek 107060'!M32+'7.32 adóbev 900020'!M32+'7.33 pályázatok összesen'!M32+'7.6 út építés 045127'!M32</f>
        <v>0</v>
      </c>
      <c r="N32" s="247">
        <f t="shared" ca="1" si="3"/>
        <v>180483848</v>
      </c>
      <c r="V32" s="148"/>
      <c r="W32" s="148"/>
    </row>
    <row r="33" spans="1:23" x14ac:dyDescent="0.25">
      <c r="A33" s="53" t="s">
        <v>79</v>
      </c>
      <c r="B33" s="62" t="s">
        <v>80</v>
      </c>
      <c r="C33" s="246">
        <f>'7.1. igazg 011130'!C33+'7.2 temető 013320'!C33+'7.3. vagyon 013350'!C33+'7.4 018010'!C33+'7.5 finansz műveletek 018030'!C33+'7.7 közütak működtetés 045160'!C33+'7.8 parkoló 045170'!C33+'7.9 kábeltv 046020'!C33+'7.10 piac 047120'!C33+'7.11 tdm tám047320'!C33+'7.12 szemét 051030'!C33+'7.13 szennyvíz 052080'!C33+'7.14 víz 063080'!C33+'7.15 közvil 064010'!C33+'7.16 zöldterület 066010'!C33+'7.17 város 066020'!C33+'7.18 háziorvos 072111'!C33+'7.19 ügyelet 072112'!C33+'7.20 fülészet 072210'!C33+'7.21 védőnők 074031'!C33+'7.22 isk eü 074032'!C33+'7.23 sportcsépület 081030'!C33+'7.24 sport tám 081041'!C33+'7.25 diáksport 081043'!C33+'7.26 közműv 082091'!C33+'7.27 közműv 082092'!C33+'7.28  óvoda 091140'!C33+'7.29 intézmkiv gyétk 104037'!C33+'7.30 szoc étk 107051'!C33+'7.31 segélyek 107060'!C33+'7.32 adóbev 900020'!C33+'7.33 pályázatok összesen'!C33+'7.6 út építés 045127'!C33</f>
        <v>14000000</v>
      </c>
      <c r="D33" s="246">
        <f>'7.1. igazg 011130'!D33+'7.2 temető 013320'!D33+'7.3. vagyon 013350'!D33+'7.4 018010'!D33+'7.5 finansz műveletek 018030'!D33+'7.7 közütak működtetés 045160'!D33+'7.8 parkoló 045170'!D33+'7.9 kábeltv 046020'!D33+'7.10 piac 047120'!D33+'7.11 tdm tám047320'!D33+'7.12 szemét 051030'!D33+'7.13 szennyvíz 052080'!D33+'7.14 víz 063080'!D33+'7.15 közvil 064010'!D33+'7.16 zöldterület 066010'!D33+'7.17 város 066020'!D33+'7.18 háziorvos 072111'!D33+'7.19 ügyelet 072112'!D33+'7.20 fülészet 072210'!D33+'7.21 védőnők 074031'!D33+'7.22 isk eü 074032'!D33+'7.23 sportcsépület 081030'!D33+'7.24 sport tám 081041'!D33+'7.25 diáksport 081043'!D33+'7.26 közműv 082091'!D33+'7.27 közműv 082092'!D33+'7.28  óvoda 091140'!D33+'7.29 intézmkiv gyétk 104037'!D33+'7.30 szoc étk 107051'!D33+'7.31 segélyek 107060'!D33+'7.32 adóbev 900020'!D33+'7.33 pályázatok összesen'!D33+'7.6 út építés 045127'!D33</f>
        <v>0</v>
      </c>
      <c r="E33" s="247">
        <f t="shared" si="0"/>
        <v>14000000</v>
      </c>
      <c r="F33" s="246">
        <f>'7.1. igazg 011130'!F33+'7.2 temető 013320'!F33+'7.3. vagyon 013350'!F33+'7.4 018010'!F33+'7.5 finansz műveletek 018030'!F33+'7.7 közütak működtetés 045160'!F33+'7.8 parkoló 045170'!F33+'7.9 kábeltv 046020'!F33+'7.10 piac 047120'!F33+'7.11 tdm tám047320'!F33+'7.12 szemét 051030'!F33+'7.13 szennyvíz 052080'!F33+'7.14 víz 063080'!F33+'7.15 közvil 064010'!F33+'7.16 zöldterület 066010'!F33+'7.17 város 066020'!F33+'7.18 háziorvos 072111'!F33+'7.19 ügyelet 072112'!F33+'7.20 fülészet 072210'!F33+'7.21 védőnők 074031'!F33+'7.22 isk eü 074032'!F33+'7.23 sportcsépület 081030'!F33+'7.24 sport tám 081041'!F33+'7.25 diáksport 081043'!F33+'7.26 közműv 082091'!F33+'7.27 közműv 082092'!F33+'7.28  óvoda 091140'!F33+'7.29 intézmkiv gyétk 104037'!F33+'7.30 szoc étk 107051'!F33+'7.31 segélyek 107060'!F33+'7.32 adóbev 900020'!F33+'7.33 pályázatok összesen'!F33+'7.6 út építés 045127'!F33</f>
        <v>14000000</v>
      </c>
      <c r="G33" s="246">
        <f>'7.1. igazg 011130'!G33+'7.2 temető 013320'!G33+'7.3. vagyon 013350'!G33+'7.4 018010'!G33+'7.5 finansz műveletek 018030'!G33+'7.7 közütak működtetés 045160'!G33+'7.8 parkoló 045170'!G33+'7.9 kábeltv 046020'!G33+'7.10 piac 047120'!G33+'7.11 tdm tám047320'!G33+'7.12 szemét 051030'!G33+'7.13 szennyvíz 052080'!G33+'7.14 víz 063080'!G33+'7.15 közvil 064010'!G33+'7.16 zöldterület 066010'!G33+'7.17 város 066020'!G33+'7.18 háziorvos 072111'!G33+'7.19 ügyelet 072112'!G33+'7.20 fülészet 072210'!G33+'7.21 védőnők 074031'!G33+'7.22 isk eü 074032'!G33+'7.23 sportcsépület 081030'!G33+'7.24 sport tám 081041'!G33+'7.25 diáksport 081043'!G33+'7.26 közműv 082091'!G33+'7.27 közműv 082092'!G33+'7.28  óvoda 091140'!G33+'7.29 intézmkiv gyétk 104037'!G33+'7.30 szoc étk 107051'!G33+'7.31 segélyek 107060'!G33+'7.32 adóbev 900020'!G33+'7.33 pályázatok összesen'!G33+'7.6 út építés 045127'!G33</f>
        <v>0</v>
      </c>
      <c r="H33" s="247">
        <f t="shared" si="1"/>
        <v>14000000</v>
      </c>
      <c r="I33" s="246">
        <f ca="1">'7.1. igazg 011130'!I33+'7.2 temető 013320'!I33+'7.3. vagyon 013350'!I33+'7.4 018010'!I33+'7.5 finansz műveletek 018030'!I33+'7.7 közütak működtetés 045160'!I33+'7.8 parkoló 045170'!I33+'7.9 kábeltv 046020'!I33+'7.10 piac 047120'!I33+'7.11 tdm tám047320'!I33+'7.12 szemét 051030'!I33+'7.13 szennyvíz 052080'!I33+'7.14 víz 063080'!I33+'7.15 közvil 064010'!I33+'7.16 zöldterület 066010'!I33+'7.17 város 066020'!I33+'7.18 háziorvos 072111'!I33+'7.19 ügyelet 072112'!I33+'7.20 fülészet 072210'!I33+'7.21 védőnők 074031'!I33+'7.22 isk eü 074032'!I33+'7.23 sportcsépület 081030'!I33+'7.24 sport tám 081041'!I33+'7.25 diáksport 081043'!I33+'7.26 közműv 082091'!I33+'7.27 közműv 082092'!I33+'7.28  óvoda 091140'!I33+'7.29 intézmkiv gyétk 104037'!I33+'7.30 szoc étk 107051'!I33+'7.31 segélyek 107060'!I33+'7.32 adóbev 900020'!I33+'7.33 pályázatok összesen'!I33+'7.6 út építés 045127'!I33</f>
        <v>14000000</v>
      </c>
      <c r="J33" s="246">
        <f>'7.1. igazg 011130'!J33+'7.2 temető 013320'!J33+'7.3. vagyon 013350'!J33+'7.4 018010'!J33+'7.5 finansz műveletek 018030'!J33+'7.7 közütak működtetés 045160'!J33+'7.8 parkoló 045170'!J33+'7.9 kábeltv 046020'!J33+'7.10 piac 047120'!J33+'7.11 tdm tám047320'!J33+'7.12 szemét 051030'!J33+'7.13 szennyvíz 052080'!J33+'7.14 víz 063080'!J33+'7.15 közvil 064010'!J33+'7.16 zöldterület 066010'!J33+'7.17 város 066020'!J33+'7.18 háziorvos 072111'!J33+'7.19 ügyelet 072112'!J33+'7.20 fülészet 072210'!J33+'7.21 védőnők 074031'!J33+'7.22 isk eü 074032'!J33+'7.23 sportcsépület 081030'!J33+'7.24 sport tám 081041'!J33+'7.25 diáksport 081043'!J33+'7.26 közműv 082091'!J33+'7.27 közműv 082092'!J33+'7.28  óvoda 091140'!J33+'7.29 intézmkiv gyétk 104037'!J33+'7.30 szoc étk 107051'!J33+'7.31 segélyek 107060'!J33+'7.32 adóbev 900020'!J33+'7.33 pályázatok összesen'!J33+'7.6 út építés 045127'!J33</f>
        <v>0</v>
      </c>
      <c r="K33" s="247">
        <f t="shared" ca="1" si="2"/>
        <v>14000000</v>
      </c>
      <c r="L33" s="246">
        <f ca="1">'7.1. igazg 011130'!L33+'7.2 temető 013320'!L33+'7.3. vagyon 013350'!L33+'7.4 018010'!L33+'7.5 finansz műveletek 018030'!L33+'7.7 közütak működtetés 045160'!L33+'7.8 parkoló 045170'!L33+'7.9 kábeltv 046020'!L33+'7.10 piac 047120'!L33+'7.11 tdm tám047320'!L33+'7.12 szemét 051030'!L33+'7.13 szennyvíz 052080'!L33+'7.14 víz 063080'!L33+'7.15 közvil 064010'!L33+'7.16 zöldterület 066010'!L33+'7.17 város 066020'!L33+'7.18 háziorvos 072111'!L33+'7.19 ügyelet 072112'!L33+'7.20 fülészet 072210'!L33+'7.21 védőnők 074031'!L33+'7.22 isk eü 074032'!L33+'7.23 sportcsépület 081030'!L33+'7.24 sport tám 081041'!L33+'7.25 diáksport 081043'!L33+'7.26 közműv 082091'!L33+'7.27 közműv 082092'!L33+'7.28  óvoda 091140'!L33+'7.29 intézmkiv gyétk 104037'!L33+'7.30 szoc étk 107051'!L33+'7.31 segélyek 107060'!L33+'7.32 adóbev 900020'!L33+'7.33 pályázatok összesen'!L33+'7.6 út építés 045127'!L33</f>
        <v>14182280</v>
      </c>
      <c r="M33" s="246">
        <f>'7.1. igazg 011130'!M33+'7.2 temető 013320'!M33+'7.3. vagyon 013350'!M33+'7.4 018010'!M33+'7.5 finansz műveletek 018030'!M33+'7.7 közütak működtetés 045160'!M33+'7.8 parkoló 045170'!M33+'7.9 kábeltv 046020'!M33+'7.10 piac 047120'!M33+'7.11 tdm tám047320'!M33+'7.12 szemét 051030'!M33+'7.13 szennyvíz 052080'!M33+'7.14 víz 063080'!M33+'7.15 közvil 064010'!M33+'7.16 zöldterület 066010'!M33+'7.17 város 066020'!M33+'7.18 háziorvos 072111'!M33+'7.19 ügyelet 072112'!M33+'7.20 fülészet 072210'!M33+'7.21 védőnők 074031'!M33+'7.22 isk eü 074032'!M33+'7.23 sportcsépület 081030'!M33+'7.24 sport tám 081041'!M33+'7.25 diáksport 081043'!M33+'7.26 közműv 082091'!M33+'7.27 közműv 082092'!M33+'7.28  óvoda 091140'!M33+'7.29 intézmkiv gyétk 104037'!M33+'7.30 szoc étk 107051'!M33+'7.31 segélyek 107060'!M33+'7.32 adóbev 900020'!M33+'7.33 pályázatok összesen'!M33+'7.6 út építés 045127'!M33</f>
        <v>0</v>
      </c>
      <c r="N33" s="247">
        <f t="shared" ca="1" si="3"/>
        <v>14182280</v>
      </c>
      <c r="V33" s="148"/>
      <c r="W33" s="148"/>
    </row>
    <row r="34" spans="1:23" x14ac:dyDescent="0.25">
      <c r="A34" s="53" t="s">
        <v>81</v>
      </c>
      <c r="B34" s="62" t="s">
        <v>82</v>
      </c>
      <c r="C34" s="246">
        <f>'7.1. igazg 011130'!C34+'7.2 temető 013320'!C34+'7.3. vagyon 013350'!C34+'7.4 018010'!C34+'7.5 finansz műveletek 018030'!C34+'7.7 közütak működtetés 045160'!C34+'7.8 parkoló 045170'!C34+'7.9 kábeltv 046020'!C34+'7.10 piac 047120'!C34+'7.11 tdm tám047320'!C34+'7.12 szemét 051030'!C34+'7.13 szennyvíz 052080'!C34+'7.14 víz 063080'!C34+'7.15 közvil 064010'!C34+'7.16 zöldterület 066010'!C34+'7.17 város 066020'!C34+'7.18 háziorvos 072111'!C34+'7.19 ügyelet 072112'!C34+'7.20 fülészet 072210'!C34+'7.21 védőnők 074031'!C34+'7.22 isk eü 074032'!C34+'7.23 sportcsépület 081030'!C34+'7.24 sport tám 081041'!C34+'7.25 diáksport 081043'!C34+'7.26 közműv 082091'!C34+'7.27 közműv 082092'!C34+'7.28  óvoda 091140'!C34+'7.29 intézmkiv gyétk 104037'!C34+'7.30 szoc étk 107051'!C34+'7.31 segélyek 107060'!C34+'7.32 adóbev 900020'!C34+'7.33 pályázatok összesen'!C34+'7.6 út építés 045127'!C34</f>
        <v>125000000</v>
      </c>
      <c r="D34" s="246">
        <f>'7.1. igazg 011130'!D34+'7.2 temető 013320'!D34+'7.3. vagyon 013350'!D34+'7.4 018010'!D34+'7.5 finansz műveletek 018030'!D34+'7.7 közütak működtetés 045160'!D34+'7.8 parkoló 045170'!D34+'7.9 kábeltv 046020'!D34+'7.10 piac 047120'!D34+'7.11 tdm tám047320'!D34+'7.12 szemét 051030'!D34+'7.13 szennyvíz 052080'!D34+'7.14 víz 063080'!D34+'7.15 közvil 064010'!D34+'7.16 zöldterület 066010'!D34+'7.17 város 066020'!D34+'7.18 háziorvos 072111'!D34+'7.19 ügyelet 072112'!D34+'7.20 fülészet 072210'!D34+'7.21 védőnők 074031'!D34+'7.22 isk eü 074032'!D34+'7.23 sportcsépület 081030'!D34+'7.24 sport tám 081041'!D34+'7.25 diáksport 081043'!D34+'7.26 közműv 082091'!D34+'7.27 közműv 082092'!D34+'7.28  óvoda 091140'!D34+'7.29 intézmkiv gyétk 104037'!D34+'7.30 szoc étk 107051'!D34+'7.31 segélyek 107060'!D34+'7.32 adóbev 900020'!D34+'7.33 pályázatok összesen'!D34+'7.6 út építés 045127'!D34</f>
        <v>0</v>
      </c>
      <c r="E34" s="247">
        <f t="shared" si="0"/>
        <v>125000000</v>
      </c>
      <c r="F34" s="246">
        <f>'7.1. igazg 011130'!F34+'7.2 temető 013320'!F34+'7.3. vagyon 013350'!F34+'7.4 018010'!F34+'7.5 finansz műveletek 018030'!F34+'7.7 közütak működtetés 045160'!F34+'7.8 parkoló 045170'!F34+'7.9 kábeltv 046020'!F34+'7.10 piac 047120'!F34+'7.11 tdm tám047320'!F34+'7.12 szemét 051030'!F34+'7.13 szennyvíz 052080'!F34+'7.14 víz 063080'!F34+'7.15 közvil 064010'!F34+'7.16 zöldterület 066010'!F34+'7.17 város 066020'!F34+'7.18 háziorvos 072111'!F34+'7.19 ügyelet 072112'!F34+'7.20 fülészet 072210'!F34+'7.21 védőnők 074031'!F34+'7.22 isk eü 074032'!F34+'7.23 sportcsépület 081030'!F34+'7.24 sport tám 081041'!F34+'7.25 diáksport 081043'!F34+'7.26 közműv 082091'!F34+'7.27 közműv 082092'!F34+'7.28  óvoda 091140'!F34+'7.29 intézmkiv gyétk 104037'!F34+'7.30 szoc étk 107051'!F34+'7.31 segélyek 107060'!F34+'7.32 adóbev 900020'!F34+'7.33 pályázatok összesen'!F34+'7.6 út építés 045127'!F34</f>
        <v>125000000</v>
      </c>
      <c r="G34" s="246">
        <f>'7.1. igazg 011130'!G34+'7.2 temető 013320'!G34+'7.3. vagyon 013350'!G34+'7.4 018010'!G34+'7.5 finansz műveletek 018030'!G34+'7.7 közütak működtetés 045160'!G34+'7.8 parkoló 045170'!G34+'7.9 kábeltv 046020'!G34+'7.10 piac 047120'!G34+'7.11 tdm tám047320'!G34+'7.12 szemét 051030'!G34+'7.13 szennyvíz 052080'!G34+'7.14 víz 063080'!G34+'7.15 közvil 064010'!G34+'7.16 zöldterület 066010'!G34+'7.17 város 066020'!G34+'7.18 háziorvos 072111'!G34+'7.19 ügyelet 072112'!G34+'7.20 fülészet 072210'!G34+'7.21 védőnők 074031'!G34+'7.22 isk eü 074032'!G34+'7.23 sportcsépület 081030'!G34+'7.24 sport tám 081041'!G34+'7.25 diáksport 081043'!G34+'7.26 közműv 082091'!G34+'7.27 közműv 082092'!G34+'7.28  óvoda 091140'!G34+'7.29 intézmkiv gyétk 104037'!G34+'7.30 szoc étk 107051'!G34+'7.31 segélyek 107060'!G34+'7.32 adóbev 900020'!G34+'7.33 pályázatok összesen'!G34+'7.6 út építés 045127'!G34</f>
        <v>0</v>
      </c>
      <c r="H34" s="247">
        <f t="shared" si="1"/>
        <v>125000000</v>
      </c>
      <c r="I34" s="246">
        <f ca="1">'7.1. igazg 011130'!I34+'7.2 temető 013320'!I34+'7.3. vagyon 013350'!I34+'7.4 018010'!I34+'7.5 finansz műveletek 018030'!I34+'7.7 közütak működtetés 045160'!I34+'7.8 parkoló 045170'!I34+'7.9 kábeltv 046020'!I34+'7.10 piac 047120'!I34+'7.11 tdm tám047320'!I34+'7.12 szemét 051030'!I34+'7.13 szennyvíz 052080'!I34+'7.14 víz 063080'!I34+'7.15 közvil 064010'!I34+'7.16 zöldterület 066010'!I34+'7.17 város 066020'!I34+'7.18 háziorvos 072111'!I34+'7.19 ügyelet 072112'!I34+'7.20 fülészet 072210'!I34+'7.21 védőnők 074031'!I34+'7.22 isk eü 074032'!I34+'7.23 sportcsépület 081030'!I34+'7.24 sport tám 081041'!I34+'7.25 diáksport 081043'!I34+'7.26 közműv 082091'!I34+'7.27 közműv 082092'!I34+'7.28  óvoda 091140'!I34+'7.29 intézmkiv gyétk 104037'!I34+'7.30 szoc étk 107051'!I34+'7.31 segélyek 107060'!I34+'7.32 adóbev 900020'!I34+'7.33 pályázatok összesen'!I34+'7.6 út építés 045127'!I34</f>
        <v>136396988</v>
      </c>
      <c r="J34" s="246">
        <f>'7.1. igazg 011130'!J34+'7.2 temető 013320'!J34+'7.3. vagyon 013350'!J34+'7.4 018010'!J34+'7.5 finansz műveletek 018030'!J34+'7.7 közütak működtetés 045160'!J34+'7.8 parkoló 045170'!J34+'7.9 kábeltv 046020'!J34+'7.10 piac 047120'!J34+'7.11 tdm tám047320'!J34+'7.12 szemét 051030'!J34+'7.13 szennyvíz 052080'!J34+'7.14 víz 063080'!J34+'7.15 közvil 064010'!J34+'7.16 zöldterület 066010'!J34+'7.17 város 066020'!J34+'7.18 háziorvos 072111'!J34+'7.19 ügyelet 072112'!J34+'7.20 fülészet 072210'!J34+'7.21 védőnők 074031'!J34+'7.22 isk eü 074032'!J34+'7.23 sportcsépület 081030'!J34+'7.24 sport tám 081041'!J34+'7.25 diáksport 081043'!J34+'7.26 közműv 082091'!J34+'7.27 közműv 082092'!J34+'7.28  óvoda 091140'!J34+'7.29 intézmkiv gyétk 104037'!J34+'7.30 szoc étk 107051'!J34+'7.31 segélyek 107060'!J34+'7.32 adóbev 900020'!J34+'7.33 pályázatok összesen'!J34+'7.6 út építés 045127'!J34</f>
        <v>0</v>
      </c>
      <c r="K34" s="247">
        <f t="shared" ca="1" si="2"/>
        <v>136396988</v>
      </c>
      <c r="L34" s="246">
        <f ca="1">'7.1. igazg 011130'!L34+'7.2 temető 013320'!L34+'7.3. vagyon 013350'!L34+'7.4 018010'!L34+'7.5 finansz műveletek 018030'!L34+'7.7 közütak működtetés 045160'!L34+'7.8 parkoló 045170'!L34+'7.9 kábeltv 046020'!L34+'7.10 piac 047120'!L34+'7.11 tdm tám047320'!L34+'7.12 szemét 051030'!L34+'7.13 szennyvíz 052080'!L34+'7.14 víz 063080'!L34+'7.15 közvil 064010'!L34+'7.16 zöldterület 066010'!L34+'7.17 város 066020'!L34+'7.18 háziorvos 072111'!L34+'7.19 ügyelet 072112'!L34+'7.20 fülészet 072210'!L34+'7.21 védőnők 074031'!L34+'7.22 isk eü 074032'!L34+'7.23 sportcsépület 081030'!L34+'7.24 sport tám 081041'!L34+'7.25 diáksport 081043'!L34+'7.26 közműv 082091'!L34+'7.27 közműv 082092'!L34+'7.28  óvoda 091140'!L34+'7.29 intézmkiv gyétk 104037'!L34+'7.30 szoc étk 107051'!L34+'7.31 segélyek 107060'!L34+'7.32 adóbev 900020'!L34+'7.33 pályázatok összesen'!L34+'7.6 út építés 045127'!L34</f>
        <v>138483448</v>
      </c>
      <c r="M34" s="246">
        <f>'7.1. igazg 011130'!M34+'7.2 temető 013320'!M34+'7.3. vagyon 013350'!M34+'7.4 018010'!M34+'7.5 finansz műveletek 018030'!M34+'7.7 közütak működtetés 045160'!M34+'7.8 parkoló 045170'!M34+'7.9 kábeltv 046020'!M34+'7.10 piac 047120'!M34+'7.11 tdm tám047320'!M34+'7.12 szemét 051030'!M34+'7.13 szennyvíz 052080'!M34+'7.14 víz 063080'!M34+'7.15 közvil 064010'!M34+'7.16 zöldterület 066010'!M34+'7.17 város 066020'!M34+'7.18 háziorvos 072111'!M34+'7.19 ügyelet 072112'!M34+'7.20 fülészet 072210'!M34+'7.21 védőnők 074031'!M34+'7.22 isk eü 074032'!M34+'7.23 sportcsépület 081030'!M34+'7.24 sport tám 081041'!M34+'7.25 diáksport 081043'!M34+'7.26 közműv 082091'!M34+'7.27 közműv 082092'!M34+'7.28  óvoda 091140'!M34+'7.29 intézmkiv gyétk 104037'!M34+'7.30 szoc étk 107051'!M34+'7.31 segélyek 107060'!M34+'7.32 adóbev 900020'!M34+'7.33 pályázatok összesen'!M34+'7.6 út építés 045127'!M34</f>
        <v>0</v>
      </c>
      <c r="N34" s="247">
        <f t="shared" ca="1" si="3"/>
        <v>138483448</v>
      </c>
    </row>
    <row r="35" spans="1:23" x14ac:dyDescent="0.25">
      <c r="A35" s="53"/>
      <c r="B35" s="62" t="s">
        <v>83</v>
      </c>
      <c r="C35" s="246">
        <f>'7.1. igazg 011130'!C35+'7.2 temető 013320'!C35+'7.3. vagyon 013350'!C35+'7.4 018010'!C35+'7.5 finansz műveletek 018030'!C35+'7.7 közütak működtetés 045160'!C35+'7.8 parkoló 045170'!C35+'7.9 kábeltv 046020'!C35+'7.10 piac 047120'!C35+'7.11 tdm tám047320'!C35+'7.12 szemét 051030'!C35+'7.13 szennyvíz 052080'!C35+'7.14 víz 063080'!C35+'7.15 közvil 064010'!C35+'7.16 zöldterület 066010'!C35+'7.17 város 066020'!C35+'7.18 háziorvos 072111'!C35+'7.19 ügyelet 072112'!C35+'7.20 fülészet 072210'!C35+'7.21 védőnők 074031'!C35+'7.22 isk eü 074032'!C35+'7.23 sportcsépület 081030'!C35+'7.24 sport tám 081041'!C35+'7.25 diáksport 081043'!C35+'7.26 közműv 082091'!C35+'7.27 közműv 082092'!C35+'7.28  óvoda 091140'!C35+'7.29 intézmkiv gyétk 104037'!C35+'7.30 szoc étk 107051'!C35+'7.31 segélyek 107060'!C35+'7.32 adóbev 900020'!C35+'7.33 pályázatok összesen'!C35+'7.6 út építés 045127'!C35</f>
        <v>125000000</v>
      </c>
      <c r="D35" s="246">
        <f>'7.1. igazg 011130'!D35+'7.2 temető 013320'!D35+'7.3. vagyon 013350'!D35+'7.4 018010'!D35+'7.5 finansz műveletek 018030'!D35+'7.7 közütak működtetés 045160'!D35+'7.8 parkoló 045170'!D35+'7.9 kábeltv 046020'!D35+'7.10 piac 047120'!D35+'7.11 tdm tám047320'!D35+'7.12 szemét 051030'!D35+'7.13 szennyvíz 052080'!D35+'7.14 víz 063080'!D35+'7.15 közvil 064010'!D35+'7.16 zöldterület 066010'!D35+'7.17 város 066020'!D35+'7.18 háziorvos 072111'!D35+'7.19 ügyelet 072112'!D35+'7.20 fülészet 072210'!D35+'7.21 védőnők 074031'!D35+'7.22 isk eü 074032'!D35+'7.23 sportcsépület 081030'!D35+'7.24 sport tám 081041'!D35+'7.25 diáksport 081043'!D35+'7.26 közműv 082091'!D35+'7.27 közműv 082092'!D35+'7.28  óvoda 091140'!D35+'7.29 intézmkiv gyétk 104037'!D35+'7.30 szoc étk 107051'!D35+'7.31 segélyek 107060'!D35+'7.32 adóbev 900020'!D35+'7.33 pályázatok összesen'!D35+'7.6 út építés 045127'!D35</f>
        <v>0</v>
      </c>
      <c r="E35" s="247">
        <f t="shared" si="0"/>
        <v>125000000</v>
      </c>
      <c r="F35" s="246">
        <f>'7.1. igazg 011130'!F35+'7.2 temető 013320'!F35+'7.3. vagyon 013350'!F35+'7.4 018010'!F35+'7.5 finansz műveletek 018030'!F35+'7.7 közütak működtetés 045160'!F35+'7.8 parkoló 045170'!F35+'7.9 kábeltv 046020'!F35+'7.10 piac 047120'!F35+'7.11 tdm tám047320'!F35+'7.12 szemét 051030'!F35+'7.13 szennyvíz 052080'!F35+'7.14 víz 063080'!F35+'7.15 közvil 064010'!F35+'7.16 zöldterület 066010'!F35+'7.17 város 066020'!F35+'7.18 háziorvos 072111'!F35+'7.19 ügyelet 072112'!F35+'7.20 fülészet 072210'!F35+'7.21 védőnők 074031'!F35+'7.22 isk eü 074032'!F35+'7.23 sportcsépület 081030'!F35+'7.24 sport tám 081041'!F35+'7.25 diáksport 081043'!F35+'7.26 közműv 082091'!F35+'7.27 közműv 082092'!F35+'7.28  óvoda 091140'!F35+'7.29 intézmkiv gyétk 104037'!F35+'7.30 szoc étk 107051'!F35+'7.31 segélyek 107060'!F35+'7.32 adóbev 900020'!F35+'7.33 pályázatok összesen'!F35+'7.6 út építés 045127'!F35</f>
        <v>125000000</v>
      </c>
      <c r="G35" s="246">
        <f>'7.1. igazg 011130'!G35+'7.2 temető 013320'!G35+'7.3. vagyon 013350'!G35+'7.4 018010'!G35+'7.5 finansz műveletek 018030'!G35+'7.7 közütak működtetés 045160'!G35+'7.8 parkoló 045170'!G35+'7.9 kábeltv 046020'!G35+'7.10 piac 047120'!G35+'7.11 tdm tám047320'!G35+'7.12 szemét 051030'!G35+'7.13 szennyvíz 052080'!G35+'7.14 víz 063080'!G35+'7.15 közvil 064010'!G35+'7.16 zöldterület 066010'!G35+'7.17 város 066020'!G35+'7.18 háziorvos 072111'!G35+'7.19 ügyelet 072112'!G35+'7.20 fülészet 072210'!G35+'7.21 védőnők 074031'!G35+'7.22 isk eü 074032'!G35+'7.23 sportcsépület 081030'!G35+'7.24 sport tám 081041'!G35+'7.25 diáksport 081043'!G35+'7.26 közműv 082091'!G35+'7.27 közműv 082092'!G35+'7.28  óvoda 091140'!G35+'7.29 intézmkiv gyétk 104037'!G35+'7.30 szoc étk 107051'!G35+'7.31 segélyek 107060'!G35+'7.32 adóbev 900020'!G35+'7.33 pályázatok összesen'!G35+'7.6 út építés 045127'!G35</f>
        <v>0</v>
      </c>
      <c r="H35" s="247">
        <f t="shared" si="1"/>
        <v>125000000</v>
      </c>
      <c r="I35" s="246">
        <f ca="1">'7.1. igazg 011130'!I35+'7.2 temető 013320'!I35+'7.3. vagyon 013350'!I35+'7.4 018010'!I35+'7.5 finansz műveletek 018030'!I35+'7.7 közütak működtetés 045160'!I35+'7.8 parkoló 045170'!I35+'7.9 kábeltv 046020'!I35+'7.10 piac 047120'!I35+'7.11 tdm tám047320'!I35+'7.12 szemét 051030'!I35+'7.13 szennyvíz 052080'!I35+'7.14 víz 063080'!I35+'7.15 közvil 064010'!I35+'7.16 zöldterület 066010'!I35+'7.17 város 066020'!I35+'7.18 háziorvos 072111'!I35+'7.19 ügyelet 072112'!I35+'7.20 fülészet 072210'!I35+'7.21 védőnők 074031'!I35+'7.22 isk eü 074032'!I35+'7.23 sportcsépület 081030'!I35+'7.24 sport tám 081041'!I35+'7.25 diáksport 081043'!I35+'7.26 közműv 082091'!I35+'7.27 közműv 082092'!I35+'7.28  óvoda 091140'!I35+'7.29 intézmkiv gyétk 104037'!I35+'7.30 szoc étk 107051'!I35+'7.31 segélyek 107060'!I35+'7.32 adóbev 900020'!I35+'7.33 pályázatok összesen'!I35+'7.6 út építés 045127'!I35</f>
        <v>136396988</v>
      </c>
      <c r="J35" s="246">
        <f>'7.1. igazg 011130'!J35+'7.2 temető 013320'!J35+'7.3. vagyon 013350'!J35+'7.4 018010'!J35+'7.5 finansz műveletek 018030'!J35+'7.7 közütak működtetés 045160'!J35+'7.8 parkoló 045170'!J35+'7.9 kábeltv 046020'!J35+'7.10 piac 047120'!J35+'7.11 tdm tám047320'!J35+'7.12 szemét 051030'!J35+'7.13 szennyvíz 052080'!J35+'7.14 víz 063080'!J35+'7.15 közvil 064010'!J35+'7.16 zöldterület 066010'!J35+'7.17 város 066020'!J35+'7.18 háziorvos 072111'!J35+'7.19 ügyelet 072112'!J35+'7.20 fülészet 072210'!J35+'7.21 védőnők 074031'!J35+'7.22 isk eü 074032'!J35+'7.23 sportcsépület 081030'!J35+'7.24 sport tám 081041'!J35+'7.25 diáksport 081043'!J35+'7.26 közműv 082091'!J35+'7.27 közműv 082092'!J35+'7.28  óvoda 091140'!J35+'7.29 intézmkiv gyétk 104037'!J35+'7.30 szoc étk 107051'!J35+'7.31 segélyek 107060'!J35+'7.32 adóbev 900020'!J35+'7.33 pályázatok összesen'!J35+'7.6 út építés 045127'!J35</f>
        <v>0</v>
      </c>
      <c r="K35" s="247">
        <f t="shared" ca="1" si="2"/>
        <v>136396988</v>
      </c>
      <c r="L35" s="246">
        <f ca="1">'7.1. igazg 011130'!L35+'7.2 temető 013320'!L35+'7.3. vagyon 013350'!L35+'7.4 018010'!L35+'7.5 finansz műveletek 018030'!L35+'7.7 közütak működtetés 045160'!L35+'7.8 parkoló 045170'!L35+'7.9 kábeltv 046020'!L35+'7.10 piac 047120'!L35+'7.11 tdm tám047320'!L35+'7.12 szemét 051030'!L35+'7.13 szennyvíz 052080'!L35+'7.14 víz 063080'!L35+'7.15 közvil 064010'!L35+'7.16 zöldterület 066010'!L35+'7.17 város 066020'!L35+'7.18 háziorvos 072111'!L35+'7.19 ügyelet 072112'!L35+'7.20 fülészet 072210'!L35+'7.21 védőnők 074031'!L35+'7.22 isk eü 074032'!L35+'7.23 sportcsépület 081030'!L35+'7.24 sport tám 081041'!L35+'7.25 diáksport 081043'!L35+'7.26 közműv 082091'!L35+'7.27 közműv 082092'!L35+'7.28  óvoda 091140'!L35+'7.29 intézmkiv gyétk 104037'!L35+'7.30 szoc étk 107051'!L35+'7.31 segélyek 107060'!L35+'7.32 adóbev 900020'!L35+'7.33 pályázatok összesen'!L35+'7.6 út építés 045127'!L35</f>
        <v>138479959</v>
      </c>
      <c r="M35" s="246">
        <f>'7.1. igazg 011130'!M35+'7.2 temető 013320'!M35+'7.3. vagyon 013350'!M35+'7.4 018010'!M35+'7.5 finansz műveletek 018030'!M35+'7.7 közütak működtetés 045160'!M35+'7.8 parkoló 045170'!M35+'7.9 kábeltv 046020'!M35+'7.10 piac 047120'!M35+'7.11 tdm tám047320'!M35+'7.12 szemét 051030'!M35+'7.13 szennyvíz 052080'!M35+'7.14 víz 063080'!M35+'7.15 közvil 064010'!M35+'7.16 zöldterület 066010'!M35+'7.17 város 066020'!M35+'7.18 háziorvos 072111'!M35+'7.19 ügyelet 072112'!M35+'7.20 fülészet 072210'!M35+'7.21 védőnők 074031'!M35+'7.22 isk eü 074032'!M35+'7.23 sportcsépület 081030'!M35+'7.24 sport tám 081041'!M35+'7.25 diáksport 081043'!M35+'7.26 közműv 082091'!M35+'7.27 közműv 082092'!M35+'7.28  óvoda 091140'!M35+'7.29 intézmkiv gyétk 104037'!M35+'7.30 szoc étk 107051'!M35+'7.31 segélyek 107060'!M35+'7.32 adóbev 900020'!M35+'7.33 pályázatok összesen'!M35+'7.6 út építés 045127'!M35</f>
        <v>0</v>
      </c>
      <c r="N35" s="247">
        <f t="shared" ca="1" si="3"/>
        <v>138479959</v>
      </c>
    </row>
    <row r="36" spans="1:23" x14ac:dyDescent="0.25">
      <c r="A36" s="53"/>
      <c r="B36" s="62" t="s">
        <v>84</v>
      </c>
      <c r="C36" s="246">
        <f>'7.1. igazg 011130'!C36+'7.2 temető 013320'!C36+'7.3. vagyon 013350'!C36+'7.4 018010'!C36+'7.5 finansz műveletek 018030'!C36+'7.7 közütak működtetés 045160'!C36+'7.8 parkoló 045170'!C36+'7.9 kábeltv 046020'!C36+'7.10 piac 047120'!C36+'7.11 tdm tám047320'!C36+'7.12 szemét 051030'!C36+'7.13 szennyvíz 052080'!C36+'7.14 víz 063080'!C36+'7.15 közvil 064010'!C36+'7.16 zöldterület 066010'!C36+'7.17 város 066020'!C36+'7.18 háziorvos 072111'!C36+'7.19 ügyelet 072112'!C36+'7.20 fülészet 072210'!C36+'7.21 védőnők 074031'!C36+'7.22 isk eü 074032'!C36+'7.23 sportcsépület 081030'!C36+'7.24 sport tám 081041'!C36+'7.25 diáksport 081043'!C36+'7.26 közműv 082091'!C36+'7.27 közműv 082092'!C36+'7.28  óvoda 091140'!C36+'7.29 intézmkiv gyétk 104037'!C36+'7.30 szoc étk 107051'!C36+'7.31 segélyek 107060'!C36+'7.32 adóbev 900020'!C36+'7.33 pályázatok összesen'!C36+'7.6 út építés 045127'!C36</f>
        <v>0</v>
      </c>
      <c r="D36" s="246">
        <f>'7.1. igazg 011130'!D36+'7.2 temető 013320'!D36+'7.3. vagyon 013350'!D36+'7.4 018010'!D36+'7.5 finansz műveletek 018030'!D36+'7.7 közütak működtetés 045160'!D36+'7.8 parkoló 045170'!D36+'7.9 kábeltv 046020'!D36+'7.10 piac 047120'!D36+'7.11 tdm tám047320'!D36+'7.12 szemét 051030'!D36+'7.13 szennyvíz 052080'!D36+'7.14 víz 063080'!D36+'7.15 közvil 064010'!D36+'7.16 zöldterület 066010'!D36+'7.17 város 066020'!D36+'7.18 háziorvos 072111'!D36+'7.19 ügyelet 072112'!D36+'7.20 fülészet 072210'!D36+'7.21 védőnők 074031'!D36+'7.22 isk eü 074032'!D36+'7.23 sportcsépület 081030'!D36+'7.24 sport tám 081041'!D36+'7.25 diáksport 081043'!D36+'7.26 közműv 082091'!D36+'7.27 közműv 082092'!D36+'7.28  óvoda 091140'!D36+'7.29 intézmkiv gyétk 104037'!D36+'7.30 szoc étk 107051'!D36+'7.31 segélyek 107060'!D36+'7.32 adóbev 900020'!D36+'7.33 pályázatok összesen'!D36+'7.6 út építés 045127'!D36</f>
        <v>0</v>
      </c>
      <c r="E36" s="247">
        <f t="shared" si="0"/>
        <v>0</v>
      </c>
      <c r="F36" s="246">
        <f>'7.1. igazg 011130'!F36+'7.2 temető 013320'!F36+'7.3. vagyon 013350'!F36+'7.4 018010'!F36+'7.5 finansz műveletek 018030'!F36+'7.7 közütak működtetés 045160'!F36+'7.8 parkoló 045170'!F36+'7.9 kábeltv 046020'!F36+'7.10 piac 047120'!F36+'7.11 tdm tám047320'!F36+'7.12 szemét 051030'!F36+'7.13 szennyvíz 052080'!F36+'7.14 víz 063080'!F36+'7.15 közvil 064010'!F36+'7.16 zöldterület 066010'!F36+'7.17 város 066020'!F36+'7.18 háziorvos 072111'!F36+'7.19 ügyelet 072112'!F36+'7.20 fülészet 072210'!F36+'7.21 védőnők 074031'!F36+'7.22 isk eü 074032'!F36+'7.23 sportcsépület 081030'!F36+'7.24 sport tám 081041'!F36+'7.25 diáksport 081043'!F36+'7.26 közműv 082091'!F36+'7.27 közműv 082092'!F36+'7.28  óvoda 091140'!F36+'7.29 intézmkiv gyétk 104037'!F36+'7.30 szoc étk 107051'!F36+'7.31 segélyek 107060'!F36+'7.32 adóbev 900020'!F36+'7.33 pályázatok összesen'!F36+'7.6 út építés 045127'!F36</f>
        <v>0</v>
      </c>
      <c r="G36" s="246">
        <f>'7.1. igazg 011130'!G36+'7.2 temető 013320'!G36+'7.3. vagyon 013350'!G36+'7.4 018010'!G36+'7.5 finansz műveletek 018030'!G36+'7.7 közütak működtetés 045160'!G36+'7.8 parkoló 045170'!G36+'7.9 kábeltv 046020'!G36+'7.10 piac 047120'!G36+'7.11 tdm tám047320'!G36+'7.12 szemét 051030'!G36+'7.13 szennyvíz 052080'!G36+'7.14 víz 063080'!G36+'7.15 közvil 064010'!G36+'7.16 zöldterület 066010'!G36+'7.17 város 066020'!G36+'7.18 háziorvos 072111'!G36+'7.19 ügyelet 072112'!G36+'7.20 fülészet 072210'!G36+'7.21 védőnők 074031'!G36+'7.22 isk eü 074032'!G36+'7.23 sportcsépület 081030'!G36+'7.24 sport tám 081041'!G36+'7.25 diáksport 081043'!G36+'7.26 közműv 082091'!G36+'7.27 közműv 082092'!G36+'7.28  óvoda 091140'!G36+'7.29 intézmkiv gyétk 104037'!G36+'7.30 szoc étk 107051'!G36+'7.31 segélyek 107060'!G36+'7.32 adóbev 900020'!G36+'7.33 pályázatok összesen'!G36+'7.6 út építés 045127'!G36</f>
        <v>0</v>
      </c>
      <c r="H36" s="247">
        <f t="shared" si="1"/>
        <v>0</v>
      </c>
      <c r="I36" s="246">
        <f ca="1">'7.1. igazg 011130'!I36+'7.2 temető 013320'!I36+'7.3. vagyon 013350'!I36+'7.4 018010'!I36+'7.5 finansz műveletek 018030'!I36+'7.7 közütak működtetés 045160'!I36+'7.8 parkoló 045170'!I36+'7.9 kábeltv 046020'!I36+'7.10 piac 047120'!I36+'7.11 tdm tám047320'!I36+'7.12 szemét 051030'!I36+'7.13 szennyvíz 052080'!I36+'7.14 víz 063080'!I36+'7.15 közvil 064010'!I36+'7.16 zöldterület 066010'!I36+'7.17 város 066020'!I36+'7.18 háziorvos 072111'!I36+'7.19 ügyelet 072112'!I36+'7.20 fülészet 072210'!I36+'7.21 védőnők 074031'!I36+'7.22 isk eü 074032'!I36+'7.23 sportcsépület 081030'!I36+'7.24 sport tám 081041'!I36+'7.25 diáksport 081043'!I36+'7.26 közműv 082091'!I36+'7.27 közműv 082092'!I36+'7.28  óvoda 091140'!I36+'7.29 intézmkiv gyétk 104037'!I36+'7.30 szoc étk 107051'!I36+'7.31 segélyek 107060'!I36+'7.32 adóbev 900020'!I36+'7.33 pályázatok összesen'!I36+'7.6 út építés 045127'!I36</f>
        <v>0</v>
      </c>
      <c r="J36" s="246">
        <f>'7.1. igazg 011130'!J36+'7.2 temető 013320'!J36+'7.3. vagyon 013350'!J36+'7.4 018010'!J36+'7.5 finansz műveletek 018030'!J36+'7.7 közütak működtetés 045160'!J36+'7.8 parkoló 045170'!J36+'7.9 kábeltv 046020'!J36+'7.10 piac 047120'!J36+'7.11 tdm tám047320'!J36+'7.12 szemét 051030'!J36+'7.13 szennyvíz 052080'!J36+'7.14 víz 063080'!J36+'7.15 közvil 064010'!J36+'7.16 zöldterület 066010'!J36+'7.17 város 066020'!J36+'7.18 háziorvos 072111'!J36+'7.19 ügyelet 072112'!J36+'7.20 fülészet 072210'!J36+'7.21 védőnők 074031'!J36+'7.22 isk eü 074032'!J36+'7.23 sportcsépület 081030'!J36+'7.24 sport tám 081041'!J36+'7.25 diáksport 081043'!J36+'7.26 közműv 082091'!J36+'7.27 közműv 082092'!J36+'7.28  óvoda 091140'!J36+'7.29 intézmkiv gyétk 104037'!J36+'7.30 szoc étk 107051'!J36+'7.31 segélyek 107060'!J36+'7.32 adóbev 900020'!J36+'7.33 pályázatok összesen'!J36+'7.6 út építés 045127'!J36</f>
        <v>0</v>
      </c>
      <c r="K36" s="247">
        <f t="shared" ca="1" si="2"/>
        <v>0</v>
      </c>
      <c r="L36" s="246">
        <f ca="1">'7.1. igazg 011130'!L36+'7.2 temető 013320'!L36+'7.3. vagyon 013350'!L36+'7.4 018010'!L36+'7.5 finansz műveletek 018030'!L36+'7.7 közütak működtetés 045160'!L36+'7.8 parkoló 045170'!L36+'7.9 kábeltv 046020'!L36+'7.10 piac 047120'!L36+'7.11 tdm tám047320'!L36+'7.12 szemét 051030'!L36+'7.13 szennyvíz 052080'!L36+'7.14 víz 063080'!L36+'7.15 közvil 064010'!L36+'7.16 zöldterület 066010'!L36+'7.17 város 066020'!L36+'7.18 háziorvos 072111'!L36+'7.19 ügyelet 072112'!L36+'7.20 fülészet 072210'!L36+'7.21 védőnők 074031'!L36+'7.22 isk eü 074032'!L36+'7.23 sportcsépület 081030'!L36+'7.24 sport tám 081041'!L36+'7.25 diáksport 081043'!L36+'7.26 közműv 082091'!L36+'7.27 közműv 082092'!L36+'7.28  óvoda 091140'!L36+'7.29 intézmkiv gyétk 104037'!L36+'7.30 szoc étk 107051'!L36+'7.31 segélyek 107060'!L36+'7.32 adóbev 900020'!L36+'7.33 pályázatok összesen'!L36+'7.6 út építés 045127'!L36</f>
        <v>0</v>
      </c>
      <c r="M36" s="246">
        <f>'7.1. igazg 011130'!M36+'7.2 temető 013320'!M36+'7.3. vagyon 013350'!M36+'7.4 018010'!M36+'7.5 finansz műveletek 018030'!M36+'7.7 közütak működtetés 045160'!M36+'7.8 parkoló 045170'!M36+'7.9 kábeltv 046020'!M36+'7.10 piac 047120'!M36+'7.11 tdm tám047320'!M36+'7.12 szemét 051030'!M36+'7.13 szennyvíz 052080'!M36+'7.14 víz 063080'!M36+'7.15 közvil 064010'!M36+'7.16 zöldterület 066010'!M36+'7.17 város 066020'!M36+'7.18 háziorvos 072111'!M36+'7.19 ügyelet 072112'!M36+'7.20 fülészet 072210'!M36+'7.21 védőnők 074031'!M36+'7.22 isk eü 074032'!M36+'7.23 sportcsépület 081030'!M36+'7.24 sport tám 081041'!M36+'7.25 diáksport 081043'!M36+'7.26 közműv 082091'!M36+'7.27 közműv 082092'!M36+'7.28  óvoda 091140'!M36+'7.29 intézmkiv gyétk 104037'!M36+'7.30 szoc étk 107051'!M36+'7.31 segélyek 107060'!M36+'7.32 adóbev 900020'!M36+'7.33 pályázatok összesen'!M36+'7.6 út építés 045127'!M36</f>
        <v>0</v>
      </c>
      <c r="N36" s="247">
        <f t="shared" ca="1" si="3"/>
        <v>0</v>
      </c>
    </row>
    <row r="37" spans="1:23" x14ac:dyDescent="0.25">
      <c r="A37" s="53"/>
      <c r="B37" s="62" t="s">
        <v>85</v>
      </c>
      <c r="C37" s="246">
        <f>'7.1. igazg 011130'!C37+'7.2 temető 013320'!C37+'7.3. vagyon 013350'!C37+'7.4 018010'!C37+'7.5 finansz műveletek 018030'!C37+'7.7 közütak működtetés 045160'!C37+'7.8 parkoló 045170'!C37+'7.9 kábeltv 046020'!C37+'7.10 piac 047120'!C37+'7.11 tdm tám047320'!C37+'7.12 szemét 051030'!C37+'7.13 szennyvíz 052080'!C37+'7.14 víz 063080'!C37+'7.15 közvil 064010'!C37+'7.16 zöldterület 066010'!C37+'7.17 város 066020'!C37+'7.18 háziorvos 072111'!C37+'7.19 ügyelet 072112'!C37+'7.20 fülészet 072210'!C37+'7.21 védőnők 074031'!C37+'7.22 isk eü 074032'!C37+'7.23 sportcsépület 081030'!C37+'7.24 sport tám 081041'!C37+'7.25 diáksport 081043'!C37+'7.26 közműv 082091'!C37+'7.27 közműv 082092'!C37+'7.28  óvoda 091140'!C37+'7.29 intézmkiv gyétk 104037'!C37+'7.30 szoc étk 107051'!C37+'7.31 segélyek 107060'!C37+'7.32 adóbev 900020'!C37+'7.33 pályázatok összesen'!C37+'7.6 út építés 045127'!C37</f>
        <v>0</v>
      </c>
      <c r="D37" s="246">
        <f>'7.1. igazg 011130'!D37+'7.2 temető 013320'!D37+'7.3. vagyon 013350'!D37+'7.4 018010'!D37+'7.5 finansz műveletek 018030'!D37+'7.7 közütak működtetés 045160'!D37+'7.8 parkoló 045170'!D37+'7.9 kábeltv 046020'!D37+'7.10 piac 047120'!D37+'7.11 tdm tám047320'!D37+'7.12 szemét 051030'!D37+'7.13 szennyvíz 052080'!D37+'7.14 víz 063080'!D37+'7.15 közvil 064010'!D37+'7.16 zöldterület 066010'!D37+'7.17 város 066020'!D37+'7.18 háziorvos 072111'!D37+'7.19 ügyelet 072112'!D37+'7.20 fülészet 072210'!D37+'7.21 védőnők 074031'!D37+'7.22 isk eü 074032'!D37+'7.23 sportcsépület 081030'!D37+'7.24 sport tám 081041'!D37+'7.25 diáksport 081043'!D37+'7.26 közműv 082091'!D37+'7.27 közműv 082092'!D37+'7.28  óvoda 091140'!D37+'7.29 intézmkiv gyétk 104037'!D37+'7.30 szoc étk 107051'!D37+'7.31 segélyek 107060'!D37+'7.32 adóbev 900020'!D37+'7.33 pályázatok összesen'!D37+'7.6 út építés 045127'!D37</f>
        <v>0</v>
      </c>
      <c r="E37" s="247">
        <f t="shared" si="0"/>
        <v>0</v>
      </c>
      <c r="F37" s="246">
        <f>'7.1. igazg 011130'!F37+'7.2 temető 013320'!F37+'7.3. vagyon 013350'!F37+'7.4 018010'!F37+'7.5 finansz műveletek 018030'!F37+'7.7 közütak működtetés 045160'!F37+'7.8 parkoló 045170'!F37+'7.9 kábeltv 046020'!F37+'7.10 piac 047120'!F37+'7.11 tdm tám047320'!F37+'7.12 szemét 051030'!F37+'7.13 szennyvíz 052080'!F37+'7.14 víz 063080'!F37+'7.15 közvil 064010'!F37+'7.16 zöldterület 066010'!F37+'7.17 város 066020'!F37+'7.18 háziorvos 072111'!F37+'7.19 ügyelet 072112'!F37+'7.20 fülészet 072210'!F37+'7.21 védőnők 074031'!F37+'7.22 isk eü 074032'!F37+'7.23 sportcsépület 081030'!F37+'7.24 sport tám 081041'!F37+'7.25 diáksport 081043'!F37+'7.26 közműv 082091'!F37+'7.27 közműv 082092'!F37+'7.28  óvoda 091140'!F37+'7.29 intézmkiv gyétk 104037'!F37+'7.30 szoc étk 107051'!F37+'7.31 segélyek 107060'!F37+'7.32 adóbev 900020'!F37+'7.33 pályázatok összesen'!F37+'7.6 út építés 045127'!F37</f>
        <v>0</v>
      </c>
      <c r="G37" s="246">
        <f>'7.1. igazg 011130'!G37+'7.2 temető 013320'!G37+'7.3. vagyon 013350'!G37+'7.4 018010'!G37+'7.5 finansz műveletek 018030'!G37+'7.7 közütak működtetés 045160'!G37+'7.8 parkoló 045170'!G37+'7.9 kábeltv 046020'!G37+'7.10 piac 047120'!G37+'7.11 tdm tám047320'!G37+'7.12 szemét 051030'!G37+'7.13 szennyvíz 052080'!G37+'7.14 víz 063080'!G37+'7.15 közvil 064010'!G37+'7.16 zöldterület 066010'!G37+'7.17 város 066020'!G37+'7.18 háziorvos 072111'!G37+'7.19 ügyelet 072112'!G37+'7.20 fülészet 072210'!G37+'7.21 védőnők 074031'!G37+'7.22 isk eü 074032'!G37+'7.23 sportcsépület 081030'!G37+'7.24 sport tám 081041'!G37+'7.25 diáksport 081043'!G37+'7.26 közműv 082091'!G37+'7.27 közműv 082092'!G37+'7.28  óvoda 091140'!G37+'7.29 intézmkiv gyétk 104037'!G37+'7.30 szoc étk 107051'!G37+'7.31 segélyek 107060'!G37+'7.32 adóbev 900020'!G37+'7.33 pályázatok összesen'!G37+'7.6 út építés 045127'!G37</f>
        <v>0</v>
      </c>
      <c r="H37" s="247">
        <f t="shared" si="1"/>
        <v>0</v>
      </c>
      <c r="I37" s="246">
        <f ca="1">'7.1. igazg 011130'!I37+'7.2 temető 013320'!I37+'7.3. vagyon 013350'!I37+'7.4 018010'!I37+'7.5 finansz műveletek 018030'!I37+'7.7 közütak működtetés 045160'!I37+'7.8 parkoló 045170'!I37+'7.9 kábeltv 046020'!I37+'7.10 piac 047120'!I37+'7.11 tdm tám047320'!I37+'7.12 szemét 051030'!I37+'7.13 szennyvíz 052080'!I37+'7.14 víz 063080'!I37+'7.15 közvil 064010'!I37+'7.16 zöldterület 066010'!I37+'7.17 város 066020'!I37+'7.18 háziorvos 072111'!I37+'7.19 ügyelet 072112'!I37+'7.20 fülészet 072210'!I37+'7.21 védőnők 074031'!I37+'7.22 isk eü 074032'!I37+'7.23 sportcsépület 081030'!I37+'7.24 sport tám 081041'!I37+'7.25 diáksport 081043'!I37+'7.26 közműv 082091'!I37+'7.27 közműv 082092'!I37+'7.28  óvoda 091140'!I37+'7.29 intézmkiv gyétk 104037'!I37+'7.30 szoc étk 107051'!I37+'7.31 segélyek 107060'!I37+'7.32 adóbev 900020'!I37+'7.33 pályázatok összesen'!I37+'7.6 út építés 045127'!I37</f>
        <v>0</v>
      </c>
      <c r="J37" s="246">
        <f>'7.1. igazg 011130'!J37+'7.2 temető 013320'!J37+'7.3. vagyon 013350'!J37+'7.4 018010'!J37+'7.5 finansz műveletek 018030'!J37+'7.7 közütak működtetés 045160'!J37+'7.8 parkoló 045170'!J37+'7.9 kábeltv 046020'!J37+'7.10 piac 047120'!J37+'7.11 tdm tám047320'!J37+'7.12 szemét 051030'!J37+'7.13 szennyvíz 052080'!J37+'7.14 víz 063080'!J37+'7.15 közvil 064010'!J37+'7.16 zöldterület 066010'!J37+'7.17 város 066020'!J37+'7.18 háziorvos 072111'!J37+'7.19 ügyelet 072112'!J37+'7.20 fülészet 072210'!J37+'7.21 védőnők 074031'!J37+'7.22 isk eü 074032'!J37+'7.23 sportcsépület 081030'!J37+'7.24 sport tám 081041'!J37+'7.25 diáksport 081043'!J37+'7.26 közműv 082091'!J37+'7.27 közműv 082092'!J37+'7.28  óvoda 091140'!J37+'7.29 intézmkiv gyétk 104037'!J37+'7.30 szoc étk 107051'!J37+'7.31 segélyek 107060'!J37+'7.32 adóbev 900020'!J37+'7.33 pályázatok összesen'!J37+'7.6 út építés 045127'!J37</f>
        <v>0</v>
      </c>
      <c r="K37" s="247">
        <f t="shared" ca="1" si="2"/>
        <v>0</v>
      </c>
      <c r="L37" s="246">
        <f ca="1">'7.1. igazg 011130'!L37+'7.2 temető 013320'!L37+'7.3. vagyon 013350'!L37+'7.4 018010'!L37+'7.5 finansz műveletek 018030'!L37+'7.7 közütak működtetés 045160'!L37+'7.8 parkoló 045170'!L37+'7.9 kábeltv 046020'!L37+'7.10 piac 047120'!L37+'7.11 tdm tám047320'!L37+'7.12 szemét 051030'!L37+'7.13 szennyvíz 052080'!L37+'7.14 víz 063080'!L37+'7.15 közvil 064010'!L37+'7.16 zöldterület 066010'!L37+'7.17 város 066020'!L37+'7.18 háziorvos 072111'!L37+'7.19 ügyelet 072112'!L37+'7.20 fülészet 072210'!L37+'7.21 védőnők 074031'!L37+'7.22 isk eü 074032'!L37+'7.23 sportcsépület 081030'!L37+'7.24 sport tám 081041'!L37+'7.25 diáksport 081043'!L37+'7.26 közműv 082091'!L37+'7.27 közműv 082092'!L37+'7.28  óvoda 091140'!L37+'7.29 intézmkiv gyétk 104037'!L37+'7.30 szoc étk 107051'!L37+'7.31 segélyek 107060'!L37+'7.32 adóbev 900020'!L37+'7.33 pályázatok összesen'!L37+'7.6 út építés 045127'!L37</f>
        <v>3489</v>
      </c>
      <c r="M37" s="246">
        <f>'7.1. igazg 011130'!M37+'7.2 temető 013320'!M37+'7.3. vagyon 013350'!M37+'7.4 018010'!M37+'7.5 finansz műveletek 018030'!M37+'7.7 közütak működtetés 045160'!M37+'7.8 parkoló 045170'!M37+'7.9 kábeltv 046020'!M37+'7.10 piac 047120'!M37+'7.11 tdm tám047320'!M37+'7.12 szemét 051030'!M37+'7.13 szennyvíz 052080'!M37+'7.14 víz 063080'!M37+'7.15 közvil 064010'!M37+'7.16 zöldterület 066010'!M37+'7.17 város 066020'!M37+'7.18 háziorvos 072111'!M37+'7.19 ügyelet 072112'!M37+'7.20 fülészet 072210'!M37+'7.21 védőnők 074031'!M37+'7.22 isk eü 074032'!M37+'7.23 sportcsépület 081030'!M37+'7.24 sport tám 081041'!M37+'7.25 diáksport 081043'!M37+'7.26 közműv 082091'!M37+'7.27 közműv 082092'!M37+'7.28  óvoda 091140'!M37+'7.29 intézmkiv gyétk 104037'!M37+'7.30 szoc étk 107051'!M37+'7.31 segélyek 107060'!M37+'7.32 adóbev 900020'!M37+'7.33 pályázatok összesen'!M37+'7.6 út építés 045127'!M37</f>
        <v>0</v>
      </c>
      <c r="N37" s="247">
        <f t="shared" ca="1" si="3"/>
        <v>3489</v>
      </c>
    </row>
    <row r="38" spans="1:23" x14ac:dyDescent="0.25">
      <c r="A38" s="53" t="s">
        <v>86</v>
      </c>
      <c r="B38" s="62" t="s">
        <v>87</v>
      </c>
      <c r="C38" s="246">
        <f>'7.1. igazg 011130'!C38+'7.2 temető 013320'!C38+'7.3. vagyon 013350'!C38+'7.4 018010'!C38+'7.5 finansz műveletek 018030'!C38+'7.7 közütak működtetés 045160'!C38+'7.8 parkoló 045170'!C38+'7.9 kábeltv 046020'!C38+'7.10 piac 047120'!C38+'7.11 tdm tám047320'!C38+'7.12 szemét 051030'!C38+'7.13 szennyvíz 052080'!C38+'7.14 víz 063080'!C38+'7.15 közvil 064010'!C38+'7.16 zöldterület 066010'!C38+'7.17 város 066020'!C38+'7.18 háziorvos 072111'!C38+'7.19 ügyelet 072112'!C38+'7.20 fülészet 072210'!C38+'7.21 védőnők 074031'!C38+'7.22 isk eü 074032'!C38+'7.23 sportcsépület 081030'!C38+'7.24 sport tám 081041'!C38+'7.25 diáksport 081043'!C38+'7.26 közműv 082091'!C38+'7.27 közműv 082092'!C38+'7.28  óvoda 091140'!C38+'7.29 intézmkiv gyétk 104037'!C38+'7.30 szoc étk 107051'!C38+'7.31 segélyek 107060'!C38+'7.32 adóbev 900020'!C38+'7.33 pályázatok összesen'!C38+'7.6 út építés 045127'!C38</f>
        <v>12000000</v>
      </c>
      <c r="D38" s="246">
        <f>'7.1. igazg 011130'!D38+'7.2 temető 013320'!D38+'7.3. vagyon 013350'!D38+'7.4 018010'!D38+'7.5 finansz műveletek 018030'!D38+'7.7 közütak működtetés 045160'!D38+'7.8 parkoló 045170'!D38+'7.9 kábeltv 046020'!D38+'7.10 piac 047120'!D38+'7.11 tdm tám047320'!D38+'7.12 szemét 051030'!D38+'7.13 szennyvíz 052080'!D38+'7.14 víz 063080'!D38+'7.15 közvil 064010'!D38+'7.16 zöldterület 066010'!D38+'7.17 város 066020'!D38+'7.18 háziorvos 072111'!D38+'7.19 ügyelet 072112'!D38+'7.20 fülészet 072210'!D38+'7.21 védőnők 074031'!D38+'7.22 isk eü 074032'!D38+'7.23 sportcsépület 081030'!D38+'7.24 sport tám 081041'!D38+'7.25 diáksport 081043'!D38+'7.26 közműv 082091'!D38+'7.27 közműv 082092'!D38+'7.28  óvoda 091140'!D38+'7.29 intézmkiv gyétk 104037'!D38+'7.30 szoc étk 107051'!D38+'7.31 segélyek 107060'!D38+'7.32 adóbev 900020'!D38+'7.33 pályázatok összesen'!D38+'7.6 út építés 045127'!D38</f>
        <v>0</v>
      </c>
      <c r="E38" s="247">
        <f t="shared" si="0"/>
        <v>12000000</v>
      </c>
      <c r="F38" s="246">
        <f>'7.1. igazg 011130'!F38+'7.2 temető 013320'!F38+'7.3. vagyon 013350'!F38+'7.4 018010'!F38+'7.5 finansz műveletek 018030'!F38+'7.7 közütak működtetés 045160'!F38+'7.8 parkoló 045170'!F38+'7.9 kábeltv 046020'!F38+'7.10 piac 047120'!F38+'7.11 tdm tám047320'!F38+'7.12 szemét 051030'!F38+'7.13 szennyvíz 052080'!F38+'7.14 víz 063080'!F38+'7.15 közvil 064010'!F38+'7.16 zöldterület 066010'!F38+'7.17 város 066020'!F38+'7.18 háziorvos 072111'!F38+'7.19 ügyelet 072112'!F38+'7.20 fülészet 072210'!F38+'7.21 védőnők 074031'!F38+'7.22 isk eü 074032'!F38+'7.23 sportcsépület 081030'!F38+'7.24 sport tám 081041'!F38+'7.25 diáksport 081043'!F38+'7.26 közműv 082091'!F38+'7.27 közműv 082092'!F38+'7.28  óvoda 091140'!F38+'7.29 intézmkiv gyétk 104037'!F38+'7.30 szoc étk 107051'!F38+'7.31 segélyek 107060'!F38+'7.32 adóbev 900020'!F38+'7.33 pályázatok összesen'!F38+'7.6 út építés 045127'!F38</f>
        <v>12000000</v>
      </c>
      <c r="G38" s="246">
        <f>'7.1. igazg 011130'!G38+'7.2 temető 013320'!G38+'7.3. vagyon 013350'!G38+'7.4 018010'!G38+'7.5 finansz műveletek 018030'!G38+'7.7 közütak működtetés 045160'!G38+'7.8 parkoló 045170'!G38+'7.9 kábeltv 046020'!G38+'7.10 piac 047120'!G38+'7.11 tdm tám047320'!G38+'7.12 szemét 051030'!G38+'7.13 szennyvíz 052080'!G38+'7.14 víz 063080'!G38+'7.15 közvil 064010'!G38+'7.16 zöldterület 066010'!G38+'7.17 város 066020'!G38+'7.18 háziorvos 072111'!G38+'7.19 ügyelet 072112'!G38+'7.20 fülészet 072210'!G38+'7.21 védőnők 074031'!G38+'7.22 isk eü 074032'!G38+'7.23 sportcsépület 081030'!G38+'7.24 sport tám 081041'!G38+'7.25 diáksport 081043'!G38+'7.26 közműv 082091'!G38+'7.27 közműv 082092'!G38+'7.28  óvoda 091140'!G38+'7.29 intézmkiv gyétk 104037'!G38+'7.30 szoc étk 107051'!G38+'7.31 segélyek 107060'!G38+'7.32 adóbev 900020'!G38+'7.33 pályázatok összesen'!G38+'7.6 út építés 045127'!G38</f>
        <v>0</v>
      </c>
      <c r="H38" s="247">
        <f t="shared" si="1"/>
        <v>12000000</v>
      </c>
      <c r="I38" s="246">
        <f ca="1">'7.1. igazg 011130'!I38+'7.2 temető 013320'!I38+'7.3. vagyon 013350'!I38+'7.4 018010'!I38+'7.5 finansz műveletek 018030'!I38+'7.7 közütak működtetés 045160'!I38+'7.8 parkoló 045170'!I38+'7.9 kábeltv 046020'!I38+'7.10 piac 047120'!I38+'7.11 tdm tám047320'!I38+'7.12 szemét 051030'!I38+'7.13 szennyvíz 052080'!I38+'7.14 víz 063080'!I38+'7.15 közvil 064010'!I38+'7.16 zöldterület 066010'!I38+'7.17 város 066020'!I38+'7.18 háziorvos 072111'!I38+'7.19 ügyelet 072112'!I38+'7.20 fülészet 072210'!I38+'7.21 védőnők 074031'!I38+'7.22 isk eü 074032'!I38+'7.23 sportcsépület 081030'!I38+'7.24 sport tám 081041'!I38+'7.25 diáksport 081043'!I38+'7.26 közműv 082091'!I38+'7.27 közműv 082092'!I38+'7.28  óvoda 091140'!I38+'7.29 intézmkiv gyétk 104037'!I38+'7.30 szoc étk 107051'!I38+'7.31 segélyek 107060'!I38+'7.32 adóbev 900020'!I38+'7.33 pályázatok összesen'!I38+'7.6 út építés 045127'!I38</f>
        <v>12000000</v>
      </c>
      <c r="J38" s="246">
        <f>'7.1. igazg 011130'!J38+'7.2 temető 013320'!J38+'7.3. vagyon 013350'!J38+'7.4 018010'!J38+'7.5 finansz műveletek 018030'!J38+'7.7 közütak működtetés 045160'!J38+'7.8 parkoló 045170'!J38+'7.9 kábeltv 046020'!J38+'7.10 piac 047120'!J38+'7.11 tdm tám047320'!J38+'7.12 szemét 051030'!J38+'7.13 szennyvíz 052080'!J38+'7.14 víz 063080'!J38+'7.15 közvil 064010'!J38+'7.16 zöldterület 066010'!J38+'7.17 város 066020'!J38+'7.18 háziorvos 072111'!J38+'7.19 ügyelet 072112'!J38+'7.20 fülészet 072210'!J38+'7.21 védőnők 074031'!J38+'7.22 isk eü 074032'!J38+'7.23 sportcsépület 081030'!J38+'7.24 sport tám 081041'!J38+'7.25 diáksport 081043'!J38+'7.26 közműv 082091'!J38+'7.27 közműv 082092'!J38+'7.28  óvoda 091140'!J38+'7.29 intézmkiv gyétk 104037'!J38+'7.30 szoc étk 107051'!J38+'7.31 segélyek 107060'!J38+'7.32 adóbev 900020'!J38+'7.33 pályázatok összesen'!J38+'7.6 út építés 045127'!J38</f>
        <v>0</v>
      </c>
      <c r="K38" s="247">
        <f t="shared" ca="1" si="2"/>
        <v>12000000</v>
      </c>
      <c r="L38" s="246">
        <f ca="1">'7.1. igazg 011130'!L38+'7.2 temető 013320'!L38+'7.3. vagyon 013350'!L38+'7.4 018010'!L38+'7.5 finansz műveletek 018030'!L38+'7.7 közütak működtetés 045160'!L38+'7.8 parkoló 045170'!L38+'7.9 kábeltv 046020'!L38+'7.10 piac 047120'!L38+'7.11 tdm tám047320'!L38+'7.12 szemét 051030'!L38+'7.13 szennyvíz 052080'!L38+'7.14 víz 063080'!L38+'7.15 közvil 064010'!L38+'7.16 zöldterület 066010'!L38+'7.17 város 066020'!L38+'7.18 háziorvos 072111'!L38+'7.19 ügyelet 072112'!L38+'7.20 fülészet 072210'!L38+'7.21 védőnők 074031'!L38+'7.22 isk eü 074032'!L38+'7.23 sportcsépület 081030'!L38+'7.24 sport tám 081041'!L38+'7.25 diáksport 081043'!L38+'7.26 közműv 082091'!L38+'7.27 közműv 082092'!L38+'7.28  óvoda 091140'!L38+'7.29 intézmkiv gyétk 104037'!L38+'7.30 szoc étk 107051'!L38+'7.31 segélyek 107060'!L38+'7.32 adóbev 900020'!L38+'7.33 pályázatok összesen'!L38+'7.6 út építés 045127'!L38</f>
        <v>13089268</v>
      </c>
      <c r="M38" s="246">
        <f>'7.1. igazg 011130'!M38+'7.2 temető 013320'!M38+'7.3. vagyon 013350'!M38+'7.4 018010'!M38+'7.5 finansz műveletek 018030'!M38+'7.7 közütak működtetés 045160'!M38+'7.8 parkoló 045170'!M38+'7.9 kábeltv 046020'!M38+'7.10 piac 047120'!M38+'7.11 tdm tám047320'!M38+'7.12 szemét 051030'!M38+'7.13 szennyvíz 052080'!M38+'7.14 víz 063080'!M38+'7.15 közvil 064010'!M38+'7.16 zöldterület 066010'!M38+'7.17 város 066020'!M38+'7.18 háziorvos 072111'!M38+'7.19 ügyelet 072112'!M38+'7.20 fülészet 072210'!M38+'7.21 védőnők 074031'!M38+'7.22 isk eü 074032'!M38+'7.23 sportcsépület 081030'!M38+'7.24 sport tám 081041'!M38+'7.25 diáksport 081043'!M38+'7.26 közműv 082091'!M38+'7.27 közműv 082092'!M38+'7.28  óvoda 091140'!M38+'7.29 intézmkiv gyétk 104037'!M38+'7.30 szoc étk 107051'!M38+'7.31 segélyek 107060'!M38+'7.32 adóbev 900020'!M38+'7.33 pályázatok összesen'!M38+'7.6 út építés 045127'!M38</f>
        <v>0</v>
      </c>
      <c r="N38" s="247">
        <f t="shared" ca="1" si="3"/>
        <v>13089268</v>
      </c>
    </row>
    <row r="39" spans="1:23" x14ac:dyDescent="0.25">
      <c r="A39" s="53"/>
      <c r="B39" s="62" t="s">
        <v>88</v>
      </c>
      <c r="C39" s="246">
        <f>'7.1. igazg 011130'!C39+'7.2 temető 013320'!C39+'7.3. vagyon 013350'!C39+'7.4 018010'!C39+'7.5 finansz műveletek 018030'!C39+'7.7 közütak működtetés 045160'!C39+'7.8 parkoló 045170'!C39+'7.9 kábeltv 046020'!C39+'7.10 piac 047120'!C39+'7.11 tdm tám047320'!C39+'7.12 szemét 051030'!C39+'7.13 szennyvíz 052080'!C39+'7.14 víz 063080'!C39+'7.15 közvil 064010'!C39+'7.16 zöldterület 066010'!C39+'7.17 város 066020'!C39+'7.18 háziorvos 072111'!C39+'7.19 ügyelet 072112'!C39+'7.20 fülészet 072210'!C39+'7.21 védőnők 074031'!C39+'7.22 isk eü 074032'!C39+'7.23 sportcsépület 081030'!C39+'7.24 sport tám 081041'!C39+'7.25 diáksport 081043'!C39+'7.26 közműv 082091'!C39+'7.27 közműv 082092'!C39+'7.28  óvoda 091140'!C39+'7.29 intézmkiv gyétk 104037'!C39+'7.30 szoc étk 107051'!C39+'7.31 segélyek 107060'!C39+'7.32 adóbev 900020'!C39+'7.33 pályázatok összesen'!C39+'7.6 út építés 045127'!C39</f>
        <v>0</v>
      </c>
      <c r="D39" s="246">
        <f>'7.1. igazg 011130'!D39+'7.2 temető 013320'!D39+'7.3. vagyon 013350'!D39+'7.4 018010'!D39+'7.5 finansz műveletek 018030'!D39+'7.7 közütak működtetés 045160'!D39+'7.8 parkoló 045170'!D39+'7.9 kábeltv 046020'!D39+'7.10 piac 047120'!D39+'7.11 tdm tám047320'!D39+'7.12 szemét 051030'!D39+'7.13 szennyvíz 052080'!D39+'7.14 víz 063080'!D39+'7.15 közvil 064010'!D39+'7.16 zöldterület 066010'!D39+'7.17 város 066020'!D39+'7.18 háziorvos 072111'!D39+'7.19 ügyelet 072112'!D39+'7.20 fülészet 072210'!D39+'7.21 védőnők 074031'!D39+'7.22 isk eü 074032'!D39+'7.23 sportcsépület 081030'!D39+'7.24 sport tám 081041'!D39+'7.25 diáksport 081043'!D39+'7.26 közműv 082091'!D39+'7.27 közműv 082092'!D39+'7.28  óvoda 091140'!D39+'7.29 intézmkiv gyétk 104037'!D39+'7.30 szoc étk 107051'!D39+'7.31 segélyek 107060'!D39+'7.32 adóbev 900020'!D39+'7.33 pályázatok összesen'!D39+'7.6 út építés 045127'!D39</f>
        <v>0</v>
      </c>
      <c r="E39" s="247">
        <f t="shared" si="0"/>
        <v>0</v>
      </c>
      <c r="F39" s="246">
        <f>'7.1. igazg 011130'!F39+'7.2 temető 013320'!F39+'7.3. vagyon 013350'!F39+'7.4 018010'!F39+'7.5 finansz műveletek 018030'!F39+'7.7 közütak működtetés 045160'!F39+'7.8 parkoló 045170'!F39+'7.9 kábeltv 046020'!F39+'7.10 piac 047120'!F39+'7.11 tdm tám047320'!F39+'7.12 szemét 051030'!F39+'7.13 szennyvíz 052080'!F39+'7.14 víz 063080'!F39+'7.15 közvil 064010'!F39+'7.16 zöldterület 066010'!F39+'7.17 város 066020'!F39+'7.18 háziorvos 072111'!F39+'7.19 ügyelet 072112'!F39+'7.20 fülészet 072210'!F39+'7.21 védőnők 074031'!F39+'7.22 isk eü 074032'!F39+'7.23 sportcsépület 081030'!F39+'7.24 sport tám 081041'!F39+'7.25 diáksport 081043'!F39+'7.26 közműv 082091'!F39+'7.27 közműv 082092'!F39+'7.28  óvoda 091140'!F39+'7.29 intézmkiv gyétk 104037'!F39+'7.30 szoc étk 107051'!F39+'7.31 segélyek 107060'!F39+'7.32 adóbev 900020'!F39+'7.33 pályázatok összesen'!F39+'7.6 út építés 045127'!F39</f>
        <v>0</v>
      </c>
      <c r="G39" s="246">
        <f>'7.1. igazg 011130'!G39+'7.2 temető 013320'!G39+'7.3. vagyon 013350'!G39+'7.4 018010'!G39+'7.5 finansz műveletek 018030'!G39+'7.7 közütak működtetés 045160'!G39+'7.8 parkoló 045170'!G39+'7.9 kábeltv 046020'!G39+'7.10 piac 047120'!G39+'7.11 tdm tám047320'!G39+'7.12 szemét 051030'!G39+'7.13 szennyvíz 052080'!G39+'7.14 víz 063080'!G39+'7.15 közvil 064010'!G39+'7.16 zöldterület 066010'!G39+'7.17 város 066020'!G39+'7.18 háziorvos 072111'!G39+'7.19 ügyelet 072112'!G39+'7.20 fülészet 072210'!G39+'7.21 védőnők 074031'!G39+'7.22 isk eü 074032'!G39+'7.23 sportcsépület 081030'!G39+'7.24 sport tám 081041'!G39+'7.25 diáksport 081043'!G39+'7.26 közműv 082091'!G39+'7.27 közműv 082092'!G39+'7.28  óvoda 091140'!G39+'7.29 intézmkiv gyétk 104037'!G39+'7.30 szoc étk 107051'!G39+'7.31 segélyek 107060'!G39+'7.32 adóbev 900020'!G39+'7.33 pályázatok összesen'!G39+'7.6 út építés 045127'!G39</f>
        <v>0</v>
      </c>
      <c r="H39" s="247">
        <f t="shared" si="1"/>
        <v>0</v>
      </c>
      <c r="I39" s="246">
        <f ca="1">'7.1. igazg 011130'!I39+'7.2 temető 013320'!I39+'7.3. vagyon 013350'!I39+'7.4 018010'!I39+'7.5 finansz műveletek 018030'!I39+'7.7 közütak működtetés 045160'!I39+'7.8 parkoló 045170'!I39+'7.9 kábeltv 046020'!I39+'7.10 piac 047120'!I39+'7.11 tdm tám047320'!I39+'7.12 szemét 051030'!I39+'7.13 szennyvíz 052080'!I39+'7.14 víz 063080'!I39+'7.15 közvil 064010'!I39+'7.16 zöldterület 066010'!I39+'7.17 város 066020'!I39+'7.18 háziorvos 072111'!I39+'7.19 ügyelet 072112'!I39+'7.20 fülészet 072210'!I39+'7.21 védőnők 074031'!I39+'7.22 isk eü 074032'!I39+'7.23 sportcsépület 081030'!I39+'7.24 sport tám 081041'!I39+'7.25 diáksport 081043'!I39+'7.26 közműv 082091'!I39+'7.27 közműv 082092'!I39+'7.28  óvoda 091140'!I39+'7.29 intézmkiv gyétk 104037'!I39+'7.30 szoc étk 107051'!I39+'7.31 segélyek 107060'!I39+'7.32 adóbev 900020'!I39+'7.33 pályázatok összesen'!I39+'7.6 út építés 045127'!I39</f>
        <v>0</v>
      </c>
      <c r="J39" s="246">
        <f>'7.1. igazg 011130'!J39+'7.2 temető 013320'!J39+'7.3. vagyon 013350'!J39+'7.4 018010'!J39+'7.5 finansz műveletek 018030'!J39+'7.7 közütak működtetés 045160'!J39+'7.8 parkoló 045170'!J39+'7.9 kábeltv 046020'!J39+'7.10 piac 047120'!J39+'7.11 tdm tám047320'!J39+'7.12 szemét 051030'!J39+'7.13 szennyvíz 052080'!J39+'7.14 víz 063080'!J39+'7.15 közvil 064010'!J39+'7.16 zöldterület 066010'!J39+'7.17 város 066020'!J39+'7.18 háziorvos 072111'!J39+'7.19 ügyelet 072112'!J39+'7.20 fülészet 072210'!J39+'7.21 védőnők 074031'!J39+'7.22 isk eü 074032'!J39+'7.23 sportcsépület 081030'!J39+'7.24 sport tám 081041'!J39+'7.25 diáksport 081043'!J39+'7.26 közműv 082091'!J39+'7.27 közműv 082092'!J39+'7.28  óvoda 091140'!J39+'7.29 intézmkiv gyétk 104037'!J39+'7.30 szoc étk 107051'!J39+'7.31 segélyek 107060'!J39+'7.32 adóbev 900020'!J39+'7.33 pályázatok összesen'!J39+'7.6 út építés 045127'!J39</f>
        <v>0</v>
      </c>
      <c r="K39" s="247">
        <f t="shared" ca="1" si="2"/>
        <v>0</v>
      </c>
      <c r="L39" s="246">
        <f ca="1">'7.1. igazg 011130'!L39+'7.2 temető 013320'!L39+'7.3. vagyon 013350'!L39+'7.4 018010'!L39+'7.5 finansz műveletek 018030'!L39+'7.7 közütak működtetés 045160'!L39+'7.8 parkoló 045170'!L39+'7.9 kábeltv 046020'!L39+'7.10 piac 047120'!L39+'7.11 tdm tám047320'!L39+'7.12 szemét 051030'!L39+'7.13 szennyvíz 052080'!L39+'7.14 víz 063080'!L39+'7.15 közvil 064010'!L39+'7.16 zöldterület 066010'!L39+'7.17 város 066020'!L39+'7.18 háziorvos 072111'!L39+'7.19 ügyelet 072112'!L39+'7.20 fülészet 072210'!L39+'7.21 védőnők 074031'!L39+'7.22 isk eü 074032'!L39+'7.23 sportcsépület 081030'!L39+'7.24 sport tám 081041'!L39+'7.25 diáksport 081043'!L39+'7.26 közműv 082091'!L39+'7.27 közműv 082092'!L39+'7.28  óvoda 091140'!L39+'7.29 intézmkiv gyétk 104037'!L39+'7.30 szoc étk 107051'!L39+'7.31 segélyek 107060'!L39+'7.32 adóbev 900020'!L39+'7.33 pályázatok összesen'!L39+'7.6 út építés 045127'!L39</f>
        <v>0</v>
      </c>
      <c r="M39" s="246">
        <f>'7.1. igazg 011130'!M39+'7.2 temető 013320'!M39+'7.3. vagyon 013350'!M39+'7.4 018010'!M39+'7.5 finansz műveletek 018030'!M39+'7.7 közütak működtetés 045160'!M39+'7.8 parkoló 045170'!M39+'7.9 kábeltv 046020'!M39+'7.10 piac 047120'!M39+'7.11 tdm tám047320'!M39+'7.12 szemét 051030'!M39+'7.13 szennyvíz 052080'!M39+'7.14 víz 063080'!M39+'7.15 közvil 064010'!M39+'7.16 zöldterület 066010'!M39+'7.17 város 066020'!M39+'7.18 háziorvos 072111'!M39+'7.19 ügyelet 072112'!M39+'7.20 fülészet 072210'!M39+'7.21 védőnők 074031'!M39+'7.22 isk eü 074032'!M39+'7.23 sportcsépület 081030'!M39+'7.24 sport tám 081041'!M39+'7.25 diáksport 081043'!M39+'7.26 közműv 082091'!M39+'7.27 közműv 082092'!M39+'7.28  óvoda 091140'!M39+'7.29 intézmkiv gyétk 104037'!M39+'7.30 szoc étk 107051'!M39+'7.31 segélyek 107060'!M39+'7.32 adóbev 900020'!M39+'7.33 pályázatok összesen'!M39+'7.6 út építés 045127'!M39</f>
        <v>0</v>
      </c>
      <c r="N39" s="247">
        <f t="shared" ca="1" si="3"/>
        <v>0</v>
      </c>
    </row>
    <row r="40" spans="1:23" x14ac:dyDescent="0.25">
      <c r="A40" s="53"/>
      <c r="B40" s="62" t="s">
        <v>89</v>
      </c>
      <c r="C40" s="246">
        <f>'7.1. igazg 011130'!C40+'7.2 temető 013320'!C40+'7.3. vagyon 013350'!C40+'7.4 018010'!C40+'7.5 finansz műveletek 018030'!C40+'7.7 közütak működtetés 045160'!C40+'7.8 parkoló 045170'!C40+'7.9 kábeltv 046020'!C40+'7.10 piac 047120'!C40+'7.11 tdm tám047320'!C40+'7.12 szemét 051030'!C40+'7.13 szennyvíz 052080'!C40+'7.14 víz 063080'!C40+'7.15 közvil 064010'!C40+'7.16 zöldterület 066010'!C40+'7.17 város 066020'!C40+'7.18 háziorvos 072111'!C40+'7.19 ügyelet 072112'!C40+'7.20 fülészet 072210'!C40+'7.21 védőnők 074031'!C40+'7.22 isk eü 074032'!C40+'7.23 sportcsépület 081030'!C40+'7.24 sport tám 081041'!C40+'7.25 diáksport 081043'!C40+'7.26 közműv 082091'!C40+'7.27 közműv 082092'!C40+'7.28  óvoda 091140'!C40+'7.29 intézmkiv gyétk 104037'!C40+'7.30 szoc étk 107051'!C40+'7.31 segélyek 107060'!C40+'7.32 adóbev 900020'!C40+'7.33 pályázatok összesen'!C40+'7.6 út építés 045127'!C40</f>
        <v>0</v>
      </c>
      <c r="D40" s="246">
        <f>'7.1. igazg 011130'!D40+'7.2 temető 013320'!D40+'7.3. vagyon 013350'!D40+'7.4 018010'!D40+'7.5 finansz műveletek 018030'!D40+'7.7 közütak működtetés 045160'!D40+'7.8 parkoló 045170'!D40+'7.9 kábeltv 046020'!D40+'7.10 piac 047120'!D40+'7.11 tdm tám047320'!D40+'7.12 szemét 051030'!D40+'7.13 szennyvíz 052080'!D40+'7.14 víz 063080'!D40+'7.15 közvil 064010'!D40+'7.16 zöldterület 066010'!D40+'7.17 város 066020'!D40+'7.18 háziorvos 072111'!D40+'7.19 ügyelet 072112'!D40+'7.20 fülészet 072210'!D40+'7.21 védőnők 074031'!D40+'7.22 isk eü 074032'!D40+'7.23 sportcsépület 081030'!D40+'7.24 sport tám 081041'!D40+'7.25 diáksport 081043'!D40+'7.26 közműv 082091'!D40+'7.27 közműv 082092'!D40+'7.28  óvoda 091140'!D40+'7.29 intézmkiv gyétk 104037'!D40+'7.30 szoc étk 107051'!D40+'7.31 segélyek 107060'!D40+'7.32 adóbev 900020'!D40+'7.33 pályázatok összesen'!D40+'7.6 út építés 045127'!D40</f>
        <v>0</v>
      </c>
      <c r="E40" s="247">
        <f t="shared" si="0"/>
        <v>0</v>
      </c>
      <c r="F40" s="246">
        <f>'7.1. igazg 011130'!F40+'7.2 temető 013320'!F40+'7.3. vagyon 013350'!F40+'7.4 018010'!F40+'7.5 finansz műveletek 018030'!F40+'7.7 közütak működtetés 045160'!F40+'7.8 parkoló 045170'!F40+'7.9 kábeltv 046020'!F40+'7.10 piac 047120'!F40+'7.11 tdm tám047320'!F40+'7.12 szemét 051030'!F40+'7.13 szennyvíz 052080'!F40+'7.14 víz 063080'!F40+'7.15 közvil 064010'!F40+'7.16 zöldterület 066010'!F40+'7.17 város 066020'!F40+'7.18 háziorvos 072111'!F40+'7.19 ügyelet 072112'!F40+'7.20 fülészet 072210'!F40+'7.21 védőnők 074031'!F40+'7.22 isk eü 074032'!F40+'7.23 sportcsépület 081030'!F40+'7.24 sport tám 081041'!F40+'7.25 diáksport 081043'!F40+'7.26 közműv 082091'!F40+'7.27 közműv 082092'!F40+'7.28  óvoda 091140'!F40+'7.29 intézmkiv gyétk 104037'!F40+'7.30 szoc étk 107051'!F40+'7.31 segélyek 107060'!F40+'7.32 adóbev 900020'!F40+'7.33 pályázatok összesen'!F40+'7.6 út építés 045127'!F40</f>
        <v>0</v>
      </c>
      <c r="G40" s="246">
        <f>'7.1. igazg 011130'!G40+'7.2 temető 013320'!G40+'7.3. vagyon 013350'!G40+'7.4 018010'!G40+'7.5 finansz műveletek 018030'!G40+'7.7 közütak működtetés 045160'!G40+'7.8 parkoló 045170'!G40+'7.9 kábeltv 046020'!G40+'7.10 piac 047120'!G40+'7.11 tdm tám047320'!G40+'7.12 szemét 051030'!G40+'7.13 szennyvíz 052080'!G40+'7.14 víz 063080'!G40+'7.15 közvil 064010'!G40+'7.16 zöldterület 066010'!G40+'7.17 város 066020'!G40+'7.18 háziorvos 072111'!G40+'7.19 ügyelet 072112'!G40+'7.20 fülészet 072210'!G40+'7.21 védőnők 074031'!G40+'7.22 isk eü 074032'!G40+'7.23 sportcsépület 081030'!G40+'7.24 sport tám 081041'!G40+'7.25 diáksport 081043'!G40+'7.26 közműv 082091'!G40+'7.27 közműv 082092'!G40+'7.28  óvoda 091140'!G40+'7.29 intézmkiv gyétk 104037'!G40+'7.30 szoc étk 107051'!G40+'7.31 segélyek 107060'!G40+'7.32 adóbev 900020'!G40+'7.33 pályázatok összesen'!G40+'7.6 út építés 045127'!G40</f>
        <v>0</v>
      </c>
      <c r="H40" s="247">
        <f t="shared" si="1"/>
        <v>0</v>
      </c>
      <c r="I40" s="246">
        <f ca="1">'7.1. igazg 011130'!I40+'7.2 temető 013320'!I40+'7.3. vagyon 013350'!I40+'7.4 018010'!I40+'7.5 finansz műveletek 018030'!I40+'7.7 közütak működtetés 045160'!I40+'7.8 parkoló 045170'!I40+'7.9 kábeltv 046020'!I40+'7.10 piac 047120'!I40+'7.11 tdm tám047320'!I40+'7.12 szemét 051030'!I40+'7.13 szennyvíz 052080'!I40+'7.14 víz 063080'!I40+'7.15 közvil 064010'!I40+'7.16 zöldterület 066010'!I40+'7.17 város 066020'!I40+'7.18 háziorvos 072111'!I40+'7.19 ügyelet 072112'!I40+'7.20 fülészet 072210'!I40+'7.21 védőnők 074031'!I40+'7.22 isk eü 074032'!I40+'7.23 sportcsépület 081030'!I40+'7.24 sport tám 081041'!I40+'7.25 diáksport 081043'!I40+'7.26 közműv 082091'!I40+'7.27 közműv 082092'!I40+'7.28  óvoda 091140'!I40+'7.29 intézmkiv gyétk 104037'!I40+'7.30 szoc étk 107051'!I40+'7.31 segélyek 107060'!I40+'7.32 adóbev 900020'!I40+'7.33 pályázatok összesen'!I40+'7.6 út építés 045127'!I40</f>
        <v>0</v>
      </c>
      <c r="J40" s="246">
        <f>'7.1. igazg 011130'!J40+'7.2 temető 013320'!J40+'7.3. vagyon 013350'!J40+'7.4 018010'!J40+'7.5 finansz műveletek 018030'!J40+'7.7 közütak működtetés 045160'!J40+'7.8 parkoló 045170'!J40+'7.9 kábeltv 046020'!J40+'7.10 piac 047120'!J40+'7.11 tdm tám047320'!J40+'7.12 szemét 051030'!J40+'7.13 szennyvíz 052080'!J40+'7.14 víz 063080'!J40+'7.15 közvil 064010'!J40+'7.16 zöldterület 066010'!J40+'7.17 város 066020'!J40+'7.18 háziorvos 072111'!J40+'7.19 ügyelet 072112'!J40+'7.20 fülészet 072210'!J40+'7.21 védőnők 074031'!J40+'7.22 isk eü 074032'!J40+'7.23 sportcsépület 081030'!J40+'7.24 sport tám 081041'!J40+'7.25 diáksport 081043'!J40+'7.26 közműv 082091'!J40+'7.27 közműv 082092'!J40+'7.28  óvoda 091140'!J40+'7.29 intézmkiv gyétk 104037'!J40+'7.30 szoc étk 107051'!J40+'7.31 segélyek 107060'!J40+'7.32 adóbev 900020'!J40+'7.33 pályázatok összesen'!J40+'7.6 út építés 045127'!J40</f>
        <v>0</v>
      </c>
      <c r="K40" s="247">
        <f t="shared" ca="1" si="2"/>
        <v>0</v>
      </c>
      <c r="L40" s="246">
        <f ca="1">'7.1. igazg 011130'!L40+'7.2 temető 013320'!L40+'7.3. vagyon 013350'!L40+'7.4 018010'!L40+'7.5 finansz műveletek 018030'!L40+'7.7 közütak működtetés 045160'!L40+'7.8 parkoló 045170'!L40+'7.9 kábeltv 046020'!L40+'7.10 piac 047120'!L40+'7.11 tdm tám047320'!L40+'7.12 szemét 051030'!L40+'7.13 szennyvíz 052080'!L40+'7.14 víz 063080'!L40+'7.15 közvil 064010'!L40+'7.16 zöldterület 066010'!L40+'7.17 város 066020'!L40+'7.18 háziorvos 072111'!L40+'7.19 ügyelet 072112'!L40+'7.20 fülészet 072210'!L40+'7.21 védőnők 074031'!L40+'7.22 isk eü 074032'!L40+'7.23 sportcsépület 081030'!L40+'7.24 sport tám 081041'!L40+'7.25 diáksport 081043'!L40+'7.26 közműv 082091'!L40+'7.27 közműv 082092'!L40+'7.28  óvoda 091140'!L40+'7.29 intézmkiv gyétk 104037'!L40+'7.30 szoc étk 107051'!L40+'7.31 segélyek 107060'!L40+'7.32 adóbev 900020'!L40+'7.33 pályázatok összesen'!L40+'7.6 út építés 045127'!L40</f>
        <v>0</v>
      </c>
      <c r="M40" s="246">
        <f>'7.1. igazg 011130'!M40+'7.2 temető 013320'!M40+'7.3. vagyon 013350'!M40+'7.4 018010'!M40+'7.5 finansz műveletek 018030'!M40+'7.7 közütak működtetés 045160'!M40+'7.8 parkoló 045170'!M40+'7.9 kábeltv 046020'!M40+'7.10 piac 047120'!M40+'7.11 tdm tám047320'!M40+'7.12 szemét 051030'!M40+'7.13 szennyvíz 052080'!M40+'7.14 víz 063080'!M40+'7.15 közvil 064010'!M40+'7.16 zöldterület 066010'!M40+'7.17 város 066020'!M40+'7.18 háziorvos 072111'!M40+'7.19 ügyelet 072112'!M40+'7.20 fülészet 072210'!M40+'7.21 védőnők 074031'!M40+'7.22 isk eü 074032'!M40+'7.23 sportcsépület 081030'!M40+'7.24 sport tám 081041'!M40+'7.25 diáksport 081043'!M40+'7.26 közműv 082091'!M40+'7.27 közműv 082092'!M40+'7.28  óvoda 091140'!M40+'7.29 intézmkiv gyétk 104037'!M40+'7.30 szoc étk 107051'!M40+'7.31 segélyek 107060'!M40+'7.32 adóbev 900020'!M40+'7.33 pályázatok összesen'!M40+'7.6 út építés 045127'!M40</f>
        <v>0</v>
      </c>
      <c r="N40" s="247">
        <f t="shared" ca="1" si="3"/>
        <v>0</v>
      </c>
    </row>
    <row r="41" spans="1:23" x14ac:dyDescent="0.25">
      <c r="A41" s="53"/>
      <c r="B41" s="62" t="s">
        <v>90</v>
      </c>
      <c r="C41" s="246">
        <f>'7.1. igazg 011130'!C41+'7.2 temető 013320'!C41+'7.3. vagyon 013350'!C41+'7.4 018010'!C41+'7.5 finansz műveletek 018030'!C41+'7.7 közütak működtetés 045160'!C41+'7.8 parkoló 045170'!C41+'7.9 kábeltv 046020'!C41+'7.10 piac 047120'!C41+'7.11 tdm tám047320'!C41+'7.12 szemét 051030'!C41+'7.13 szennyvíz 052080'!C41+'7.14 víz 063080'!C41+'7.15 közvil 064010'!C41+'7.16 zöldterület 066010'!C41+'7.17 város 066020'!C41+'7.18 háziorvos 072111'!C41+'7.19 ügyelet 072112'!C41+'7.20 fülészet 072210'!C41+'7.21 védőnők 074031'!C41+'7.22 isk eü 074032'!C41+'7.23 sportcsépület 081030'!C41+'7.24 sport tám 081041'!C41+'7.25 diáksport 081043'!C41+'7.26 közműv 082091'!C41+'7.27 közműv 082092'!C41+'7.28  óvoda 091140'!C41+'7.29 intézmkiv gyétk 104037'!C41+'7.30 szoc étk 107051'!C41+'7.31 segélyek 107060'!C41+'7.32 adóbev 900020'!C41+'7.33 pályázatok összesen'!C41+'7.6 út építés 045127'!C41</f>
        <v>0</v>
      </c>
      <c r="D41" s="246">
        <f>'7.1. igazg 011130'!D41+'7.2 temető 013320'!D41+'7.3. vagyon 013350'!D41+'7.4 018010'!D41+'7.5 finansz műveletek 018030'!D41+'7.7 közütak működtetés 045160'!D41+'7.8 parkoló 045170'!D41+'7.9 kábeltv 046020'!D41+'7.10 piac 047120'!D41+'7.11 tdm tám047320'!D41+'7.12 szemét 051030'!D41+'7.13 szennyvíz 052080'!D41+'7.14 víz 063080'!D41+'7.15 közvil 064010'!D41+'7.16 zöldterület 066010'!D41+'7.17 város 066020'!D41+'7.18 háziorvos 072111'!D41+'7.19 ügyelet 072112'!D41+'7.20 fülészet 072210'!D41+'7.21 védőnők 074031'!D41+'7.22 isk eü 074032'!D41+'7.23 sportcsépület 081030'!D41+'7.24 sport tám 081041'!D41+'7.25 diáksport 081043'!D41+'7.26 közműv 082091'!D41+'7.27 közműv 082092'!D41+'7.28  óvoda 091140'!D41+'7.29 intézmkiv gyétk 104037'!D41+'7.30 szoc étk 107051'!D41+'7.31 segélyek 107060'!D41+'7.32 adóbev 900020'!D41+'7.33 pályázatok összesen'!D41+'7.6 út építés 045127'!D41</f>
        <v>0</v>
      </c>
      <c r="E41" s="247">
        <f t="shared" si="0"/>
        <v>0</v>
      </c>
      <c r="F41" s="246">
        <f>'7.1. igazg 011130'!F41+'7.2 temető 013320'!F41+'7.3. vagyon 013350'!F41+'7.4 018010'!F41+'7.5 finansz műveletek 018030'!F41+'7.7 közütak működtetés 045160'!F41+'7.8 parkoló 045170'!F41+'7.9 kábeltv 046020'!F41+'7.10 piac 047120'!F41+'7.11 tdm tám047320'!F41+'7.12 szemét 051030'!F41+'7.13 szennyvíz 052080'!F41+'7.14 víz 063080'!F41+'7.15 közvil 064010'!F41+'7.16 zöldterület 066010'!F41+'7.17 város 066020'!F41+'7.18 háziorvos 072111'!F41+'7.19 ügyelet 072112'!F41+'7.20 fülészet 072210'!F41+'7.21 védőnők 074031'!F41+'7.22 isk eü 074032'!F41+'7.23 sportcsépület 081030'!F41+'7.24 sport tám 081041'!F41+'7.25 diáksport 081043'!F41+'7.26 közműv 082091'!F41+'7.27 közműv 082092'!F41+'7.28  óvoda 091140'!F41+'7.29 intézmkiv gyétk 104037'!F41+'7.30 szoc étk 107051'!F41+'7.31 segélyek 107060'!F41+'7.32 adóbev 900020'!F41+'7.33 pályázatok összesen'!F41+'7.6 út építés 045127'!F41</f>
        <v>0</v>
      </c>
      <c r="G41" s="246">
        <f>'7.1. igazg 011130'!G41+'7.2 temető 013320'!G41+'7.3. vagyon 013350'!G41+'7.4 018010'!G41+'7.5 finansz műveletek 018030'!G41+'7.7 közütak működtetés 045160'!G41+'7.8 parkoló 045170'!G41+'7.9 kábeltv 046020'!G41+'7.10 piac 047120'!G41+'7.11 tdm tám047320'!G41+'7.12 szemét 051030'!G41+'7.13 szennyvíz 052080'!G41+'7.14 víz 063080'!G41+'7.15 közvil 064010'!G41+'7.16 zöldterület 066010'!G41+'7.17 város 066020'!G41+'7.18 háziorvos 072111'!G41+'7.19 ügyelet 072112'!G41+'7.20 fülészet 072210'!G41+'7.21 védőnők 074031'!G41+'7.22 isk eü 074032'!G41+'7.23 sportcsépület 081030'!G41+'7.24 sport tám 081041'!G41+'7.25 diáksport 081043'!G41+'7.26 közműv 082091'!G41+'7.27 közműv 082092'!G41+'7.28  óvoda 091140'!G41+'7.29 intézmkiv gyétk 104037'!G41+'7.30 szoc étk 107051'!G41+'7.31 segélyek 107060'!G41+'7.32 adóbev 900020'!G41+'7.33 pályázatok összesen'!G41+'7.6 út építés 045127'!G41</f>
        <v>0</v>
      </c>
      <c r="H41" s="247">
        <f t="shared" si="1"/>
        <v>0</v>
      </c>
      <c r="I41" s="246">
        <f ca="1">'7.1. igazg 011130'!I41+'7.2 temető 013320'!I41+'7.3. vagyon 013350'!I41+'7.4 018010'!I41+'7.5 finansz műveletek 018030'!I41+'7.7 közütak működtetés 045160'!I41+'7.8 parkoló 045170'!I41+'7.9 kábeltv 046020'!I41+'7.10 piac 047120'!I41+'7.11 tdm tám047320'!I41+'7.12 szemét 051030'!I41+'7.13 szennyvíz 052080'!I41+'7.14 víz 063080'!I41+'7.15 közvil 064010'!I41+'7.16 zöldterület 066010'!I41+'7.17 város 066020'!I41+'7.18 háziorvos 072111'!I41+'7.19 ügyelet 072112'!I41+'7.20 fülészet 072210'!I41+'7.21 védőnők 074031'!I41+'7.22 isk eü 074032'!I41+'7.23 sportcsépület 081030'!I41+'7.24 sport tám 081041'!I41+'7.25 diáksport 081043'!I41+'7.26 közműv 082091'!I41+'7.27 közműv 082092'!I41+'7.28  óvoda 091140'!I41+'7.29 intézmkiv gyétk 104037'!I41+'7.30 szoc étk 107051'!I41+'7.31 segélyek 107060'!I41+'7.32 adóbev 900020'!I41+'7.33 pályázatok összesen'!I41+'7.6 út építés 045127'!I41</f>
        <v>0</v>
      </c>
      <c r="J41" s="246">
        <f>'7.1. igazg 011130'!J41+'7.2 temető 013320'!J41+'7.3. vagyon 013350'!J41+'7.4 018010'!J41+'7.5 finansz műveletek 018030'!J41+'7.7 közütak működtetés 045160'!J41+'7.8 parkoló 045170'!J41+'7.9 kábeltv 046020'!J41+'7.10 piac 047120'!J41+'7.11 tdm tám047320'!J41+'7.12 szemét 051030'!J41+'7.13 szennyvíz 052080'!J41+'7.14 víz 063080'!J41+'7.15 közvil 064010'!J41+'7.16 zöldterület 066010'!J41+'7.17 város 066020'!J41+'7.18 háziorvos 072111'!J41+'7.19 ügyelet 072112'!J41+'7.20 fülészet 072210'!J41+'7.21 védőnők 074031'!J41+'7.22 isk eü 074032'!J41+'7.23 sportcsépület 081030'!J41+'7.24 sport tám 081041'!J41+'7.25 diáksport 081043'!J41+'7.26 közműv 082091'!J41+'7.27 közműv 082092'!J41+'7.28  óvoda 091140'!J41+'7.29 intézmkiv gyétk 104037'!J41+'7.30 szoc étk 107051'!J41+'7.31 segélyek 107060'!J41+'7.32 adóbev 900020'!J41+'7.33 pályázatok összesen'!J41+'7.6 út építés 045127'!J41</f>
        <v>0</v>
      </c>
      <c r="K41" s="247">
        <f t="shared" ca="1" si="2"/>
        <v>0</v>
      </c>
      <c r="L41" s="246">
        <f ca="1">'7.1. igazg 011130'!L41+'7.2 temető 013320'!L41+'7.3. vagyon 013350'!L41+'7.4 018010'!L41+'7.5 finansz műveletek 018030'!L41+'7.7 közütak működtetés 045160'!L41+'7.8 parkoló 045170'!L41+'7.9 kábeltv 046020'!L41+'7.10 piac 047120'!L41+'7.11 tdm tám047320'!L41+'7.12 szemét 051030'!L41+'7.13 szennyvíz 052080'!L41+'7.14 víz 063080'!L41+'7.15 közvil 064010'!L41+'7.16 zöldterület 066010'!L41+'7.17 város 066020'!L41+'7.18 háziorvos 072111'!L41+'7.19 ügyelet 072112'!L41+'7.20 fülészet 072210'!L41+'7.21 védőnők 074031'!L41+'7.22 isk eü 074032'!L41+'7.23 sportcsépület 081030'!L41+'7.24 sport tám 081041'!L41+'7.25 diáksport 081043'!L41+'7.26 közműv 082091'!L41+'7.27 közműv 082092'!L41+'7.28  óvoda 091140'!L41+'7.29 intézmkiv gyétk 104037'!L41+'7.30 szoc étk 107051'!L41+'7.31 segélyek 107060'!L41+'7.32 adóbev 900020'!L41+'7.33 pályázatok összesen'!L41+'7.6 út építés 045127'!L41</f>
        <v>0</v>
      </c>
      <c r="M41" s="246">
        <f>'7.1. igazg 011130'!M41+'7.2 temető 013320'!M41+'7.3. vagyon 013350'!M41+'7.4 018010'!M41+'7.5 finansz műveletek 018030'!M41+'7.7 közütak működtetés 045160'!M41+'7.8 parkoló 045170'!M41+'7.9 kábeltv 046020'!M41+'7.10 piac 047120'!M41+'7.11 tdm tám047320'!M41+'7.12 szemét 051030'!M41+'7.13 szennyvíz 052080'!M41+'7.14 víz 063080'!M41+'7.15 közvil 064010'!M41+'7.16 zöldterület 066010'!M41+'7.17 város 066020'!M41+'7.18 háziorvos 072111'!M41+'7.19 ügyelet 072112'!M41+'7.20 fülészet 072210'!M41+'7.21 védőnők 074031'!M41+'7.22 isk eü 074032'!M41+'7.23 sportcsépület 081030'!M41+'7.24 sport tám 081041'!M41+'7.25 diáksport 081043'!M41+'7.26 közműv 082091'!M41+'7.27 közműv 082092'!M41+'7.28  óvoda 091140'!M41+'7.29 intézmkiv gyétk 104037'!M41+'7.30 szoc étk 107051'!M41+'7.31 segélyek 107060'!M41+'7.32 adóbev 900020'!M41+'7.33 pályázatok összesen'!M41+'7.6 út építés 045127'!M41</f>
        <v>0</v>
      </c>
      <c r="N41" s="247">
        <f t="shared" ca="1" si="3"/>
        <v>0</v>
      </c>
    </row>
    <row r="42" spans="1:23" x14ac:dyDescent="0.25">
      <c r="A42" s="53"/>
      <c r="B42" s="62" t="s">
        <v>91</v>
      </c>
      <c r="C42" s="246">
        <f>'7.1. igazg 011130'!C42+'7.2 temető 013320'!C42+'7.3. vagyon 013350'!C42+'7.4 018010'!C42+'7.5 finansz műveletek 018030'!C42+'7.7 közütak működtetés 045160'!C42+'7.8 parkoló 045170'!C42+'7.9 kábeltv 046020'!C42+'7.10 piac 047120'!C42+'7.11 tdm tám047320'!C42+'7.12 szemét 051030'!C42+'7.13 szennyvíz 052080'!C42+'7.14 víz 063080'!C42+'7.15 közvil 064010'!C42+'7.16 zöldterület 066010'!C42+'7.17 város 066020'!C42+'7.18 háziorvos 072111'!C42+'7.19 ügyelet 072112'!C42+'7.20 fülészet 072210'!C42+'7.21 védőnők 074031'!C42+'7.22 isk eü 074032'!C42+'7.23 sportcsépület 081030'!C42+'7.24 sport tám 081041'!C42+'7.25 diáksport 081043'!C42+'7.26 közműv 082091'!C42+'7.27 közműv 082092'!C42+'7.28  óvoda 091140'!C42+'7.29 intézmkiv gyétk 104037'!C42+'7.30 szoc étk 107051'!C42+'7.31 segélyek 107060'!C42+'7.32 adóbev 900020'!C42+'7.33 pályázatok összesen'!C42+'7.6 út építés 045127'!C42</f>
        <v>11000000</v>
      </c>
      <c r="D42" s="246">
        <f>'7.1. igazg 011130'!D42+'7.2 temető 013320'!D42+'7.3. vagyon 013350'!D42+'7.4 018010'!D42+'7.5 finansz műveletek 018030'!D42+'7.7 közütak működtetés 045160'!D42+'7.8 parkoló 045170'!D42+'7.9 kábeltv 046020'!D42+'7.10 piac 047120'!D42+'7.11 tdm tám047320'!D42+'7.12 szemét 051030'!D42+'7.13 szennyvíz 052080'!D42+'7.14 víz 063080'!D42+'7.15 közvil 064010'!D42+'7.16 zöldterület 066010'!D42+'7.17 város 066020'!D42+'7.18 háziorvos 072111'!D42+'7.19 ügyelet 072112'!D42+'7.20 fülészet 072210'!D42+'7.21 védőnők 074031'!D42+'7.22 isk eü 074032'!D42+'7.23 sportcsépület 081030'!D42+'7.24 sport tám 081041'!D42+'7.25 diáksport 081043'!D42+'7.26 közműv 082091'!D42+'7.27 közműv 082092'!D42+'7.28  óvoda 091140'!D42+'7.29 intézmkiv gyétk 104037'!D42+'7.30 szoc étk 107051'!D42+'7.31 segélyek 107060'!D42+'7.32 adóbev 900020'!D42+'7.33 pályázatok összesen'!D42+'7.6 út építés 045127'!D42</f>
        <v>0</v>
      </c>
      <c r="E42" s="247">
        <f t="shared" si="0"/>
        <v>11000000</v>
      </c>
      <c r="F42" s="246">
        <f>'7.1. igazg 011130'!F42+'7.2 temető 013320'!F42+'7.3. vagyon 013350'!F42+'7.4 018010'!F42+'7.5 finansz műveletek 018030'!F42+'7.7 közütak működtetés 045160'!F42+'7.8 parkoló 045170'!F42+'7.9 kábeltv 046020'!F42+'7.10 piac 047120'!F42+'7.11 tdm tám047320'!F42+'7.12 szemét 051030'!F42+'7.13 szennyvíz 052080'!F42+'7.14 víz 063080'!F42+'7.15 közvil 064010'!F42+'7.16 zöldterület 066010'!F42+'7.17 város 066020'!F42+'7.18 háziorvos 072111'!F42+'7.19 ügyelet 072112'!F42+'7.20 fülészet 072210'!F42+'7.21 védőnők 074031'!F42+'7.22 isk eü 074032'!F42+'7.23 sportcsépület 081030'!F42+'7.24 sport tám 081041'!F42+'7.25 diáksport 081043'!F42+'7.26 közműv 082091'!F42+'7.27 közműv 082092'!F42+'7.28  óvoda 091140'!F42+'7.29 intézmkiv gyétk 104037'!F42+'7.30 szoc étk 107051'!F42+'7.31 segélyek 107060'!F42+'7.32 adóbev 900020'!F42+'7.33 pályázatok összesen'!F42+'7.6 út építés 045127'!F42</f>
        <v>11000000</v>
      </c>
      <c r="G42" s="246">
        <f>'7.1. igazg 011130'!G42+'7.2 temető 013320'!G42+'7.3. vagyon 013350'!G42+'7.4 018010'!G42+'7.5 finansz műveletek 018030'!G42+'7.7 közütak működtetés 045160'!G42+'7.8 parkoló 045170'!G42+'7.9 kábeltv 046020'!G42+'7.10 piac 047120'!G42+'7.11 tdm tám047320'!G42+'7.12 szemét 051030'!G42+'7.13 szennyvíz 052080'!G42+'7.14 víz 063080'!G42+'7.15 közvil 064010'!G42+'7.16 zöldterület 066010'!G42+'7.17 város 066020'!G42+'7.18 háziorvos 072111'!G42+'7.19 ügyelet 072112'!G42+'7.20 fülészet 072210'!G42+'7.21 védőnők 074031'!G42+'7.22 isk eü 074032'!G42+'7.23 sportcsépület 081030'!G42+'7.24 sport tám 081041'!G42+'7.25 diáksport 081043'!G42+'7.26 közműv 082091'!G42+'7.27 közműv 082092'!G42+'7.28  óvoda 091140'!G42+'7.29 intézmkiv gyétk 104037'!G42+'7.30 szoc étk 107051'!G42+'7.31 segélyek 107060'!G42+'7.32 adóbev 900020'!G42+'7.33 pályázatok összesen'!G42+'7.6 út építés 045127'!G42</f>
        <v>0</v>
      </c>
      <c r="H42" s="247">
        <f t="shared" si="1"/>
        <v>11000000</v>
      </c>
      <c r="I42" s="246">
        <f ca="1">'7.1. igazg 011130'!I42+'7.2 temető 013320'!I42+'7.3. vagyon 013350'!I42+'7.4 018010'!I42+'7.5 finansz műveletek 018030'!I42+'7.7 közütak működtetés 045160'!I42+'7.8 parkoló 045170'!I42+'7.9 kábeltv 046020'!I42+'7.10 piac 047120'!I42+'7.11 tdm tám047320'!I42+'7.12 szemét 051030'!I42+'7.13 szennyvíz 052080'!I42+'7.14 víz 063080'!I42+'7.15 közvil 064010'!I42+'7.16 zöldterület 066010'!I42+'7.17 város 066020'!I42+'7.18 háziorvos 072111'!I42+'7.19 ügyelet 072112'!I42+'7.20 fülészet 072210'!I42+'7.21 védőnők 074031'!I42+'7.22 isk eü 074032'!I42+'7.23 sportcsépület 081030'!I42+'7.24 sport tám 081041'!I42+'7.25 diáksport 081043'!I42+'7.26 közműv 082091'!I42+'7.27 közműv 082092'!I42+'7.28  óvoda 091140'!I42+'7.29 intézmkiv gyétk 104037'!I42+'7.30 szoc étk 107051'!I42+'7.31 segélyek 107060'!I42+'7.32 adóbev 900020'!I42+'7.33 pályázatok összesen'!I42+'7.6 út építés 045127'!I42</f>
        <v>11000000</v>
      </c>
      <c r="J42" s="246">
        <f>'7.1. igazg 011130'!J42+'7.2 temető 013320'!J42+'7.3. vagyon 013350'!J42+'7.4 018010'!J42+'7.5 finansz műveletek 018030'!J42+'7.7 közütak működtetés 045160'!J42+'7.8 parkoló 045170'!J42+'7.9 kábeltv 046020'!J42+'7.10 piac 047120'!J42+'7.11 tdm tám047320'!J42+'7.12 szemét 051030'!J42+'7.13 szennyvíz 052080'!J42+'7.14 víz 063080'!J42+'7.15 közvil 064010'!J42+'7.16 zöldterület 066010'!J42+'7.17 város 066020'!J42+'7.18 háziorvos 072111'!J42+'7.19 ügyelet 072112'!J42+'7.20 fülészet 072210'!J42+'7.21 védőnők 074031'!J42+'7.22 isk eü 074032'!J42+'7.23 sportcsépület 081030'!J42+'7.24 sport tám 081041'!J42+'7.25 diáksport 081043'!J42+'7.26 közműv 082091'!J42+'7.27 közműv 082092'!J42+'7.28  óvoda 091140'!J42+'7.29 intézmkiv gyétk 104037'!J42+'7.30 szoc étk 107051'!J42+'7.31 segélyek 107060'!J42+'7.32 adóbev 900020'!J42+'7.33 pályázatok összesen'!J42+'7.6 út építés 045127'!J42</f>
        <v>0</v>
      </c>
      <c r="K42" s="247">
        <f t="shared" ca="1" si="2"/>
        <v>11000000</v>
      </c>
      <c r="L42" s="246">
        <f ca="1">'7.1. igazg 011130'!L42+'7.2 temető 013320'!L42+'7.3. vagyon 013350'!L42+'7.4 018010'!L42+'7.5 finansz műveletek 018030'!L42+'7.7 közütak működtetés 045160'!L42+'7.8 parkoló 045170'!L42+'7.9 kábeltv 046020'!L42+'7.10 piac 047120'!L42+'7.11 tdm tám047320'!L42+'7.12 szemét 051030'!L42+'7.13 szennyvíz 052080'!L42+'7.14 víz 063080'!L42+'7.15 közvil 064010'!L42+'7.16 zöldterület 066010'!L42+'7.17 város 066020'!L42+'7.18 háziorvos 072111'!L42+'7.19 ügyelet 072112'!L42+'7.20 fülészet 072210'!L42+'7.21 védőnők 074031'!L42+'7.22 isk eü 074032'!L42+'7.23 sportcsépület 081030'!L42+'7.24 sport tám 081041'!L42+'7.25 diáksport 081043'!L42+'7.26 közműv 082091'!L42+'7.27 közműv 082092'!L42+'7.28  óvoda 091140'!L42+'7.29 intézmkiv gyétk 104037'!L42+'7.30 szoc étk 107051'!L42+'7.31 segélyek 107060'!L42+'7.32 adóbev 900020'!L42+'7.33 pályázatok összesen'!L42+'7.6 út építés 045127'!L42</f>
        <v>10560317</v>
      </c>
      <c r="M42" s="246">
        <f>'7.1. igazg 011130'!M42+'7.2 temető 013320'!M42+'7.3. vagyon 013350'!M42+'7.4 018010'!M42+'7.5 finansz műveletek 018030'!M42+'7.7 közütak működtetés 045160'!M42+'7.8 parkoló 045170'!M42+'7.9 kábeltv 046020'!M42+'7.10 piac 047120'!M42+'7.11 tdm tám047320'!M42+'7.12 szemét 051030'!M42+'7.13 szennyvíz 052080'!M42+'7.14 víz 063080'!M42+'7.15 közvil 064010'!M42+'7.16 zöldterület 066010'!M42+'7.17 város 066020'!M42+'7.18 háziorvos 072111'!M42+'7.19 ügyelet 072112'!M42+'7.20 fülészet 072210'!M42+'7.21 védőnők 074031'!M42+'7.22 isk eü 074032'!M42+'7.23 sportcsépület 081030'!M42+'7.24 sport tám 081041'!M42+'7.25 diáksport 081043'!M42+'7.26 közműv 082091'!M42+'7.27 közműv 082092'!M42+'7.28  óvoda 091140'!M42+'7.29 intézmkiv gyétk 104037'!M42+'7.30 szoc étk 107051'!M42+'7.31 segélyek 107060'!M42+'7.32 adóbev 900020'!M42+'7.33 pályázatok összesen'!M42+'7.6 út építés 045127'!M42</f>
        <v>0</v>
      </c>
      <c r="N42" s="247">
        <f t="shared" ca="1" si="3"/>
        <v>10560317</v>
      </c>
    </row>
    <row r="43" spans="1:23" x14ac:dyDescent="0.25">
      <c r="A43" s="53"/>
      <c r="B43" s="62" t="s">
        <v>92</v>
      </c>
      <c r="C43" s="246">
        <f>'7.1. igazg 011130'!C43+'7.2 temető 013320'!C43+'7.3. vagyon 013350'!C43+'7.4 018010'!C43+'7.5 finansz műveletek 018030'!C43+'7.7 közütak működtetés 045160'!C43+'7.8 parkoló 045170'!C43+'7.9 kábeltv 046020'!C43+'7.10 piac 047120'!C43+'7.11 tdm tám047320'!C43+'7.12 szemét 051030'!C43+'7.13 szennyvíz 052080'!C43+'7.14 víz 063080'!C43+'7.15 közvil 064010'!C43+'7.16 zöldterület 066010'!C43+'7.17 város 066020'!C43+'7.18 háziorvos 072111'!C43+'7.19 ügyelet 072112'!C43+'7.20 fülészet 072210'!C43+'7.21 védőnők 074031'!C43+'7.22 isk eü 074032'!C43+'7.23 sportcsépület 081030'!C43+'7.24 sport tám 081041'!C43+'7.25 diáksport 081043'!C43+'7.26 közműv 082091'!C43+'7.27 közműv 082092'!C43+'7.28  óvoda 091140'!C43+'7.29 intézmkiv gyétk 104037'!C43+'7.30 szoc étk 107051'!C43+'7.31 segélyek 107060'!C43+'7.32 adóbev 900020'!C43+'7.33 pályázatok összesen'!C43+'7.6 út építés 045127'!C43</f>
        <v>0</v>
      </c>
      <c r="D43" s="246">
        <f>'7.1. igazg 011130'!D43+'7.2 temető 013320'!D43+'7.3. vagyon 013350'!D43+'7.4 018010'!D43+'7.5 finansz műveletek 018030'!D43+'7.7 közütak működtetés 045160'!D43+'7.8 parkoló 045170'!D43+'7.9 kábeltv 046020'!D43+'7.10 piac 047120'!D43+'7.11 tdm tám047320'!D43+'7.12 szemét 051030'!D43+'7.13 szennyvíz 052080'!D43+'7.14 víz 063080'!D43+'7.15 közvil 064010'!D43+'7.16 zöldterület 066010'!D43+'7.17 város 066020'!D43+'7.18 háziorvos 072111'!D43+'7.19 ügyelet 072112'!D43+'7.20 fülészet 072210'!D43+'7.21 védőnők 074031'!D43+'7.22 isk eü 074032'!D43+'7.23 sportcsépület 081030'!D43+'7.24 sport tám 081041'!D43+'7.25 diáksport 081043'!D43+'7.26 közműv 082091'!D43+'7.27 közműv 082092'!D43+'7.28  óvoda 091140'!D43+'7.29 intézmkiv gyétk 104037'!D43+'7.30 szoc étk 107051'!D43+'7.31 segélyek 107060'!D43+'7.32 adóbev 900020'!D43+'7.33 pályázatok összesen'!D43+'7.6 út építés 045127'!D43</f>
        <v>0</v>
      </c>
      <c r="E43" s="247">
        <f t="shared" si="0"/>
        <v>0</v>
      </c>
      <c r="F43" s="246">
        <f>'7.1. igazg 011130'!F43+'7.2 temető 013320'!F43+'7.3. vagyon 013350'!F43+'7.4 018010'!F43+'7.5 finansz műveletek 018030'!F43+'7.7 közütak működtetés 045160'!F43+'7.8 parkoló 045170'!F43+'7.9 kábeltv 046020'!F43+'7.10 piac 047120'!F43+'7.11 tdm tám047320'!F43+'7.12 szemét 051030'!F43+'7.13 szennyvíz 052080'!F43+'7.14 víz 063080'!F43+'7.15 közvil 064010'!F43+'7.16 zöldterület 066010'!F43+'7.17 város 066020'!F43+'7.18 háziorvos 072111'!F43+'7.19 ügyelet 072112'!F43+'7.20 fülészet 072210'!F43+'7.21 védőnők 074031'!F43+'7.22 isk eü 074032'!F43+'7.23 sportcsépület 081030'!F43+'7.24 sport tám 081041'!F43+'7.25 diáksport 081043'!F43+'7.26 közműv 082091'!F43+'7.27 közműv 082092'!F43+'7.28  óvoda 091140'!F43+'7.29 intézmkiv gyétk 104037'!F43+'7.30 szoc étk 107051'!F43+'7.31 segélyek 107060'!F43+'7.32 adóbev 900020'!F43+'7.33 pályázatok összesen'!F43+'7.6 út építés 045127'!F43</f>
        <v>0</v>
      </c>
      <c r="G43" s="246">
        <f>'7.1. igazg 011130'!G43+'7.2 temető 013320'!G43+'7.3. vagyon 013350'!G43+'7.4 018010'!G43+'7.5 finansz műveletek 018030'!G43+'7.7 közütak működtetés 045160'!G43+'7.8 parkoló 045170'!G43+'7.9 kábeltv 046020'!G43+'7.10 piac 047120'!G43+'7.11 tdm tám047320'!G43+'7.12 szemét 051030'!G43+'7.13 szennyvíz 052080'!G43+'7.14 víz 063080'!G43+'7.15 közvil 064010'!G43+'7.16 zöldterület 066010'!G43+'7.17 város 066020'!G43+'7.18 háziorvos 072111'!G43+'7.19 ügyelet 072112'!G43+'7.20 fülészet 072210'!G43+'7.21 védőnők 074031'!G43+'7.22 isk eü 074032'!G43+'7.23 sportcsépület 081030'!G43+'7.24 sport tám 081041'!G43+'7.25 diáksport 081043'!G43+'7.26 közműv 082091'!G43+'7.27 közműv 082092'!G43+'7.28  óvoda 091140'!G43+'7.29 intézmkiv gyétk 104037'!G43+'7.30 szoc étk 107051'!G43+'7.31 segélyek 107060'!G43+'7.32 adóbev 900020'!G43+'7.33 pályázatok összesen'!G43+'7.6 út építés 045127'!G43</f>
        <v>0</v>
      </c>
      <c r="H43" s="247">
        <f t="shared" si="1"/>
        <v>0</v>
      </c>
      <c r="I43" s="246">
        <f ca="1">'7.1. igazg 011130'!I43+'7.2 temető 013320'!I43+'7.3. vagyon 013350'!I43+'7.4 018010'!I43+'7.5 finansz műveletek 018030'!I43+'7.7 közütak működtetés 045160'!I43+'7.8 parkoló 045170'!I43+'7.9 kábeltv 046020'!I43+'7.10 piac 047120'!I43+'7.11 tdm tám047320'!I43+'7.12 szemét 051030'!I43+'7.13 szennyvíz 052080'!I43+'7.14 víz 063080'!I43+'7.15 közvil 064010'!I43+'7.16 zöldterület 066010'!I43+'7.17 város 066020'!I43+'7.18 háziorvos 072111'!I43+'7.19 ügyelet 072112'!I43+'7.20 fülészet 072210'!I43+'7.21 védőnők 074031'!I43+'7.22 isk eü 074032'!I43+'7.23 sportcsépület 081030'!I43+'7.24 sport tám 081041'!I43+'7.25 diáksport 081043'!I43+'7.26 közműv 082091'!I43+'7.27 közműv 082092'!I43+'7.28  óvoda 091140'!I43+'7.29 intézmkiv gyétk 104037'!I43+'7.30 szoc étk 107051'!I43+'7.31 segélyek 107060'!I43+'7.32 adóbev 900020'!I43+'7.33 pályázatok összesen'!I43+'7.6 út építés 045127'!I43</f>
        <v>0</v>
      </c>
      <c r="J43" s="246">
        <f>'7.1. igazg 011130'!J43+'7.2 temető 013320'!J43+'7.3. vagyon 013350'!J43+'7.4 018010'!J43+'7.5 finansz műveletek 018030'!J43+'7.7 közütak működtetés 045160'!J43+'7.8 parkoló 045170'!J43+'7.9 kábeltv 046020'!J43+'7.10 piac 047120'!J43+'7.11 tdm tám047320'!J43+'7.12 szemét 051030'!J43+'7.13 szennyvíz 052080'!J43+'7.14 víz 063080'!J43+'7.15 közvil 064010'!J43+'7.16 zöldterület 066010'!J43+'7.17 város 066020'!J43+'7.18 háziorvos 072111'!J43+'7.19 ügyelet 072112'!J43+'7.20 fülészet 072210'!J43+'7.21 védőnők 074031'!J43+'7.22 isk eü 074032'!J43+'7.23 sportcsépület 081030'!J43+'7.24 sport tám 081041'!J43+'7.25 diáksport 081043'!J43+'7.26 közműv 082091'!J43+'7.27 közműv 082092'!J43+'7.28  óvoda 091140'!J43+'7.29 intézmkiv gyétk 104037'!J43+'7.30 szoc étk 107051'!J43+'7.31 segélyek 107060'!J43+'7.32 adóbev 900020'!J43+'7.33 pályázatok összesen'!J43+'7.6 út építés 045127'!J43</f>
        <v>0</v>
      </c>
      <c r="K43" s="247">
        <f t="shared" ca="1" si="2"/>
        <v>0</v>
      </c>
      <c r="L43" s="246">
        <f ca="1">'7.1. igazg 011130'!L43+'7.2 temető 013320'!L43+'7.3. vagyon 013350'!L43+'7.4 018010'!L43+'7.5 finansz műveletek 018030'!L43+'7.7 közütak működtetés 045160'!L43+'7.8 parkoló 045170'!L43+'7.9 kábeltv 046020'!L43+'7.10 piac 047120'!L43+'7.11 tdm tám047320'!L43+'7.12 szemét 051030'!L43+'7.13 szennyvíz 052080'!L43+'7.14 víz 063080'!L43+'7.15 közvil 064010'!L43+'7.16 zöldterület 066010'!L43+'7.17 város 066020'!L43+'7.18 háziorvos 072111'!L43+'7.19 ügyelet 072112'!L43+'7.20 fülészet 072210'!L43+'7.21 védőnők 074031'!L43+'7.22 isk eü 074032'!L43+'7.23 sportcsépület 081030'!L43+'7.24 sport tám 081041'!L43+'7.25 diáksport 081043'!L43+'7.26 közműv 082091'!L43+'7.27 közműv 082092'!L43+'7.28  óvoda 091140'!L43+'7.29 intézmkiv gyétk 104037'!L43+'7.30 szoc étk 107051'!L43+'7.31 segélyek 107060'!L43+'7.32 adóbev 900020'!L43+'7.33 pályázatok összesen'!L43+'7.6 út építés 045127'!L43</f>
        <v>0</v>
      </c>
      <c r="M43" s="246">
        <f>'7.1. igazg 011130'!M43+'7.2 temető 013320'!M43+'7.3. vagyon 013350'!M43+'7.4 018010'!M43+'7.5 finansz műveletek 018030'!M43+'7.7 közütak működtetés 045160'!M43+'7.8 parkoló 045170'!M43+'7.9 kábeltv 046020'!M43+'7.10 piac 047120'!M43+'7.11 tdm tám047320'!M43+'7.12 szemét 051030'!M43+'7.13 szennyvíz 052080'!M43+'7.14 víz 063080'!M43+'7.15 közvil 064010'!M43+'7.16 zöldterület 066010'!M43+'7.17 város 066020'!M43+'7.18 háziorvos 072111'!M43+'7.19 ügyelet 072112'!M43+'7.20 fülészet 072210'!M43+'7.21 védőnők 074031'!M43+'7.22 isk eü 074032'!M43+'7.23 sportcsépület 081030'!M43+'7.24 sport tám 081041'!M43+'7.25 diáksport 081043'!M43+'7.26 közműv 082091'!M43+'7.27 közműv 082092'!M43+'7.28  óvoda 091140'!M43+'7.29 intézmkiv gyétk 104037'!M43+'7.30 szoc étk 107051'!M43+'7.31 segélyek 107060'!M43+'7.32 adóbev 900020'!M43+'7.33 pályázatok összesen'!M43+'7.6 út építés 045127'!M43</f>
        <v>0</v>
      </c>
      <c r="N43" s="247">
        <f t="shared" ca="1" si="3"/>
        <v>0</v>
      </c>
    </row>
    <row r="44" spans="1:23" ht="15.75" thickBot="1" x14ac:dyDescent="0.3">
      <c r="A44" s="55"/>
      <c r="B44" s="64" t="s">
        <v>93</v>
      </c>
      <c r="C44" s="248">
        <f>'7.1. igazg 011130'!C44+'7.2 temető 013320'!C44+'7.3. vagyon 013350'!C44+'7.4 018010'!C44+'7.5 finansz műveletek 018030'!C44+'7.7 közütak működtetés 045160'!C44+'7.8 parkoló 045170'!C44+'7.9 kábeltv 046020'!C44+'7.10 piac 047120'!C44+'7.11 tdm tám047320'!C44+'7.12 szemét 051030'!C44+'7.13 szennyvíz 052080'!C44+'7.14 víz 063080'!C44+'7.15 közvil 064010'!C44+'7.16 zöldterület 066010'!C44+'7.17 város 066020'!C44+'7.18 háziorvos 072111'!C44+'7.19 ügyelet 072112'!C44+'7.20 fülészet 072210'!C44+'7.21 védőnők 074031'!C44+'7.22 isk eü 074032'!C44+'7.23 sportcsépület 081030'!C44+'7.24 sport tám 081041'!C44+'7.25 diáksport 081043'!C44+'7.26 közműv 082091'!C44+'7.27 közműv 082092'!C44+'7.28  óvoda 091140'!C44+'7.29 intézmkiv gyétk 104037'!C44+'7.30 szoc étk 107051'!C44+'7.31 segélyek 107060'!C44+'7.32 adóbev 900020'!C44+'7.33 pályázatok összesen'!C44+'7.6 út építés 045127'!C44</f>
        <v>0</v>
      </c>
      <c r="D44" s="248">
        <f>'7.1. igazg 011130'!D44+'7.2 temető 013320'!D44+'7.3. vagyon 013350'!D44+'7.4 018010'!D44+'7.5 finansz műveletek 018030'!D44+'7.7 közütak működtetés 045160'!D44+'7.8 parkoló 045170'!D44+'7.9 kábeltv 046020'!D44+'7.10 piac 047120'!D44+'7.11 tdm tám047320'!D44+'7.12 szemét 051030'!D44+'7.13 szennyvíz 052080'!D44+'7.14 víz 063080'!D44+'7.15 közvil 064010'!D44+'7.16 zöldterület 066010'!D44+'7.17 város 066020'!D44+'7.18 háziorvos 072111'!D44+'7.19 ügyelet 072112'!D44+'7.20 fülészet 072210'!D44+'7.21 védőnők 074031'!D44+'7.22 isk eü 074032'!D44+'7.23 sportcsépület 081030'!D44+'7.24 sport tám 081041'!D44+'7.25 diáksport 081043'!D44+'7.26 közműv 082091'!D44+'7.27 közműv 082092'!D44+'7.28  óvoda 091140'!D44+'7.29 intézmkiv gyétk 104037'!D44+'7.30 szoc étk 107051'!D44+'7.31 segélyek 107060'!D44+'7.32 adóbev 900020'!D44+'7.33 pályázatok összesen'!D44+'7.6 út építés 045127'!D44</f>
        <v>0</v>
      </c>
      <c r="E44" s="249">
        <f t="shared" si="0"/>
        <v>0</v>
      </c>
      <c r="F44" s="248">
        <f>'7.1. igazg 011130'!F44+'7.2 temető 013320'!F44+'7.3. vagyon 013350'!F44+'7.4 018010'!F44+'7.5 finansz műveletek 018030'!F44+'7.7 közütak működtetés 045160'!F44+'7.8 parkoló 045170'!F44+'7.9 kábeltv 046020'!F44+'7.10 piac 047120'!F44+'7.11 tdm tám047320'!F44+'7.12 szemét 051030'!F44+'7.13 szennyvíz 052080'!F44+'7.14 víz 063080'!F44+'7.15 közvil 064010'!F44+'7.16 zöldterület 066010'!F44+'7.17 város 066020'!F44+'7.18 háziorvos 072111'!F44+'7.19 ügyelet 072112'!F44+'7.20 fülészet 072210'!F44+'7.21 védőnők 074031'!F44+'7.22 isk eü 074032'!F44+'7.23 sportcsépület 081030'!F44+'7.24 sport tám 081041'!F44+'7.25 diáksport 081043'!F44+'7.26 közműv 082091'!F44+'7.27 közműv 082092'!F44+'7.28  óvoda 091140'!F44+'7.29 intézmkiv gyétk 104037'!F44+'7.30 szoc étk 107051'!F44+'7.31 segélyek 107060'!F44+'7.32 adóbev 900020'!F44+'7.33 pályázatok összesen'!F44+'7.6 út építés 045127'!F44</f>
        <v>0</v>
      </c>
      <c r="G44" s="248">
        <f>'7.1. igazg 011130'!G44+'7.2 temető 013320'!G44+'7.3. vagyon 013350'!G44+'7.4 018010'!G44+'7.5 finansz műveletek 018030'!G44+'7.7 közütak működtetés 045160'!G44+'7.8 parkoló 045170'!G44+'7.9 kábeltv 046020'!G44+'7.10 piac 047120'!G44+'7.11 tdm tám047320'!G44+'7.12 szemét 051030'!G44+'7.13 szennyvíz 052080'!G44+'7.14 víz 063080'!G44+'7.15 közvil 064010'!G44+'7.16 zöldterület 066010'!G44+'7.17 város 066020'!G44+'7.18 háziorvos 072111'!G44+'7.19 ügyelet 072112'!G44+'7.20 fülészet 072210'!G44+'7.21 védőnők 074031'!G44+'7.22 isk eü 074032'!G44+'7.23 sportcsépület 081030'!G44+'7.24 sport tám 081041'!G44+'7.25 diáksport 081043'!G44+'7.26 közműv 082091'!G44+'7.27 közműv 082092'!G44+'7.28  óvoda 091140'!G44+'7.29 intézmkiv gyétk 104037'!G44+'7.30 szoc étk 107051'!G44+'7.31 segélyek 107060'!G44+'7.32 adóbev 900020'!G44+'7.33 pályázatok összesen'!G44+'7.6 út építés 045127'!G44</f>
        <v>0</v>
      </c>
      <c r="H44" s="249">
        <f t="shared" si="1"/>
        <v>0</v>
      </c>
      <c r="I44" s="248">
        <f ca="1">'7.1. igazg 011130'!I44+'7.2 temető 013320'!I44+'7.3. vagyon 013350'!I44+'7.4 018010'!I44+'7.5 finansz műveletek 018030'!I44+'7.7 közütak működtetés 045160'!I44+'7.8 parkoló 045170'!I44+'7.9 kábeltv 046020'!I44+'7.10 piac 047120'!I44+'7.11 tdm tám047320'!I44+'7.12 szemét 051030'!I44+'7.13 szennyvíz 052080'!I44+'7.14 víz 063080'!I44+'7.15 közvil 064010'!I44+'7.16 zöldterület 066010'!I44+'7.17 város 066020'!I44+'7.18 háziorvos 072111'!I44+'7.19 ügyelet 072112'!I44+'7.20 fülészet 072210'!I44+'7.21 védőnők 074031'!I44+'7.22 isk eü 074032'!I44+'7.23 sportcsépület 081030'!I44+'7.24 sport tám 081041'!I44+'7.25 diáksport 081043'!I44+'7.26 közműv 082091'!I44+'7.27 közműv 082092'!I44+'7.28  óvoda 091140'!I44+'7.29 intézmkiv gyétk 104037'!I44+'7.30 szoc étk 107051'!I44+'7.31 segélyek 107060'!I44+'7.32 adóbev 900020'!I44+'7.33 pályázatok összesen'!I44+'7.6 út építés 045127'!I44</f>
        <v>0</v>
      </c>
      <c r="J44" s="248">
        <f>'7.1. igazg 011130'!J44+'7.2 temető 013320'!J44+'7.3. vagyon 013350'!J44+'7.4 018010'!J44+'7.5 finansz műveletek 018030'!J44+'7.7 közütak működtetés 045160'!J44+'7.8 parkoló 045170'!J44+'7.9 kábeltv 046020'!J44+'7.10 piac 047120'!J44+'7.11 tdm tám047320'!J44+'7.12 szemét 051030'!J44+'7.13 szennyvíz 052080'!J44+'7.14 víz 063080'!J44+'7.15 közvil 064010'!J44+'7.16 zöldterület 066010'!J44+'7.17 város 066020'!J44+'7.18 háziorvos 072111'!J44+'7.19 ügyelet 072112'!J44+'7.20 fülészet 072210'!J44+'7.21 védőnők 074031'!J44+'7.22 isk eü 074032'!J44+'7.23 sportcsépület 081030'!J44+'7.24 sport tám 081041'!J44+'7.25 diáksport 081043'!J44+'7.26 közműv 082091'!J44+'7.27 közműv 082092'!J44+'7.28  óvoda 091140'!J44+'7.29 intézmkiv gyétk 104037'!J44+'7.30 szoc étk 107051'!J44+'7.31 segélyek 107060'!J44+'7.32 adóbev 900020'!J44+'7.33 pályázatok összesen'!J44+'7.6 út építés 045127'!J44</f>
        <v>0</v>
      </c>
      <c r="K44" s="249">
        <f t="shared" ca="1" si="2"/>
        <v>0</v>
      </c>
      <c r="L44" s="248">
        <f ca="1">'7.1. igazg 011130'!L44+'7.2 temető 013320'!L44+'7.3. vagyon 013350'!L44+'7.4 018010'!L44+'7.5 finansz műveletek 018030'!L44+'7.7 közütak működtetés 045160'!L44+'7.8 parkoló 045170'!L44+'7.9 kábeltv 046020'!L44+'7.10 piac 047120'!L44+'7.11 tdm tám047320'!L44+'7.12 szemét 051030'!L44+'7.13 szennyvíz 052080'!L44+'7.14 víz 063080'!L44+'7.15 közvil 064010'!L44+'7.16 zöldterület 066010'!L44+'7.17 város 066020'!L44+'7.18 háziorvos 072111'!L44+'7.19 ügyelet 072112'!L44+'7.20 fülészet 072210'!L44+'7.21 védőnők 074031'!L44+'7.22 isk eü 074032'!L44+'7.23 sportcsépület 081030'!L44+'7.24 sport tám 081041'!L44+'7.25 diáksport 081043'!L44+'7.26 közműv 082091'!L44+'7.27 közműv 082092'!L44+'7.28  óvoda 091140'!L44+'7.29 intézmkiv gyétk 104037'!L44+'7.30 szoc étk 107051'!L44+'7.31 segélyek 107060'!L44+'7.32 adóbev 900020'!L44+'7.33 pályázatok összesen'!L44+'7.6 út építés 045127'!L44</f>
        <v>0</v>
      </c>
      <c r="M44" s="248">
        <f>'7.1. igazg 011130'!M44+'7.2 temető 013320'!M44+'7.3. vagyon 013350'!M44+'7.4 018010'!M44+'7.5 finansz műveletek 018030'!M44+'7.7 közütak működtetés 045160'!M44+'7.8 parkoló 045170'!M44+'7.9 kábeltv 046020'!M44+'7.10 piac 047120'!M44+'7.11 tdm tám047320'!M44+'7.12 szemét 051030'!M44+'7.13 szennyvíz 052080'!M44+'7.14 víz 063080'!M44+'7.15 közvil 064010'!M44+'7.16 zöldterület 066010'!M44+'7.17 város 066020'!M44+'7.18 háziorvos 072111'!M44+'7.19 ügyelet 072112'!M44+'7.20 fülészet 072210'!M44+'7.21 védőnők 074031'!M44+'7.22 isk eü 074032'!M44+'7.23 sportcsépület 081030'!M44+'7.24 sport tám 081041'!M44+'7.25 diáksport 081043'!M44+'7.26 közműv 082091'!M44+'7.27 közműv 082092'!M44+'7.28  óvoda 091140'!M44+'7.29 intézmkiv gyétk 104037'!M44+'7.30 szoc étk 107051'!M44+'7.31 segélyek 107060'!M44+'7.32 adóbev 900020'!M44+'7.33 pályázatok összesen'!M44+'7.6 út építés 045127'!M44</f>
        <v>0</v>
      </c>
      <c r="N44" s="249">
        <f t="shared" ca="1" si="3"/>
        <v>0</v>
      </c>
    </row>
    <row r="45" spans="1:23" x14ac:dyDescent="0.25">
      <c r="A45" s="52" t="s">
        <v>94</v>
      </c>
      <c r="B45" s="48" t="s">
        <v>26</v>
      </c>
      <c r="C45" s="244">
        <f>'7.1. igazg 011130'!C45+'7.2 temető 013320'!C45+'7.3. vagyon 013350'!C45+'7.4 018010'!C45+'7.5 finansz műveletek 018030'!C45+'7.7 közütak működtetés 045160'!C45+'7.8 parkoló 045170'!C45+'7.9 kábeltv 046020'!C45+'7.10 piac 047120'!C45+'7.11 tdm tám047320'!C45+'7.12 szemét 051030'!C45+'7.13 szennyvíz 052080'!C45+'7.14 víz 063080'!C45+'7.15 közvil 064010'!C45+'7.16 zöldterület 066010'!C45+'7.17 város 066020'!C45+'7.18 háziorvos 072111'!C45+'7.19 ügyelet 072112'!C45+'7.20 fülészet 072210'!C45+'7.21 védőnők 074031'!C45+'7.22 isk eü 074032'!C45+'7.23 sportcsépület 081030'!C45+'7.24 sport tám 081041'!C45+'7.25 diáksport 081043'!C45+'7.26 közműv 082091'!C45+'7.27 közműv 082092'!C45+'7.28  óvoda 091140'!C45+'7.29 intézmkiv gyétk 104037'!C45+'7.30 szoc étk 107051'!C45+'7.31 segélyek 107060'!C45+'7.32 adóbev 900020'!C45+'7.33 pályázatok összesen'!C45+'7.6 út építés 045127'!C45</f>
        <v>142600000</v>
      </c>
      <c r="D45" s="244">
        <f>'7.1. igazg 011130'!D45+'7.2 temető 013320'!D45+'7.3. vagyon 013350'!D45+'7.4 018010'!D45+'7.5 finansz műveletek 018030'!D45+'7.7 közütak működtetés 045160'!D45+'7.8 parkoló 045170'!D45+'7.9 kábeltv 046020'!D45+'7.10 piac 047120'!D45+'7.11 tdm tám047320'!D45+'7.12 szemét 051030'!D45+'7.13 szennyvíz 052080'!D45+'7.14 víz 063080'!D45+'7.15 közvil 064010'!D45+'7.16 zöldterület 066010'!D45+'7.17 város 066020'!D45+'7.18 háziorvos 072111'!D45+'7.19 ügyelet 072112'!D45+'7.20 fülészet 072210'!D45+'7.21 védőnők 074031'!D45+'7.22 isk eü 074032'!D45+'7.23 sportcsépület 081030'!D45+'7.24 sport tám 081041'!D45+'7.25 diáksport 081043'!D45+'7.26 közműv 082091'!D45+'7.27 közműv 082092'!D45+'7.28  óvoda 091140'!D45+'7.29 intézmkiv gyétk 104037'!D45+'7.30 szoc étk 107051'!D45+'7.31 segélyek 107060'!D45+'7.32 adóbev 900020'!D45+'7.33 pályázatok összesen'!D45+'7.6 út építés 045127'!D45</f>
        <v>0</v>
      </c>
      <c r="E45" s="245">
        <f t="shared" si="0"/>
        <v>142600000</v>
      </c>
      <c r="F45" s="244">
        <f>'7.1. igazg 011130'!F45+'7.2 temető 013320'!F45+'7.3. vagyon 013350'!F45+'7.4 018010'!F45+'7.5 finansz műveletek 018030'!F45+'7.7 közütak működtetés 045160'!F45+'7.8 parkoló 045170'!F45+'7.9 kábeltv 046020'!F45+'7.10 piac 047120'!F45+'7.11 tdm tám047320'!F45+'7.12 szemét 051030'!F45+'7.13 szennyvíz 052080'!F45+'7.14 víz 063080'!F45+'7.15 közvil 064010'!F45+'7.16 zöldterület 066010'!F45+'7.17 város 066020'!F45+'7.18 háziorvos 072111'!F45+'7.19 ügyelet 072112'!F45+'7.20 fülészet 072210'!F45+'7.21 védőnők 074031'!F45+'7.22 isk eü 074032'!F45+'7.23 sportcsépület 081030'!F45+'7.24 sport tám 081041'!F45+'7.25 diáksport 081043'!F45+'7.26 közműv 082091'!F45+'7.27 közműv 082092'!F45+'7.28  óvoda 091140'!F45+'7.29 intézmkiv gyétk 104037'!F45+'7.30 szoc étk 107051'!F45+'7.31 segélyek 107060'!F45+'7.32 adóbev 900020'!F45+'7.33 pályázatok összesen'!F45+'7.6 út építés 045127'!F45</f>
        <v>145094650</v>
      </c>
      <c r="G45" s="244">
        <f>'7.1. igazg 011130'!G45+'7.2 temető 013320'!G45+'7.3. vagyon 013350'!G45+'7.4 018010'!G45+'7.5 finansz műveletek 018030'!G45+'7.7 közütak működtetés 045160'!G45+'7.8 parkoló 045170'!G45+'7.9 kábeltv 046020'!G45+'7.10 piac 047120'!G45+'7.11 tdm tám047320'!G45+'7.12 szemét 051030'!G45+'7.13 szennyvíz 052080'!G45+'7.14 víz 063080'!G45+'7.15 közvil 064010'!G45+'7.16 zöldterület 066010'!G45+'7.17 város 066020'!G45+'7.18 háziorvos 072111'!G45+'7.19 ügyelet 072112'!G45+'7.20 fülészet 072210'!G45+'7.21 védőnők 074031'!G45+'7.22 isk eü 074032'!G45+'7.23 sportcsépület 081030'!G45+'7.24 sport tám 081041'!G45+'7.25 diáksport 081043'!G45+'7.26 közműv 082091'!G45+'7.27 közműv 082092'!G45+'7.28  óvoda 091140'!G45+'7.29 intézmkiv gyétk 104037'!G45+'7.30 szoc étk 107051'!G45+'7.31 segélyek 107060'!G45+'7.32 adóbev 900020'!G45+'7.33 pályázatok összesen'!G45+'7.6 út építés 045127'!G45</f>
        <v>0</v>
      </c>
      <c r="H45" s="245">
        <f t="shared" si="1"/>
        <v>145094650</v>
      </c>
      <c r="I45" s="244">
        <f ca="1">'7.1. igazg 011130'!I45+'7.2 temető 013320'!I45+'7.3. vagyon 013350'!I45+'7.4 018010'!I45+'7.5 finansz műveletek 018030'!I45+'7.7 közütak működtetés 045160'!I45+'7.8 parkoló 045170'!I45+'7.9 kábeltv 046020'!I45+'7.10 piac 047120'!I45+'7.11 tdm tám047320'!I45+'7.12 szemét 051030'!I45+'7.13 szennyvíz 052080'!I45+'7.14 víz 063080'!I45+'7.15 közvil 064010'!I45+'7.16 zöldterület 066010'!I45+'7.17 város 066020'!I45+'7.18 háziorvos 072111'!I45+'7.19 ügyelet 072112'!I45+'7.20 fülészet 072210'!I45+'7.21 védőnők 074031'!I45+'7.22 isk eü 074032'!I45+'7.23 sportcsépület 081030'!I45+'7.24 sport tám 081041'!I45+'7.25 diáksport 081043'!I45+'7.26 közműv 082091'!I45+'7.27 közműv 082092'!I45+'7.28  óvoda 091140'!I45+'7.29 intézmkiv gyétk 104037'!I45+'7.30 szoc étk 107051'!I45+'7.31 segélyek 107060'!I45+'7.32 adóbev 900020'!I45+'7.33 pályázatok összesen'!I45+'7.6 út építés 045127'!I45</f>
        <v>147285480</v>
      </c>
      <c r="J45" s="244">
        <f>'7.1. igazg 011130'!J45+'7.2 temető 013320'!J45+'7.3. vagyon 013350'!J45+'7.4 018010'!J45+'7.5 finansz műveletek 018030'!J45+'7.7 közütak működtetés 045160'!J45+'7.8 parkoló 045170'!J45+'7.9 kábeltv 046020'!J45+'7.10 piac 047120'!J45+'7.11 tdm tám047320'!J45+'7.12 szemét 051030'!J45+'7.13 szennyvíz 052080'!J45+'7.14 víz 063080'!J45+'7.15 közvil 064010'!J45+'7.16 zöldterület 066010'!J45+'7.17 város 066020'!J45+'7.18 háziorvos 072111'!J45+'7.19 ügyelet 072112'!J45+'7.20 fülészet 072210'!J45+'7.21 védőnők 074031'!J45+'7.22 isk eü 074032'!J45+'7.23 sportcsépület 081030'!J45+'7.24 sport tám 081041'!J45+'7.25 diáksport 081043'!J45+'7.26 közműv 082091'!J45+'7.27 közműv 082092'!J45+'7.28  óvoda 091140'!J45+'7.29 intézmkiv gyétk 104037'!J45+'7.30 szoc étk 107051'!J45+'7.31 segélyek 107060'!J45+'7.32 adóbev 900020'!J45+'7.33 pályázatok összesen'!J45+'7.6 út építés 045127'!J45</f>
        <v>0</v>
      </c>
      <c r="K45" s="245">
        <f t="shared" ca="1" si="2"/>
        <v>147285480</v>
      </c>
      <c r="L45" s="244">
        <f ca="1">'7.1. igazg 011130'!L45+'7.2 temető 013320'!L45+'7.3. vagyon 013350'!L45+'7.4 018010'!L45+'7.5 finansz műveletek 018030'!L45+'7.7 közütak működtetés 045160'!L45+'7.8 parkoló 045170'!L45+'7.9 kábeltv 046020'!L45+'7.10 piac 047120'!L45+'7.11 tdm tám047320'!L45+'7.12 szemét 051030'!L45+'7.13 szennyvíz 052080'!L45+'7.14 víz 063080'!L45+'7.15 közvil 064010'!L45+'7.16 zöldterület 066010'!L45+'7.17 város 066020'!L45+'7.18 háziorvos 072111'!L45+'7.19 ügyelet 072112'!L45+'7.20 fülészet 072210'!L45+'7.21 védőnők 074031'!L45+'7.22 isk eü 074032'!L45+'7.23 sportcsépület 081030'!L45+'7.24 sport tám 081041'!L45+'7.25 diáksport 081043'!L45+'7.26 közműv 082091'!L45+'7.27 közműv 082092'!L45+'7.28  óvoda 091140'!L45+'7.29 intézmkiv gyétk 104037'!L45+'7.30 szoc étk 107051'!L45+'7.31 segélyek 107060'!L45+'7.32 adóbev 900020'!L45+'7.33 pályázatok összesen'!L45+'7.6 út építés 045127'!L45</f>
        <v>143781572</v>
      </c>
      <c r="M45" s="244">
        <f>'7.1. igazg 011130'!M45+'7.2 temető 013320'!M45+'7.3. vagyon 013350'!M45+'7.4 018010'!M45+'7.5 finansz műveletek 018030'!M45+'7.7 közütak működtetés 045160'!M45+'7.8 parkoló 045170'!M45+'7.9 kábeltv 046020'!M45+'7.10 piac 047120'!M45+'7.11 tdm tám047320'!M45+'7.12 szemét 051030'!M45+'7.13 szennyvíz 052080'!M45+'7.14 víz 063080'!M45+'7.15 közvil 064010'!M45+'7.16 zöldterület 066010'!M45+'7.17 város 066020'!M45+'7.18 háziorvos 072111'!M45+'7.19 ügyelet 072112'!M45+'7.20 fülészet 072210'!M45+'7.21 védőnők 074031'!M45+'7.22 isk eü 074032'!M45+'7.23 sportcsépület 081030'!M45+'7.24 sport tám 081041'!M45+'7.25 diáksport 081043'!M45+'7.26 közműv 082091'!M45+'7.27 közműv 082092'!M45+'7.28  óvoda 091140'!M45+'7.29 intézmkiv gyétk 104037'!M45+'7.30 szoc étk 107051'!M45+'7.31 segélyek 107060'!M45+'7.32 adóbev 900020'!M45+'7.33 pályázatok összesen'!M45+'7.6 út építés 045127'!M45</f>
        <v>0</v>
      </c>
      <c r="N45" s="245">
        <f t="shared" ca="1" si="3"/>
        <v>143781572</v>
      </c>
    </row>
    <row r="46" spans="1:23" x14ac:dyDescent="0.25">
      <c r="A46" s="53" t="s">
        <v>95</v>
      </c>
      <c r="B46" s="62" t="s">
        <v>96</v>
      </c>
      <c r="C46" s="246">
        <f>'7.1. igazg 011130'!C46+'7.2 temető 013320'!C46+'7.3. vagyon 013350'!C46+'7.4 018010'!C46+'7.5 finansz műveletek 018030'!C46+'7.7 közütak működtetés 045160'!C46+'7.8 parkoló 045170'!C46+'7.9 kábeltv 046020'!C46+'7.10 piac 047120'!C46+'7.11 tdm tám047320'!C46+'7.12 szemét 051030'!C46+'7.13 szennyvíz 052080'!C46+'7.14 víz 063080'!C46+'7.15 közvil 064010'!C46+'7.16 zöldterület 066010'!C46+'7.17 város 066020'!C46+'7.18 háziorvos 072111'!C46+'7.19 ügyelet 072112'!C46+'7.20 fülészet 072210'!C46+'7.21 védőnők 074031'!C46+'7.22 isk eü 074032'!C46+'7.23 sportcsépület 081030'!C46+'7.24 sport tám 081041'!C46+'7.25 diáksport 081043'!C46+'7.26 közműv 082091'!C46+'7.27 közműv 082092'!C46+'7.28  óvoda 091140'!C46+'7.29 intézmkiv gyétk 104037'!C46+'7.30 szoc étk 107051'!C46+'7.31 segélyek 107060'!C46+'7.32 adóbev 900020'!C46+'7.33 pályázatok összesen'!C46+'7.6 út építés 045127'!C46</f>
        <v>0</v>
      </c>
      <c r="D46" s="246">
        <f>'7.1. igazg 011130'!D46+'7.2 temető 013320'!D46+'7.3. vagyon 013350'!D46+'7.4 018010'!D46+'7.5 finansz műveletek 018030'!D46+'7.7 közütak működtetés 045160'!D46+'7.8 parkoló 045170'!D46+'7.9 kábeltv 046020'!D46+'7.10 piac 047120'!D46+'7.11 tdm tám047320'!D46+'7.12 szemét 051030'!D46+'7.13 szennyvíz 052080'!D46+'7.14 víz 063080'!D46+'7.15 közvil 064010'!D46+'7.16 zöldterület 066010'!D46+'7.17 város 066020'!D46+'7.18 háziorvos 072111'!D46+'7.19 ügyelet 072112'!D46+'7.20 fülészet 072210'!D46+'7.21 védőnők 074031'!D46+'7.22 isk eü 074032'!D46+'7.23 sportcsépület 081030'!D46+'7.24 sport tám 081041'!D46+'7.25 diáksport 081043'!D46+'7.26 közműv 082091'!D46+'7.27 közműv 082092'!D46+'7.28  óvoda 091140'!D46+'7.29 intézmkiv gyétk 104037'!D46+'7.30 szoc étk 107051'!D46+'7.31 segélyek 107060'!D46+'7.32 adóbev 900020'!D46+'7.33 pályázatok összesen'!D46+'7.6 út építés 045127'!D46</f>
        <v>0</v>
      </c>
      <c r="E46" s="247">
        <f t="shared" si="0"/>
        <v>0</v>
      </c>
      <c r="F46" s="246">
        <f>'7.1. igazg 011130'!F46+'7.2 temető 013320'!F46+'7.3. vagyon 013350'!F46+'7.4 018010'!F46+'7.5 finansz műveletek 018030'!F46+'7.7 közütak működtetés 045160'!F46+'7.8 parkoló 045170'!F46+'7.9 kábeltv 046020'!F46+'7.10 piac 047120'!F46+'7.11 tdm tám047320'!F46+'7.12 szemét 051030'!F46+'7.13 szennyvíz 052080'!F46+'7.14 víz 063080'!F46+'7.15 közvil 064010'!F46+'7.16 zöldterület 066010'!F46+'7.17 város 066020'!F46+'7.18 háziorvos 072111'!F46+'7.19 ügyelet 072112'!F46+'7.20 fülészet 072210'!F46+'7.21 védőnők 074031'!F46+'7.22 isk eü 074032'!F46+'7.23 sportcsépület 081030'!F46+'7.24 sport tám 081041'!F46+'7.25 diáksport 081043'!F46+'7.26 közműv 082091'!F46+'7.27 közműv 082092'!F46+'7.28  óvoda 091140'!F46+'7.29 intézmkiv gyétk 104037'!F46+'7.30 szoc étk 107051'!F46+'7.31 segélyek 107060'!F46+'7.32 adóbev 900020'!F46+'7.33 pályázatok összesen'!F46+'7.6 út építés 045127'!F46</f>
        <v>0</v>
      </c>
      <c r="G46" s="246">
        <f>'7.1. igazg 011130'!G46+'7.2 temető 013320'!G46+'7.3. vagyon 013350'!G46+'7.4 018010'!G46+'7.5 finansz műveletek 018030'!G46+'7.7 közütak működtetés 045160'!G46+'7.8 parkoló 045170'!G46+'7.9 kábeltv 046020'!G46+'7.10 piac 047120'!G46+'7.11 tdm tám047320'!G46+'7.12 szemét 051030'!G46+'7.13 szennyvíz 052080'!G46+'7.14 víz 063080'!G46+'7.15 közvil 064010'!G46+'7.16 zöldterület 066010'!G46+'7.17 város 066020'!G46+'7.18 háziorvos 072111'!G46+'7.19 ügyelet 072112'!G46+'7.20 fülészet 072210'!G46+'7.21 védőnők 074031'!G46+'7.22 isk eü 074032'!G46+'7.23 sportcsépület 081030'!G46+'7.24 sport tám 081041'!G46+'7.25 diáksport 081043'!G46+'7.26 közműv 082091'!G46+'7.27 közműv 082092'!G46+'7.28  óvoda 091140'!G46+'7.29 intézmkiv gyétk 104037'!G46+'7.30 szoc étk 107051'!G46+'7.31 segélyek 107060'!G46+'7.32 adóbev 900020'!G46+'7.33 pályázatok összesen'!G46+'7.6 út építés 045127'!G46</f>
        <v>0</v>
      </c>
      <c r="H46" s="247">
        <f t="shared" si="1"/>
        <v>0</v>
      </c>
      <c r="I46" s="246">
        <f ca="1">'7.1. igazg 011130'!I46+'7.2 temető 013320'!I46+'7.3. vagyon 013350'!I46+'7.4 018010'!I46+'7.5 finansz műveletek 018030'!I46+'7.7 közütak működtetés 045160'!I46+'7.8 parkoló 045170'!I46+'7.9 kábeltv 046020'!I46+'7.10 piac 047120'!I46+'7.11 tdm tám047320'!I46+'7.12 szemét 051030'!I46+'7.13 szennyvíz 052080'!I46+'7.14 víz 063080'!I46+'7.15 közvil 064010'!I46+'7.16 zöldterület 066010'!I46+'7.17 város 066020'!I46+'7.18 háziorvos 072111'!I46+'7.19 ügyelet 072112'!I46+'7.20 fülészet 072210'!I46+'7.21 védőnők 074031'!I46+'7.22 isk eü 074032'!I46+'7.23 sportcsépület 081030'!I46+'7.24 sport tám 081041'!I46+'7.25 diáksport 081043'!I46+'7.26 közműv 082091'!I46+'7.27 közműv 082092'!I46+'7.28  óvoda 091140'!I46+'7.29 intézmkiv gyétk 104037'!I46+'7.30 szoc étk 107051'!I46+'7.31 segélyek 107060'!I46+'7.32 adóbev 900020'!I46+'7.33 pályázatok összesen'!I46+'7.6 út építés 045127'!I46</f>
        <v>0</v>
      </c>
      <c r="J46" s="246">
        <f>'7.1. igazg 011130'!J46+'7.2 temető 013320'!J46+'7.3. vagyon 013350'!J46+'7.4 018010'!J46+'7.5 finansz műveletek 018030'!J46+'7.7 közütak működtetés 045160'!J46+'7.8 parkoló 045170'!J46+'7.9 kábeltv 046020'!J46+'7.10 piac 047120'!J46+'7.11 tdm tám047320'!J46+'7.12 szemét 051030'!J46+'7.13 szennyvíz 052080'!J46+'7.14 víz 063080'!J46+'7.15 közvil 064010'!J46+'7.16 zöldterület 066010'!J46+'7.17 város 066020'!J46+'7.18 háziorvos 072111'!J46+'7.19 ügyelet 072112'!J46+'7.20 fülészet 072210'!J46+'7.21 védőnők 074031'!J46+'7.22 isk eü 074032'!J46+'7.23 sportcsépület 081030'!J46+'7.24 sport tám 081041'!J46+'7.25 diáksport 081043'!J46+'7.26 közműv 082091'!J46+'7.27 közműv 082092'!J46+'7.28  óvoda 091140'!J46+'7.29 intézmkiv gyétk 104037'!J46+'7.30 szoc étk 107051'!J46+'7.31 segélyek 107060'!J46+'7.32 adóbev 900020'!J46+'7.33 pályázatok összesen'!J46+'7.6 út építés 045127'!J46</f>
        <v>0</v>
      </c>
      <c r="K46" s="247">
        <f t="shared" ca="1" si="2"/>
        <v>0</v>
      </c>
      <c r="L46" s="246">
        <f ca="1">'7.1. igazg 011130'!L46+'7.2 temető 013320'!L46+'7.3. vagyon 013350'!L46+'7.4 018010'!L46+'7.5 finansz műveletek 018030'!L46+'7.7 közütak működtetés 045160'!L46+'7.8 parkoló 045170'!L46+'7.9 kábeltv 046020'!L46+'7.10 piac 047120'!L46+'7.11 tdm tám047320'!L46+'7.12 szemét 051030'!L46+'7.13 szennyvíz 052080'!L46+'7.14 víz 063080'!L46+'7.15 közvil 064010'!L46+'7.16 zöldterület 066010'!L46+'7.17 város 066020'!L46+'7.18 háziorvos 072111'!L46+'7.19 ügyelet 072112'!L46+'7.20 fülészet 072210'!L46+'7.21 védőnők 074031'!L46+'7.22 isk eü 074032'!L46+'7.23 sportcsépület 081030'!L46+'7.24 sport tám 081041'!L46+'7.25 diáksport 081043'!L46+'7.26 közműv 082091'!L46+'7.27 közműv 082092'!L46+'7.28  óvoda 091140'!L46+'7.29 intézmkiv gyétk 104037'!L46+'7.30 szoc étk 107051'!L46+'7.31 segélyek 107060'!L46+'7.32 adóbev 900020'!L46+'7.33 pályázatok összesen'!L46+'7.6 út építés 045127'!L46</f>
        <v>0</v>
      </c>
      <c r="M46" s="246">
        <f>'7.1. igazg 011130'!M46+'7.2 temető 013320'!M46+'7.3. vagyon 013350'!M46+'7.4 018010'!M46+'7.5 finansz műveletek 018030'!M46+'7.7 közütak működtetés 045160'!M46+'7.8 parkoló 045170'!M46+'7.9 kábeltv 046020'!M46+'7.10 piac 047120'!M46+'7.11 tdm tám047320'!M46+'7.12 szemét 051030'!M46+'7.13 szennyvíz 052080'!M46+'7.14 víz 063080'!M46+'7.15 közvil 064010'!M46+'7.16 zöldterület 066010'!M46+'7.17 város 066020'!M46+'7.18 háziorvos 072111'!M46+'7.19 ügyelet 072112'!M46+'7.20 fülészet 072210'!M46+'7.21 védőnők 074031'!M46+'7.22 isk eü 074032'!M46+'7.23 sportcsépület 081030'!M46+'7.24 sport tám 081041'!M46+'7.25 diáksport 081043'!M46+'7.26 közműv 082091'!M46+'7.27 közműv 082092'!M46+'7.28  óvoda 091140'!M46+'7.29 intézmkiv gyétk 104037'!M46+'7.30 szoc étk 107051'!M46+'7.31 segélyek 107060'!M46+'7.32 adóbev 900020'!M46+'7.33 pályázatok összesen'!M46+'7.6 út építés 045127'!M46</f>
        <v>0</v>
      </c>
      <c r="N46" s="247">
        <f t="shared" ca="1" si="3"/>
        <v>0</v>
      </c>
    </row>
    <row r="47" spans="1:23" x14ac:dyDescent="0.25">
      <c r="A47" s="53" t="s">
        <v>97</v>
      </c>
      <c r="B47" s="62" t="s">
        <v>98</v>
      </c>
      <c r="C47" s="246">
        <f>'7.1. igazg 011130'!C47+'7.2 temető 013320'!C47+'7.3. vagyon 013350'!C47+'7.4 018010'!C47+'7.5 finansz műveletek 018030'!C47+'7.7 közütak működtetés 045160'!C47+'7.8 parkoló 045170'!C47+'7.9 kábeltv 046020'!C47+'7.10 piac 047120'!C47+'7.11 tdm tám047320'!C47+'7.12 szemét 051030'!C47+'7.13 szennyvíz 052080'!C47+'7.14 víz 063080'!C47+'7.15 közvil 064010'!C47+'7.16 zöldterület 066010'!C47+'7.17 város 066020'!C47+'7.18 háziorvos 072111'!C47+'7.19 ügyelet 072112'!C47+'7.20 fülészet 072210'!C47+'7.21 védőnők 074031'!C47+'7.22 isk eü 074032'!C47+'7.23 sportcsépület 081030'!C47+'7.24 sport tám 081041'!C47+'7.25 diáksport 081043'!C47+'7.26 közműv 082091'!C47+'7.27 közműv 082092'!C47+'7.28  óvoda 091140'!C47+'7.29 intézmkiv gyétk 104037'!C47+'7.30 szoc étk 107051'!C47+'7.31 segélyek 107060'!C47+'7.32 adóbev 900020'!C47+'7.33 pályázatok összesen'!C47+'7.6 út építés 045127'!C47</f>
        <v>101361755</v>
      </c>
      <c r="D47" s="246">
        <f>'7.1. igazg 011130'!D47+'7.2 temető 013320'!D47+'7.3. vagyon 013350'!D47+'7.4 018010'!D47+'7.5 finansz műveletek 018030'!D47+'7.7 közütak működtetés 045160'!D47+'7.8 parkoló 045170'!D47+'7.9 kábeltv 046020'!D47+'7.10 piac 047120'!D47+'7.11 tdm tám047320'!D47+'7.12 szemét 051030'!D47+'7.13 szennyvíz 052080'!D47+'7.14 víz 063080'!D47+'7.15 közvil 064010'!D47+'7.16 zöldterület 066010'!D47+'7.17 város 066020'!D47+'7.18 háziorvos 072111'!D47+'7.19 ügyelet 072112'!D47+'7.20 fülészet 072210'!D47+'7.21 védőnők 074031'!D47+'7.22 isk eü 074032'!D47+'7.23 sportcsépület 081030'!D47+'7.24 sport tám 081041'!D47+'7.25 diáksport 081043'!D47+'7.26 közműv 082091'!D47+'7.27 közműv 082092'!D47+'7.28  óvoda 091140'!D47+'7.29 intézmkiv gyétk 104037'!D47+'7.30 szoc étk 107051'!D47+'7.31 segélyek 107060'!D47+'7.32 adóbev 900020'!D47+'7.33 pályázatok összesen'!D47+'7.6 út építés 045127'!D47</f>
        <v>0</v>
      </c>
      <c r="E47" s="247">
        <f t="shared" si="0"/>
        <v>101361755</v>
      </c>
      <c r="F47" s="246">
        <f>'7.1. igazg 011130'!F47+'7.2 temető 013320'!F47+'7.3. vagyon 013350'!F47+'7.4 018010'!F47+'7.5 finansz műveletek 018030'!F47+'7.7 közütak működtetés 045160'!F47+'7.8 parkoló 045170'!F47+'7.9 kábeltv 046020'!F47+'7.10 piac 047120'!F47+'7.11 tdm tám047320'!F47+'7.12 szemét 051030'!F47+'7.13 szennyvíz 052080'!F47+'7.14 víz 063080'!F47+'7.15 közvil 064010'!F47+'7.16 zöldterület 066010'!F47+'7.17 város 066020'!F47+'7.18 háziorvos 072111'!F47+'7.19 ügyelet 072112'!F47+'7.20 fülészet 072210'!F47+'7.21 védőnők 074031'!F47+'7.22 isk eü 074032'!F47+'7.23 sportcsépület 081030'!F47+'7.24 sport tám 081041'!F47+'7.25 diáksport 081043'!F47+'7.26 közműv 082091'!F47+'7.27 közműv 082092'!F47+'7.28  óvoda 091140'!F47+'7.29 intézmkiv gyétk 104037'!F47+'7.30 szoc étk 107051'!F47+'7.31 segélyek 107060'!F47+'7.32 adóbev 900020'!F47+'7.33 pályázatok összesen'!F47+'7.6 út építés 045127'!F47</f>
        <v>101361755</v>
      </c>
      <c r="G47" s="246">
        <f>'7.1. igazg 011130'!G47+'7.2 temető 013320'!G47+'7.3. vagyon 013350'!G47+'7.4 018010'!G47+'7.5 finansz műveletek 018030'!G47+'7.7 közütak működtetés 045160'!G47+'7.8 parkoló 045170'!G47+'7.9 kábeltv 046020'!G47+'7.10 piac 047120'!G47+'7.11 tdm tám047320'!G47+'7.12 szemét 051030'!G47+'7.13 szennyvíz 052080'!G47+'7.14 víz 063080'!G47+'7.15 közvil 064010'!G47+'7.16 zöldterület 066010'!G47+'7.17 város 066020'!G47+'7.18 háziorvos 072111'!G47+'7.19 ügyelet 072112'!G47+'7.20 fülészet 072210'!G47+'7.21 védőnők 074031'!G47+'7.22 isk eü 074032'!G47+'7.23 sportcsépület 081030'!G47+'7.24 sport tám 081041'!G47+'7.25 diáksport 081043'!G47+'7.26 közműv 082091'!G47+'7.27 közműv 082092'!G47+'7.28  óvoda 091140'!G47+'7.29 intézmkiv gyétk 104037'!G47+'7.30 szoc étk 107051'!G47+'7.31 segélyek 107060'!G47+'7.32 adóbev 900020'!G47+'7.33 pályázatok összesen'!G47+'7.6 út építés 045127'!G47</f>
        <v>0</v>
      </c>
      <c r="H47" s="247">
        <f t="shared" si="1"/>
        <v>101361755</v>
      </c>
      <c r="I47" s="246">
        <f ca="1">'7.1. igazg 011130'!I47+'7.2 temető 013320'!I47+'7.3. vagyon 013350'!I47+'7.4 018010'!I47+'7.5 finansz műveletek 018030'!I47+'7.7 közütak működtetés 045160'!I47+'7.8 parkoló 045170'!I47+'7.9 kábeltv 046020'!I47+'7.10 piac 047120'!I47+'7.11 tdm tám047320'!I47+'7.12 szemét 051030'!I47+'7.13 szennyvíz 052080'!I47+'7.14 víz 063080'!I47+'7.15 közvil 064010'!I47+'7.16 zöldterület 066010'!I47+'7.17 város 066020'!I47+'7.18 háziorvos 072111'!I47+'7.19 ügyelet 072112'!I47+'7.20 fülészet 072210'!I47+'7.21 védőnők 074031'!I47+'7.22 isk eü 074032'!I47+'7.23 sportcsépület 081030'!I47+'7.24 sport tám 081041'!I47+'7.25 diáksport 081043'!I47+'7.26 közműv 082091'!I47+'7.27 közműv 082092'!I47+'7.28  óvoda 091140'!I47+'7.29 intézmkiv gyétk 104037'!I47+'7.30 szoc étk 107051'!I47+'7.31 segélyek 107060'!I47+'7.32 adóbev 900020'!I47+'7.33 pályázatok összesen'!I47+'7.6 út építés 045127'!I47</f>
        <v>103552585</v>
      </c>
      <c r="J47" s="246">
        <f>'7.1. igazg 011130'!J47+'7.2 temető 013320'!J47+'7.3. vagyon 013350'!J47+'7.4 018010'!J47+'7.5 finansz műveletek 018030'!J47+'7.7 közütak működtetés 045160'!J47+'7.8 parkoló 045170'!J47+'7.9 kábeltv 046020'!J47+'7.10 piac 047120'!J47+'7.11 tdm tám047320'!J47+'7.12 szemét 051030'!J47+'7.13 szennyvíz 052080'!J47+'7.14 víz 063080'!J47+'7.15 közvil 064010'!J47+'7.16 zöldterület 066010'!J47+'7.17 város 066020'!J47+'7.18 háziorvos 072111'!J47+'7.19 ügyelet 072112'!J47+'7.20 fülészet 072210'!J47+'7.21 védőnők 074031'!J47+'7.22 isk eü 074032'!J47+'7.23 sportcsépület 081030'!J47+'7.24 sport tám 081041'!J47+'7.25 diáksport 081043'!J47+'7.26 közműv 082091'!J47+'7.27 közműv 082092'!J47+'7.28  óvoda 091140'!J47+'7.29 intézmkiv gyétk 104037'!J47+'7.30 szoc étk 107051'!J47+'7.31 segélyek 107060'!J47+'7.32 adóbev 900020'!J47+'7.33 pályázatok összesen'!J47+'7.6 út építés 045127'!J47</f>
        <v>0</v>
      </c>
      <c r="K47" s="247">
        <f t="shared" ca="1" si="2"/>
        <v>103552585</v>
      </c>
      <c r="L47" s="246">
        <f ca="1">'7.1. igazg 011130'!L47+'7.2 temető 013320'!L47+'7.3. vagyon 013350'!L47+'7.4 018010'!L47+'7.5 finansz műveletek 018030'!L47+'7.7 közütak működtetés 045160'!L47+'7.8 parkoló 045170'!L47+'7.9 kábeltv 046020'!L47+'7.10 piac 047120'!L47+'7.11 tdm tám047320'!L47+'7.12 szemét 051030'!L47+'7.13 szennyvíz 052080'!L47+'7.14 víz 063080'!L47+'7.15 közvil 064010'!L47+'7.16 zöldterület 066010'!L47+'7.17 város 066020'!L47+'7.18 háziorvos 072111'!L47+'7.19 ügyelet 072112'!L47+'7.20 fülészet 072210'!L47+'7.21 védőnők 074031'!L47+'7.22 isk eü 074032'!L47+'7.23 sportcsépület 081030'!L47+'7.24 sport tám 081041'!L47+'7.25 diáksport 081043'!L47+'7.26 közműv 082091'!L47+'7.27 közműv 082092'!L47+'7.28  óvoda 091140'!L47+'7.29 intézmkiv gyétk 104037'!L47+'7.30 szoc étk 107051'!L47+'7.31 segélyek 107060'!L47+'7.32 adóbev 900020'!L47+'7.33 pályázatok összesen'!L47+'7.6 út építés 045127'!L47</f>
        <v>100220970</v>
      </c>
      <c r="M47" s="246">
        <f>'7.1. igazg 011130'!M47+'7.2 temető 013320'!M47+'7.3. vagyon 013350'!M47+'7.4 018010'!M47+'7.5 finansz műveletek 018030'!M47+'7.7 közütak működtetés 045160'!M47+'7.8 parkoló 045170'!M47+'7.9 kábeltv 046020'!M47+'7.10 piac 047120'!M47+'7.11 tdm tám047320'!M47+'7.12 szemét 051030'!M47+'7.13 szennyvíz 052080'!M47+'7.14 víz 063080'!M47+'7.15 közvil 064010'!M47+'7.16 zöldterület 066010'!M47+'7.17 város 066020'!M47+'7.18 háziorvos 072111'!M47+'7.19 ügyelet 072112'!M47+'7.20 fülészet 072210'!M47+'7.21 védőnők 074031'!M47+'7.22 isk eü 074032'!M47+'7.23 sportcsépület 081030'!M47+'7.24 sport tám 081041'!M47+'7.25 diáksport 081043'!M47+'7.26 közműv 082091'!M47+'7.27 közműv 082092'!M47+'7.28  óvoda 091140'!M47+'7.29 intézmkiv gyétk 104037'!M47+'7.30 szoc étk 107051'!M47+'7.31 segélyek 107060'!M47+'7.32 adóbev 900020'!M47+'7.33 pályázatok összesen'!M47+'7.6 út építés 045127'!M47</f>
        <v>0</v>
      </c>
      <c r="N47" s="247">
        <f t="shared" ca="1" si="3"/>
        <v>100220970</v>
      </c>
    </row>
    <row r="48" spans="1:23" x14ac:dyDescent="0.25">
      <c r="A48" s="53" t="s">
        <v>99</v>
      </c>
      <c r="B48" s="62" t="s">
        <v>100</v>
      </c>
      <c r="C48" s="246">
        <f>'7.1. igazg 011130'!C48+'7.2 temető 013320'!C48+'7.3. vagyon 013350'!C48+'7.4 018010'!C48+'7.5 finansz műveletek 018030'!C48+'7.7 közütak működtetés 045160'!C48+'7.8 parkoló 045170'!C48+'7.9 kábeltv 046020'!C48+'7.10 piac 047120'!C48+'7.11 tdm tám047320'!C48+'7.12 szemét 051030'!C48+'7.13 szennyvíz 052080'!C48+'7.14 víz 063080'!C48+'7.15 közvil 064010'!C48+'7.16 zöldterület 066010'!C48+'7.17 város 066020'!C48+'7.18 háziorvos 072111'!C48+'7.19 ügyelet 072112'!C48+'7.20 fülészet 072210'!C48+'7.21 védőnők 074031'!C48+'7.22 isk eü 074032'!C48+'7.23 sportcsépület 081030'!C48+'7.24 sport tám 081041'!C48+'7.25 diáksport 081043'!C48+'7.26 közműv 082091'!C48+'7.27 közműv 082092'!C48+'7.28  óvoda 091140'!C48+'7.29 intézmkiv gyétk 104037'!C48+'7.30 szoc étk 107051'!C48+'7.31 segélyek 107060'!C48+'7.32 adóbev 900020'!C48+'7.33 pályázatok összesen'!C48+'7.6 út építés 045127'!C48</f>
        <v>6154000</v>
      </c>
      <c r="D48" s="246">
        <f>'7.1. igazg 011130'!D48+'7.2 temető 013320'!D48+'7.3. vagyon 013350'!D48+'7.4 018010'!D48+'7.5 finansz műveletek 018030'!D48+'7.7 közütak működtetés 045160'!D48+'7.8 parkoló 045170'!D48+'7.9 kábeltv 046020'!D48+'7.10 piac 047120'!D48+'7.11 tdm tám047320'!D48+'7.12 szemét 051030'!D48+'7.13 szennyvíz 052080'!D48+'7.14 víz 063080'!D48+'7.15 közvil 064010'!D48+'7.16 zöldterület 066010'!D48+'7.17 város 066020'!D48+'7.18 háziorvos 072111'!D48+'7.19 ügyelet 072112'!D48+'7.20 fülészet 072210'!D48+'7.21 védőnők 074031'!D48+'7.22 isk eü 074032'!D48+'7.23 sportcsépület 081030'!D48+'7.24 sport tám 081041'!D48+'7.25 diáksport 081043'!D48+'7.26 közműv 082091'!D48+'7.27 közműv 082092'!D48+'7.28  óvoda 091140'!D48+'7.29 intézmkiv gyétk 104037'!D48+'7.30 szoc étk 107051'!D48+'7.31 segélyek 107060'!D48+'7.32 adóbev 900020'!D48+'7.33 pályázatok összesen'!D48+'7.6 út építés 045127'!D48</f>
        <v>0</v>
      </c>
      <c r="E48" s="247">
        <f t="shared" si="0"/>
        <v>6154000</v>
      </c>
      <c r="F48" s="246">
        <f>'7.1. igazg 011130'!F48+'7.2 temető 013320'!F48+'7.3. vagyon 013350'!F48+'7.4 018010'!F48+'7.5 finansz műveletek 018030'!F48+'7.7 közütak működtetés 045160'!F48+'7.8 parkoló 045170'!F48+'7.9 kábeltv 046020'!F48+'7.10 piac 047120'!F48+'7.11 tdm tám047320'!F48+'7.12 szemét 051030'!F48+'7.13 szennyvíz 052080'!F48+'7.14 víz 063080'!F48+'7.15 közvil 064010'!F48+'7.16 zöldterület 066010'!F48+'7.17 város 066020'!F48+'7.18 háziorvos 072111'!F48+'7.19 ügyelet 072112'!F48+'7.20 fülészet 072210'!F48+'7.21 védőnők 074031'!F48+'7.22 isk eü 074032'!F48+'7.23 sportcsépület 081030'!F48+'7.24 sport tám 081041'!F48+'7.25 diáksport 081043'!F48+'7.26 közműv 082091'!F48+'7.27 közműv 082092'!F48+'7.28  óvoda 091140'!F48+'7.29 intézmkiv gyétk 104037'!F48+'7.30 szoc étk 107051'!F48+'7.31 segélyek 107060'!F48+'7.32 adóbev 900020'!F48+'7.33 pályázatok összesen'!F48+'7.6 út építés 045127'!F48</f>
        <v>6154000</v>
      </c>
      <c r="G48" s="246">
        <f>'7.1. igazg 011130'!G48+'7.2 temető 013320'!G48+'7.3. vagyon 013350'!G48+'7.4 018010'!G48+'7.5 finansz műveletek 018030'!G48+'7.7 közütak működtetés 045160'!G48+'7.8 parkoló 045170'!G48+'7.9 kábeltv 046020'!G48+'7.10 piac 047120'!G48+'7.11 tdm tám047320'!G48+'7.12 szemét 051030'!G48+'7.13 szennyvíz 052080'!G48+'7.14 víz 063080'!G48+'7.15 közvil 064010'!G48+'7.16 zöldterület 066010'!G48+'7.17 város 066020'!G48+'7.18 háziorvos 072111'!G48+'7.19 ügyelet 072112'!G48+'7.20 fülészet 072210'!G48+'7.21 védőnők 074031'!G48+'7.22 isk eü 074032'!G48+'7.23 sportcsépület 081030'!G48+'7.24 sport tám 081041'!G48+'7.25 diáksport 081043'!G48+'7.26 közműv 082091'!G48+'7.27 közműv 082092'!G48+'7.28  óvoda 091140'!G48+'7.29 intézmkiv gyétk 104037'!G48+'7.30 szoc étk 107051'!G48+'7.31 segélyek 107060'!G48+'7.32 adóbev 900020'!G48+'7.33 pályázatok összesen'!G48+'7.6 út építés 045127'!G48</f>
        <v>0</v>
      </c>
      <c r="H48" s="247">
        <f t="shared" si="1"/>
        <v>6154000</v>
      </c>
      <c r="I48" s="246">
        <f ca="1">'7.1. igazg 011130'!I48+'7.2 temető 013320'!I48+'7.3. vagyon 013350'!I48+'7.4 018010'!I48+'7.5 finansz műveletek 018030'!I48+'7.7 közütak működtetés 045160'!I48+'7.8 parkoló 045170'!I48+'7.9 kábeltv 046020'!I48+'7.10 piac 047120'!I48+'7.11 tdm tám047320'!I48+'7.12 szemét 051030'!I48+'7.13 szennyvíz 052080'!I48+'7.14 víz 063080'!I48+'7.15 közvil 064010'!I48+'7.16 zöldterület 066010'!I48+'7.17 város 066020'!I48+'7.18 háziorvos 072111'!I48+'7.19 ügyelet 072112'!I48+'7.20 fülészet 072210'!I48+'7.21 védőnők 074031'!I48+'7.22 isk eü 074032'!I48+'7.23 sportcsépület 081030'!I48+'7.24 sport tám 081041'!I48+'7.25 diáksport 081043'!I48+'7.26 közműv 082091'!I48+'7.27 közműv 082092'!I48+'7.28  óvoda 091140'!I48+'7.29 intézmkiv gyétk 104037'!I48+'7.30 szoc étk 107051'!I48+'7.31 segélyek 107060'!I48+'7.32 adóbev 900020'!I48+'7.33 pályázatok összesen'!I48+'7.6 út építés 045127'!I48</f>
        <v>6154000</v>
      </c>
      <c r="J48" s="246">
        <f>'7.1. igazg 011130'!J48+'7.2 temető 013320'!J48+'7.3. vagyon 013350'!J48+'7.4 018010'!J48+'7.5 finansz műveletek 018030'!J48+'7.7 közütak működtetés 045160'!J48+'7.8 parkoló 045170'!J48+'7.9 kábeltv 046020'!J48+'7.10 piac 047120'!J48+'7.11 tdm tám047320'!J48+'7.12 szemét 051030'!J48+'7.13 szennyvíz 052080'!J48+'7.14 víz 063080'!J48+'7.15 közvil 064010'!J48+'7.16 zöldterület 066010'!J48+'7.17 város 066020'!J48+'7.18 háziorvos 072111'!J48+'7.19 ügyelet 072112'!J48+'7.20 fülészet 072210'!J48+'7.21 védőnők 074031'!J48+'7.22 isk eü 074032'!J48+'7.23 sportcsépület 081030'!J48+'7.24 sport tám 081041'!J48+'7.25 diáksport 081043'!J48+'7.26 közműv 082091'!J48+'7.27 közműv 082092'!J48+'7.28  óvoda 091140'!J48+'7.29 intézmkiv gyétk 104037'!J48+'7.30 szoc étk 107051'!J48+'7.31 segélyek 107060'!J48+'7.32 adóbev 900020'!J48+'7.33 pályázatok összesen'!J48+'7.6 út építés 045127'!J48</f>
        <v>0</v>
      </c>
      <c r="K48" s="247">
        <f t="shared" ca="1" si="2"/>
        <v>6154000</v>
      </c>
      <c r="L48" s="246">
        <f ca="1">'7.1. igazg 011130'!L48+'7.2 temető 013320'!L48+'7.3. vagyon 013350'!L48+'7.4 018010'!L48+'7.5 finansz műveletek 018030'!L48+'7.7 közütak működtetés 045160'!L48+'7.8 parkoló 045170'!L48+'7.9 kábeltv 046020'!L48+'7.10 piac 047120'!L48+'7.11 tdm tám047320'!L48+'7.12 szemét 051030'!L48+'7.13 szennyvíz 052080'!L48+'7.14 víz 063080'!L48+'7.15 közvil 064010'!L48+'7.16 zöldterület 066010'!L48+'7.17 város 066020'!L48+'7.18 háziorvos 072111'!L48+'7.19 ügyelet 072112'!L48+'7.20 fülészet 072210'!L48+'7.21 védőnők 074031'!L48+'7.22 isk eü 074032'!L48+'7.23 sportcsépület 081030'!L48+'7.24 sport tám 081041'!L48+'7.25 diáksport 081043'!L48+'7.26 közműv 082091'!L48+'7.27 közműv 082092'!L48+'7.28  óvoda 091140'!L48+'7.29 intézmkiv gyétk 104037'!L48+'7.30 szoc étk 107051'!L48+'7.31 segélyek 107060'!L48+'7.32 adóbev 900020'!L48+'7.33 pályázatok összesen'!L48+'7.6 út építés 045127'!L48</f>
        <v>6606737</v>
      </c>
      <c r="M48" s="246">
        <f>'7.1. igazg 011130'!M48+'7.2 temető 013320'!M48+'7.3. vagyon 013350'!M48+'7.4 018010'!M48+'7.5 finansz műveletek 018030'!M48+'7.7 közütak működtetés 045160'!M48+'7.8 parkoló 045170'!M48+'7.9 kábeltv 046020'!M48+'7.10 piac 047120'!M48+'7.11 tdm tám047320'!M48+'7.12 szemét 051030'!M48+'7.13 szennyvíz 052080'!M48+'7.14 víz 063080'!M48+'7.15 közvil 064010'!M48+'7.16 zöldterület 066010'!M48+'7.17 város 066020'!M48+'7.18 háziorvos 072111'!M48+'7.19 ügyelet 072112'!M48+'7.20 fülészet 072210'!M48+'7.21 védőnők 074031'!M48+'7.22 isk eü 074032'!M48+'7.23 sportcsépület 081030'!M48+'7.24 sport tám 081041'!M48+'7.25 diáksport 081043'!M48+'7.26 közműv 082091'!M48+'7.27 közműv 082092'!M48+'7.28  óvoda 091140'!M48+'7.29 intézmkiv gyétk 104037'!M48+'7.30 szoc étk 107051'!M48+'7.31 segélyek 107060'!M48+'7.32 adóbev 900020'!M48+'7.33 pályázatok összesen'!M48+'7.6 út építés 045127'!M48</f>
        <v>0</v>
      </c>
      <c r="N48" s="247">
        <f t="shared" ca="1" si="3"/>
        <v>6606737</v>
      </c>
    </row>
    <row r="49" spans="1:14" x14ac:dyDescent="0.25">
      <c r="A49" s="53" t="s">
        <v>101</v>
      </c>
      <c r="B49" s="62" t="s">
        <v>102</v>
      </c>
      <c r="C49" s="246">
        <f>'7.1. igazg 011130'!C49+'7.2 temető 013320'!C49+'7.3. vagyon 013350'!C49+'7.4 018010'!C49+'7.5 finansz műveletek 018030'!C49+'7.7 közütak működtetés 045160'!C49+'7.8 parkoló 045170'!C49+'7.9 kábeltv 046020'!C49+'7.10 piac 047120'!C49+'7.11 tdm tám047320'!C49+'7.12 szemét 051030'!C49+'7.13 szennyvíz 052080'!C49+'7.14 víz 063080'!C49+'7.15 közvil 064010'!C49+'7.16 zöldterület 066010'!C49+'7.17 város 066020'!C49+'7.18 háziorvos 072111'!C49+'7.19 ügyelet 072112'!C49+'7.20 fülészet 072210'!C49+'7.21 védőnők 074031'!C49+'7.22 isk eü 074032'!C49+'7.23 sportcsépület 081030'!C49+'7.24 sport tám 081041'!C49+'7.25 diáksport 081043'!C49+'7.26 közműv 082091'!C49+'7.27 közműv 082092'!C49+'7.28  óvoda 091140'!C49+'7.29 intézmkiv gyétk 104037'!C49+'7.30 szoc étk 107051'!C49+'7.31 segélyek 107060'!C49+'7.32 adóbev 900020'!C49+'7.33 pályázatok összesen'!C49+'7.6 út építés 045127'!C49</f>
        <v>9291338</v>
      </c>
      <c r="D49" s="246">
        <f>'7.1. igazg 011130'!D49+'7.2 temető 013320'!D49+'7.3. vagyon 013350'!D49+'7.4 018010'!D49+'7.5 finansz műveletek 018030'!D49+'7.7 közütak működtetés 045160'!D49+'7.8 parkoló 045170'!D49+'7.9 kábeltv 046020'!D49+'7.10 piac 047120'!D49+'7.11 tdm tám047320'!D49+'7.12 szemét 051030'!D49+'7.13 szennyvíz 052080'!D49+'7.14 víz 063080'!D49+'7.15 közvil 064010'!D49+'7.16 zöldterület 066010'!D49+'7.17 város 066020'!D49+'7.18 háziorvos 072111'!D49+'7.19 ügyelet 072112'!D49+'7.20 fülészet 072210'!D49+'7.21 védőnők 074031'!D49+'7.22 isk eü 074032'!D49+'7.23 sportcsépület 081030'!D49+'7.24 sport tám 081041'!D49+'7.25 diáksport 081043'!D49+'7.26 közműv 082091'!D49+'7.27 közműv 082092'!D49+'7.28  óvoda 091140'!D49+'7.29 intézmkiv gyétk 104037'!D49+'7.30 szoc étk 107051'!D49+'7.31 segélyek 107060'!D49+'7.32 adóbev 900020'!D49+'7.33 pályázatok összesen'!D49+'7.6 út építés 045127'!D49</f>
        <v>0</v>
      </c>
      <c r="E49" s="247">
        <f t="shared" si="0"/>
        <v>9291338</v>
      </c>
      <c r="F49" s="246">
        <f>'7.1. igazg 011130'!F49+'7.2 temető 013320'!F49+'7.3. vagyon 013350'!F49+'7.4 018010'!F49+'7.5 finansz műveletek 018030'!F49+'7.7 közütak működtetés 045160'!F49+'7.8 parkoló 045170'!F49+'7.9 kábeltv 046020'!F49+'7.10 piac 047120'!F49+'7.11 tdm tám047320'!F49+'7.12 szemét 051030'!F49+'7.13 szennyvíz 052080'!F49+'7.14 víz 063080'!F49+'7.15 közvil 064010'!F49+'7.16 zöldterület 066010'!F49+'7.17 város 066020'!F49+'7.18 háziorvos 072111'!F49+'7.19 ügyelet 072112'!F49+'7.20 fülészet 072210'!F49+'7.21 védőnők 074031'!F49+'7.22 isk eü 074032'!F49+'7.23 sportcsépület 081030'!F49+'7.24 sport tám 081041'!F49+'7.25 diáksport 081043'!F49+'7.26 közműv 082091'!F49+'7.27 közműv 082092'!F49+'7.28  óvoda 091140'!F49+'7.29 intézmkiv gyétk 104037'!F49+'7.30 szoc étk 107051'!F49+'7.31 segélyek 107060'!F49+'7.32 adóbev 900020'!F49+'7.33 pályázatok összesen'!F49+'7.6 út építés 045127'!F49</f>
        <v>9291338</v>
      </c>
      <c r="G49" s="246">
        <f>'7.1. igazg 011130'!G49+'7.2 temető 013320'!G49+'7.3. vagyon 013350'!G49+'7.4 018010'!G49+'7.5 finansz műveletek 018030'!G49+'7.7 közütak működtetés 045160'!G49+'7.8 parkoló 045170'!G49+'7.9 kábeltv 046020'!G49+'7.10 piac 047120'!G49+'7.11 tdm tám047320'!G49+'7.12 szemét 051030'!G49+'7.13 szennyvíz 052080'!G49+'7.14 víz 063080'!G49+'7.15 közvil 064010'!G49+'7.16 zöldterület 066010'!G49+'7.17 város 066020'!G49+'7.18 háziorvos 072111'!G49+'7.19 ügyelet 072112'!G49+'7.20 fülészet 072210'!G49+'7.21 védőnők 074031'!G49+'7.22 isk eü 074032'!G49+'7.23 sportcsépület 081030'!G49+'7.24 sport tám 081041'!G49+'7.25 diáksport 081043'!G49+'7.26 közműv 082091'!G49+'7.27 közműv 082092'!G49+'7.28  óvoda 091140'!G49+'7.29 intézmkiv gyétk 104037'!G49+'7.30 szoc étk 107051'!G49+'7.31 segélyek 107060'!G49+'7.32 adóbev 900020'!G49+'7.33 pályázatok összesen'!G49+'7.6 út építés 045127'!G49</f>
        <v>0</v>
      </c>
      <c r="H49" s="247">
        <f t="shared" si="1"/>
        <v>9291338</v>
      </c>
      <c r="I49" s="246">
        <f ca="1">'7.1. igazg 011130'!I49+'7.2 temető 013320'!I49+'7.3. vagyon 013350'!I49+'7.4 018010'!I49+'7.5 finansz műveletek 018030'!I49+'7.7 közütak működtetés 045160'!I49+'7.8 parkoló 045170'!I49+'7.9 kábeltv 046020'!I49+'7.10 piac 047120'!I49+'7.11 tdm tám047320'!I49+'7.12 szemét 051030'!I49+'7.13 szennyvíz 052080'!I49+'7.14 víz 063080'!I49+'7.15 közvil 064010'!I49+'7.16 zöldterület 066010'!I49+'7.17 város 066020'!I49+'7.18 háziorvos 072111'!I49+'7.19 ügyelet 072112'!I49+'7.20 fülészet 072210'!I49+'7.21 védőnők 074031'!I49+'7.22 isk eü 074032'!I49+'7.23 sportcsépület 081030'!I49+'7.24 sport tám 081041'!I49+'7.25 diáksport 081043'!I49+'7.26 közműv 082091'!I49+'7.27 közműv 082092'!I49+'7.28  óvoda 091140'!I49+'7.29 intézmkiv gyétk 104037'!I49+'7.30 szoc étk 107051'!I49+'7.31 segélyek 107060'!I49+'7.32 adóbev 900020'!I49+'7.33 pályázatok összesen'!I49+'7.6 út építés 045127'!I49</f>
        <v>9291338</v>
      </c>
      <c r="J49" s="246">
        <f>'7.1. igazg 011130'!J49+'7.2 temető 013320'!J49+'7.3. vagyon 013350'!J49+'7.4 018010'!J49+'7.5 finansz műveletek 018030'!J49+'7.7 közütak működtetés 045160'!J49+'7.8 parkoló 045170'!J49+'7.9 kábeltv 046020'!J49+'7.10 piac 047120'!J49+'7.11 tdm tám047320'!J49+'7.12 szemét 051030'!J49+'7.13 szennyvíz 052080'!J49+'7.14 víz 063080'!J49+'7.15 közvil 064010'!J49+'7.16 zöldterület 066010'!J49+'7.17 város 066020'!J49+'7.18 háziorvos 072111'!J49+'7.19 ügyelet 072112'!J49+'7.20 fülészet 072210'!J49+'7.21 védőnők 074031'!J49+'7.22 isk eü 074032'!J49+'7.23 sportcsépület 081030'!J49+'7.24 sport tám 081041'!J49+'7.25 diáksport 081043'!J49+'7.26 közműv 082091'!J49+'7.27 közműv 082092'!J49+'7.28  óvoda 091140'!J49+'7.29 intézmkiv gyétk 104037'!J49+'7.30 szoc étk 107051'!J49+'7.31 segélyek 107060'!J49+'7.32 adóbev 900020'!J49+'7.33 pályázatok összesen'!J49+'7.6 út építés 045127'!J49</f>
        <v>0</v>
      </c>
      <c r="K49" s="247">
        <f t="shared" ca="1" si="2"/>
        <v>9291338</v>
      </c>
      <c r="L49" s="246">
        <f ca="1">'7.1. igazg 011130'!L49+'7.2 temető 013320'!L49+'7.3. vagyon 013350'!L49+'7.4 018010'!L49+'7.5 finansz műveletek 018030'!L49+'7.7 közütak működtetés 045160'!L49+'7.8 parkoló 045170'!L49+'7.9 kábeltv 046020'!L49+'7.10 piac 047120'!L49+'7.11 tdm tám047320'!L49+'7.12 szemét 051030'!L49+'7.13 szennyvíz 052080'!L49+'7.14 víz 063080'!L49+'7.15 közvil 064010'!L49+'7.16 zöldterület 066010'!L49+'7.17 város 066020'!L49+'7.18 háziorvos 072111'!L49+'7.19 ügyelet 072112'!L49+'7.20 fülészet 072210'!L49+'7.21 védőnők 074031'!L49+'7.22 isk eü 074032'!L49+'7.23 sportcsépület 081030'!L49+'7.24 sport tám 081041'!L49+'7.25 diáksport 081043'!L49+'7.26 közműv 082091'!L49+'7.27 közműv 082092'!L49+'7.28  óvoda 091140'!L49+'7.29 intézmkiv gyétk 104037'!L49+'7.30 szoc étk 107051'!L49+'7.31 segélyek 107060'!L49+'7.32 adóbev 900020'!L49+'7.33 pályázatok összesen'!L49+'7.6 út építés 045127'!L49</f>
        <v>8476690</v>
      </c>
      <c r="M49" s="246">
        <f>'7.1. igazg 011130'!M49+'7.2 temető 013320'!M49+'7.3. vagyon 013350'!M49+'7.4 018010'!M49+'7.5 finansz műveletek 018030'!M49+'7.7 közütak működtetés 045160'!M49+'7.8 parkoló 045170'!M49+'7.9 kábeltv 046020'!M49+'7.10 piac 047120'!M49+'7.11 tdm tám047320'!M49+'7.12 szemét 051030'!M49+'7.13 szennyvíz 052080'!M49+'7.14 víz 063080'!M49+'7.15 közvil 064010'!M49+'7.16 zöldterület 066010'!M49+'7.17 város 066020'!M49+'7.18 háziorvos 072111'!M49+'7.19 ügyelet 072112'!M49+'7.20 fülészet 072210'!M49+'7.21 védőnők 074031'!M49+'7.22 isk eü 074032'!M49+'7.23 sportcsépület 081030'!M49+'7.24 sport tám 081041'!M49+'7.25 diáksport 081043'!M49+'7.26 közműv 082091'!M49+'7.27 közműv 082092'!M49+'7.28  óvoda 091140'!M49+'7.29 intézmkiv gyétk 104037'!M49+'7.30 szoc étk 107051'!M49+'7.31 segélyek 107060'!M49+'7.32 adóbev 900020'!M49+'7.33 pályázatok összesen'!M49+'7.6 út építés 045127'!M49</f>
        <v>0</v>
      </c>
      <c r="N49" s="247">
        <f t="shared" ca="1" si="3"/>
        <v>8476690</v>
      </c>
    </row>
    <row r="50" spans="1:14" x14ac:dyDescent="0.25">
      <c r="A50" s="53"/>
      <c r="B50" s="62" t="s">
        <v>103</v>
      </c>
      <c r="C50" s="246">
        <f>'7.1. igazg 011130'!C50+'7.2 temető 013320'!C50+'7.3. vagyon 013350'!C50+'7.4 018010'!C50+'7.5 finansz műveletek 018030'!C50+'7.7 közütak működtetés 045160'!C50+'7.8 parkoló 045170'!C50+'7.9 kábeltv 046020'!C50+'7.10 piac 047120'!C50+'7.11 tdm tám047320'!C50+'7.12 szemét 051030'!C50+'7.13 szennyvíz 052080'!C50+'7.14 víz 063080'!C50+'7.15 közvil 064010'!C50+'7.16 zöldterület 066010'!C50+'7.17 város 066020'!C50+'7.18 háziorvos 072111'!C50+'7.19 ügyelet 072112'!C50+'7.20 fülészet 072210'!C50+'7.21 védőnők 074031'!C50+'7.22 isk eü 074032'!C50+'7.23 sportcsépület 081030'!C50+'7.24 sport tám 081041'!C50+'7.25 diáksport 081043'!C50+'7.26 közműv 082091'!C50+'7.27 közműv 082092'!C50+'7.28  óvoda 091140'!C50+'7.29 intézmkiv gyétk 104037'!C50+'7.30 szoc étk 107051'!C50+'7.31 segélyek 107060'!C50+'7.32 adóbev 900020'!C50+'7.33 pályázatok összesen'!C50+'7.6 út építés 045127'!C50</f>
        <v>0</v>
      </c>
      <c r="D50" s="246">
        <f>'7.1. igazg 011130'!D50+'7.2 temető 013320'!D50+'7.3. vagyon 013350'!D50+'7.4 018010'!D50+'7.5 finansz műveletek 018030'!D50+'7.7 közütak működtetés 045160'!D50+'7.8 parkoló 045170'!D50+'7.9 kábeltv 046020'!D50+'7.10 piac 047120'!D50+'7.11 tdm tám047320'!D50+'7.12 szemét 051030'!D50+'7.13 szennyvíz 052080'!D50+'7.14 víz 063080'!D50+'7.15 közvil 064010'!D50+'7.16 zöldterület 066010'!D50+'7.17 város 066020'!D50+'7.18 háziorvos 072111'!D50+'7.19 ügyelet 072112'!D50+'7.20 fülészet 072210'!D50+'7.21 védőnők 074031'!D50+'7.22 isk eü 074032'!D50+'7.23 sportcsépület 081030'!D50+'7.24 sport tám 081041'!D50+'7.25 diáksport 081043'!D50+'7.26 közműv 082091'!D50+'7.27 közműv 082092'!D50+'7.28  óvoda 091140'!D50+'7.29 intézmkiv gyétk 104037'!D50+'7.30 szoc étk 107051'!D50+'7.31 segélyek 107060'!D50+'7.32 adóbev 900020'!D50+'7.33 pályázatok összesen'!D50+'7.6 út építés 045127'!D50</f>
        <v>0</v>
      </c>
      <c r="E50" s="247">
        <f t="shared" si="0"/>
        <v>0</v>
      </c>
      <c r="F50" s="246">
        <f>'7.1. igazg 011130'!F50+'7.2 temető 013320'!F50+'7.3. vagyon 013350'!F50+'7.4 018010'!F50+'7.5 finansz műveletek 018030'!F50+'7.7 közütak működtetés 045160'!F50+'7.8 parkoló 045170'!F50+'7.9 kábeltv 046020'!F50+'7.10 piac 047120'!F50+'7.11 tdm tám047320'!F50+'7.12 szemét 051030'!F50+'7.13 szennyvíz 052080'!F50+'7.14 víz 063080'!F50+'7.15 közvil 064010'!F50+'7.16 zöldterület 066010'!F50+'7.17 város 066020'!F50+'7.18 háziorvos 072111'!F50+'7.19 ügyelet 072112'!F50+'7.20 fülészet 072210'!F50+'7.21 védőnők 074031'!F50+'7.22 isk eü 074032'!F50+'7.23 sportcsépület 081030'!F50+'7.24 sport tám 081041'!F50+'7.25 diáksport 081043'!F50+'7.26 közműv 082091'!F50+'7.27 közműv 082092'!F50+'7.28  óvoda 091140'!F50+'7.29 intézmkiv gyétk 104037'!F50+'7.30 szoc étk 107051'!F50+'7.31 segélyek 107060'!F50+'7.32 adóbev 900020'!F50+'7.33 pályázatok összesen'!F50+'7.6 út építés 045127'!F50</f>
        <v>0</v>
      </c>
      <c r="G50" s="246">
        <f>'7.1. igazg 011130'!G50+'7.2 temető 013320'!G50+'7.3. vagyon 013350'!G50+'7.4 018010'!G50+'7.5 finansz műveletek 018030'!G50+'7.7 közütak működtetés 045160'!G50+'7.8 parkoló 045170'!G50+'7.9 kábeltv 046020'!G50+'7.10 piac 047120'!G50+'7.11 tdm tám047320'!G50+'7.12 szemét 051030'!G50+'7.13 szennyvíz 052080'!G50+'7.14 víz 063080'!G50+'7.15 közvil 064010'!G50+'7.16 zöldterület 066010'!G50+'7.17 város 066020'!G50+'7.18 háziorvos 072111'!G50+'7.19 ügyelet 072112'!G50+'7.20 fülészet 072210'!G50+'7.21 védőnők 074031'!G50+'7.22 isk eü 074032'!G50+'7.23 sportcsépület 081030'!G50+'7.24 sport tám 081041'!G50+'7.25 diáksport 081043'!G50+'7.26 közműv 082091'!G50+'7.27 közműv 082092'!G50+'7.28  óvoda 091140'!G50+'7.29 intézmkiv gyétk 104037'!G50+'7.30 szoc étk 107051'!G50+'7.31 segélyek 107060'!G50+'7.32 adóbev 900020'!G50+'7.33 pályázatok összesen'!G50+'7.6 út építés 045127'!G50</f>
        <v>0</v>
      </c>
      <c r="H50" s="247">
        <f t="shared" si="1"/>
        <v>0</v>
      </c>
      <c r="I50" s="246">
        <f ca="1">'7.1. igazg 011130'!I50+'7.2 temető 013320'!I50+'7.3. vagyon 013350'!I50+'7.4 018010'!I50+'7.5 finansz műveletek 018030'!I50+'7.7 közütak működtetés 045160'!I50+'7.8 parkoló 045170'!I50+'7.9 kábeltv 046020'!I50+'7.10 piac 047120'!I50+'7.11 tdm tám047320'!I50+'7.12 szemét 051030'!I50+'7.13 szennyvíz 052080'!I50+'7.14 víz 063080'!I50+'7.15 közvil 064010'!I50+'7.16 zöldterület 066010'!I50+'7.17 város 066020'!I50+'7.18 háziorvos 072111'!I50+'7.19 ügyelet 072112'!I50+'7.20 fülészet 072210'!I50+'7.21 védőnők 074031'!I50+'7.22 isk eü 074032'!I50+'7.23 sportcsépület 081030'!I50+'7.24 sport tám 081041'!I50+'7.25 diáksport 081043'!I50+'7.26 közműv 082091'!I50+'7.27 közműv 082092'!I50+'7.28  óvoda 091140'!I50+'7.29 intézmkiv gyétk 104037'!I50+'7.30 szoc étk 107051'!I50+'7.31 segélyek 107060'!I50+'7.32 adóbev 900020'!I50+'7.33 pályázatok összesen'!I50+'7.6 út építés 045127'!I50</f>
        <v>0</v>
      </c>
      <c r="J50" s="246">
        <f>'7.1. igazg 011130'!J50+'7.2 temető 013320'!J50+'7.3. vagyon 013350'!J50+'7.4 018010'!J50+'7.5 finansz műveletek 018030'!J50+'7.7 közütak működtetés 045160'!J50+'7.8 parkoló 045170'!J50+'7.9 kábeltv 046020'!J50+'7.10 piac 047120'!J50+'7.11 tdm tám047320'!J50+'7.12 szemét 051030'!J50+'7.13 szennyvíz 052080'!J50+'7.14 víz 063080'!J50+'7.15 közvil 064010'!J50+'7.16 zöldterület 066010'!J50+'7.17 város 066020'!J50+'7.18 háziorvos 072111'!J50+'7.19 ügyelet 072112'!J50+'7.20 fülészet 072210'!J50+'7.21 védőnők 074031'!J50+'7.22 isk eü 074032'!J50+'7.23 sportcsépület 081030'!J50+'7.24 sport tám 081041'!J50+'7.25 diáksport 081043'!J50+'7.26 közműv 082091'!J50+'7.27 közműv 082092'!J50+'7.28  óvoda 091140'!J50+'7.29 intézmkiv gyétk 104037'!J50+'7.30 szoc étk 107051'!J50+'7.31 segélyek 107060'!J50+'7.32 adóbev 900020'!J50+'7.33 pályázatok összesen'!J50+'7.6 út építés 045127'!J50</f>
        <v>0</v>
      </c>
      <c r="K50" s="247">
        <f t="shared" ca="1" si="2"/>
        <v>0</v>
      </c>
      <c r="L50" s="246">
        <f ca="1">'7.1. igazg 011130'!L50+'7.2 temető 013320'!L50+'7.3. vagyon 013350'!L50+'7.4 018010'!L50+'7.5 finansz műveletek 018030'!L50+'7.7 közütak működtetés 045160'!L50+'7.8 parkoló 045170'!L50+'7.9 kábeltv 046020'!L50+'7.10 piac 047120'!L50+'7.11 tdm tám047320'!L50+'7.12 szemét 051030'!L50+'7.13 szennyvíz 052080'!L50+'7.14 víz 063080'!L50+'7.15 közvil 064010'!L50+'7.16 zöldterület 066010'!L50+'7.17 város 066020'!L50+'7.18 háziorvos 072111'!L50+'7.19 ügyelet 072112'!L50+'7.20 fülészet 072210'!L50+'7.21 védőnők 074031'!L50+'7.22 isk eü 074032'!L50+'7.23 sportcsépület 081030'!L50+'7.24 sport tám 081041'!L50+'7.25 diáksport 081043'!L50+'7.26 közműv 082091'!L50+'7.27 közműv 082092'!L50+'7.28  óvoda 091140'!L50+'7.29 intézmkiv gyétk 104037'!L50+'7.30 szoc étk 107051'!L50+'7.31 segélyek 107060'!L50+'7.32 adóbev 900020'!L50+'7.33 pályázatok összesen'!L50+'7.6 út építés 045127'!L50</f>
        <v>0</v>
      </c>
      <c r="M50" s="246">
        <f>'7.1. igazg 011130'!M50+'7.2 temető 013320'!M50+'7.3. vagyon 013350'!M50+'7.4 018010'!M50+'7.5 finansz műveletek 018030'!M50+'7.7 közütak működtetés 045160'!M50+'7.8 parkoló 045170'!M50+'7.9 kábeltv 046020'!M50+'7.10 piac 047120'!M50+'7.11 tdm tám047320'!M50+'7.12 szemét 051030'!M50+'7.13 szennyvíz 052080'!M50+'7.14 víz 063080'!M50+'7.15 közvil 064010'!M50+'7.16 zöldterület 066010'!M50+'7.17 város 066020'!M50+'7.18 háziorvos 072111'!M50+'7.19 ügyelet 072112'!M50+'7.20 fülészet 072210'!M50+'7.21 védőnők 074031'!M50+'7.22 isk eü 074032'!M50+'7.23 sportcsépület 081030'!M50+'7.24 sport tám 081041'!M50+'7.25 diáksport 081043'!M50+'7.26 közműv 082091'!M50+'7.27 közműv 082092'!M50+'7.28  óvoda 091140'!M50+'7.29 intézmkiv gyétk 104037'!M50+'7.30 szoc étk 107051'!M50+'7.31 segélyek 107060'!M50+'7.32 adóbev 900020'!M50+'7.33 pályázatok összesen'!M50+'7.6 út építés 045127'!M50</f>
        <v>0</v>
      </c>
      <c r="N50" s="247">
        <f t="shared" ca="1" si="3"/>
        <v>0</v>
      </c>
    </row>
    <row r="51" spans="1:14" x14ac:dyDescent="0.25">
      <c r="A51" s="53"/>
      <c r="B51" s="62" t="s">
        <v>104</v>
      </c>
      <c r="C51" s="246">
        <f>'7.1. igazg 011130'!C51+'7.2 temető 013320'!C51+'7.3. vagyon 013350'!C51+'7.4 018010'!C51+'7.5 finansz műveletek 018030'!C51+'7.7 közütak működtetés 045160'!C51+'7.8 parkoló 045170'!C51+'7.9 kábeltv 046020'!C51+'7.10 piac 047120'!C51+'7.11 tdm tám047320'!C51+'7.12 szemét 051030'!C51+'7.13 szennyvíz 052080'!C51+'7.14 víz 063080'!C51+'7.15 közvil 064010'!C51+'7.16 zöldterület 066010'!C51+'7.17 város 066020'!C51+'7.18 háziorvos 072111'!C51+'7.19 ügyelet 072112'!C51+'7.20 fülészet 072210'!C51+'7.21 védőnők 074031'!C51+'7.22 isk eü 074032'!C51+'7.23 sportcsépület 081030'!C51+'7.24 sport tám 081041'!C51+'7.25 diáksport 081043'!C51+'7.26 közműv 082091'!C51+'7.27 közműv 082092'!C51+'7.28  óvoda 091140'!C51+'7.29 intézmkiv gyétk 104037'!C51+'7.30 szoc étk 107051'!C51+'7.31 segélyek 107060'!C51+'7.32 adóbev 900020'!C51+'7.33 pályázatok összesen'!C51+'7.6 út építés 045127'!C51</f>
        <v>9291338</v>
      </c>
      <c r="D51" s="246">
        <f>'7.1. igazg 011130'!D51+'7.2 temető 013320'!D51+'7.3. vagyon 013350'!D51+'7.4 018010'!D51+'7.5 finansz műveletek 018030'!D51+'7.7 közütak működtetés 045160'!D51+'7.8 parkoló 045170'!D51+'7.9 kábeltv 046020'!D51+'7.10 piac 047120'!D51+'7.11 tdm tám047320'!D51+'7.12 szemét 051030'!D51+'7.13 szennyvíz 052080'!D51+'7.14 víz 063080'!D51+'7.15 közvil 064010'!D51+'7.16 zöldterület 066010'!D51+'7.17 város 066020'!D51+'7.18 háziorvos 072111'!D51+'7.19 ügyelet 072112'!D51+'7.20 fülészet 072210'!D51+'7.21 védőnők 074031'!D51+'7.22 isk eü 074032'!D51+'7.23 sportcsépület 081030'!D51+'7.24 sport tám 081041'!D51+'7.25 diáksport 081043'!D51+'7.26 közműv 082091'!D51+'7.27 közműv 082092'!D51+'7.28  óvoda 091140'!D51+'7.29 intézmkiv gyétk 104037'!D51+'7.30 szoc étk 107051'!D51+'7.31 segélyek 107060'!D51+'7.32 adóbev 900020'!D51+'7.33 pályázatok összesen'!D51+'7.6 út építés 045127'!D51</f>
        <v>0</v>
      </c>
      <c r="E51" s="247">
        <f t="shared" si="0"/>
        <v>9291338</v>
      </c>
      <c r="F51" s="246">
        <f>'7.1. igazg 011130'!F51+'7.2 temető 013320'!F51+'7.3. vagyon 013350'!F51+'7.4 018010'!F51+'7.5 finansz műveletek 018030'!F51+'7.7 közütak működtetés 045160'!F51+'7.8 parkoló 045170'!F51+'7.9 kábeltv 046020'!F51+'7.10 piac 047120'!F51+'7.11 tdm tám047320'!F51+'7.12 szemét 051030'!F51+'7.13 szennyvíz 052080'!F51+'7.14 víz 063080'!F51+'7.15 közvil 064010'!F51+'7.16 zöldterület 066010'!F51+'7.17 város 066020'!F51+'7.18 háziorvos 072111'!F51+'7.19 ügyelet 072112'!F51+'7.20 fülészet 072210'!F51+'7.21 védőnők 074031'!F51+'7.22 isk eü 074032'!F51+'7.23 sportcsépület 081030'!F51+'7.24 sport tám 081041'!F51+'7.25 diáksport 081043'!F51+'7.26 közműv 082091'!F51+'7.27 közműv 082092'!F51+'7.28  óvoda 091140'!F51+'7.29 intézmkiv gyétk 104037'!F51+'7.30 szoc étk 107051'!F51+'7.31 segélyek 107060'!F51+'7.32 adóbev 900020'!F51+'7.33 pályázatok összesen'!F51+'7.6 út építés 045127'!F51</f>
        <v>9291338</v>
      </c>
      <c r="G51" s="246">
        <f>'7.1. igazg 011130'!G51+'7.2 temető 013320'!G51+'7.3. vagyon 013350'!G51+'7.4 018010'!G51+'7.5 finansz műveletek 018030'!G51+'7.7 közütak működtetés 045160'!G51+'7.8 parkoló 045170'!G51+'7.9 kábeltv 046020'!G51+'7.10 piac 047120'!G51+'7.11 tdm tám047320'!G51+'7.12 szemét 051030'!G51+'7.13 szennyvíz 052080'!G51+'7.14 víz 063080'!G51+'7.15 közvil 064010'!G51+'7.16 zöldterület 066010'!G51+'7.17 város 066020'!G51+'7.18 háziorvos 072111'!G51+'7.19 ügyelet 072112'!G51+'7.20 fülészet 072210'!G51+'7.21 védőnők 074031'!G51+'7.22 isk eü 074032'!G51+'7.23 sportcsépület 081030'!G51+'7.24 sport tám 081041'!G51+'7.25 diáksport 081043'!G51+'7.26 közműv 082091'!G51+'7.27 közműv 082092'!G51+'7.28  óvoda 091140'!G51+'7.29 intézmkiv gyétk 104037'!G51+'7.30 szoc étk 107051'!G51+'7.31 segélyek 107060'!G51+'7.32 adóbev 900020'!G51+'7.33 pályázatok összesen'!G51+'7.6 út építés 045127'!G51</f>
        <v>0</v>
      </c>
      <c r="H51" s="247">
        <f t="shared" si="1"/>
        <v>9291338</v>
      </c>
      <c r="I51" s="246">
        <f ca="1">'7.1. igazg 011130'!I51+'7.2 temető 013320'!I51+'7.3. vagyon 013350'!I51+'7.4 018010'!I51+'7.5 finansz műveletek 018030'!I51+'7.7 közütak működtetés 045160'!I51+'7.8 parkoló 045170'!I51+'7.9 kábeltv 046020'!I51+'7.10 piac 047120'!I51+'7.11 tdm tám047320'!I51+'7.12 szemét 051030'!I51+'7.13 szennyvíz 052080'!I51+'7.14 víz 063080'!I51+'7.15 közvil 064010'!I51+'7.16 zöldterület 066010'!I51+'7.17 város 066020'!I51+'7.18 háziorvos 072111'!I51+'7.19 ügyelet 072112'!I51+'7.20 fülészet 072210'!I51+'7.21 védőnők 074031'!I51+'7.22 isk eü 074032'!I51+'7.23 sportcsépület 081030'!I51+'7.24 sport tám 081041'!I51+'7.25 diáksport 081043'!I51+'7.26 közműv 082091'!I51+'7.27 közműv 082092'!I51+'7.28  óvoda 091140'!I51+'7.29 intézmkiv gyétk 104037'!I51+'7.30 szoc étk 107051'!I51+'7.31 segélyek 107060'!I51+'7.32 adóbev 900020'!I51+'7.33 pályázatok összesen'!I51+'7.6 út építés 045127'!I51</f>
        <v>9291338</v>
      </c>
      <c r="J51" s="246">
        <f>'7.1. igazg 011130'!J51+'7.2 temető 013320'!J51+'7.3. vagyon 013350'!J51+'7.4 018010'!J51+'7.5 finansz műveletek 018030'!J51+'7.7 közütak működtetés 045160'!J51+'7.8 parkoló 045170'!J51+'7.9 kábeltv 046020'!J51+'7.10 piac 047120'!J51+'7.11 tdm tám047320'!J51+'7.12 szemét 051030'!J51+'7.13 szennyvíz 052080'!J51+'7.14 víz 063080'!J51+'7.15 közvil 064010'!J51+'7.16 zöldterület 066010'!J51+'7.17 város 066020'!J51+'7.18 háziorvos 072111'!J51+'7.19 ügyelet 072112'!J51+'7.20 fülészet 072210'!J51+'7.21 védőnők 074031'!J51+'7.22 isk eü 074032'!J51+'7.23 sportcsépület 081030'!J51+'7.24 sport tám 081041'!J51+'7.25 diáksport 081043'!J51+'7.26 közműv 082091'!J51+'7.27 közműv 082092'!J51+'7.28  óvoda 091140'!J51+'7.29 intézmkiv gyétk 104037'!J51+'7.30 szoc étk 107051'!J51+'7.31 segélyek 107060'!J51+'7.32 adóbev 900020'!J51+'7.33 pályázatok összesen'!J51+'7.6 út építés 045127'!J51</f>
        <v>0</v>
      </c>
      <c r="K51" s="247">
        <f t="shared" ca="1" si="2"/>
        <v>9291338</v>
      </c>
      <c r="L51" s="246">
        <f ca="1">'7.1. igazg 011130'!L51+'7.2 temető 013320'!L51+'7.3. vagyon 013350'!L51+'7.4 018010'!L51+'7.5 finansz műveletek 018030'!L51+'7.7 közütak működtetés 045160'!L51+'7.8 parkoló 045170'!L51+'7.9 kábeltv 046020'!L51+'7.10 piac 047120'!L51+'7.11 tdm tám047320'!L51+'7.12 szemét 051030'!L51+'7.13 szennyvíz 052080'!L51+'7.14 víz 063080'!L51+'7.15 közvil 064010'!L51+'7.16 zöldterület 066010'!L51+'7.17 város 066020'!L51+'7.18 háziorvos 072111'!L51+'7.19 ügyelet 072112'!L51+'7.20 fülészet 072210'!L51+'7.21 védőnők 074031'!L51+'7.22 isk eü 074032'!L51+'7.23 sportcsépület 081030'!L51+'7.24 sport tám 081041'!L51+'7.25 diáksport 081043'!L51+'7.26 közműv 082091'!L51+'7.27 közműv 082092'!L51+'7.28  óvoda 091140'!L51+'7.29 intézmkiv gyétk 104037'!L51+'7.30 szoc étk 107051'!L51+'7.31 segélyek 107060'!L51+'7.32 adóbev 900020'!L51+'7.33 pályázatok összesen'!L51+'7.6 út építés 045127'!L51</f>
        <v>8476690</v>
      </c>
      <c r="M51" s="246">
        <f>'7.1. igazg 011130'!M51+'7.2 temető 013320'!M51+'7.3. vagyon 013350'!M51+'7.4 018010'!M51+'7.5 finansz műveletek 018030'!M51+'7.7 közütak működtetés 045160'!M51+'7.8 parkoló 045170'!M51+'7.9 kábeltv 046020'!M51+'7.10 piac 047120'!M51+'7.11 tdm tám047320'!M51+'7.12 szemét 051030'!M51+'7.13 szennyvíz 052080'!M51+'7.14 víz 063080'!M51+'7.15 közvil 064010'!M51+'7.16 zöldterület 066010'!M51+'7.17 város 066020'!M51+'7.18 háziorvos 072111'!M51+'7.19 ügyelet 072112'!M51+'7.20 fülészet 072210'!M51+'7.21 védőnők 074031'!M51+'7.22 isk eü 074032'!M51+'7.23 sportcsépület 081030'!M51+'7.24 sport tám 081041'!M51+'7.25 diáksport 081043'!M51+'7.26 közműv 082091'!M51+'7.27 közműv 082092'!M51+'7.28  óvoda 091140'!M51+'7.29 intézmkiv gyétk 104037'!M51+'7.30 szoc étk 107051'!M51+'7.31 segélyek 107060'!M51+'7.32 adóbev 900020'!M51+'7.33 pályázatok összesen'!M51+'7.6 út építés 045127'!M51</f>
        <v>0</v>
      </c>
      <c r="N51" s="247">
        <f t="shared" ca="1" si="3"/>
        <v>8476690</v>
      </c>
    </row>
    <row r="52" spans="1:14" x14ac:dyDescent="0.25">
      <c r="A52" s="53"/>
      <c r="B52" s="62" t="s">
        <v>105</v>
      </c>
      <c r="C52" s="246">
        <f>'7.1. igazg 011130'!C52+'7.2 temető 013320'!C52+'7.3. vagyon 013350'!C52+'7.4 018010'!C52+'7.5 finansz műveletek 018030'!C52+'7.7 közütak működtetés 045160'!C52+'7.8 parkoló 045170'!C52+'7.9 kábeltv 046020'!C52+'7.10 piac 047120'!C52+'7.11 tdm tám047320'!C52+'7.12 szemét 051030'!C52+'7.13 szennyvíz 052080'!C52+'7.14 víz 063080'!C52+'7.15 közvil 064010'!C52+'7.16 zöldterület 066010'!C52+'7.17 város 066020'!C52+'7.18 háziorvos 072111'!C52+'7.19 ügyelet 072112'!C52+'7.20 fülészet 072210'!C52+'7.21 védőnők 074031'!C52+'7.22 isk eü 074032'!C52+'7.23 sportcsépület 081030'!C52+'7.24 sport tám 081041'!C52+'7.25 diáksport 081043'!C52+'7.26 közműv 082091'!C52+'7.27 közműv 082092'!C52+'7.28  óvoda 091140'!C52+'7.29 intézmkiv gyétk 104037'!C52+'7.30 szoc étk 107051'!C52+'7.31 segélyek 107060'!C52+'7.32 adóbev 900020'!C52+'7.33 pályázatok összesen'!C52+'7.6 út építés 045127'!C52</f>
        <v>0</v>
      </c>
      <c r="D52" s="246">
        <f>'7.1. igazg 011130'!D52+'7.2 temető 013320'!D52+'7.3. vagyon 013350'!D52+'7.4 018010'!D52+'7.5 finansz műveletek 018030'!D52+'7.7 közütak működtetés 045160'!D52+'7.8 parkoló 045170'!D52+'7.9 kábeltv 046020'!D52+'7.10 piac 047120'!D52+'7.11 tdm tám047320'!D52+'7.12 szemét 051030'!D52+'7.13 szennyvíz 052080'!D52+'7.14 víz 063080'!D52+'7.15 közvil 064010'!D52+'7.16 zöldterület 066010'!D52+'7.17 város 066020'!D52+'7.18 háziorvos 072111'!D52+'7.19 ügyelet 072112'!D52+'7.20 fülészet 072210'!D52+'7.21 védőnők 074031'!D52+'7.22 isk eü 074032'!D52+'7.23 sportcsépület 081030'!D52+'7.24 sport tám 081041'!D52+'7.25 diáksport 081043'!D52+'7.26 közműv 082091'!D52+'7.27 közműv 082092'!D52+'7.28  óvoda 091140'!D52+'7.29 intézmkiv gyétk 104037'!D52+'7.30 szoc étk 107051'!D52+'7.31 segélyek 107060'!D52+'7.32 adóbev 900020'!D52+'7.33 pályázatok összesen'!D52+'7.6 út építés 045127'!D52</f>
        <v>0</v>
      </c>
      <c r="E52" s="247">
        <f t="shared" si="0"/>
        <v>0</v>
      </c>
      <c r="F52" s="246">
        <f>'7.1. igazg 011130'!F52+'7.2 temető 013320'!F52+'7.3. vagyon 013350'!F52+'7.4 018010'!F52+'7.5 finansz műveletek 018030'!F52+'7.7 közütak működtetés 045160'!F52+'7.8 parkoló 045170'!F52+'7.9 kábeltv 046020'!F52+'7.10 piac 047120'!F52+'7.11 tdm tám047320'!F52+'7.12 szemét 051030'!F52+'7.13 szennyvíz 052080'!F52+'7.14 víz 063080'!F52+'7.15 közvil 064010'!F52+'7.16 zöldterület 066010'!F52+'7.17 város 066020'!F52+'7.18 háziorvos 072111'!F52+'7.19 ügyelet 072112'!F52+'7.20 fülészet 072210'!F52+'7.21 védőnők 074031'!F52+'7.22 isk eü 074032'!F52+'7.23 sportcsépület 081030'!F52+'7.24 sport tám 081041'!F52+'7.25 diáksport 081043'!F52+'7.26 közműv 082091'!F52+'7.27 közműv 082092'!F52+'7.28  óvoda 091140'!F52+'7.29 intézmkiv gyétk 104037'!F52+'7.30 szoc étk 107051'!F52+'7.31 segélyek 107060'!F52+'7.32 adóbev 900020'!F52+'7.33 pályázatok összesen'!F52+'7.6 út építés 045127'!F52</f>
        <v>0</v>
      </c>
      <c r="G52" s="246">
        <f>'7.1. igazg 011130'!G52+'7.2 temető 013320'!G52+'7.3. vagyon 013350'!G52+'7.4 018010'!G52+'7.5 finansz műveletek 018030'!G52+'7.7 közütak működtetés 045160'!G52+'7.8 parkoló 045170'!G52+'7.9 kábeltv 046020'!G52+'7.10 piac 047120'!G52+'7.11 tdm tám047320'!G52+'7.12 szemét 051030'!G52+'7.13 szennyvíz 052080'!G52+'7.14 víz 063080'!G52+'7.15 közvil 064010'!G52+'7.16 zöldterület 066010'!G52+'7.17 város 066020'!G52+'7.18 háziorvos 072111'!G52+'7.19 ügyelet 072112'!G52+'7.20 fülészet 072210'!G52+'7.21 védőnők 074031'!G52+'7.22 isk eü 074032'!G52+'7.23 sportcsépület 081030'!G52+'7.24 sport tám 081041'!G52+'7.25 diáksport 081043'!G52+'7.26 közműv 082091'!G52+'7.27 közműv 082092'!G52+'7.28  óvoda 091140'!G52+'7.29 intézmkiv gyétk 104037'!G52+'7.30 szoc étk 107051'!G52+'7.31 segélyek 107060'!G52+'7.32 adóbev 900020'!G52+'7.33 pályázatok összesen'!G52+'7.6 út építés 045127'!G52</f>
        <v>0</v>
      </c>
      <c r="H52" s="247">
        <f t="shared" si="1"/>
        <v>0</v>
      </c>
      <c r="I52" s="246">
        <f ca="1">'7.1. igazg 011130'!I52+'7.2 temető 013320'!I52+'7.3. vagyon 013350'!I52+'7.4 018010'!I52+'7.5 finansz műveletek 018030'!I52+'7.7 közütak működtetés 045160'!I52+'7.8 parkoló 045170'!I52+'7.9 kábeltv 046020'!I52+'7.10 piac 047120'!I52+'7.11 tdm tám047320'!I52+'7.12 szemét 051030'!I52+'7.13 szennyvíz 052080'!I52+'7.14 víz 063080'!I52+'7.15 közvil 064010'!I52+'7.16 zöldterület 066010'!I52+'7.17 város 066020'!I52+'7.18 háziorvos 072111'!I52+'7.19 ügyelet 072112'!I52+'7.20 fülészet 072210'!I52+'7.21 védőnők 074031'!I52+'7.22 isk eü 074032'!I52+'7.23 sportcsépület 081030'!I52+'7.24 sport tám 081041'!I52+'7.25 diáksport 081043'!I52+'7.26 közműv 082091'!I52+'7.27 közműv 082092'!I52+'7.28  óvoda 091140'!I52+'7.29 intézmkiv gyétk 104037'!I52+'7.30 szoc étk 107051'!I52+'7.31 segélyek 107060'!I52+'7.32 adóbev 900020'!I52+'7.33 pályázatok összesen'!I52+'7.6 út építés 045127'!I52</f>
        <v>0</v>
      </c>
      <c r="J52" s="246">
        <f>'7.1. igazg 011130'!J52+'7.2 temető 013320'!J52+'7.3. vagyon 013350'!J52+'7.4 018010'!J52+'7.5 finansz műveletek 018030'!J52+'7.7 közütak működtetés 045160'!J52+'7.8 parkoló 045170'!J52+'7.9 kábeltv 046020'!J52+'7.10 piac 047120'!J52+'7.11 tdm tám047320'!J52+'7.12 szemét 051030'!J52+'7.13 szennyvíz 052080'!J52+'7.14 víz 063080'!J52+'7.15 közvil 064010'!J52+'7.16 zöldterület 066010'!J52+'7.17 város 066020'!J52+'7.18 háziorvos 072111'!J52+'7.19 ügyelet 072112'!J52+'7.20 fülészet 072210'!J52+'7.21 védőnők 074031'!J52+'7.22 isk eü 074032'!J52+'7.23 sportcsépület 081030'!J52+'7.24 sport tám 081041'!J52+'7.25 diáksport 081043'!J52+'7.26 közműv 082091'!J52+'7.27 közműv 082092'!J52+'7.28  óvoda 091140'!J52+'7.29 intézmkiv gyétk 104037'!J52+'7.30 szoc étk 107051'!J52+'7.31 segélyek 107060'!J52+'7.32 adóbev 900020'!J52+'7.33 pályázatok összesen'!J52+'7.6 út építés 045127'!J52</f>
        <v>0</v>
      </c>
      <c r="K52" s="247">
        <f t="shared" ca="1" si="2"/>
        <v>0</v>
      </c>
      <c r="L52" s="246">
        <f ca="1">'7.1. igazg 011130'!L52+'7.2 temető 013320'!L52+'7.3. vagyon 013350'!L52+'7.4 018010'!L52+'7.5 finansz műveletek 018030'!L52+'7.7 közütak működtetés 045160'!L52+'7.8 parkoló 045170'!L52+'7.9 kábeltv 046020'!L52+'7.10 piac 047120'!L52+'7.11 tdm tám047320'!L52+'7.12 szemét 051030'!L52+'7.13 szennyvíz 052080'!L52+'7.14 víz 063080'!L52+'7.15 közvil 064010'!L52+'7.16 zöldterület 066010'!L52+'7.17 város 066020'!L52+'7.18 háziorvos 072111'!L52+'7.19 ügyelet 072112'!L52+'7.20 fülészet 072210'!L52+'7.21 védőnők 074031'!L52+'7.22 isk eü 074032'!L52+'7.23 sportcsépület 081030'!L52+'7.24 sport tám 081041'!L52+'7.25 diáksport 081043'!L52+'7.26 közműv 082091'!L52+'7.27 közműv 082092'!L52+'7.28  óvoda 091140'!L52+'7.29 intézmkiv gyétk 104037'!L52+'7.30 szoc étk 107051'!L52+'7.31 segélyek 107060'!L52+'7.32 adóbev 900020'!L52+'7.33 pályázatok összesen'!L52+'7.6 út építés 045127'!L52</f>
        <v>0</v>
      </c>
      <c r="M52" s="246">
        <f>'7.1. igazg 011130'!M52+'7.2 temető 013320'!M52+'7.3. vagyon 013350'!M52+'7.4 018010'!M52+'7.5 finansz műveletek 018030'!M52+'7.7 közütak működtetés 045160'!M52+'7.8 parkoló 045170'!M52+'7.9 kábeltv 046020'!M52+'7.10 piac 047120'!M52+'7.11 tdm tám047320'!M52+'7.12 szemét 051030'!M52+'7.13 szennyvíz 052080'!M52+'7.14 víz 063080'!M52+'7.15 közvil 064010'!M52+'7.16 zöldterület 066010'!M52+'7.17 város 066020'!M52+'7.18 háziorvos 072111'!M52+'7.19 ügyelet 072112'!M52+'7.20 fülészet 072210'!M52+'7.21 védőnők 074031'!M52+'7.22 isk eü 074032'!M52+'7.23 sportcsépület 081030'!M52+'7.24 sport tám 081041'!M52+'7.25 diáksport 081043'!M52+'7.26 közműv 082091'!M52+'7.27 közműv 082092'!M52+'7.28  óvoda 091140'!M52+'7.29 intézmkiv gyétk 104037'!M52+'7.30 szoc étk 107051'!M52+'7.31 segélyek 107060'!M52+'7.32 adóbev 900020'!M52+'7.33 pályázatok összesen'!M52+'7.6 út építés 045127'!M52</f>
        <v>0</v>
      </c>
      <c r="N52" s="247">
        <f t="shared" ca="1" si="3"/>
        <v>0</v>
      </c>
    </row>
    <row r="53" spans="1:14" x14ac:dyDescent="0.25">
      <c r="A53" s="53"/>
      <c r="B53" s="62" t="s">
        <v>106</v>
      </c>
      <c r="C53" s="246">
        <f>'7.1. igazg 011130'!C53+'7.2 temető 013320'!C53+'7.3. vagyon 013350'!C53+'7.4 018010'!C53+'7.5 finansz műveletek 018030'!C53+'7.7 közütak működtetés 045160'!C53+'7.8 parkoló 045170'!C53+'7.9 kábeltv 046020'!C53+'7.10 piac 047120'!C53+'7.11 tdm tám047320'!C53+'7.12 szemét 051030'!C53+'7.13 szennyvíz 052080'!C53+'7.14 víz 063080'!C53+'7.15 közvil 064010'!C53+'7.16 zöldterület 066010'!C53+'7.17 város 066020'!C53+'7.18 háziorvos 072111'!C53+'7.19 ügyelet 072112'!C53+'7.20 fülészet 072210'!C53+'7.21 védőnők 074031'!C53+'7.22 isk eü 074032'!C53+'7.23 sportcsépület 081030'!C53+'7.24 sport tám 081041'!C53+'7.25 diáksport 081043'!C53+'7.26 közműv 082091'!C53+'7.27 közműv 082092'!C53+'7.28  óvoda 091140'!C53+'7.29 intézmkiv gyétk 104037'!C53+'7.30 szoc étk 107051'!C53+'7.31 segélyek 107060'!C53+'7.32 adóbev 900020'!C53+'7.33 pályázatok összesen'!C53+'7.6 út építés 045127'!C53</f>
        <v>0</v>
      </c>
      <c r="D53" s="246">
        <f>'7.1. igazg 011130'!D53+'7.2 temető 013320'!D53+'7.3. vagyon 013350'!D53+'7.4 018010'!D53+'7.5 finansz műveletek 018030'!D53+'7.7 közütak működtetés 045160'!D53+'7.8 parkoló 045170'!D53+'7.9 kábeltv 046020'!D53+'7.10 piac 047120'!D53+'7.11 tdm tám047320'!D53+'7.12 szemét 051030'!D53+'7.13 szennyvíz 052080'!D53+'7.14 víz 063080'!D53+'7.15 közvil 064010'!D53+'7.16 zöldterület 066010'!D53+'7.17 város 066020'!D53+'7.18 háziorvos 072111'!D53+'7.19 ügyelet 072112'!D53+'7.20 fülészet 072210'!D53+'7.21 védőnők 074031'!D53+'7.22 isk eü 074032'!D53+'7.23 sportcsépület 081030'!D53+'7.24 sport tám 081041'!D53+'7.25 diáksport 081043'!D53+'7.26 közműv 082091'!D53+'7.27 közműv 082092'!D53+'7.28  óvoda 091140'!D53+'7.29 intézmkiv gyétk 104037'!D53+'7.30 szoc étk 107051'!D53+'7.31 segélyek 107060'!D53+'7.32 adóbev 900020'!D53+'7.33 pályázatok összesen'!D53+'7.6 út építés 045127'!D53</f>
        <v>0</v>
      </c>
      <c r="E53" s="247">
        <f t="shared" si="0"/>
        <v>0</v>
      </c>
      <c r="F53" s="246">
        <f>'7.1. igazg 011130'!F53+'7.2 temető 013320'!F53+'7.3. vagyon 013350'!F53+'7.4 018010'!F53+'7.5 finansz műveletek 018030'!F53+'7.7 közütak működtetés 045160'!F53+'7.8 parkoló 045170'!F53+'7.9 kábeltv 046020'!F53+'7.10 piac 047120'!F53+'7.11 tdm tám047320'!F53+'7.12 szemét 051030'!F53+'7.13 szennyvíz 052080'!F53+'7.14 víz 063080'!F53+'7.15 közvil 064010'!F53+'7.16 zöldterület 066010'!F53+'7.17 város 066020'!F53+'7.18 háziorvos 072111'!F53+'7.19 ügyelet 072112'!F53+'7.20 fülészet 072210'!F53+'7.21 védőnők 074031'!F53+'7.22 isk eü 074032'!F53+'7.23 sportcsépület 081030'!F53+'7.24 sport tám 081041'!F53+'7.25 diáksport 081043'!F53+'7.26 közműv 082091'!F53+'7.27 közműv 082092'!F53+'7.28  óvoda 091140'!F53+'7.29 intézmkiv gyétk 104037'!F53+'7.30 szoc étk 107051'!F53+'7.31 segélyek 107060'!F53+'7.32 adóbev 900020'!F53+'7.33 pályázatok összesen'!F53+'7.6 út építés 045127'!F53</f>
        <v>0</v>
      </c>
      <c r="G53" s="246">
        <f>'7.1. igazg 011130'!G53+'7.2 temető 013320'!G53+'7.3. vagyon 013350'!G53+'7.4 018010'!G53+'7.5 finansz műveletek 018030'!G53+'7.7 közütak működtetés 045160'!G53+'7.8 parkoló 045170'!G53+'7.9 kábeltv 046020'!G53+'7.10 piac 047120'!G53+'7.11 tdm tám047320'!G53+'7.12 szemét 051030'!G53+'7.13 szennyvíz 052080'!G53+'7.14 víz 063080'!G53+'7.15 közvil 064010'!G53+'7.16 zöldterület 066010'!G53+'7.17 város 066020'!G53+'7.18 háziorvos 072111'!G53+'7.19 ügyelet 072112'!G53+'7.20 fülészet 072210'!G53+'7.21 védőnők 074031'!G53+'7.22 isk eü 074032'!G53+'7.23 sportcsépület 081030'!G53+'7.24 sport tám 081041'!G53+'7.25 diáksport 081043'!G53+'7.26 közműv 082091'!G53+'7.27 közműv 082092'!G53+'7.28  óvoda 091140'!G53+'7.29 intézmkiv gyétk 104037'!G53+'7.30 szoc étk 107051'!G53+'7.31 segélyek 107060'!G53+'7.32 adóbev 900020'!G53+'7.33 pályázatok összesen'!G53+'7.6 út építés 045127'!G53</f>
        <v>0</v>
      </c>
      <c r="H53" s="247">
        <f t="shared" si="1"/>
        <v>0</v>
      </c>
      <c r="I53" s="246">
        <f ca="1">'7.1. igazg 011130'!I53+'7.2 temető 013320'!I53+'7.3. vagyon 013350'!I53+'7.4 018010'!I53+'7.5 finansz műveletek 018030'!I53+'7.7 közütak működtetés 045160'!I53+'7.8 parkoló 045170'!I53+'7.9 kábeltv 046020'!I53+'7.10 piac 047120'!I53+'7.11 tdm tám047320'!I53+'7.12 szemét 051030'!I53+'7.13 szennyvíz 052080'!I53+'7.14 víz 063080'!I53+'7.15 közvil 064010'!I53+'7.16 zöldterület 066010'!I53+'7.17 város 066020'!I53+'7.18 háziorvos 072111'!I53+'7.19 ügyelet 072112'!I53+'7.20 fülészet 072210'!I53+'7.21 védőnők 074031'!I53+'7.22 isk eü 074032'!I53+'7.23 sportcsépület 081030'!I53+'7.24 sport tám 081041'!I53+'7.25 diáksport 081043'!I53+'7.26 közműv 082091'!I53+'7.27 közműv 082092'!I53+'7.28  óvoda 091140'!I53+'7.29 intézmkiv gyétk 104037'!I53+'7.30 szoc étk 107051'!I53+'7.31 segélyek 107060'!I53+'7.32 adóbev 900020'!I53+'7.33 pályázatok összesen'!I53+'7.6 út építés 045127'!I53</f>
        <v>0</v>
      </c>
      <c r="J53" s="246">
        <f>'7.1. igazg 011130'!J53+'7.2 temető 013320'!J53+'7.3. vagyon 013350'!J53+'7.4 018010'!J53+'7.5 finansz műveletek 018030'!J53+'7.7 közütak működtetés 045160'!J53+'7.8 parkoló 045170'!J53+'7.9 kábeltv 046020'!J53+'7.10 piac 047120'!J53+'7.11 tdm tám047320'!J53+'7.12 szemét 051030'!J53+'7.13 szennyvíz 052080'!J53+'7.14 víz 063080'!J53+'7.15 közvil 064010'!J53+'7.16 zöldterület 066010'!J53+'7.17 város 066020'!J53+'7.18 háziorvos 072111'!J53+'7.19 ügyelet 072112'!J53+'7.20 fülészet 072210'!J53+'7.21 védőnők 074031'!J53+'7.22 isk eü 074032'!J53+'7.23 sportcsépület 081030'!J53+'7.24 sport tám 081041'!J53+'7.25 diáksport 081043'!J53+'7.26 közműv 082091'!J53+'7.27 közműv 082092'!J53+'7.28  óvoda 091140'!J53+'7.29 intézmkiv gyétk 104037'!J53+'7.30 szoc étk 107051'!J53+'7.31 segélyek 107060'!J53+'7.32 adóbev 900020'!J53+'7.33 pályázatok összesen'!J53+'7.6 út építés 045127'!J53</f>
        <v>0</v>
      </c>
      <c r="K53" s="247">
        <f t="shared" ca="1" si="2"/>
        <v>0</v>
      </c>
      <c r="L53" s="246">
        <f ca="1">'7.1. igazg 011130'!L53+'7.2 temető 013320'!L53+'7.3. vagyon 013350'!L53+'7.4 018010'!L53+'7.5 finansz műveletek 018030'!L53+'7.7 közütak működtetés 045160'!L53+'7.8 parkoló 045170'!L53+'7.9 kábeltv 046020'!L53+'7.10 piac 047120'!L53+'7.11 tdm tám047320'!L53+'7.12 szemét 051030'!L53+'7.13 szennyvíz 052080'!L53+'7.14 víz 063080'!L53+'7.15 közvil 064010'!L53+'7.16 zöldterület 066010'!L53+'7.17 város 066020'!L53+'7.18 háziorvos 072111'!L53+'7.19 ügyelet 072112'!L53+'7.20 fülészet 072210'!L53+'7.21 védőnők 074031'!L53+'7.22 isk eü 074032'!L53+'7.23 sportcsépület 081030'!L53+'7.24 sport tám 081041'!L53+'7.25 diáksport 081043'!L53+'7.26 közműv 082091'!L53+'7.27 közműv 082092'!L53+'7.28  óvoda 091140'!L53+'7.29 intézmkiv gyétk 104037'!L53+'7.30 szoc étk 107051'!L53+'7.31 segélyek 107060'!L53+'7.32 adóbev 900020'!L53+'7.33 pályázatok összesen'!L53+'7.6 út építés 045127'!L53</f>
        <v>0</v>
      </c>
      <c r="M53" s="246">
        <f>'7.1. igazg 011130'!M53+'7.2 temető 013320'!M53+'7.3. vagyon 013350'!M53+'7.4 018010'!M53+'7.5 finansz műveletek 018030'!M53+'7.7 közütak működtetés 045160'!M53+'7.8 parkoló 045170'!M53+'7.9 kábeltv 046020'!M53+'7.10 piac 047120'!M53+'7.11 tdm tám047320'!M53+'7.12 szemét 051030'!M53+'7.13 szennyvíz 052080'!M53+'7.14 víz 063080'!M53+'7.15 közvil 064010'!M53+'7.16 zöldterület 066010'!M53+'7.17 város 066020'!M53+'7.18 háziorvos 072111'!M53+'7.19 ügyelet 072112'!M53+'7.20 fülészet 072210'!M53+'7.21 védőnők 074031'!M53+'7.22 isk eü 074032'!M53+'7.23 sportcsépület 081030'!M53+'7.24 sport tám 081041'!M53+'7.25 diáksport 081043'!M53+'7.26 közműv 082091'!M53+'7.27 közműv 082092'!M53+'7.28  óvoda 091140'!M53+'7.29 intézmkiv gyétk 104037'!M53+'7.30 szoc étk 107051'!M53+'7.31 segélyek 107060'!M53+'7.32 adóbev 900020'!M53+'7.33 pályázatok összesen'!M53+'7.6 út építés 045127'!M53</f>
        <v>0</v>
      </c>
      <c r="N53" s="247">
        <f t="shared" ca="1" si="3"/>
        <v>0</v>
      </c>
    </row>
    <row r="54" spans="1:14" x14ac:dyDescent="0.25">
      <c r="A54" s="53" t="s">
        <v>107</v>
      </c>
      <c r="B54" s="62" t="s">
        <v>108</v>
      </c>
      <c r="C54" s="246">
        <f>'7.1. igazg 011130'!C54+'7.2 temető 013320'!C54+'7.3. vagyon 013350'!C54+'7.4 018010'!C54+'7.5 finansz műveletek 018030'!C54+'7.7 közütak működtetés 045160'!C54+'7.8 parkoló 045170'!C54+'7.9 kábeltv 046020'!C54+'7.10 piac 047120'!C54+'7.11 tdm tám047320'!C54+'7.12 szemét 051030'!C54+'7.13 szennyvíz 052080'!C54+'7.14 víz 063080'!C54+'7.15 közvil 064010'!C54+'7.16 zöldterület 066010'!C54+'7.17 város 066020'!C54+'7.18 háziorvos 072111'!C54+'7.19 ügyelet 072112'!C54+'7.20 fülészet 072210'!C54+'7.21 védőnők 074031'!C54+'7.22 isk eü 074032'!C54+'7.23 sportcsépület 081030'!C54+'7.24 sport tám 081041'!C54+'7.25 diáksport 081043'!C54+'7.26 közműv 082091'!C54+'7.27 közműv 082092'!C54+'7.28  óvoda 091140'!C54+'7.29 intézmkiv gyétk 104037'!C54+'7.30 szoc étk 107051'!C54+'7.31 segélyek 107060'!C54+'7.32 adóbev 900020'!C54+'7.33 pályázatok összesen'!C54+'7.6 út építés 045127'!C54</f>
        <v>4330709</v>
      </c>
      <c r="D54" s="246">
        <f>'7.1. igazg 011130'!D54+'7.2 temető 013320'!D54+'7.3. vagyon 013350'!D54+'7.4 018010'!D54+'7.5 finansz műveletek 018030'!D54+'7.7 közütak működtetés 045160'!D54+'7.8 parkoló 045170'!D54+'7.9 kábeltv 046020'!D54+'7.10 piac 047120'!D54+'7.11 tdm tám047320'!D54+'7.12 szemét 051030'!D54+'7.13 szennyvíz 052080'!D54+'7.14 víz 063080'!D54+'7.15 közvil 064010'!D54+'7.16 zöldterület 066010'!D54+'7.17 város 066020'!D54+'7.18 háziorvos 072111'!D54+'7.19 ügyelet 072112'!D54+'7.20 fülészet 072210'!D54+'7.21 védőnők 074031'!D54+'7.22 isk eü 074032'!D54+'7.23 sportcsépület 081030'!D54+'7.24 sport tám 081041'!D54+'7.25 diáksport 081043'!D54+'7.26 közműv 082091'!D54+'7.27 közműv 082092'!D54+'7.28  óvoda 091140'!D54+'7.29 intézmkiv gyétk 104037'!D54+'7.30 szoc étk 107051'!D54+'7.31 segélyek 107060'!D54+'7.32 adóbev 900020'!D54+'7.33 pályázatok összesen'!D54+'7.6 út építés 045127'!D54</f>
        <v>0</v>
      </c>
      <c r="E54" s="247">
        <f t="shared" si="0"/>
        <v>4330709</v>
      </c>
      <c r="F54" s="246">
        <f>'7.1. igazg 011130'!F54+'7.2 temető 013320'!F54+'7.3. vagyon 013350'!F54+'7.4 018010'!F54+'7.5 finansz műveletek 018030'!F54+'7.7 közütak működtetés 045160'!F54+'7.8 parkoló 045170'!F54+'7.9 kábeltv 046020'!F54+'7.10 piac 047120'!F54+'7.11 tdm tám047320'!F54+'7.12 szemét 051030'!F54+'7.13 szennyvíz 052080'!F54+'7.14 víz 063080'!F54+'7.15 közvil 064010'!F54+'7.16 zöldterület 066010'!F54+'7.17 város 066020'!F54+'7.18 háziorvos 072111'!F54+'7.19 ügyelet 072112'!F54+'7.20 fülészet 072210'!F54+'7.21 védőnők 074031'!F54+'7.22 isk eü 074032'!F54+'7.23 sportcsépület 081030'!F54+'7.24 sport tám 081041'!F54+'7.25 diáksport 081043'!F54+'7.26 közműv 082091'!F54+'7.27 közműv 082092'!F54+'7.28  óvoda 091140'!F54+'7.29 intézmkiv gyétk 104037'!F54+'7.30 szoc étk 107051'!F54+'7.31 segélyek 107060'!F54+'7.32 adóbev 900020'!F54+'7.33 pályázatok összesen'!F54+'7.6 út építés 045127'!F54</f>
        <v>6295000</v>
      </c>
      <c r="G54" s="246">
        <f>'7.1. igazg 011130'!G54+'7.2 temető 013320'!G54+'7.3. vagyon 013350'!G54+'7.4 018010'!G54+'7.5 finansz műveletek 018030'!G54+'7.7 közütak működtetés 045160'!G54+'7.8 parkoló 045170'!G54+'7.9 kábeltv 046020'!G54+'7.10 piac 047120'!G54+'7.11 tdm tám047320'!G54+'7.12 szemét 051030'!G54+'7.13 szennyvíz 052080'!G54+'7.14 víz 063080'!G54+'7.15 közvil 064010'!G54+'7.16 zöldterület 066010'!G54+'7.17 város 066020'!G54+'7.18 háziorvos 072111'!G54+'7.19 ügyelet 072112'!G54+'7.20 fülészet 072210'!G54+'7.21 védőnők 074031'!G54+'7.22 isk eü 074032'!G54+'7.23 sportcsépület 081030'!G54+'7.24 sport tám 081041'!G54+'7.25 diáksport 081043'!G54+'7.26 közműv 082091'!G54+'7.27 közműv 082092'!G54+'7.28  óvoda 091140'!G54+'7.29 intézmkiv gyétk 104037'!G54+'7.30 szoc étk 107051'!G54+'7.31 segélyek 107060'!G54+'7.32 adóbev 900020'!G54+'7.33 pályázatok összesen'!G54+'7.6 út építés 045127'!G54</f>
        <v>0</v>
      </c>
      <c r="H54" s="247">
        <f t="shared" si="1"/>
        <v>6295000</v>
      </c>
      <c r="I54" s="246">
        <f ca="1">'7.1. igazg 011130'!I54+'7.2 temető 013320'!I54+'7.3. vagyon 013350'!I54+'7.4 018010'!I54+'7.5 finansz műveletek 018030'!I54+'7.7 közütak működtetés 045160'!I54+'7.8 parkoló 045170'!I54+'7.9 kábeltv 046020'!I54+'7.10 piac 047120'!I54+'7.11 tdm tám047320'!I54+'7.12 szemét 051030'!I54+'7.13 szennyvíz 052080'!I54+'7.14 víz 063080'!I54+'7.15 közvil 064010'!I54+'7.16 zöldterület 066010'!I54+'7.17 város 066020'!I54+'7.18 háziorvos 072111'!I54+'7.19 ügyelet 072112'!I54+'7.20 fülészet 072210'!I54+'7.21 védőnők 074031'!I54+'7.22 isk eü 074032'!I54+'7.23 sportcsépület 081030'!I54+'7.24 sport tám 081041'!I54+'7.25 diáksport 081043'!I54+'7.26 közműv 082091'!I54+'7.27 közműv 082092'!I54+'7.28  óvoda 091140'!I54+'7.29 intézmkiv gyétk 104037'!I54+'7.30 szoc étk 107051'!I54+'7.31 segélyek 107060'!I54+'7.32 adóbev 900020'!I54+'7.33 pályázatok összesen'!I54+'7.6 út építés 045127'!I54</f>
        <v>6295000</v>
      </c>
      <c r="J54" s="246">
        <f>'7.1. igazg 011130'!J54+'7.2 temető 013320'!J54+'7.3. vagyon 013350'!J54+'7.4 018010'!J54+'7.5 finansz műveletek 018030'!J54+'7.7 közütak működtetés 045160'!J54+'7.8 parkoló 045170'!J54+'7.9 kábeltv 046020'!J54+'7.10 piac 047120'!J54+'7.11 tdm tám047320'!J54+'7.12 szemét 051030'!J54+'7.13 szennyvíz 052080'!J54+'7.14 víz 063080'!J54+'7.15 közvil 064010'!J54+'7.16 zöldterület 066010'!J54+'7.17 város 066020'!J54+'7.18 háziorvos 072111'!J54+'7.19 ügyelet 072112'!J54+'7.20 fülészet 072210'!J54+'7.21 védőnők 074031'!J54+'7.22 isk eü 074032'!J54+'7.23 sportcsépület 081030'!J54+'7.24 sport tám 081041'!J54+'7.25 diáksport 081043'!J54+'7.26 közműv 082091'!J54+'7.27 közműv 082092'!J54+'7.28  óvoda 091140'!J54+'7.29 intézmkiv gyétk 104037'!J54+'7.30 szoc étk 107051'!J54+'7.31 segélyek 107060'!J54+'7.32 adóbev 900020'!J54+'7.33 pályázatok összesen'!J54+'7.6 út építés 045127'!J54</f>
        <v>0</v>
      </c>
      <c r="K54" s="247">
        <f t="shared" ca="1" si="2"/>
        <v>6295000</v>
      </c>
      <c r="L54" s="246">
        <f ca="1">'7.1. igazg 011130'!L54+'7.2 temető 013320'!L54+'7.3. vagyon 013350'!L54+'7.4 018010'!L54+'7.5 finansz műveletek 018030'!L54+'7.7 közütak működtetés 045160'!L54+'7.8 parkoló 045170'!L54+'7.9 kábeltv 046020'!L54+'7.10 piac 047120'!L54+'7.11 tdm tám047320'!L54+'7.12 szemét 051030'!L54+'7.13 szennyvíz 052080'!L54+'7.14 víz 063080'!L54+'7.15 közvil 064010'!L54+'7.16 zöldterület 066010'!L54+'7.17 város 066020'!L54+'7.18 háziorvos 072111'!L54+'7.19 ügyelet 072112'!L54+'7.20 fülészet 072210'!L54+'7.21 védőnők 074031'!L54+'7.22 isk eü 074032'!L54+'7.23 sportcsépület 081030'!L54+'7.24 sport tám 081041'!L54+'7.25 diáksport 081043'!L54+'7.26 közműv 082091'!L54+'7.27 közműv 082092'!L54+'7.28  óvoda 091140'!L54+'7.29 intézmkiv gyétk 104037'!L54+'7.30 szoc étk 107051'!L54+'7.31 segélyek 107060'!L54+'7.32 adóbev 900020'!L54+'7.33 pályázatok összesen'!L54+'7.6 út építés 045127'!L54</f>
        <v>6111860</v>
      </c>
      <c r="M54" s="246">
        <f>'7.1. igazg 011130'!M54+'7.2 temető 013320'!M54+'7.3. vagyon 013350'!M54+'7.4 018010'!M54+'7.5 finansz műveletek 018030'!M54+'7.7 közütak működtetés 045160'!M54+'7.8 parkoló 045170'!M54+'7.9 kábeltv 046020'!M54+'7.10 piac 047120'!M54+'7.11 tdm tám047320'!M54+'7.12 szemét 051030'!M54+'7.13 szennyvíz 052080'!M54+'7.14 víz 063080'!M54+'7.15 közvil 064010'!M54+'7.16 zöldterület 066010'!M54+'7.17 város 066020'!M54+'7.18 háziorvos 072111'!M54+'7.19 ügyelet 072112'!M54+'7.20 fülészet 072210'!M54+'7.21 védőnők 074031'!M54+'7.22 isk eü 074032'!M54+'7.23 sportcsépület 081030'!M54+'7.24 sport tám 081041'!M54+'7.25 diáksport 081043'!M54+'7.26 közműv 082091'!M54+'7.27 közműv 082092'!M54+'7.28  óvoda 091140'!M54+'7.29 intézmkiv gyétk 104037'!M54+'7.30 szoc étk 107051'!M54+'7.31 segélyek 107060'!M54+'7.32 adóbev 900020'!M54+'7.33 pályázatok összesen'!M54+'7.6 út építés 045127'!M54</f>
        <v>0</v>
      </c>
      <c r="N54" s="247">
        <f t="shared" ca="1" si="3"/>
        <v>6111860</v>
      </c>
    </row>
    <row r="55" spans="1:14" x14ac:dyDescent="0.25">
      <c r="A55" s="53" t="s">
        <v>109</v>
      </c>
      <c r="B55" s="62" t="s">
        <v>110</v>
      </c>
      <c r="C55" s="246">
        <f>'7.1. igazg 011130'!C55+'7.2 temető 013320'!C55+'7.3. vagyon 013350'!C55+'7.4 018010'!C55+'7.5 finansz műveletek 018030'!C55+'7.7 közütak működtetés 045160'!C55+'7.8 parkoló 045170'!C55+'7.9 kábeltv 046020'!C55+'7.10 piac 047120'!C55+'7.11 tdm tám047320'!C55+'7.12 szemét 051030'!C55+'7.13 szennyvíz 052080'!C55+'7.14 víz 063080'!C55+'7.15 közvil 064010'!C55+'7.16 zöldterület 066010'!C55+'7.17 város 066020'!C55+'7.18 háziorvos 072111'!C55+'7.19 ügyelet 072112'!C55+'7.20 fülészet 072210'!C55+'7.21 védőnők 074031'!C55+'7.22 isk eü 074032'!C55+'7.23 sportcsépület 081030'!C55+'7.24 sport tám 081041'!C55+'7.25 diáksport 081043'!C55+'7.26 közműv 082091'!C55+'7.27 közműv 082092'!C55+'7.28  óvoda 091140'!C55+'7.29 intézmkiv gyétk 104037'!C55+'7.30 szoc étk 107051'!C55+'7.31 segélyek 107060'!C55+'7.32 adóbev 900020'!C55+'7.33 pályázatok összesen'!C55+'7.6 út építés 045127'!C55</f>
        <v>20932198</v>
      </c>
      <c r="D55" s="246">
        <f>'7.1. igazg 011130'!D55+'7.2 temető 013320'!D55+'7.3. vagyon 013350'!D55+'7.4 018010'!D55+'7.5 finansz műveletek 018030'!D55+'7.7 közütak működtetés 045160'!D55+'7.8 parkoló 045170'!D55+'7.9 kábeltv 046020'!D55+'7.10 piac 047120'!D55+'7.11 tdm tám047320'!D55+'7.12 szemét 051030'!D55+'7.13 szennyvíz 052080'!D55+'7.14 víz 063080'!D55+'7.15 közvil 064010'!D55+'7.16 zöldterület 066010'!D55+'7.17 város 066020'!D55+'7.18 háziorvos 072111'!D55+'7.19 ügyelet 072112'!D55+'7.20 fülészet 072210'!D55+'7.21 védőnők 074031'!D55+'7.22 isk eü 074032'!D55+'7.23 sportcsépület 081030'!D55+'7.24 sport tám 081041'!D55+'7.25 diáksport 081043'!D55+'7.26 közműv 082091'!D55+'7.27 közműv 082092'!D55+'7.28  óvoda 091140'!D55+'7.29 intézmkiv gyétk 104037'!D55+'7.30 szoc étk 107051'!D55+'7.31 segélyek 107060'!D55+'7.32 adóbev 900020'!D55+'7.33 pályázatok összesen'!D55+'7.6 út építés 045127'!D55</f>
        <v>0</v>
      </c>
      <c r="E55" s="247">
        <f t="shared" si="0"/>
        <v>20932198</v>
      </c>
      <c r="F55" s="246">
        <f>'7.1. igazg 011130'!F55+'7.2 temető 013320'!F55+'7.3. vagyon 013350'!F55+'7.4 018010'!F55+'7.5 finansz műveletek 018030'!F55+'7.7 közütak működtetés 045160'!F55+'7.8 parkoló 045170'!F55+'7.9 kábeltv 046020'!F55+'7.10 piac 047120'!F55+'7.11 tdm tám047320'!F55+'7.12 szemét 051030'!F55+'7.13 szennyvíz 052080'!F55+'7.14 víz 063080'!F55+'7.15 közvil 064010'!F55+'7.16 zöldterület 066010'!F55+'7.17 város 066020'!F55+'7.18 háziorvos 072111'!F55+'7.19 ügyelet 072112'!F55+'7.20 fülészet 072210'!F55+'7.21 védőnők 074031'!F55+'7.22 isk eü 074032'!F55+'7.23 sportcsépület 081030'!F55+'7.24 sport tám 081041'!F55+'7.25 diáksport 081043'!F55+'7.26 közműv 082091'!F55+'7.27 közműv 082092'!F55+'7.28  óvoda 091140'!F55+'7.29 intézmkiv gyétk 104037'!F55+'7.30 szoc étk 107051'!F55+'7.31 segélyek 107060'!F55+'7.32 adóbev 900020'!F55+'7.33 pályázatok összesen'!F55+'7.6 út építés 045127'!F55</f>
        <v>21462557</v>
      </c>
      <c r="G55" s="246">
        <f>'7.1. igazg 011130'!G55+'7.2 temető 013320'!G55+'7.3. vagyon 013350'!G55+'7.4 018010'!G55+'7.5 finansz műveletek 018030'!G55+'7.7 közütak működtetés 045160'!G55+'7.8 parkoló 045170'!G55+'7.9 kábeltv 046020'!G55+'7.10 piac 047120'!G55+'7.11 tdm tám047320'!G55+'7.12 szemét 051030'!G55+'7.13 szennyvíz 052080'!G55+'7.14 víz 063080'!G55+'7.15 közvil 064010'!G55+'7.16 zöldterület 066010'!G55+'7.17 város 066020'!G55+'7.18 háziorvos 072111'!G55+'7.19 ügyelet 072112'!G55+'7.20 fülészet 072210'!G55+'7.21 védőnők 074031'!G55+'7.22 isk eü 074032'!G55+'7.23 sportcsépület 081030'!G55+'7.24 sport tám 081041'!G55+'7.25 diáksport 081043'!G55+'7.26 közműv 082091'!G55+'7.27 közműv 082092'!G55+'7.28  óvoda 091140'!G55+'7.29 intézmkiv gyétk 104037'!G55+'7.30 szoc étk 107051'!G55+'7.31 segélyek 107060'!G55+'7.32 adóbev 900020'!G55+'7.33 pályázatok összesen'!G55+'7.6 út építés 045127'!G55</f>
        <v>0</v>
      </c>
      <c r="H55" s="247">
        <f t="shared" si="1"/>
        <v>21462557</v>
      </c>
      <c r="I55" s="246">
        <f ca="1">'7.1. igazg 011130'!I55+'7.2 temető 013320'!I55+'7.3. vagyon 013350'!I55+'7.4 018010'!I55+'7.5 finansz műveletek 018030'!I55+'7.7 közütak működtetés 045160'!I55+'7.8 parkoló 045170'!I55+'7.9 kábeltv 046020'!I55+'7.10 piac 047120'!I55+'7.11 tdm tám047320'!I55+'7.12 szemét 051030'!I55+'7.13 szennyvíz 052080'!I55+'7.14 víz 063080'!I55+'7.15 közvil 064010'!I55+'7.16 zöldterület 066010'!I55+'7.17 város 066020'!I55+'7.18 háziorvos 072111'!I55+'7.19 ügyelet 072112'!I55+'7.20 fülészet 072210'!I55+'7.21 védőnők 074031'!I55+'7.22 isk eü 074032'!I55+'7.23 sportcsépület 081030'!I55+'7.24 sport tám 081041'!I55+'7.25 diáksport 081043'!I55+'7.26 közműv 082091'!I55+'7.27 közműv 082092'!I55+'7.28  óvoda 091140'!I55+'7.29 intézmkiv gyétk 104037'!I55+'7.30 szoc étk 107051'!I55+'7.31 segélyek 107060'!I55+'7.32 adóbev 900020'!I55+'7.33 pályázatok összesen'!I55+'7.6 út építés 045127'!I55</f>
        <v>21462557</v>
      </c>
      <c r="J55" s="246">
        <f>'7.1. igazg 011130'!J55+'7.2 temető 013320'!J55+'7.3. vagyon 013350'!J55+'7.4 018010'!J55+'7.5 finansz műveletek 018030'!J55+'7.7 közütak működtetés 045160'!J55+'7.8 parkoló 045170'!J55+'7.9 kábeltv 046020'!J55+'7.10 piac 047120'!J55+'7.11 tdm tám047320'!J55+'7.12 szemét 051030'!J55+'7.13 szennyvíz 052080'!J55+'7.14 víz 063080'!J55+'7.15 közvil 064010'!J55+'7.16 zöldterület 066010'!J55+'7.17 város 066020'!J55+'7.18 háziorvos 072111'!J55+'7.19 ügyelet 072112'!J55+'7.20 fülészet 072210'!J55+'7.21 védőnők 074031'!J55+'7.22 isk eü 074032'!J55+'7.23 sportcsépület 081030'!J55+'7.24 sport tám 081041'!J55+'7.25 diáksport 081043'!J55+'7.26 közműv 082091'!J55+'7.27 közműv 082092'!J55+'7.28  óvoda 091140'!J55+'7.29 intézmkiv gyétk 104037'!J55+'7.30 szoc étk 107051'!J55+'7.31 segélyek 107060'!J55+'7.32 adóbev 900020'!J55+'7.33 pályázatok összesen'!J55+'7.6 út építés 045127'!J55</f>
        <v>0</v>
      </c>
      <c r="K55" s="247">
        <f t="shared" ca="1" si="2"/>
        <v>21462557</v>
      </c>
      <c r="L55" s="246">
        <f ca="1">'7.1. igazg 011130'!L55+'7.2 temető 013320'!L55+'7.3. vagyon 013350'!L55+'7.4 018010'!L55+'7.5 finansz műveletek 018030'!L55+'7.7 közütak működtetés 045160'!L55+'7.8 parkoló 045170'!L55+'7.9 kábeltv 046020'!L55+'7.10 piac 047120'!L55+'7.11 tdm tám047320'!L55+'7.12 szemét 051030'!L55+'7.13 szennyvíz 052080'!L55+'7.14 víz 063080'!L55+'7.15 közvil 064010'!L55+'7.16 zöldterület 066010'!L55+'7.17 város 066020'!L55+'7.18 háziorvos 072111'!L55+'7.19 ügyelet 072112'!L55+'7.20 fülészet 072210'!L55+'7.21 védőnők 074031'!L55+'7.22 isk eü 074032'!L55+'7.23 sportcsépület 081030'!L55+'7.24 sport tám 081041'!L55+'7.25 diáksport 081043'!L55+'7.26 közműv 082091'!L55+'7.27 közműv 082092'!L55+'7.28  óvoda 091140'!L55+'7.29 intézmkiv gyétk 104037'!L55+'7.30 szoc étk 107051'!L55+'7.31 segélyek 107060'!L55+'7.32 adóbev 900020'!L55+'7.33 pályázatok összesen'!L55+'7.6 út építés 045127'!L55</f>
        <v>21179909</v>
      </c>
      <c r="M55" s="246">
        <f>'7.1. igazg 011130'!M55+'7.2 temető 013320'!M55+'7.3. vagyon 013350'!M55+'7.4 018010'!M55+'7.5 finansz műveletek 018030'!M55+'7.7 közütak működtetés 045160'!M55+'7.8 parkoló 045170'!M55+'7.9 kábeltv 046020'!M55+'7.10 piac 047120'!M55+'7.11 tdm tám047320'!M55+'7.12 szemét 051030'!M55+'7.13 szennyvíz 052080'!M55+'7.14 víz 063080'!M55+'7.15 közvil 064010'!M55+'7.16 zöldterület 066010'!M55+'7.17 város 066020'!M55+'7.18 háziorvos 072111'!M55+'7.19 ügyelet 072112'!M55+'7.20 fülészet 072210'!M55+'7.21 védőnők 074031'!M55+'7.22 isk eü 074032'!M55+'7.23 sportcsépület 081030'!M55+'7.24 sport tám 081041'!M55+'7.25 diáksport 081043'!M55+'7.26 közműv 082091'!M55+'7.27 közműv 082092'!M55+'7.28  óvoda 091140'!M55+'7.29 intézmkiv gyétk 104037'!M55+'7.30 szoc étk 107051'!M55+'7.31 segélyek 107060'!M55+'7.32 adóbev 900020'!M55+'7.33 pályázatok összesen'!M55+'7.6 út építés 045127'!M55</f>
        <v>0</v>
      </c>
      <c r="N55" s="247">
        <f t="shared" ca="1" si="3"/>
        <v>21179909</v>
      </c>
    </row>
    <row r="56" spans="1:14" x14ac:dyDescent="0.25">
      <c r="A56" s="53" t="s">
        <v>111</v>
      </c>
      <c r="B56" s="62" t="s">
        <v>112</v>
      </c>
      <c r="C56" s="246">
        <f>'7.1. igazg 011130'!C56+'7.2 temető 013320'!C56+'7.3. vagyon 013350'!C56+'7.4 018010'!C56+'7.5 finansz műveletek 018030'!C56+'7.7 közütak működtetés 045160'!C56+'7.8 parkoló 045170'!C56+'7.9 kábeltv 046020'!C56+'7.10 piac 047120'!C56+'7.11 tdm tám047320'!C56+'7.12 szemét 051030'!C56+'7.13 szennyvíz 052080'!C56+'7.14 víz 063080'!C56+'7.15 közvil 064010'!C56+'7.16 zöldterület 066010'!C56+'7.17 város 066020'!C56+'7.18 háziorvos 072111'!C56+'7.19 ügyelet 072112'!C56+'7.20 fülészet 072210'!C56+'7.21 védőnők 074031'!C56+'7.22 isk eü 074032'!C56+'7.23 sportcsépület 081030'!C56+'7.24 sport tám 081041'!C56+'7.25 diáksport 081043'!C56+'7.26 közműv 082091'!C56+'7.27 közműv 082092'!C56+'7.28  óvoda 091140'!C56+'7.29 intézmkiv gyétk 104037'!C56+'7.30 szoc étk 107051'!C56+'7.31 segélyek 107060'!C56+'7.32 adóbev 900020'!C56+'7.33 pályázatok összesen'!C56+'7.6 út építés 045127'!C56</f>
        <v>0</v>
      </c>
      <c r="D56" s="246">
        <f>'7.1. igazg 011130'!D56+'7.2 temető 013320'!D56+'7.3. vagyon 013350'!D56+'7.4 018010'!D56+'7.5 finansz műveletek 018030'!D56+'7.7 közütak működtetés 045160'!D56+'7.8 parkoló 045170'!D56+'7.9 kábeltv 046020'!D56+'7.10 piac 047120'!D56+'7.11 tdm tám047320'!D56+'7.12 szemét 051030'!D56+'7.13 szennyvíz 052080'!D56+'7.14 víz 063080'!D56+'7.15 közvil 064010'!D56+'7.16 zöldterület 066010'!D56+'7.17 város 066020'!D56+'7.18 háziorvos 072111'!D56+'7.19 ügyelet 072112'!D56+'7.20 fülészet 072210'!D56+'7.21 védőnők 074031'!D56+'7.22 isk eü 074032'!D56+'7.23 sportcsépület 081030'!D56+'7.24 sport tám 081041'!D56+'7.25 diáksport 081043'!D56+'7.26 közműv 082091'!D56+'7.27 közműv 082092'!D56+'7.28  óvoda 091140'!D56+'7.29 intézmkiv gyétk 104037'!D56+'7.30 szoc étk 107051'!D56+'7.31 segélyek 107060'!D56+'7.32 adóbev 900020'!D56+'7.33 pályázatok összesen'!D56+'7.6 út építés 045127'!D56</f>
        <v>0</v>
      </c>
      <c r="E56" s="247">
        <f t="shared" si="0"/>
        <v>0</v>
      </c>
      <c r="F56" s="246">
        <f>'7.1. igazg 011130'!F56+'7.2 temető 013320'!F56+'7.3. vagyon 013350'!F56+'7.4 018010'!F56+'7.5 finansz műveletek 018030'!F56+'7.7 közütak működtetés 045160'!F56+'7.8 parkoló 045170'!F56+'7.9 kábeltv 046020'!F56+'7.10 piac 047120'!F56+'7.11 tdm tám047320'!F56+'7.12 szemét 051030'!F56+'7.13 szennyvíz 052080'!F56+'7.14 víz 063080'!F56+'7.15 közvil 064010'!F56+'7.16 zöldterület 066010'!F56+'7.17 város 066020'!F56+'7.18 háziorvos 072111'!F56+'7.19 ügyelet 072112'!F56+'7.20 fülészet 072210'!F56+'7.21 védőnők 074031'!F56+'7.22 isk eü 074032'!F56+'7.23 sportcsépület 081030'!F56+'7.24 sport tám 081041'!F56+'7.25 diáksport 081043'!F56+'7.26 közműv 082091'!F56+'7.27 közműv 082092'!F56+'7.28  óvoda 091140'!F56+'7.29 intézmkiv gyétk 104037'!F56+'7.30 szoc étk 107051'!F56+'7.31 segélyek 107060'!F56+'7.32 adóbev 900020'!F56+'7.33 pályázatok összesen'!F56+'7.6 út építés 045127'!F56</f>
        <v>0</v>
      </c>
      <c r="G56" s="246">
        <f>'7.1. igazg 011130'!G56+'7.2 temető 013320'!G56+'7.3. vagyon 013350'!G56+'7.4 018010'!G56+'7.5 finansz műveletek 018030'!G56+'7.7 közütak működtetés 045160'!G56+'7.8 parkoló 045170'!G56+'7.9 kábeltv 046020'!G56+'7.10 piac 047120'!G56+'7.11 tdm tám047320'!G56+'7.12 szemét 051030'!G56+'7.13 szennyvíz 052080'!G56+'7.14 víz 063080'!G56+'7.15 közvil 064010'!G56+'7.16 zöldterület 066010'!G56+'7.17 város 066020'!G56+'7.18 háziorvos 072111'!G56+'7.19 ügyelet 072112'!G56+'7.20 fülészet 072210'!G56+'7.21 védőnők 074031'!G56+'7.22 isk eü 074032'!G56+'7.23 sportcsépület 081030'!G56+'7.24 sport tám 081041'!G56+'7.25 diáksport 081043'!G56+'7.26 közműv 082091'!G56+'7.27 közműv 082092'!G56+'7.28  óvoda 091140'!G56+'7.29 intézmkiv gyétk 104037'!G56+'7.30 szoc étk 107051'!G56+'7.31 segélyek 107060'!G56+'7.32 adóbev 900020'!G56+'7.33 pályázatok összesen'!G56+'7.6 út építés 045127'!G56</f>
        <v>0</v>
      </c>
      <c r="H56" s="247">
        <f t="shared" si="1"/>
        <v>0</v>
      </c>
      <c r="I56" s="246">
        <f ca="1">'7.1. igazg 011130'!I56+'7.2 temető 013320'!I56+'7.3. vagyon 013350'!I56+'7.4 018010'!I56+'7.5 finansz műveletek 018030'!I56+'7.7 közütak működtetés 045160'!I56+'7.8 parkoló 045170'!I56+'7.9 kábeltv 046020'!I56+'7.10 piac 047120'!I56+'7.11 tdm tám047320'!I56+'7.12 szemét 051030'!I56+'7.13 szennyvíz 052080'!I56+'7.14 víz 063080'!I56+'7.15 közvil 064010'!I56+'7.16 zöldterület 066010'!I56+'7.17 város 066020'!I56+'7.18 háziorvos 072111'!I56+'7.19 ügyelet 072112'!I56+'7.20 fülészet 072210'!I56+'7.21 védőnők 074031'!I56+'7.22 isk eü 074032'!I56+'7.23 sportcsépület 081030'!I56+'7.24 sport tám 081041'!I56+'7.25 diáksport 081043'!I56+'7.26 közműv 082091'!I56+'7.27 közműv 082092'!I56+'7.28  óvoda 091140'!I56+'7.29 intézmkiv gyétk 104037'!I56+'7.30 szoc étk 107051'!I56+'7.31 segélyek 107060'!I56+'7.32 adóbev 900020'!I56+'7.33 pályázatok összesen'!I56+'7.6 út építés 045127'!I56</f>
        <v>0</v>
      </c>
      <c r="J56" s="246">
        <f>'7.1. igazg 011130'!J56+'7.2 temető 013320'!J56+'7.3. vagyon 013350'!J56+'7.4 018010'!J56+'7.5 finansz műveletek 018030'!J56+'7.7 közütak működtetés 045160'!J56+'7.8 parkoló 045170'!J56+'7.9 kábeltv 046020'!J56+'7.10 piac 047120'!J56+'7.11 tdm tám047320'!J56+'7.12 szemét 051030'!J56+'7.13 szennyvíz 052080'!J56+'7.14 víz 063080'!J56+'7.15 közvil 064010'!J56+'7.16 zöldterület 066010'!J56+'7.17 város 066020'!J56+'7.18 háziorvos 072111'!J56+'7.19 ügyelet 072112'!J56+'7.20 fülészet 072210'!J56+'7.21 védőnők 074031'!J56+'7.22 isk eü 074032'!J56+'7.23 sportcsépület 081030'!J56+'7.24 sport tám 081041'!J56+'7.25 diáksport 081043'!J56+'7.26 közműv 082091'!J56+'7.27 közműv 082092'!J56+'7.28  óvoda 091140'!J56+'7.29 intézmkiv gyétk 104037'!J56+'7.30 szoc étk 107051'!J56+'7.31 segélyek 107060'!J56+'7.32 adóbev 900020'!J56+'7.33 pályázatok összesen'!J56+'7.6 út építés 045127'!J56</f>
        <v>0</v>
      </c>
      <c r="K56" s="247">
        <f t="shared" ca="1" si="2"/>
        <v>0</v>
      </c>
      <c r="L56" s="246">
        <f ca="1">'7.1. igazg 011130'!L56+'7.2 temető 013320'!L56+'7.3. vagyon 013350'!L56+'7.4 018010'!L56+'7.5 finansz műveletek 018030'!L56+'7.7 közütak működtetés 045160'!L56+'7.8 parkoló 045170'!L56+'7.9 kábeltv 046020'!L56+'7.10 piac 047120'!L56+'7.11 tdm tám047320'!L56+'7.12 szemét 051030'!L56+'7.13 szennyvíz 052080'!L56+'7.14 víz 063080'!L56+'7.15 közvil 064010'!L56+'7.16 zöldterület 066010'!L56+'7.17 város 066020'!L56+'7.18 háziorvos 072111'!L56+'7.19 ügyelet 072112'!L56+'7.20 fülészet 072210'!L56+'7.21 védőnők 074031'!L56+'7.22 isk eü 074032'!L56+'7.23 sportcsépület 081030'!L56+'7.24 sport tám 081041'!L56+'7.25 diáksport 081043'!L56+'7.26 közműv 082091'!L56+'7.27 közműv 082092'!L56+'7.28  óvoda 091140'!L56+'7.29 intézmkiv gyétk 104037'!L56+'7.30 szoc étk 107051'!L56+'7.31 segélyek 107060'!L56+'7.32 adóbev 900020'!L56+'7.33 pályázatok összesen'!L56+'7.6 út építés 045127'!L56</f>
        <v>0</v>
      </c>
      <c r="M56" s="246">
        <f>'7.1. igazg 011130'!M56+'7.2 temető 013320'!M56+'7.3. vagyon 013350'!M56+'7.4 018010'!M56+'7.5 finansz műveletek 018030'!M56+'7.7 közütak működtetés 045160'!M56+'7.8 parkoló 045170'!M56+'7.9 kábeltv 046020'!M56+'7.10 piac 047120'!M56+'7.11 tdm tám047320'!M56+'7.12 szemét 051030'!M56+'7.13 szennyvíz 052080'!M56+'7.14 víz 063080'!M56+'7.15 közvil 064010'!M56+'7.16 zöldterület 066010'!M56+'7.17 város 066020'!M56+'7.18 háziorvos 072111'!M56+'7.19 ügyelet 072112'!M56+'7.20 fülészet 072210'!M56+'7.21 védőnők 074031'!M56+'7.22 isk eü 074032'!M56+'7.23 sportcsépület 081030'!M56+'7.24 sport tám 081041'!M56+'7.25 diáksport 081043'!M56+'7.26 közműv 082091'!M56+'7.27 közműv 082092'!M56+'7.28  óvoda 091140'!M56+'7.29 intézmkiv gyétk 104037'!M56+'7.30 szoc étk 107051'!M56+'7.31 segélyek 107060'!M56+'7.32 adóbev 900020'!M56+'7.33 pályázatok összesen'!M56+'7.6 út építés 045127'!M56</f>
        <v>0</v>
      </c>
      <c r="N56" s="247">
        <f t="shared" ca="1" si="3"/>
        <v>0</v>
      </c>
    </row>
    <row r="57" spans="1:14" x14ac:dyDescent="0.25">
      <c r="A57" s="53" t="s">
        <v>113</v>
      </c>
      <c r="B57" s="62" t="s">
        <v>114</v>
      </c>
      <c r="C57" s="246">
        <f>'7.1. igazg 011130'!C57+'7.2 temető 013320'!C57+'7.3. vagyon 013350'!C57+'7.4 018010'!C57+'7.5 finansz műveletek 018030'!C57+'7.7 közütak működtetés 045160'!C57+'7.8 parkoló 045170'!C57+'7.9 kábeltv 046020'!C57+'7.10 piac 047120'!C57+'7.11 tdm tám047320'!C57+'7.12 szemét 051030'!C57+'7.13 szennyvíz 052080'!C57+'7.14 víz 063080'!C57+'7.15 közvil 064010'!C57+'7.16 zöldterület 066010'!C57+'7.17 város 066020'!C57+'7.18 háziorvos 072111'!C57+'7.19 ügyelet 072112'!C57+'7.20 fülészet 072210'!C57+'7.21 védőnők 074031'!C57+'7.22 isk eü 074032'!C57+'7.23 sportcsépület 081030'!C57+'7.24 sport tám 081041'!C57+'7.25 diáksport 081043'!C57+'7.26 közműv 082091'!C57+'7.27 közműv 082092'!C57+'7.28  óvoda 091140'!C57+'7.29 intézmkiv gyétk 104037'!C57+'7.30 szoc étk 107051'!C57+'7.31 segélyek 107060'!C57+'7.32 adóbev 900020'!C57+'7.33 pályázatok összesen'!C57+'7.6 út építés 045127'!C57</f>
        <v>30000</v>
      </c>
      <c r="D57" s="246">
        <f>'7.1. igazg 011130'!D57+'7.2 temető 013320'!D57+'7.3. vagyon 013350'!D57+'7.4 018010'!D57+'7.5 finansz műveletek 018030'!D57+'7.7 közütak működtetés 045160'!D57+'7.8 parkoló 045170'!D57+'7.9 kábeltv 046020'!D57+'7.10 piac 047120'!D57+'7.11 tdm tám047320'!D57+'7.12 szemét 051030'!D57+'7.13 szennyvíz 052080'!D57+'7.14 víz 063080'!D57+'7.15 közvil 064010'!D57+'7.16 zöldterület 066010'!D57+'7.17 város 066020'!D57+'7.18 háziorvos 072111'!D57+'7.19 ügyelet 072112'!D57+'7.20 fülészet 072210'!D57+'7.21 védőnők 074031'!D57+'7.22 isk eü 074032'!D57+'7.23 sportcsépület 081030'!D57+'7.24 sport tám 081041'!D57+'7.25 diáksport 081043'!D57+'7.26 közműv 082091'!D57+'7.27 közműv 082092'!D57+'7.28  óvoda 091140'!D57+'7.29 intézmkiv gyétk 104037'!D57+'7.30 szoc étk 107051'!D57+'7.31 segélyek 107060'!D57+'7.32 adóbev 900020'!D57+'7.33 pályázatok összesen'!D57+'7.6 út építés 045127'!D57</f>
        <v>0</v>
      </c>
      <c r="E57" s="247">
        <f t="shared" si="0"/>
        <v>30000</v>
      </c>
      <c r="F57" s="246">
        <f>'7.1. igazg 011130'!F57+'7.2 temető 013320'!F57+'7.3. vagyon 013350'!F57+'7.4 018010'!F57+'7.5 finansz műveletek 018030'!F57+'7.7 közütak működtetés 045160'!F57+'7.8 parkoló 045170'!F57+'7.9 kábeltv 046020'!F57+'7.10 piac 047120'!F57+'7.11 tdm tám047320'!F57+'7.12 szemét 051030'!F57+'7.13 szennyvíz 052080'!F57+'7.14 víz 063080'!F57+'7.15 közvil 064010'!F57+'7.16 zöldterület 066010'!F57+'7.17 város 066020'!F57+'7.18 háziorvos 072111'!F57+'7.19 ügyelet 072112'!F57+'7.20 fülészet 072210'!F57+'7.21 védőnők 074031'!F57+'7.22 isk eü 074032'!F57+'7.23 sportcsépület 081030'!F57+'7.24 sport tám 081041'!F57+'7.25 diáksport 081043'!F57+'7.26 közműv 082091'!F57+'7.27 közműv 082092'!F57+'7.28  óvoda 091140'!F57+'7.29 intézmkiv gyétk 104037'!F57+'7.30 szoc étk 107051'!F57+'7.31 segélyek 107060'!F57+'7.32 adóbev 900020'!F57+'7.33 pályázatok összesen'!F57+'7.6 út építés 045127'!F57</f>
        <v>30000</v>
      </c>
      <c r="G57" s="246">
        <f>'7.1. igazg 011130'!G57+'7.2 temető 013320'!G57+'7.3. vagyon 013350'!G57+'7.4 018010'!G57+'7.5 finansz műveletek 018030'!G57+'7.7 közütak működtetés 045160'!G57+'7.8 parkoló 045170'!G57+'7.9 kábeltv 046020'!G57+'7.10 piac 047120'!G57+'7.11 tdm tám047320'!G57+'7.12 szemét 051030'!G57+'7.13 szennyvíz 052080'!G57+'7.14 víz 063080'!G57+'7.15 közvil 064010'!G57+'7.16 zöldterület 066010'!G57+'7.17 város 066020'!G57+'7.18 háziorvos 072111'!G57+'7.19 ügyelet 072112'!G57+'7.20 fülészet 072210'!G57+'7.21 védőnők 074031'!G57+'7.22 isk eü 074032'!G57+'7.23 sportcsépület 081030'!G57+'7.24 sport tám 081041'!G57+'7.25 diáksport 081043'!G57+'7.26 közműv 082091'!G57+'7.27 közműv 082092'!G57+'7.28  óvoda 091140'!G57+'7.29 intézmkiv gyétk 104037'!G57+'7.30 szoc étk 107051'!G57+'7.31 segélyek 107060'!G57+'7.32 adóbev 900020'!G57+'7.33 pályázatok összesen'!G57+'7.6 út építés 045127'!G57</f>
        <v>0</v>
      </c>
      <c r="H57" s="247">
        <f t="shared" si="1"/>
        <v>30000</v>
      </c>
      <c r="I57" s="246">
        <f ca="1">'7.1. igazg 011130'!I57+'7.2 temető 013320'!I57+'7.3. vagyon 013350'!I57+'7.4 018010'!I57+'7.5 finansz műveletek 018030'!I57+'7.7 közütak működtetés 045160'!I57+'7.8 parkoló 045170'!I57+'7.9 kábeltv 046020'!I57+'7.10 piac 047120'!I57+'7.11 tdm tám047320'!I57+'7.12 szemét 051030'!I57+'7.13 szennyvíz 052080'!I57+'7.14 víz 063080'!I57+'7.15 közvil 064010'!I57+'7.16 zöldterület 066010'!I57+'7.17 város 066020'!I57+'7.18 háziorvos 072111'!I57+'7.19 ügyelet 072112'!I57+'7.20 fülészet 072210'!I57+'7.21 védőnők 074031'!I57+'7.22 isk eü 074032'!I57+'7.23 sportcsépület 081030'!I57+'7.24 sport tám 081041'!I57+'7.25 diáksport 081043'!I57+'7.26 közműv 082091'!I57+'7.27 közműv 082092'!I57+'7.28  óvoda 091140'!I57+'7.29 intézmkiv gyétk 104037'!I57+'7.30 szoc étk 107051'!I57+'7.31 segélyek 107060'!I57+'7.32 adóbev 900020'!I57+'7.33 pályázatok összesen'!I57+'7.6 út építés 045127'!I57</f>
        <v>30000</v>
      </c>
      <c r="J57" s="246">
        <f>'7.1. igazg 011130'!J57+'7.2 temető 013320'!J57+'7.3. vagyon 013350'!J57+'7.4 018010'!J57+'7.5 finansz műveletek 018030'!J57+'7.7 közütak működtetés 045160'!J57+'7.8 parkoló 045170'!J57+'7.9 kábeltv 046020'!J57+'7.10 piac 047120'!J57+'7.11 tdm tám047320'!J57+'7.12 szemét 051030'!J57+'7.13 szennyvíz 052080'!J57+'7.14 víz 063080'!J57+'7.15 közvil 064010'!J57+'7.16 zöldterület 066010'!J57+'7.17 város 066020'!J57+'7.18 háziorvos 072111'!J57+'7.19 ügyelet 072112'!J57+'7.20 fülészet 072210'!J57+'7.21 védőnők 074031'!J57+'7.22 isk eü 074032'!J57+'7.23 sportcsépület 081030'!J57+'7.24 sport tám 081041'!J57+'7.25 diáksport 081043'!J57+'7.26 közműv 082091'!J57+'7.27 közműv 082092'!J57+'7.28  óvoda 091140'!J57+'7.29 intézmkiv gyétk 104037'!J57+'7.30 szoc étk 107051'!J57+'7.31 segélyek 107060'!J57+'7.32 adóbev 900020'!J57+'7.33 pályázatok összesen'!J57+'7.6 út építés 045127'!J57</f>
        <v>0</v>
      </c>
      <c r="K57" s="247">
        <f t="shared" ca="1" si="2"/>
        <v>30000</v>
      </c>
      <c r="L57" s="246">
        <f ca="1">'7.1. igazg 011130'!L57+'7.2 temető 013320'!L57+'7.3. vagyon 013350'!L57+'7.4 018010'!L57+'7.5 finansz műveletek 018030'!L57+'7.7 közütak működtetés 045160'!L57+'7.8 parkoló 045170'!L57+'7.9 kábeltv 046020'!L57+'7.10 piac 047120'!L57+'7.11 tdm tám047320'!L57+'7.12 szemét 051030'!L57+'7.13 szennyvíz 052080'!L57+'7.14 víz 063080'!L57+'7.15 közvil 064010'!L57+'7.16 zöldterület 066010'!L57+'7.17 város 066020'!L57+'7.18 háziorvos 072111'!L57+'7.19 ügyelet 072112'!L57+'7.20 fülészet 072210'!L57+'7.21 védőnők 074031'!L57+'7.22 isk eü 074032'!L57+'7.23 sportcsépület 081030'!L57+'7.24 sport tám 081041'!L57+'7.25 diáksport 081043'!L57+'7.26 közműv 082091'!L57+'7.27 közműv 082092'!L57+'7.28  óvoda 091140'!L57+'7.29 intézmkiv gyétk 104037'!L57+'7.30 szoc étk 107051'!L57+'7.31 segélyek 107060'!L57+'7.32 adóbev 900020'!L57+'7.33 pályázatok összesen'!L57+'7.6 út építés 045127'!L57</f>
        <v>276824</v>
      </c>
      <c r="M57" s="246">
        <f>'7.1. igazg 011130'!M57+'7.2 temető 013320'!M57+'7.3. vagyon 013350'!M57+'7.4 018010'!M57+'7.5 finansz műveletek 018030'!M57+'7.7 közütak működtetés 045160'!M57+'7.8 parkoló 045170'!M57+'7.9 kábeltv 046020'!M57+'7.10 piac 047120'!M57+'7.11 tdm tám047320'!M57+'7.12 szemét 051030'!M57+'7.13 szennyvíz 052080'!M57+'7.14 víz 063080'!M57+'7.15 közvil 064010'!M57+'7.16 zöldterület 066010'!M57+'7.17 város 066020'!M57+'7.18 háziorvos 072111'!M57+'7.19 ügyelet 072112'!M57+'7.20 fülészet 072210'!M57+'7.21 védőnők 074031'!M57+'7.22 isk eü 074032'!M57+'7.23 sportcsépület 081030'!M57+'7.24 sport tám 081041'!M57+'7.25 diáksport 081043'!M57+'7.26 közműv 082091'!M57+'7.27 közműv 082092'!M57+'7.28  óvoda 091140'!M57+'7.29 intézmkiv gyétk 104037'!M57+'7.30 szoc étk 107051'!M57+'7.31 segélyek 107060'!M57+'7.32 adóbev 900020'!M57+'7.33 pályázatok összesen'!M57+'7.6 út építés 045127'!M57</f>
        <v>0</v>
      </c>
      <c r="N57" s="247">
        <f t="shared" ca="1" si="3"/>
        <v>276824</v>
      </c>
    </row>
    <row r="58" spans="1:14" x14ac:dyDescent="0.25">
      <c r="A58" s="53" t="s">
        <v>115</v>
      </c>
      <c r="B58" s="62" t="s">
        <v>116</v>
      </c>
      <c r="C58" s="246">
        <f>'7.1. igazg 011130'!C58+'7.2 temető 013320'!C58+'7.3. vagyon 013350'!C58+'7.4 018010'!C58+'7.5 finansz műveletek 018030'!C58+'7.7 közütak működtetés 045160'!C58+'7.8 parkoló 045170'!C58+'7.9 kábeltv 046020'!C58+'7.10 piac 047120'!C58+'7.11 tdm tám047320'!C58+'7.12 szemét 051030'!C58+'7.13 szennyvíz 052080'!C58+'7.14 víz 063080'!C58+'7.15 közvil 064010'!C58+'7.16 zöldterület 066010'!C58+'7.17 város 066020'!C58+'7.18 háziorvos 072111'!C58+'7.19 ügyelet 072112'!C58+'7.20 fülészet 072210'!C58+'7.21 védőnők 074031'!C58+'7.22 isk eü 074032'!C58+'7.23 sportcsépület 081030'!C58+'7.24 sport tám 081041'!C58+'7.25 diáksport 081043'!C58+'7.26 közműv 082091'!C58+'7.27 közműv 082092'!C58+'7.28  óvoda 091140'!C58+'7.29 intézmkiv gyétk 104037'!C58+'7.30 szoc étk 107051'!C58+'7.31 segélyek 107060'!C58+'7.32 adóbev 900020'!C58+'7.33 pályázatok összesen'!C58+'7.6 út építés 045127'!C58</f>
        <v>0</v>
      </c>
      <c r="D58" s="246">
        <f>'7.1. igazg 011130'!D58+'7.2 temető 013320'!D58+'7.3. vagyon 013350'!D58+'7.4 018010'!D58+'7.5 finansz műveletek 018030'!D58+'7.7 közütak működtetés 045160'!D58+'7.8 parkoló 045170'!D58+'7.9 kábeltv 046020'!D58+'7.10 piac 047120'!D58+'7.11 tdm tám047320'!D58+'7.12 szemét 051030'!D58+'7.13 szennyvíz 052080'!D58+'7.14 víz 063080'!D58+'7.15 közvil 064010'!D58+'7.16 zöldterület 066010'!D58+'7.17 város 066020'!D58+'7.18 háziorvos 072111'!D58+'7.19 ügyelet 072112'!D58+'7.20 fülészet 072210'!D58+'7.21 védőnők 074031'!D58+'7.22 isk eü 074032'!D58+'7.23 sportcsépület 081030'!D58+'7.24 sport tám 081041'!D58+'7.25 diáksport 081043'!D58+'7.26 közműv 082091'!D58+'7.27 közműv 082092'!D58+'7.28  óvoda 091140'!D58+'7.29 intézmkiv gyétk 104037'!D58+'7.30 szoc étk 107051'!D58+'7.31 segélyek 107060'!D58+'7.32 adóbev 900020'!D58+'7.33 pályázatok összesen'!D58+'7.6 út építés 045127'!D58</f>
        <v>0</v>
      </c>
      <c r="E58" s="247">
        <f t="shared" si="0"/>
        <v>0</v>
      </c>
      <c r="F58" s="246">
        <f>'7.1. igazg 011130'!F58+'7.2 temető 013320'!F58+'7.3. vagyon 013350'!F58+'7.4 018010'!F58+'7.5 finansz műveletek 018030'!F58+'7.7 közütak működtetés 045160'!F58+'7.8 parkoló 045170'!F58+'7.9 kábeltv 046020'!F58+'7.10 piac 047120'!F58+'7.11 tdm tám047320'!F58+'7.12 szemét 051030'!F58+'7.13 szennyvíz 052080'!F58+'7.14 víz 063080'!F58+'7.15 közvil 064010'!F58+'7.16 zöldterület 066010'!F58+'7.17 város 066020'!F58+'7.18 háziorvos 072111'!F58+'7.19 ügyelet 072112'!F58+'7.20 fülészet 072210'!F58+'7.21 védőnők 074031'!F58+'7.22 isk eü 074032'!F58+'7.23 sportcsépület 081030'!F58+'7.24 sport tám 081041'!F58+'7.25 diáksport 081043'!F58+'7.26 közműv 082091'!F58+'7.27 közműv 082092'!F58+'7.28  óvoda 091140'!F58+'7.29 intézmkiv gyétk 104037'!F58+'7.30 szoc étk 107051'!F58+'7.31 segélyek 107060'!F58+'7.32 adóbev 900020'!F58+'7.33 pályázatok összesen'!F58+'7.6 út építés 045127'!F58</f>
        <v>0</v>
      </c>
      <c r="G58" s="246">
        <f>'7.1. igazg 011130'!G58+'7.2 temető 013320'!G58+'7.3. vagyon 013350'!G58+'7.4 018010'!G58+'7.5 finansz műveletek 018030'!G58+'7.7 közütak működtetés 045160'!G58+'7.8 parkoló 045170'!G58+'7.9 kábeltv 046020'!G58+'7.10 piac 047120'!G58+'7.11 tdm tám047320'!G58+'7.12 szemét 051030'!G58+'7.13 szennyvíz 052080'!G58+'7.14 víz 063080'!G58+'7.15 közvil 064010'!G58+'7.16 zöldterület 066010'!G58+'7.17 város 066020'!G58+'7.18 háziorvos 072111'!G58+'7.19 ügyelet 072112'!G58+'7.20 fülészet 072210'!G58+'7.21 védőnők 074031'!G58+'7.22 isk eü 074032'!G58+'7.23 sportcsépület 081030'!G58+'7.24 sport tám 081041'!G58+'7.25 diáksport 081043'!G58+'7.26 közműv 082091'!G58+'7.27 közműv 082092'!G58+'7.28  óvoda 091140'!G58+'7.29 intézmkiv gyétk 104037'!G58+'7.30 szoc étk 107051'!G58+'7.31 segélyek 107060'!G58+'7.32 adóbev 900020'!G58+'7.33 pályázatok összesen'!G58+'7.6 út építés 045127'!G58</f>
        <v>0</v>
      </c>
      <c r="H58" s="247">
        <f t="shared" si="1"/>
        <v>0</v>
      </c>
      <c r="I58" s="246">
        <f ca="1">'7.1. igazg 011130'!I58+'7.2 temető 013320'!I58+'7.3. vagyon 013350'!I58+'7.4 018010'!I58+'7.5 finansz műveletek 018030'!I58+'7.7 közütak működtetés 045160'!I58+'7.8 parkoló 045170'!I58+'7.9 kábeltv 046020'!I58+'7.10 piac 047120'!I58+'7.11 tdm tám047320'!I58+'7.12 szemét 051030'!I58+'7.13 szennyvíz 052080'!I58+'7.14 víz 063080'!I58+'7.15 közvil 064010'!I58+'7.16 zöldterület 066010'!I58+'7.17 város 066020'!I58+'7.18 háziorvos 072111'!I58+'7.19 ügyelet 072112'!I58+'7.20 fülészet 072210'!I58+'7.21 védőnők 074031'!I58+'7.22 isk eü 074032'!I58+'7.23 sportcsépület 081030'!I58+'7.24 sport tám 081041'!I58+'7.25 diáksport 081043'!I58+'7.26 közműv 082091'!I58+'7.27 közműv 082092'!I58+'7.28  óvoda 091140'!I58+'7.29 intézmkiv gyétk 104037'!I58+'7.30 szoc étk 107051'!I58+'7.31 segélyek 107060'!I58+'7.32 adóbev 900020'!I58+'7.33 pályázatok összesen'!I58+'7.6 út építés 045127'!I58</f>
        <v>0</v>
      </c>
      <c r="J58" s="246">
        <f>'7.1. igazg 011130'!J58+'7.2 temető 013320'!J58+'7.3. vagyon 013350'!J58+'7.4 018010'!J58+'7.5 finansz műveletek 018030'!J58+'7.7 közütak működtetés 045160'!J58+'7.8 parkoló 045170'!J58+'7.9 kábeltv 046020'!J58+'7.10 piac 047120'!J58+'7.11 tdm tám047320'!J58+'7.12 szemét 051030'!J58+'7.13 szennyvíz 052080'!J58+'7.14 víz 063080'!J58+'7.15 közvil 064010'!J58+'7.16 zöldterület 066010'!J58+'7.17 város 066020'!J58+'7.18 háziorvos 072111'!J58+'7.19 ügyelet 072112'!J58+'7.20 fülészet 072210'!J58+'7.21 védőnők 074031'!J58+'7.22 isk eü 074032'!J58+'7.23 sportcsépület 081030'!J58+'7.24 sport tám 081041'!J58+'7.25 diáksport 081043'!J58+'7.26 közműv 082091'!J58+'7.27 közműv 082092'!J58+'7.28  óvoda 091140'!J58+'7.29 intézmkiv gyétk 104037'!J58+'7.30 szoc étk 107051'!J58+'7.31 segélyek 107060'!J58+'7.32 adóbev 900020'!J58+'7.33 pályázatok összesen'!J58+'7.6 út építés 045127'!J58</f>
        <v>0</v>
      </c>
      <c r="K58" s="247">
        <f t="shared" ca="1" si="2"/>
        <v>0</v>
      </c>
      <c r="L58" s="246">
        <f ca="1">'7.1. igazg 011130'!L58+'7.2 temető 013320'!L58+'7.3. vagyon 013350'!L58+'7.4 018010'!L58+'7.5 finansz műveletek 018030'!L58+'7.7 közütak működtetés 045160'!L58+'7.8 parkoló 045170'!L58+'7.9 kábeltv 046020'!L58+'7.10 piac 047120'!L58+'7.11 tdm tám047320'!L58+'7.12 szemét 051030'!L58+'7.13 szennyvíz 052080'!L58+'7.14 víz 063080'!L58+'7.15 közvil 064010'!L58+'7.16 zöldterület 066010'!L58+'7.17 város 066020'!L58+'7.18 háziorvos 072111'!L58+'7.19 ügyelet 072112'!L58+'7.20 fülészet 072210'!L58+'7.21 védőnők 074031'!L58+'7.22 isk eü 074032'!L58+'7.23 sportcsépület 081030'!L58+'7.24 sport tám 081041'!L58+'7.25 diáksport 081043'!L58+'7.26 közműv 082091'!L58+'7.27 közműv 082092'!L58+'7.28  óvoda 091140'!L58+'7.29 intézmkiv gyétk 104037'!L58+'7.30 szoc étk 107051'!L58+'7.31 segélyek 107060'!L58+'7.32 adóbev 900020'!L58+'7.33 pályázatok összesen'!L58+'7.6 út építés 045127'!L58</f>
        <v>0</v>
      </c>
      <c r="M58" s="246">
        <f>'7.1. igazg 011130'!M58+'7.2 temető 013320'!M58+'7.3. vagyon 013350'!M58+'7.4 018010'!M58+'7.5 finansz műveletek 018030'!M58+'7.7 közütak működtetés 045160'!M58+'7.8 parkoló 045170'!M58+'7.9 kábeltv 046020'!M58+'7.10 piac 047120'!M58+'7.11 tdm tám047320'!M58+'7.12 szemét 051030'!M58+'7.13 szennyvíz 052080'!M58+'7.14 víz 063080'!M58+'7.15 közvil 064010'!M58+'7.16 zöldterület 066010'!M58+'7.17 város 066020'!M58+'7.18 háziorvos 072111'!M58+'7.19 ügyelet 072112'!M58+'7.20 fülészet 072210'!M58+'7.21 védőnők 074031'!M58+'7.22 isk eü 074032'!M58+'7.23 sportcsépület 081030'!M58+'7.24 sport tám 081041'!M58+'7.25 diáksport 081043'!M58+'7.26 közműv 082091'!M58+'7.27 közműv 082092'!M58+'7.28  óvoda 091140'!M58+'7.29 intézmkiv gyétk 104037'!M58+'7.30 szoc étk 107051'!M58+'7.31 segélyek 107060'!M58+'7.32 adóbev 900020'!M58+'7.33 pályázatok összesen'!M58+'7.6 út építés 045127'!M58</f>
        <v>0</v>
      </c>
      <c r="N58" s="247">
        <f t="shared" ca="1" si="3"/>
        <v>0</v>
      </c>
    </row>
    <row r="59" spans="1:14" x14ac:dyDescent="0.25">
      <c r="A59" s="53" t="s">
        <v>117</v>
      </c>
      <c r="B59" s="62" t="s">
        <v>118</v>
      </c>
      <c r="C59" s="246">
        <f>'7.1. igazg 011130'!C59+'7.2 temető 013320'!C59+'7.3. vagyon 013350'!C59+'7.4 018010'!C59+'7.5 finansz műveletek 018030'!C59+'7.7 közütak működtetés 045160'!C59+'7.8 parkoló 045170'!C59+'7.9 kábeltv 046020'!C59+'7.10 piac 047120'!C59+'7.11 tdm tám047320'!C59+'7.12 szemét 051030'!C59+'7.13 szennyvíz 052080'!C59+'7.14 víz 063080'!C59+'7.15 közvil 064010'!C59+'7.16 zöldterület 066010'!C59+'7.17 város 066020'!C59+'7.18 háziorvos 072111'!C59+'7.19 ügyelet 072112'!C59+'7.20 fülészet 072210'!C59+'7.21 védőnők 074031'!C59+'7.22 isk eü 074032'!C59+'7.23 sportcsépület 081030'!C59+'7.24 sport tám 081041'!C59+'7.25 diáksport 081043'!C59+'7.26 közműv 082091'!C59+'7.27 közműv 082092'!C59+'7.28  óvoda 091140'!C59+'7.29 intézmkiv gyétk 104037'!C59+'7.30 szoc étk 107051'!C59+'7.31 segélyek 107060'!C59+'7.32 adóbev 900020'!C59+'7.33 pályázatok összesen'!C59+'7.6 út építés 045127'!C59</f>
        <v>0</v>
      </c>
      <c r="D59" s="246">
        <f>'7.1. igazg 011130'!D59+'7.2 temető 013320'!D59+'7.3. vagyon 013350'!D59+'7.4 018010'!D59+'7.5 finansz műveletek 018030'!D59+'7.7 közütak működtetés 045160'!D59+'7.8 parkoló 045170'!D59+'7.9 kábeltv 046020'!D59+'7.10 piac 047120'!D59+'7.11 tdm tám047320'!D59+'7.12 szemét 051030'!D59+'7.13 szennyvíz 052080'!D59+'7.14 víz 063080'!D59+'7.15 közvil 064010'!D59+'7.16 zöldterület 066010'!D59+'7.17 város 066020'!D59+'7.18 háziorvos 072111'!D59+'7.19 ügyelet 072112'!D59+'7.20 fülészet 072210'!D59+'7.21 védőnők 074031'!D59+'7.22 isk eü 074032'!D59+'7.23 sportcsépület 081030'!D59+'7.24 sport tám 081041'!D59+'7.25 diáksport 081043'!D59+'7.26 közműv 082091'!D59+'7.27 közműv 082092'!D59+'7.28  óvoda 091140'!D59+'7.29 intézmkiv gyétk 104037'!D59+'7.30 szoc étk 107051'!D59+'7.31 segélyek 107060'!D59+'7.32 adóbev 900020'!D59+'7.33 pályázatok összesen'!D59+'7.6 út építés 045127'!D59</f>
        <v>0</v>
      </c>
      <c r="E59" s="247">
        <f t="shared" si="0"/>
        <v>0</v>
      </c>
      <c r="F59" s="246">
        <f>'7.1. igazg 011130'!F59+'7.2 temető 013320'!F59+'7.3. vagyon 013350'!F59+'7.4 018010'!F59+'7.5 finansz műveletek 018030'!F59+'7.7 közütak működtetés 045160'!F59+'7.8 parkoló 045170'!F59+'7.9 kábeltv 046020'!F59+'7.10 piac 047120'!F59+'7.11 tdm tám047320'!F59+'7.12 szemét 051030'!F59+'7.13 szennyvíz 052080'!F59+'7.14 víz 063080'!F59+'7.15 közvil 064010'!F59+'7.16 zöldterület 066010'!F59+'7.17 város 066020'!F59+'7.18 háziorvos 072111'!F59+'7.19 ügyelet 072112'!F59+'7.20 fülészet 072210'!F59+'7.21 védőnők 074031'!F59+'7.22 isk eü 074032'!F59+'7.23 sportcsépület 081030'!F59+'7.24 sport tám 081041'!F59+'7.25 diáksport 081043'!F59+'7.26 közműv 082091'!F59+'7.27 közműv 082092'!F59+'7.28  óvoda 091140'!F59+'7.29 intézmkiv gyétk 104037'!F59+'7.30 szoc étk 107051'!F59+'7.31 segélyek 107060'!F59+'7.32 adóbev 900020'!F59+'7.33 pályázatok összesen'!F59+'7.6 út építés 045127'!F59</f>
        <v>0</v>
      </c>
      <c r="G59" s="246">
        <f>'7.1. igazg 011130'!G59+'7.2 temető 013320'!G59+'7.3. vagyon 013350'!G59+'7.4 018010'!G59+'7.5 finansz műveletek 018030'!G59+'7.7 közütak működtetés 045160'!G59+'7.8 parkoló 045170'!G59+'7.9 kábeltv 046020'!G59+'7.10 piac 047120'!G59+'7.11 tdm tám047320'!G59+'7.12 szemét 051030'!G59+'7.13 szennyvíz 052080'!G59+'7.14 víz 063080'!G59+'7.15 közvil 064010'!G59+'7.16 zöldterület 066010'!G59+'7.17 város 066020'!G59+'7.18 háziorvos 072111'!G59+'7.19 ügyelet 072112'!G59+'7.20 fülészet 072210'!G59+'7.21 védőnők 074031'!G59+'7.22 isk eü 074032'!G59+'7.23 sportcsépület 081030'!G59+'7.24 sport tám 081041'!G59+'7.25 diáksport 081043'!G59+'7.26 közműv 082091'!G59+'7.27 közműv 082092'!G59+'7.28  óvoda 091140'!G59+'7.29 intézmkiv gyétk 104037'!G59+'7.30 szoc étk 107051'!G59+'7.31 segélyek 107060'!G59+'7.32 adóbev 900020'!G59+'7.33 pályázatok összesen'!G59+'7.6 út építés 045127'!G59</f>
        <v>0</v>
      </c>
      <c r="H59" s="247">
        <f t="shared" si="1"/>
        <v>0</v>
      </c>
      <c r="I59" s="246">
        <f ca="1">'7.1. igazg 011130'!I59+'7.2 temető 013320'!I59+'7.3. vagyon 013350'!I59+'7.4 018010'!I59+'7.5 finansz műveletek 018030'!I59+'7.7 közütak működtetés 045160'!I59+'7.8 parkoló 045170'!I59+'7.9 kábeltv 046020'!I59+'7.10 piac 047120'!I59+'7.11 tdm tám047320'!I59+'7.12 szemét 051030'!I59+'7.13 szennyvíz 052080'!I59+'7.14 víz 063080'!I59+'7.15 közvil 064010'!I59+'7.16 zöldterület 066010'!I59+'7.17 város 066020'!I59+'7.18 háziorvos 072111'!I59+'7.19 ügyelet 072112'!I59+'7.20 fülészet 072210'!I59+'7.21 védőnők 074031'!I59+'7.22 isk eü 074032'!I59+'7.23 sportcsépület 081030'!I59+'7.24 sport tám 081041'!I59+'7.25 diáksport 081043'!I59+'7.26 közműv 082091'!I59+'7.27 közműv 082092'!I59+'7.28  óvoda 091140'!I59+'7.29 intézmkiv gyétk 104037'!I59+'7.30 szoc étk 107051'!I59+'7.31 segélyek 107060'!I59+'7.32 adóbev 900020'!I59+'7.33 pályázatok összesen'!I59+'7.6 út építés 045127'!I59</f>
        <v>0</v>
      </c>
      <c r="J59" s="246">
        <f>'7.1. igazg 011130'!J59+'7.2 temető 013320'!J59+'7.3. vagyon 013350'!J59+'7.4 018010'!J59+'7.5 finansz műveletek 018030'!J59+'7.7 közütak működtetés 045160'!J59+'7.8 parkoló 045170'!J59+'7.9 kábeltv 046020'!J59+'7.10 piac 047120'!J59+'7.11 tdm tám047320'!J59+'7.12 szemét 051030'!J59+'7.13 szennyvíz 052080'!J59+'7.14 víz 063080'!J59+'7.15 közvil 064010'!J59+'7.16 zöldterület 066010'!J59+'7.17 város 066020'!J59+'7.18 háziorvos 072111'!J59+'7.19 ügyelet 072112'!J59+'7.20 fülészet 072210'!J59+'7.21 védőnők 074031'!J59+'7.22 isk eü 074032'!J59+'7.23 sportcsépület 081030'!J59+'7.24 sport tám 081041'!J59+'7.25 diáksport 081043'!J59+'7.26 közműv 082091'!J59+'7.27 közműv 082092'!J59+'7.28  óvoda 091140'!J59+'7.29 intézmkiv gyétk 104037'!J59+'7.30 szoc étk 107051'!J59+'7.31 segélyek 107060'!J59+'7.32 adóbev 900020'!J59+'7.33 pályázatok összesen'!J59+'7.6 út építés 045127'!J59</f>
        <v>0</v>
      </c>
      <c r="K59" s="247">
        <f t="shared" ca="1" si="2"/>
        <v>0</v>
      </c>
      <c r="L59" s="246">
        <f ca="1">'7.1. igazg 011130'!L59+'7.2 temető 013320'!L59+'7.3. vagyon 013350'!L59+'7.4 018010'!L59+'7.5 finansz műveletek 018030'!L59+'7.7 közütak működtetés 045160'!L59+'7.8 parkoló 045170'!L59+'7.9 kábeltv 046020'!L59+'7.10 piac 047120'!L59+'7.11 tdm tám047320'!L59+'7.12 szemét 051030'!L59+'7.13 szennyvíz 052080'!L59+'7.14 víz 063080'!L59+'7.15 közvil 064010'!L59+'7.16 zöldterület 066010'!L59+'7.17 város 066020'!L59+'7.18 háziorvos 072111'!L59+'7.19 ügyelet 072112'!L59+'7.20 fülészet 072210'!L59+'7.21 védőnők 074031'!L59+'7.22 isk eü 074032'!L59+'7.23 sportcsépület 081030'!L59+'7.24 sport tám 081041'!L59+'7.25 diáksport 081043'!L59+'7.26 közműv 082091'!L59+'7.27 közműv 082092'!L59+'7.28  óvoda 091140'!L59+'7.29 intézmkiv gyétk 104037'!L59+'7.30 szoc étk 107051'!L59+'7.31 segélyek 107060'!L59+'7.32 adóbev 900020'!L59+'7.33 pályázatok összesen'!L59+'7.6 út építés 045127'!L59</f>
        <v>0</v>
      </c>
      <c r="M59" s="246">
        <f>'7.1. igazg 011130'!M59+'7.2 temető 013320'!M59+'7.3. vagyon 013350'!M59+'7.4 018010'!M59+'7.5 finansz műveletek 018030'!M59+'7.7 közütak működtetés 045160'!M59+'7.8 parkoló 045170'!M59+'7.9 kábeltv 046020'!M59+'7.10 piac 047120'!M59+'7.11 tdm tám047320'!M59+'7.12 szemét 051030'!M59+'7.13 szennyvíz 052080'!M59+'7.14 víz 063080'!M59+'7.15 közvil 064010'!M59+'7.16 zöldterület 066010'!M59+'7.17 város 066020'!M59+'7.18 háziorvos 072111'!M59+'7.19 ügyelet 072112'!M59+'7.20 fülészet 072210'!M59+'7.21 védőnők 074031'!M59+'7.22 isk eü 074032'!M59+'7.23 sportcsépület 081030'!M59+'7.24 sport tám 081041'!M59+'7.25 diáksport 081043'!M59+'7.26 közműv 082091'!M59+'7.27 közműv 082092'!M59+'7.28  óvoda 091140'!M59+'7.29 intézmkiv gyétk 104037'!M59+'7.30 szoc étk 107051'!M59+'7.31 segélyek 107060'!M59+'7.32 adóbev 900020'!M59+'7.33 pályázatok összesen'!M59+'7.6 út építés 045127'!M59</f>
        <v>0</v>
      </c>
      <c r="N59" s="247">
        <f t="shared" ca="1" si="3"/>
        <v>0</v>
      </c>
    </row>
    <row r="60" spans="1:14" ht="15.75" thickBot="1" x14ac:dyDescent="0.3">
      <c r="A60" s="55" t="s">
        <v>119</v>
      </c>
      <c r="B60" s="64" t="s">
        <v>120</v>
      </c>
      <c r="C60" s="248">
        <f>'7.1. igazg 011130'!C60+'7.2 temető 013320'!C60+'7.3. vagyon 013350'!C60+'7.4 018010'!C60+'7.5 finansz műveletek 018030'!C60+'7.7 közütak működtetés 045160'!C60+'7.8 parkoló 045170'!C60+'7.9 kábeltv 046020'!C60+'7.10 piac 047120'!C60+'7.11 tdm tám047320'!C60+'7.12 szemét 051030'!C60+'7.13 szennyvíz 052080'!C60+'7.14 víz 063080'!C60+'7.15 közvil 064010'!C60+'7.16 zöldterület 066010'!C60+'7.17 város 066020'!C60+'7.18 háziorvos 072111'!C60+'7.19 ügyelet 072112'!C60+'7.20 fülészet 072210'!C60+'7.21 védőnők 074031'!C60+'7.22 isk eü 074032'!C60+'7.23 sportcsépület 081030'!C60+'7.24 sport tám 081041'!C60+'7.25 diáksport 081043'!C60+'7.26 közműv 082091'!C60+'7.27 közműv 082092'!C60+'7.28  óvoda 091140'!C60+'7.29 intézmkiv gyétk 104037'!C60+'7.30 szoc étk 107051'!C60+'7.31 segélyek 107060'!C60+'7.32 adóbev 900020'!C60+'7.33 pályázatok összesen'!C60+'7.6 út építés 045127'!C60</f>
        <v>500000</v>
      </c>
      <c r="D60" s="248">
        <f>'7.1. igazg 011130'!D60+'7.2 temető 013320'!D60+'7.3. vagyon 013350'!D60+'7.4 018010'!D60+'7.5 finansz műveletek 018030'!D60+'7.7 közütak működtetés 045160'!D60+'7.8 parkoló 045170'!D60+'7.9 kábeltv 046020'!D60+'7.10 piac 047120'!D60+'7.11 tdm tám047320'!D60+'7.12 szemét 051030'!D60+'7.13 szennyvíz 052080'!D60+'7.14 víz 063080'!D60+'7.15 közvil 064010'!D60+'7.16 zöldterület 066010'!D60+'7.17 város 066020'!D60+'7.18 háziorvos 072111'!D60+'7.19 ügyelet 072112'!D60+'7.20 fülészet 072210'!D60+'7.21 védőnők 074031'!D60+'7.22 isk eü 074032'!D60+'7.23 sportcsépület 081030'!D60+'7.24 sport tám 081041'!D60+'7.25 diáksport 081043'!D60+'7.26 közműv 082091'!D60+'7.27 közműv 082092'!D60+'7.28  óvoda 091140'!D60+'7.29 intézmkiv gyétk 104037'!D60+'7.30 szoc étk 107051'!D60+'7.31 segélyek 107060'!D60+'7.32 adóbev 900020'!D60+'7.33 pályázatok összesen'!D60+'7.6 út építés 045127'!D60</f>
        <v>0</v>
      </c>
      <c r="E60" s="249">
        <f t="shared" si="0"/>
        <v>500000</v>
      </c>
      <c r="F60" s="248">
        <f>'7.1. igazg 011130'!F60+'7.2 temető 013320'!F60+'7.3. vagyon 013350'!F60+'7.4 018010'!F60+'7.5 finansz műveletek 018030'!F60+'7.7 közütak működtetés 045160'!F60+'7.8 parkoló 045170'!F60+'7.9 kábeltv 046020'!F60+'7.10 piac 047120'!F60+'7.11 tdm tám047320'!F60+'7.12 szemét 051030'!F60+'7.13 szennyvíz 052080'!F60+'7.14 víz 063080'!F60+'7.15 közvil 064010'!F60+'7.16 zöldterület 066010'!F60+'7.17 város 066020'!F60+'7.18 háziorvos 072111'!F60+'7.19 ügyelet 072112'!F60+'7.20 fülészet 072210'!F60+'7.21 védőnők 074031'!F60+'7.22 isk eü 074032'!F60+'7.23 sportcsépület 081030'!F60+'7.24 sport tám 081041'!F60+'7.25 diáksport 081043'!F60+'7.26 közműv 082091'!F60+'7.27 közműv 082092'!F60+'7.28  óvoda 091140'!F60+'7.29 intézmkiv gyétk 104037'!F60+'7.30 szoc étk 107051'!F60+'7.31 segélyek 107060'!F60+'7.32 adóbev 900020'!F60+'7.33 pályázatok összesen'!F60+'7.6 út építés 045127'!F60</f>
        <v>500000</v>
      </c>
      <c r="G60" s="248">
        <f>'7.1. igazg 011130'!G60+'7.2 temető 013320'!G60+'7.3. vagyon 013350'!G60+'7.4 018010'!G60+'7.5 finansz műveletek 018030'!G60+'7.7 közütak működtetés 045160'!G60+'7.8 parkoló 045170'!G60+'7.9 kábeltv 046020'!G60+'7.10 piac 047120'!G60+'7.11 tdm tám047320'!G60+'7.12 szemét 051030'!G60+'7.13 szennyvíz 052080'!G60+'7.14 víz 063080'!G60+'7.15 közvil 064010'!G60+'7.16 zöldterület 066010'!G60+'7.17 város 066020'!G60+'7.18 háziorvos 072111'!G60+'7.19 ügyelet 072112'!G60+'7.20 fülészet 072210'!G60+'7.21 védőnők 074031'!G60+'7.22 isk eü 074032'!G60+'7.23 sportcsépület 081030'!G60+'7.24 sport tám 081041'!G60+'7.25 diáksport 081043'!G60+'7.26 közműv 082091'!G60+'7.27 közműv 082092'!G60+'7.28  óvoda 091140'!G60+'7.29 intézmkiv gyétk 104037'!G60+'7.30 szoc étk 107051'!G60+'7.31 segélyek 107060'!G60+'7.32 adóbev 900020'!G60+'7.33 pályázatok összesen'!G60+'7.6 út építés 045127'!G60</f>
        <v>0</v>
      </c>
      <c r="H60" s="249">
        <f t="shared" si="1"/>
        <v>500000</v>
      </c>
      <c r="I60" s="248">
        <f ca="1">'7.1. igazg 011130'!I60+'7.2 temető 013320'!I60+'7.3. vagyon 013350'!I60+'7.4 018010'!I60+'7.5 finansz műveletek 018030'!I60+'7.7 közütak működtetés 045160'!I60+'7.8 parkoló 045170'!I60+'7.9 kábeltv 046020'!I60+'7.10 piac 047120'!I60+'7.11 tdm tám047320'!I60+'7.12 szemét 051030'!I60+'7.13 szennyvíz 052080'!I60+'7.14 víz 063080'!I60+'7.15 közvil 064010'!I60+'7.16 zöldterület 066010'!I60+'7.17 város 066020'!I60+'7.18 háziorvos 072111'!I60+'7.19 ügyelet 072112'!I60+'7.20 fülészet 072210'!I60+'7.21 védőnők 074031'!I60+'7.22 isk eü 074032'!I60+'7.23 sportcsépület 081030'!I60+'7.24 sport tám 081041'!I60+'7.25 diáksport 081043'!I60+'7.26 közműv 082091'!I60+'7.27 közműv 082092'!I60+'7.28  óvoda 091140'!I60+'7.29 intézmkiv gyétk 104037'!I60+'7.30 szoc étk 107051'!I60+'7.31 segélyek 107060'!I60+'7.32 adóbev 900020'!I60+'7.33 pályázatok összesen'!I60+'7.6 út építés 045127'!I60</f>
        <v>500000</v>
      </c>
      <c r="J60" s="248">
        <f>'7.1. igazg 011130'!J60+'7.2 temető 013320'!J60+'7.3. vagyon 013350'!J60+'7.4 018010'!J60+'7.5 finansz műveletek 018030'!J60+'7.7 közütak működtetés 045160'!J60+'7.8 parkoló 045170'!J60+'7.9 kábeltv 046020'!J60+'7.10 piac 047120'!J60+'7.11 tdm tám047320'!J60+'7.12 szemét 051030'!J60+'7.13 szennyvíz 052080'!J60+'7.14 víz 063080'!J60+'7.15 közvil 064010'!J60+'7.16 zöldterület 066010'!J60+'7.17 város 066020'!J60+'7.18 háziorvos 072111'!J60+'7.19 ügyelet 072112'!J60+'7.20 fülészet 072210'!J60+'7.21 védőnők 074031'!J60+'7.22 isk eü 074032'!J60+'7.23 sportcsépület 081030'!J60+'7.24 sport tám 081041'!J60+'7.25 diáksport 081043'!J60+'7.26 közműv 082091'!J60+'7.27 közműv 082092'!J60+'7.28  óvoda 091140'!J60+'7.29 intézmkiv gyétk 104037'!J60+'7.30 szoc étk 107051'!J60+'7.31 segélyek 107060'!J60+'7.32 adóbev 900020'!J60+'7.33 pályázatok összesen'!J60+'7.6 út építés 045127'!J60</f>
        <v>0</v>
      </c>
      <c r="K60" s="249">
        <f t="shared" ca="1" si="2"/>
        <v>500000</v>
      </c>
      <c r="L60" s="248">
        <f ca="1">'7.1. igazg 011130'!L60+'7.2 temető 013320'!L60+'7.3. vagyon 013350'!L60+'7.4 018010'!L60+'7.5 finansz műveletek 018030'!L60+'7.7 közütak működtetés 045160'!L60+'7.8 parkoló 045170'!L60+'7.9 kábeltv 046020'!L60+'7.10 piac 047120'!L60+'7.11 tdm tám047320'!L60+'7.12 szemét 051030'!L60+'7.13 szennyvíz 052080'!L60+'7.14 víz 063080'!L60+'7.15 közvil 064010'!L60+'7.16 zöldterület 066010'!L60+'7.17 város 066020'!L60+'7.18 háziorvos 072111'!L60+'7.19 ügyelet 072112'!L60+'7.20 fülészet 072210'!L60+'7.21 védőnők 074031'!L60+'7.22 isk eü 074032'!L60+'7.23 sportcsépület 081030'!L60+'7.24 sport tám 081041'!L60+'7.25 diáksport 081043'!L60+'7.26 közműv 082091'!L60+'7.27 közműv 082092'!L60+'7.28  óvoda 091140'!L60+'7.29 intézmkiv gyétk 104037'!L60+'7.30 szoc étk 107051'!L60+'7.31 segélyek 107060'!L60+'7.32 adóbev 900020'!L60+'7.33 pályázatok összesen'!L60+'7.6 út építés 045127'!L60</f>
        <v>908582</v>
      </c>
      <c r="M60" s="248">
        <f>'7.1. igazg 011130'!M60+'7.2 temető 013320'!M60+'7.3. vagyon 013350'!M60+'7.4 018010'!M60+'7.5 finansz műveletek 018030'!M60+'7.7 közütak működtetés 045160'!M60+'7.8 parkoló 045170'!M60+'7.9 kábeltv 046020'!M60+'7.10 piac 047120'!M60+'7.11 tdm tám047320'!M60+'7.12 szemét 051030'!M60+'7.13 szennyvíz 052080'!M60+'7.14 víz 063080'!M60+'7.15 közvil 064010'!M60+'7.16 zöldterület 066010'!M60+'7.17 város 066020'!M60+'7.18 háziorvos 072111'!M60+'7.19 ügyelet 072112'!M60+'7.20 fülészet 072210'!M60+'7.21 védőnők 074031'!M60+'7.22 isk eü 074032'!M60+'7.23 sportcsépület 081030'!M60+'7.24 sport tám 081041'!M60+'7.25 diáksport 081043'!M60+'7.26 közműv 082091'!M60+'7.27 közműv 082092'!M60+'7.28  óvoda 091140'!M60+'7.29 intézmkiv gyétk 104037'!M60+'7.30 szoc étk 107051'!M60+'7.31 segélyek 107060'!M60+'7.32 adóbev 900020'!M60+'7.33 pályázatok összesen'!M60+'7.6 út építés 045127'!M60</f>
        <v>0</v>
      </c>
      <c r="N60" s="249">
        <f t="shared" ca="1" si="3"/>
        <v>908582</v>
      </c>
    </row>
    <row r="61" spans="1:14" x14ac:dyDescent="0.25">
      <c r="A61" s="52" t="s">
        <v>121</v>
      </c>
      <c r="B61" s="48" t="s">
        <v>28</v>
      </c>
      <c r="C61" s="244">
        <f>'7.1. igazg 011130'!C61+'7.2 temető 013320'!C61+'7.3. vagyon 013350'!C61+'7.4 018010'!C61+'7.5 finansz műveletek 018030'!C61+'7.7 közütak működtetés 045160'!C61+'7.8 parkoló 045170'!C61+'7.9 kábeltv 046020'!C61+'7.10 piac 047120'!C61+'7.11 tdm tám047320'!C61+'7.12 szemét 051030'!C61+'7.13 szennyvíz 052080'!C61+'7.14 víz 063080'!C61+'7.15 közvil 064010'!C61+'7.16 zöldterület 066010'!C61+'7.17 város 066020'!C61+'7.18 háziorvos 072111'!C61+'7.19 ügyelet 072112'!C61+'7.20 fülészet 072210'!C61+'7.21 védőnők 074031'!C61+'7.22 isk eü 074032'!C61+'7.23 sportcsépület 081030'!C61+'7.24 sport tám 081041'!C61+'7.25 diáksport 081043'!C61+'7.26 közműv 082091'!C61+'7.27 közműv 082092'!C61+'7.28  óvoda 091140'!C61+'7.29 intézmkiv gyétk 104037'!C61+'7.30 szoc étk 107051'!C61+'7.31 segélyek 107060'!C61+'7.32 adóbev 900020'!C61+'7.33 pályázatok összesen'!C61+'7.6 út építés 045127'!C61</f>
        <v>7695000</v>
      </c>
      <c r="D61" s="244">
        <f>'7.1. igazg 011130'!D61+'7.2 temető 013320'!D61+'7.3. vagyon 013350'!D61+'7.4 018010'!D61+'7.5 finansz műveletek 018030'!D61+'7.7 közütak működtetés 045160'!D61+'7.8 parkoló 045170'!D61+'7.9 kábeltv 046020'!D61+'7.10 piac 047120'!D61+'7.11 tdm tám047320'!D61+'7.12 szemét 051030'!D61+'7.13 szennyvíz 052080'!D61+'7.14 víz 063080'!D61+'7.15 közvil 064010'!D61+'7.16 zöldterület 066010'!D61+'7.17 város 066020'!D61+'7.18 háziorvos 072111'!D61+'7.19 ügyelet 072112'!D61+'7.20 fülészet 072210'!D61+'7.21 védőnők 074031'!D61+'7.22 isk eü 074032'!D61+'7.23 sportcsépület 081030'!D61+'7.24 sport tám 081041'!D61+'7.25 diáksport 081043'!D61+'7.26 közműv 082091'!D61+'7.27 közműv 082092'!D61+'7.28  óvoda 091140'!D61+'7.29 intézmkiv gyétk 104037'!D61+'7.30 szoc étk 107051'!D61+'7.31 segélyek 107060'!D61+'7.32 adóbev 900020'!D61+'7.33 pályázatok összesen'!D61+'7.6 út építés 045127'!D61</f>
        <v>0</v>
      </c>
      <c r="E61" s="245">
        <f t="shared" si="0"/>
        <v>7695000</v>
      </c>
      <c r="F61" s="244">
        <f>'7.1. igazg 011130'!F61+'7.2 temető 013320'!F61+'7.3. vagyon 013350'!F61+'7.4 018010'!F61+'7.5 finansz műveletek 018030'!F61+'7.7 közütak működtetés 045160'!F61+'7.8 parkoló 045170'!F61+'7.9 kábeltv 046020'!F61+'7.10 piac 047120'!F61+'7.11 tdm tám047320'!F61+'7.12 szemét 051030'!F61+'7.13 szennyvíz 052080'!F61+'7.14 víz 063080'!F61+'7.15 közvil 064010'!F61+'7.16 zöldterület 066010'!F61+'7.17 város 066020'!F61+'7.18 háziorvos 072111'!F61+'7.19 ügyelet 072112'!F61+'7.20 fülészet 072210'!F61+'7.21 védőnők 074031'!F61+'7.22 isk eü 074032'!F61+'7.23 sportcsépület 081030'!F61+'7.24 sport tám 081041'!F61+'7.25 diáksport 081043'!F61+'7.26 közműv 082091'!F61+'7.27 közműv 082092'!F61+'7.28  óvoda 091140'!F61+'7.29 intézmkiv gyétk 104037'!F61+'7.30 szoc étk 107051'!F61+'7.31 segélyek 107060'!F61+'7.32 adóbev 900020'!F61+'7.33 pályázatok összesen'!F61+'7.6 út építés 045127'!F61</f>
        <v>9298826</v>
      </c>
      <c r="G61" s="244">
        <f>'7.1. igazg 011130'!G61+'7.2 temető 013320'!G61+'7.3. vagyon 013350'!G61+'7.4 018010'!G61+'7.5 finansz műveletek 018030'!G61+'7.7 közütak működtetés 045160'!G61+'7.8 parkoló 045170'!G61+'7.9 kábeltv 046020'!G61+'7.10 piac 047120'!G61+'7.11 tdm tám047320'!G61+'7.12 szemét 051030'!G61+'7.13 szennyvíz 052080'!G61+'7.14 víz 063080'!G61+'7.15 közvil 064010'!G61+'7.16 zöldterület 066010'!G61+'7.17 város 066020'!G61+'7.18 háziorvos 072111'!G61+'7.19 ügyelet 072112'!G61+'7.20 fülészet 072210'!G61+'7.21 védőnők 074031'!G61+'7.22 isk eü 074032'!G61+'7.23 sportcsépület 081030'!G61+'7.24 sport tám 081041'!G61+'7.25 diáksport 081043'!G61+'7.26 közműv 082091'!G61+'7.27 közműv 082092'!G61+'7.28  óvoda 091140'!G61+'7.29 intézmkiv gyétk 104037'!G61+'7.30 szoc étk 107051'!G61+'7.31 segélyek 107060'!G61+'7.32 adóbev 900020'!G61+'7.33 pályázatok összesen'!G61+'7.6 út építés 045127'!G61</f>
        <v>0</v>
      </c>
      <c r="H61" s="245">
        <f t="shared" si="1"/>
        <v>9298826</v>
      </c>
      <c r="I61" s="244">
        <f ca="1">'7.1. igazg 011130'!I61+'7.2 temető 013320'!I61+'7.3. vagyon 013350'!I61+'7.4 018010'!I61+'7.5 finansz műveletek 018030'!I61+'7.7 közütak működtetés 045160'!I61+'7.8 parkoló 045170'!I61+'7.9 kábeltv 046020'!I61+'7.10 piac 047120'!I61+'7.11 tdm tám047320'!I61+'7.12 szemét 051030'!I61+'7.13 szennyvíz 052080'!I61+'7.14 víz 063080'!I61+'7.15 közvil 064010'!I61+'7.16 zöldterület 066010'!I61+'7.17 város 066020'!I61+'7.18 háziorvos 072111'!I61+'7.19 ügyelet 072112'!I61+'7.20 fülészet 072210'!I61+'7.21 védőnők 074031'!I61+'7.22 isk eü 074032'!I61+'7.23 sportcsépület 081030'!I61+'7.24 sport tám 081041'!I61+'7.25 diáksport 081043'!I61+'7.26 közműv 082091'!I61+'7.27 közműv 082092'!I61+'7.28  óvoda 091140'!I61+'7.29 intézmkiv gyétk 104037'!I61+'7.30 szoc étk 107051'!I61+'7.31 segélyek 107060'!I61+'7.32 adóbev 900020'!I61+'7.33 pályázatok összesen'!I61+'7.6 út építés 045127'!I61</f>
        <v>9298826</v>
      </c>
      <c r="J61" s="244">
        <f>'7.1. igazg 011130'!J61+'7.2 temető 013320'!J61+'7.3. vagyon 013350'!J61+'7.4 018010'!J61+'7.5 finansz műveletek 018030'!J61+'7.7 közütak működtetés 045160'!J61+'7.8 parkoló 045170'!J61+'7.9 kábeltv 046020'!J61+'7.10 piac 047120'!J61+'7.11 tdm tám047320'!J61+'7.12 szemét 051030'!J61+'7.13 szennyvíz 052080'!J61+'7.14 víz 063080'!J61+'7.15 közvil 064010'!J61+'7.16 zöldterület 066010'!J61+'7.17 város 066020'!J61+'7.18 háziorvos 072111'!J61+'7.19 ügyelet 072112'!J61+'7.20 fülészet 072210'!J61+'7.21 védőnők 074031'!J61+'7.22 isk eü 074032'!J61+'7.23 sportcsépület 081030'!J61+'7.24 sport tám 081041'!J61+'7.25 diáksport 081043'!J61+'7.26 közműv 082091'!J61+'7.27 közműv 082092'!J61+'7.28  óvoda 091140'!J61+'7.29 intézmkiv gyétk 104037'!J61+'7.30 szoc étk 107051'!J61+'7.31 segélyek 107060'!J61+'7.32 adóbev 900020'!J61+'7.33 pályázatok összesen'!J61+'7.6 út építés 045127'!J61</f>
        <v>0</v>
      </c>
      <c r="K61" s="245">
        <f t="shared" ca="1" si="2"/>
        <v>9298826</v>
      </c>
      <c r="L61" s="244">
        <f ca="1">'7.1. igazg 011130'!L61+'7.2 temető 013320'!L61+'7.3. vagyon 013350'!L61+'7.4 018010'!L61+'7.5 finansz műveletek 018030'!L61+'7.7 közütak működtetés 045160'!L61+'7.8 parkoló 045170'!L61+'7.9 kábeltv 046020'!L61+'7.10 piac 047120'!L61+'7.11 tdm tám047320'!L61+'7.12 szemét 051030'!L61+'7.13 szennyvíz 052080'!L61+'7.14 víz 063080'!L61+'7.15 közvil 064010'!L61+'7.16 zöldterület 066010'!L61+'7.17 város 066020'!L61+'7.18 háziorvos 072111'!L61+'7.19 ügyelet 072112'!L61+'7.20 fülészet 072210'!L61+'7.21 védőnők 074031'!L61+'7.22 isk eü 074032'!L61+'7.23 sportcsépület 081030'!L61+'7.24 sport tám 081041'!L61+'7.25 diáksport 081043'!L61+'7.26 közműv 082091'!L61+'7.27 közműv 082092'!L61+'7.28  óvoda 091140'!L61+'7.29 intézmkiv gyétk 104037'!L61+'7.30 szoc étk 107051'!L61+'7.31 segélyek 107060'!L61+'7.32 adóbev 900020'!L61+'7.33 pályázatok összesen'!L61+'7.6 út építés 045127'!L61</f>
        <v>9298826</v>
      </c>
      <c r="M61" s="244">
        <f>'7.1. igazg 011130'!M61+'7.2 temető 013320'!M61+'7.3. vagyon 013350'!M61+'7.4 018010'!M61+'7.5 finansz műveletek 018030'!M61+'7.7 közütak működtetés 045160'!M61+'7.8 parkoló 045170'!M61+'7.9 kábeltv 046020'!M61+'7.10 piac 047120'!M61+'7.11 tdm tám047320'!M61+'7.12 szemét 051030'!M61+'7.13 szennyvíz 052080'!M61+'7.14 víz 063080'!M61+'7.15 közvil 064010'!M61+'7.16 zöldterület 066010'!M61+'7.17 város 066020'!M61+'7.18 háziorvos 072111'!M61+'7.19 ügyelet 072112'!M61+'7.20 fülészet 072210'!M61+'7.21 védőnők 074031'!M61+'7.22 isk eü 074032'!M61+'7.23 sportcsépület 081030'!M61+'7.24 sport tám 081041'!M61+'7.25 diáksport 081043'!M61+'7.26 közműv 082091'!M61+'7.27 közműv 082092'!M61+'7.28  óvoda 091140'!M61+'7.29 intézmkiv gyétk 104037'!M61+'7.30 szoc étk 107051'!M61+'7.31 segélyek 107060'!M61+'7.32 adóbev 900020'!M61+'7.33 pályázatok összesen'!M61+'7.6 út építés 045127'!M61</f>
        <v>0</v>
      </c>
      <c r="N61" s="245">
        <f t="shared" ca="1" si="3"/>
        <v>9298826</v>
      </c>
    </row>
    <row r="62" spans="1:14" x14ac:dyDescent="0.25">
      <c r="A62" s="53" t="s">
        <v>122</v>
      </c>
      <c r="B62" s="62" t="s">
        <v>123</v>
      </c>
      <c r="C62" s="246">
        <f>'7.1. igazg 011130'!C62+'7.2 temető 013320'!C62+'7.3. vagyon 013350'!C62+'7.4 018010'!C62+'7.5 finansz műveletek 018030'!C62+'7.7 közütak működtetés 045160'!C62+'7.8 parkoló 045170'!C62+'7.9 kábeltv 046020'!C62+'7.10 piac 047120'!C62+'7.11 tdm tám047320'!C62+'7.12 szemét 051030'!C62+'7.13 szennyvíz 052080'!C62+'7.14 víz 063080'!C62+'7.15 közvil 064010'!C62+'7.16 zöldterület 066010'!C62+'7.17 város 066020'!C62+'7.18 háziorvos 072111'!C62+'7.19 ügyelet 072112'!C62+'7.20 fülészet 072210'!C62+'7.21 védőnők 074031'!C62+'7.22 isk eü 074032'!C62+'7.23 sportcsépület 081030'!C62+'7.24 sport tám 081041'!C62+'7.25 diáksport 081043'!C62+'7.26 közműv 082091'!C62+'7.27 közműv 082092'!C62+'7.28  óvoda 091140'!C62+'7.29 intézmkiv gyétk 104037'!C62+'7.30 szoc étk 107051'!C62+'7.31 segélyek 107060'!C62+'7.32 adóbev 900020'!C62+'7.33 pályázatok összesen'!C62+'7.6 út építés 045127'!C62</f>
        <v>0</v>
      </c>
      <c r="D62" s="246">
        <f>'7.1. igazg 011130'!D62+'7.2 temető 013320'!D62+'7.3. vagyon 013350'!D62+'7.4 018010'!D62+'7.5 finansz műveletek 018030'!D62+'7.7 közütak működtetés 045160'!D62+'7.8 parkoló 045170'!D62+'7.9 kábeltv 046020'!D62+'7.10 piac 047120'!D62+'7.11 tdm tám047320'!D62+'7.12 szemét 051030'!D62+'7.13 szennyvíz 052080'!D62+'7.14 víz 063080'!D62+'7.15 közvil 064010'!D62+'7.16 zöldterület 066010'!D62+'7.17 város 066020'!D62+'7.18 háziorvos 072111'!D62+'7.19 ügyelet 072112'!D62+'7.20 fülészet 072210'!D62+'7.21 védőnők 074031'!D62+'7.22 isk eü 074032'!D62+'7.23 sportcsépület 081030'!D62+'7.24 sport tám 081041'!D62+'7.25 diáksport 081043'!D62+'7.26 közműv 082091'!D62+'7.27 közműv 082092'!D62+'7.28  óvoda 091140'!D62+'7.29 intézmkiv gyétk 104037'!D62+'7.30 szoc étk 107051'!D62+'7.31 segélyek 107060'!D62+'7.32 adóbev 900020'!D62+'7.33 pályázatok összesen'!D62+'7.6 út építés 045127'!D62</f>
        <v>0</v>
      </c>
      <c r="E62" s="247">
        <f t="shared" si="0"/>
        <v>0</v>
      </c>
      <c r="F62" s="246">
        <f>'7.1. igazg 011130'!F62+'7.2 temető 013320'!F62+'7.3. vagyon 013350'!F62+'7.4 018010'!F62+'7.5 finansz műveletek 018030'!F62+'7.7 közütak működtetés 045160'!F62+'7.8 parkoló 045170'!F62+'7.9 kábeltv 046020'!F62+'7.10 piac 047120'!F62+'7.11 tdm tám047320'!F62+'7.12 szemét 051030'!F62+'7.13 szennyvíz 052080'!F62+'7.14 víz 063080'!F62+'7.15 közvil 064010'!F62+'7.16 zöldterület 066010'!F62+'7.17 város 066020'!F62+'7.18 háziorvos 072111'!F62+'7.19 ügyelet 072112'!F62+'7.20 fülészet 072210'!F62+'7.21 védőnők 074031'!F62+'7.22 isk eü 074032'!F62+'7.23 sportcsépület 081030'!F62+'7.24 sport tám 081041'!F62+'7.25 diáksport 081043'!F62+'7.26 közműv 082091'!F62+'7.27 közműv 082092'!F62+'7.28  óvoda 091140'!F62+'7.29 intézmkiv gyétk 104037'!F62+'7.30 szoc étk 107051'!F62+'7.31 segélyek 107060'!F62+'7.32 adóbev 900020'!F62+'7.33 pályázatok összesen'!F62+'7.6 út építés 045127'!F62</f>
        <v>0</v>
      </c>
      <c r="G62" s="246">
        <f>'7.1. igazg 011130'!G62+'7.2 temető 013320'!G62+'7.3. vagyon 013350'!G62+'7.4 018010'!G62+'7.5 finansz műveletek 018030'!G62+'7.7 közütak működtetés 045160'!G62+'7.8 parkoló 045170'!G62+'7.9 kábeltv 046020'!G62+'7.10 piac 047120'!G62+'7.11 tdm tám047320'!G62+'7.12 szemét 051030'!G62+'7.13 szennyvíz 052080'!G62+'7.14 víz 063080'!G62+'7.15 közvil 064010'!G62+'7.16 zöldterület 066010'!G62+'7.17 város 066020'!G62+'7.18 háziorvos 072111'!G62+'7.19 ügyelet 072112'!G62+'7.20 fülészet 072210'!G62+'7.21 védőnők 074031'!G62+'7.22 isk eü 074032'!G62+'7.23 sportcsépület 081030'!G62+'7.24 sport tám 081041'!G62+'7.25 diáksport 081043'!G62+'7.26 közműv 082091'!G62+'7.27 közműv 082092'!G62+'7.28  óvoda 091140'!G62+'7.29 intézmkiv gyétk 104037'!G62+'7.30 szoc étk 107051'!G62+'7.31 segélyek 107060'!G62+'7.32 adóbev 900020'!G62+'7.33 pályázatok összesen'!G62+'7.6 út építés 045127'!G62</f>
        <v>0</v>
      </c>
      <c r="H62" s="247">
        <f t="shared" si="1"/>
        <v>0</v>
      </c>
      <c r="I62" s="246">
        <f ca="1">'7.1. igazg 011130'!I62+'7.2 temető 013320'!I62+'7.3. vagyon 013350'!I62+'7.4 018010'!I62+'7.5 finansz műveletek 018030'!I62+'7.7 közütak működtetés 045160'!I62+'7.8 parkoló 045170'!I62+'7.9 kábeltv 046020'!I62+'7.10 piac 047120'!I62+'7.11 tdm tám047320'!I62+'7.12 szemét 051030'!I62+'7.13 szennyvíz 052080'!I62+'7.14 víz 063080'!I62+'7.15 közvil 064010'!I62+'7.16 zöldterület 066010'!I62+'7.17 város 066020'!I62+'7.18 háziorvos 072111'!I62+'7.19 ügyelet 072112'!I62+'7.20 fülészet 072210'!I62+'7.21 védőnők 074031'!I62+'7.22 isk eü 074032'!I62+'7.23 sportcsépület 081030'!I62+'7.24 sport tám 081041'!I62+'7.25 diáksport 081043'!I62+'7.26 közműv 082091'!I62+'7.27 közműv 082092'!I62+'7.28  óvoda 091140'!I62+'7.29 intézmkiv gyétk 104037'!I62+'7.30 szoc étk 107051'!I62+'7.31 segélyek 107060'!I62+'7.32 adóbev 900020'!I62+'7.33 pályázatok összesen'!I62+'7.6 út építés 045127'!I62</f>
        <v>0</v>
      </c>
      <c r="J62" s="246">
        <f>'7.1. igazg 011130'!J62+'7.2 temető 013320'!J62+'7.3. vagyon 013350'!J62+'7.4 018010'!J62+'7.5 finansz műveletek 018030'!J62+'7.7 közütak működtetés 045160'!J62+'7.8 parkoló 045170'!J62+'7.9 kábeltv 046020'!J62+'7.10 piac 047120'!J62+'7.11 tdm tám047320'!J62+'7.12 szemét 051030'!J62+'7.13 szennyvíz 052080'!J62+'7.14 víz 063080'!J62+'7.15 közvil 064010'!J62+'7.16 zöldterület 066010'!J62+'7.17 város 066020'!J62+'7.18 háziorvos 072111'!J62+'7.19 ügyelet 072112'!J62+'7.20 fülészet 072210'!J62+'7.21 védőnők 074031'!J62+'7.22 isk eü 074032'!J62+'7.23 sportcsépület 081030'!J62+'7.24 sport tám 081041'!J62+'7.25 diáksport 081043'!J62+'7.26 közműv 082091'!J62+'7.27 közműv 082092'!J62+'7.28  óvoda 091140'!J62+'7.29 intézmkiv gyétk 104037'!J62+'7.30 szoc étk 107051'!J62+'7.31 segélyek 107060'!J62+'7.32 adóbev 900020'!J62+'7.33 pályázatok összesen'!J62+'7.6 út építés 045127'!J62</f>
        <v>0</v>
      </c>
      <c r="K62" s="247">
        <f t="shared" ca="1" si="2"/>
        <v>0</v>
      </c>
      <c r="L62" s="246">
        <f ca="1">'7.1. igazg 011130'!L62+'7.2 temető 013320'!L62+'7.3. vagyon 013350'!L62+'7.4 018010'!L62+'7.5 finansz műveletek 018030'!L62+'7.7 közütak működtetés 045160'!L62+'7.8 parkoló 045170'!L62+'7.9 kábeltv 046020'!L62+'7.10 piac 047120'!L62+'7.11 tdm tám047320'!L62+'7.12 szemét 051030'!L62+'7.13 szennyvíz 052080'!L62+'7.14 víz 063080'!L62+'7.15 közvil 064010'!L62+'7.16 zöldterület 066010'!L62+'7.17 város 066020'!L62+'7.18 háziorvos 072111'!L62+'7.19 ügyelet 072112'!L62+'7.20 fülészet 072210'!L62+'7.21 védőnők 074031'!L62+'7.22 isk eü 074032'!L62+'7.23 sportcsépület 081030'!L62+'7.24 sport tám 081041'!L62+'7.25 diáksport 081043'!L62+'7.26 közműv 082091'!L62+'7.27 közműv 082092'!L62+'7.28  óvoda 091140'!L62+'7.29 intézmkiv gyétk 104037'!L62+'7.30 szoc étk 107051'!L62+'7.31 segélyek 107060'!L62+'7.32 adóbev 900020'!L62+'7.33 pályázatok összesen'!L62+'7.6 út építés 045127'!L62</f>
        <v>0</v>
      </c>
      <c r="M62" s="246">
        <f>'7.1. igazg 011130'!M62+'7.2 temető 013320'!M62+'7.3. vagyon 013350'!M62+'7.4 018010'!M62+'7.5 finansz műveletek 018030'!M62+'7.7 közütak működtetés 045160'!M62+'7.8 parkoló 045170'!M62+'7.9 kábeltv 046020'!M62+'7.10 piac 047120'!M62+'7.11 tdm tám047320'!M62+'7.12 szemét 051030'!M62+'7.13 szennyvíz 052080'!M62+'7.14 víz 063080'!M62+'7.15 közvil 064010'!M62+'7.16 zöldterület 066010'!M62+'7.17 város 066020'!M62+'7.18 háziorvos 072111'!M62+'7.19 ügyelet 072112'!M62+'7.20 fülészet 072210'!M62+'7.21 védőnők 074031'!M62+'7.22 isk eü 074032'!M62+'7.23 sportcsépület 081030'!M62+'7.24 sport tám 081041'!M62+'7.25 diáksport 081043'!M62+'7.26 közműv 082091'!M62+'7.27 közműv 082092'!M62+'7.28  óvoda 091140'!M62+'7.29 intézmkiv gyétk 104037'!M62+'7.30 szoc étk 107051'!M62+'7.31 segélyek 107060'!M62+'7.32 adóbev 900020'!M62+'7.33 pályázatok összesen'!M62+'7.6 út építés 045127'!M62</f>
        <v>0</v>
      </c>
      <c r="N62" s="247">
        <f t="shared" ca="1" si="3"/>
        <v>0</v>
      </c>
    </row>
    <row r="63" spans="1:14" x14ac:dyDescent="0.25">
      <c r="A63" s="53" t="s">
        <v>124</v>
      </c>
      <c r="B63" s="62" t="s">
        <v>125</v>
      </c>
      <c r="C63" s="246">
        <f>'7.1. igazg 011130'!C63+'7.2 temető 013320'!C63+'7.3. vagyon 013350'!C63+'7.4 018010'!C63+'7.5 finansz műveletek 018030'!C63+'7.7 közütak működtetés 045160'!C63+'7.8 parkoló 045170'!C63+'7.9 kábeltv 046020'!C63+'7.10 piac 047120'!C63+'7.11 tdm tám047320'!C63+'7.12 szemét 051030'!C63+'7.13 szennyvíz 052080'!C63+'7.14 víz 063080'!C63+'7.15 közvil 064010'!C63+'7.16 zöldterület 066010'!C63+'7.17 város 066020'!C63+'7.18 háziorvos 072111'!C63+'7.19 ügyelet 072112'!C63+'7.20 fülészet 072210'!C63+'7.21 védőnők 074031'!C63+'7.22 isk eü 074032'!C63+'7.23 sportcsépület 081030'!C63+'7.24 sport tám 081041'!C63+'7.25 diáksport 081043'!C63+'7.26 közműv 082091'!C63+'7.27 közműv 082092'!C63+'7.28  óvoda 091140'!C63+'7.29 intézmkiv gyétk 104037'!C63+'7.30 szoc étk 107051'!C63+'7.31 segélyek 107060'!C63+'7.32 adóbev 900020'!C63+'7.33 pályázatok összesen'!C63+'7.6 út építés 045127'!C63</f>
        <v>7695000</v>
      </c>
      <c r="D63" s="246">
        <f>'7.1. igazg 011130'!D63+'7.2 temető 013320'!D63+'7.3. vagyon 013350'!D63+'7.4 018010'!D63+'7.5 finansz műveletek 018030'!D63+'7.7 közütak működtetés 045160'!D63+'7.8 parkoló 045170'!D63+'7.9 kábeltv 046020'!D63+'7.10 piac 047120'!D63+'7.11 tdm tám047320'!D63+'7.12 szemét 051030'!D63+'7.13 szennyvíz 052080'!D63+'7.14 víz 063080'!D63+'7.15 közvil 064010'!D63+'7.16 zöldterület 066010'!D63+'7.17 város 066020'!D63+'7.18 háziorvos 072111'!D63+'7.19 ügyelet 072112'!D63+'7.20 fülészet 072210'!D63+'7.21 védőnők 074031'!D63+'7.22 isk eü 074032'!D63+'7.23 sportcsépület 081030'!D63+'7.24 sport tám 081041'!D63+'7.25 diáksport 081043'!D63+'7.26 közműv 082091'!D63+'7.27 közműv 082092'!D63+'7.28  óvoda 091140'!D63+'7.29 intézmkiv gyétk 104037'!D63+'7.30 szoc étk 107051'!D63+'7.31 segélyek 107060'!D63+'7.32 adóbev 900020'!D63+'7.33 pályázatok összesen'!D63+'7.6 út építés 045127'!D63</f>
        <v>0</v>
      </c>
      <c r="E63" s="247">
        <f t="shared" si="0"/>
        <v>7695000</v>
      </c>
      <c r="F63" s="246">
        <f>'7.1. igazg 011130'!F63+'7.2 temető 013320'!F63+'7.3. vagyon 013350'!F63+'7.4 018010'!F63+'7.5 finansz műveletek 018030'!F63+'7.7 közütak működtetés 045160'!F63+'7.8 parkoló 045170'!F63+'7.9 kábeltv 046020'!F63+'7.10 piac 047120'!F63+'7.11 tdm tám047320'!F63+'7.12 szemét 051030'!F63+'7.13 szennyvíz 052080'!F63+'7.14 víz 063080'!F63+'7.15 közvil 064010'!F63+'7.16 zöldterület 066010'!F63+'7.17 város 066020'!F63+'7.18 háziorvos 072111'!F63+'7.19 ügyelet 072112'!F63+'7.20 fülészet 072210'!F63+'7.21 védőnők 074031'!F63+'7.22 isk eü 074032'!F63+'7.23 sportcsépület 081030'!F63+'7.24 sport tám 081041'!F63+'7.25 diáksport 081043'!F63+'7.26 közműv 082091'!F63+'7.27 közműv 082092'!F63+'7.28  óvoda 091140'!F63+'7.29 intézmkiv gyétk 104037'!F63+'7.30 szoc étk 107051'!F63+'7.31 segélyek 107060'!F63+'7.32 adóbev 900020'!F63+'7.33 pályázatok összesen'!F63+'7.6 út építés 045127'!F63</f>
        <v>8626400</v>
      </c>
      <c r="G63" s="246">
        <f>'7.1. igazg 011130'!G63+'7.2 temető 013320'!G63+'7.3. vagyon 013350'!G63+'7.4 018010'!G63+'7.5 finansz műveletek 018030'!G63+'7.7 közütak működtetés 045160'!G63+'7.8 parkoló 045170'!G63+'7.9 kábeltv 046020'!G63+'7.10 piac 047120'!G63+'7.11 tdm tám047320'!G63+'7.12 szemét 051030'!G63+'7.13 szennyvíz 052080'!G63+'7.14 víz 063080'!G63+'7.15 közvil 064010'!G63+'7.16 zöldterület 066010'!G63+'7.17 város 066020'!G63+'7.18 háziorvos 072111'!G63+'7.19 ügyelet 072112'!G63+'7.20 fülészet 072210'!G63+'7.21 védőnők 074031'!G63+'7.22 isk eü 074032'!G63+'7.23 sportcsépület 081030'!G63+'7.24 sport tám 081041'!G63+'7.25 diáksport 081043'!G63+'7.26 közműv 082091'!G63+'7.27 közműv 082092'!G63+'7.28  óvoda 091140'!G63+'7.29 intézmkiv gyétk 104037'!G63+'7.30 szoc étk 107051'!G63+'7.31 segélyek 107060'!G63+'7.32 adóbev 900020'!G63+'7.33 pályázatok összesen'!G63+'7.6 út építés 045127'!G63</f>
        <v>0</v>
      </c>
      <c r="H63" s="247">
        <f t="shared" si="1"/>
        <v>8626400</v>
      </c>
      <c r="I63" s="246">
        <f ca="1">'7.1. igazg 011130'!I63+'7.2 temető 013320'!I63+'7.3. vagyon 013350'!I63+'7.4 018010'!I63+'7.5 finansz műveletek 018030'!I63+'7.7 közütak működtetés 045160'!I63+'7.8 parkoló 045170'!I63+'7.9 kábeltv 046020'!I63+'7.10 piac 047120'!I63+'7.11 tdm tám047320'!I63+'7.12 szemét 051030'!I63+'7.13 szennyvíz 052080'!I63+'7.14 víz 063080'!I63+'7.15 közvil 064010'!I63+'7.16 zöldterület 066010'!I63+'7.17 város 066020'!I63+'7.18 háziorvos 072111'!I63+'7.19 ügyelet 072112'!I63+'7.20 fülészet 072210'!I63+'7.21 védőnők 074031'!I63+'7.22 isk eü 074032'!I63+'7.23 sportcsépület 081030'!I63+'7.24 sport tám 081041'!I63+'7.25 diáksport 081043'!I63+'7.26 közműv 082091'!I63+'7.27 közműv 082092'!I63+'7.28  óvoda 091140'!I63+'7.29 intézmkiv gyétk 104037'!I63+'7.30 szoc étk 107051'!I63+'7.31 segélyek 107060'!I63+'7.32 adóbev 900020'!I63+'7.33 pályázatok összesen'!I63+'7.6 út építés 045127'!I63</f>
        <v>8626400</v>
      </c>
      <c r="J63" s="246">
        <f>'7.1. igazg 011130'!J63+'7.2 temető 013320'!J63+'7.3. vagyon 013350'!J63+'7.4 018010'!J63+'7.5 finansz műveletek 018030'!J63+'7.7 közütak működtetés 045160'!J63+'7.8 parkoló 045170'!J63+'7.9 kábeltv 046020'!J63+'7.10 piac 047120'!J63+'7.11 tdm tám047320'!J63+'7.12 szemét 051030'!J63+'7.13 szennyvíz 052080'!J63+'7.14 víz 063080'!J63+'7.15 közvil 064010'!J63+'7.16 zöldterület 066010'!J63+'7.17 város 066020'!J63+'7.18 háziorvos 072111'!J63+'7.19 ügyelet 072112'!J63+'7.20 fülészet 072210'!J63+'7.21 védőnők 074031'!J63+'7.22 isk eü 074032'!J63+'7.23 sportcsépület 081030'!J63+'7.24 sport tám 081041'!J63+'7.25 diáksport 081043'!J63+'7.26 közműv 082091'!J63+'7.27 közműv 082092'!J63+'7.28  óvoda 091140'!J63+'7.29 intézmkiv gyétk 104037'!J63+'7.30 szoc étk 107051'!J63+'7.31 segélyek 107060'!J63+'7.32 adóbev 900020'!J63+'7.33 pályázatok összesen'!J63+'7.6 út építés 045127'!J63</f>
        <v>0</v>
      </c>
      <c r="K63" s="247">
        <f t="shared" ca="1" si="2"/>
        <v>8626400</v>
      </c>
      <c r="L63" s="246">
        <f ca="1">'7.1. igazg 011130'!L63+'7.2 temető 013320'!L63+'7.3. vagyon 013350'!L63+'7.4 018010'!L63+'7.5 finansz műveletek 018030'!L63+'7.7 közütak működtetés 045160'!L63+'7.8 parkoló 045170'!L63+'7.9 kábeltv 046020'!L63+'7.10 piac 047120'!L63+'7.11 tdm tám047320'!L63+'7.12 szemét 051030'!L63+'7.13 szennyvíz 052080'!L63+'7.14 víz 063080'!L63+'7.15 közvil 064010'!L63+'7.16 zöldterület 066010'!L63+'7.17 város 066020'!L63+'7.18 háziorvos 072111'!L63+'7.19 ügyelet 072112'!L63+'7.20 fülészet 072210'!L63+'7.21 védőnők 074031'!L63+'7.22 isk eü 074032'!L63+'7.23 sportcsépület 081030'!L63+'7.24 sport tám 081041'!L63+'7.25 diáksport 081043'!L63+'7.26 közműv 082091'!L63+'7.27 közműv 082092'!L63+'7.28  óvoda 091140'!L63+'7.29 intézmkiv gyétk 104037'!L63+'7.30 szoc étk 107051'!L63+'7.31 segélyek 107060'!L63+'7.32 adóbev 900020'!L63+'7.33 pályázatok összesen'!L63+'7.6 út építés 045127'!L63</f>
        <v>8626400</v>
      </c>
      <c r="M63" s="246">
        <f>'7.1. igazg 011130'!M63+'7.2 temető 013320'!M63+'7.3. vagyon 013350'!M63+'7.4 018010'!M63+'7.5 finansz műveletek 018030'!M63+'7.7 közütak működtetés 045160'!M63+'7.8 parkoló 045170'!M63+'7.9 kábeltv 046020'!M63+'7.10 piac 047120'!M63+'7.11 tdm tám047320'!M63+'7.12 szemét 051030'!M63+'7.13 szennyvíz 052080'!M63+'7.14 víz 063080'!M63+'7.15 közvil 064010'!M63+'7.16 zöldterület 066010'!M63+'7.17 város 066020'!M63+'7.18 háziorvos 072111'!M63+'7.19 ügyelet 072112'!M63+'7.20 fülészet 072210'!M63+'7.21 védőnők 074031'!M63+'7.22 isk eü 074032'!M63+'7.23 sportcsépület 081030'!M63+'7.24 sport tám 081041'!M63+'7.25 diáksport 081043'!M63+'7.26 közműv 082091'!M63+'7.27 közműv 082092'!M63+'7.28  óvoda 091140'!M63+'7.29 intézmkiv gyétk 104037'!M63+'7.30 szoc étk 107051'!M63+'7.31 segélyek 107060'!M63+'7.32 adóbev 900020'!M63+'7.33 pályázatok összesen'!M63+'7.6 út építés 045127'!M63</f>
        <v>0</v>
      </c>
      <c r="N63" s="247">
        <f t="shared" ca="1" si="3"/>
        <v>8626400</v>
      </c>
    </row>
    <row r="64" spans="1:14" x14ac:dyDescent="0.25">
      <c r="A64" s="53" t="s">
        <v>126</v>
      </c>
      <c r="B64" s="62" t="s">
        <v>127</v>
      </c>
      <c r="C64" s="246">
        <f>'7.1. igazg 011130'!C64+'7.2 temető 013320'!C64+'7.3. vagyon 013350'!C64+'7.4 018010'!C64+'7.5 finansz műveletek 018030'!C64+'7.7 közütak működtetés 045160'!C64+'7.8 parkoló 045170'!C64+'7.9 kábeltv 046020'!C64+'7.10 piac 047120'!C64+'7.11 tdm tám047320'!C64+'7.12 szemét 051030'!C64+'7.13 szennyvíz 052080'!C64+'7.14 víz 063080'!C64+'7.15 közvil 064010'!C64+'7.16 zöldterület 066010'!C64+'7.17 város 066020'!C64+'7.18 háziorvos 072111'!C64+'7.19 ügyelet 072112'!C64+'7.20 fülészet 072210'!C64+'7.21 védőnők 074031'!C64+'7.22 isk eü 074032'!C64+'7.23 sportcsépület 081030'!C64+'7.24 sport tám 081041'!C64+'7.25 diáksport 081043'!C64+'7.26 közműv 082091'!C64+'7.27 közműv 082092'!C64+'7.28  óvoda 091140'!C64+'7.29 intézmkiv gyétk 104037'!C64+'7.30 szoc étk 107051'!C64+'7.31 segélyek 107060'!C64+'7.32 adóbev 900020'!C64+'7.33 pályázatok összesen'!C64+'7.6 út építés 045127'!C64</f>
        <v>0</v>
      </c>
      <c r="D64" s="246">
        <f>'7.1. igazg 011130'!D64+'7.2 temető 013320'!D64+'7.3. vagyon 013350'!D64+'7.4 018010'!D64+'7.5 finansz műveletek 018030'!D64+'7.7 közütak működtetés 045160'!D64+'7.8 parkoló 045170'!D64+'7.9 kábeltv 046020'!D64+'7.10 piac 047120'!D64+'7.11 tdm tám047320'!D64+'7.12 szemét 051030'!D64+'7.13 szennyvíz 052080'!D64+'7.14 víz 063080'!D64+'7.15 közvil 064010'!D64+'7.16 zöldterület 066010'!D64+'7.17 város 066020'!D64+'7.18 háziorvos 072111'!D64+'7.19 ügyelet 072112'!D64+'7.20 fülészet 072210'!D64+'7.21 védőnők 074031'!D64+'7.22 isk eü 074032'!D64+'7.23 sportcsépület 081030'!D64+'7.24 sport tám 081041'!D64+'7.25 diáksport 081043'!D64+'7.26 közműv 082091'!D64+'7.27 közműv 082092'!D64+'7.28  óvoda 091140'!D64+'7.29 intézmkiv gyétk 104037'!D64+'7.30 szoc étk 107051'!D64+'7.31 segélyek 107060'!D64+'7.32 adóbev 900020'!D64+'7.33 pályázatok összesen'!D64+'7.6 út építés 045127'!D64</f>
        <v>0</v>
      </c>
      <c r="E64" s="247">
        <f t="shared" si="0"/>
        <v>0</v>
      </c>
      <c r="F64" s="246">
        <f>'7.1. igazg 011130'!F64+'7.2 temető 013320'!F64+'7.3. vagyon 013350'!F64+'7.4 018010'!F64+'7.5 finansz műveletek 018030'!F64+'7.7 közütak működtetés 045160'!F64+'7.8 parkoló 045170'!F64+'7.9 kábeltv 046020'!F64+'7.10 piac 047120'!F64+'7.11 tdm tám047320'!F64+'7.12 szemét 051030'!F64+'7.13 szennyvíz 052080'!F64+'7.14 víz 063080'!F64+'7.15 közvil 064010'!F64+'7.16 zöldterület 066010'!F64+'7.17 város 066020'!F64+'7.18 háziorvos 072111'!F64+'7.19 ügyelet 072112'!F64+'7.20 fülészet 072210'!F64+'7.21 védőnők 074031'!F64+'7.22 isk eü 074032'!F64+'7.23 sportcsépület 081030'!F64+'7.24 sport tám 081041'!F64+'7.25 diáksport 081043'!F64+'7.26 közműv 082091'!F64+'7.27 közműv 082092'!F64+'7.28  óvoda 091140'!F64+'7.29 intézmkiv gyétk 104037'!F64+'7.30 szoc étk 107051'!F64+'7.31 segélyek 107060'!F64+'7.32 adóbev 900020'!F64+'7.33 pályázatok összesen'!F64+'7.6 út építés 045127'!F64</f>
        <v>672426</v>
      </c>
      <c r="G64" s="246">
        <f>'7.1. igazg 011130'!G64+'7.2 temető 013320'!G64+'7.3. vagyon 013350'!G64+'7.4 018010'!G64+'7.5 finansz műveletek 018030'!G64+'7.7 közütak működtetés 045160'!G64+'7.8 parkoló 045170'!G64+'7.9 kábeltv 046020'!G64+'7.10 piac 047120'!G64+'7.11 tdm tám047320'!G64+'7.12 szemét 051030'!G64+'7.13 szennyvíz 052080'!G64+'7.14 víz 063080'!G64+'7.15 közvil 064010'!G64+'7.16 zöldterület 066010'!G64+'7.17 város 066020'!G64+'7.18 háziorvos 072111'!G64+'7.19 ügyelet 072112'!G64+'7.20 fülészet 072210'!G64+'7.21 védőnők 074031'!G64+'7.22 isk eü 074032'!G64+'7.23 sportcsépület 081030'!G64+'7.24 sport tám 081041'!G64+'7.25 diáksport 081043'!G64+'7.26 közműv 082091'!G64+'7.27 közműv 082092'!G64+'7.28  óvoda 091140'!G64+'7.29 intézmkiv gyétk 104037'!G64+'7.30 szoc étk 107051'!G64+'7.31 segélyek 107060'!G64+'7.32 adóbev 900020'!G64+'7.33 pályázatok összesen'!G64+'7.6 út építés 045127'!G64</f>
        <v>0</v>
      </c>
      <c r="H64" s="247">
        <f t="shared" si="1"/>
        <v>672426</v>
      </c>
      <c r="I64" s="246">
        <f ca="1">'7.1. igazg 011130'!I64+'7.2 temető 013320'!I64+'7.3. vagyon 013350'!I64+'7.4 018010'!I64+'7.5 finansz műveletek 018030'!I64+'7.7 közütak működtetés 045160'!I64+'7.8 parkoló 045170'!I64+'7.9 kábeltv 046020'!I64+'7.10 piac 047120'!I64+'7.11 tdm tám047320'!I64+'7.12 szemét 051030'!I64+'7.13 szennyvíz 052080'!I64+'7.14 víz 063080'!I64+'7.15 közvil 064010'!I64+'7.16 zöldterület 066010'!I64+'7.17 város 066020'!I64+'7.18 háziorvos 072111'!I64+'7.19 ügyelet 072112'!I64+'7.20 fülészet 072210'!I64+'7.21 védőnők 074031'!I64+'7.22 isk eü 074032'!I64+'7.23 sportcsépület 081030'!I64+'7.24 sport tám 081041'!I64+'7.25 diáksport 081043'!I64+'7.26 közműv 082091'!I64+'7.27 közműv 082092'!I64+'7.28  óvoda 091140'!I64+'7.29 intézmkiv gyétk 104037'!I64+'7.30 szoc étk 107051'!I64+'7.31 segélyek 107060'!I64+'7.32 adóbev 900020'!I64+'7.33 pályázatok összesen'!I64+'7.6 út építés 045127'!I64</f>
        <v>672426</v>
      </c>
      <c r="J64" s="246">
        <f>'7.1. igazg 011130'!J64+'7.2 temető 013320'!J64+'7.3. vagyon 013350'!J64+'7.4 018010'!J64+'7.5 finansz műveletek 018030'!J64+'7.7 közütak működtetés 045160'!J64+'7.8 parkoló 045170'!J64+'7.9 kábeltv 046020'!J64+'7.10 piac 047120'!J64+'7.11 tdm tám047320'!J64+'7.12 szemét 051030'!J64+'7.13 szennyvíz 052080'!J64+'7.14 víz 063080'!J64+'7.15 közvil 064010'!J64+'7.16 zöldterület 066010'!J64+'7.17 város 066020'!J64+'7.18 háziorvos 072111'!J64+'7.19 ügyelet 072112'!J64+'7.20 fülészet 072210'!J64+'7.21 védőnők 074031'!J64+'7.22 isk eü 074032'!J64+'7.23 sportcsépület 081030'!J64+'7.24 sport tám 081041'!J64+'7.25 diáksport 081043'!J64+'7.26 közműv 082091'!J64+'7.27 közműv 082092'!J64+'7.28  óvoda 091140'!J64+'7.29 intézmkiv gyétk 104037'!J64+'7.30 szoc étk 107051'!J64+'7.31 segélyek 107060'!J64+'7.32 adóbev 900020'!J64+'7.33 pályázatok összesen'!J64+'7.6 út építés 045127'!J64</f>
        <v>0</v>
      </c>
      <c r="K64" s="247">
        <f t="shared" ca="1" si="2"/>
        <v>672426</v>
      </c>
      <c r="L64" s="246">
        <f ca="1">'7.1. igazg 011130'!L64+'7.2 temető 013320'!L64+'7.3. vagyon 013350'!L64+'7.4 018010'!L64+'7.5 finansz műveletek 018030'!L64+'7.7 közütak működtetés 045160'!L64+'7.8 parkoló 045170'!L64+'7.9 kábeltv 046020'!L64+'7.10 piac 047120'!L64+'7.11 tdm tám047320'!L64+'7.12 szemét 051030'!L64+'7.13 szennyvíz 052080'!L64+'7.14 víz 063080'!L64+'7.15 közvil 064010'!L64+'7.16 zöldterület 066010'!L64+'7.17 város 066020'!L64+'7.18 háziorvos 072111'!L64+'7.19 ügyelet 072112'!L64+'7.20 fülészet 072210'!L64+'7.21 védőnők 074031'!L64+'7.22 isk eü 074032'!L64+'7.23 sportcsépület 081030'!L64+'7.24 sport tám 081041'!L64+'7.25 diáksport 081043'!L64+'7.26 közműv 082091'!L64+'7.27 közműv 082092'!L64+'7.28  óvoda 091140'!L64+'7.29 intézmkiv gyétk 104037'!L64+'7.30 szoc étk 107051'!L64+'7.31 segélyek 107060'!L64+'7.32 adóbev 900020'!L64+'7.33 pályázatok összesen'!L64+'7.6 út építés 045127'!L64</f>
        <v>672426</v>
      </c>
      <c r="M64" s="246">
        <f>'7.1. igazg 011130'!M64+'7.2 temető 013320'!M64+'7.3. vagyon 013350'!M64+'7.4 018010'!M64+'7.5 finansz műveletek 018030'!M64+'7.7 közütak működtetés 045160'!M64+'7.8 parkoló 045170'!M64+'7.9 kábeltv 046020'!M64+'7.10 piac 047120'!M64+'7.11 tdm tám047320'!M64+'7.12 szemét 051030'!M64+'7.13 szennyvíz 052080'!M64+'7.14 víz 063080'!M64+'7.15 közvil 064010'!M64+'7.16 zöldterület 066010'!M64+'7.17 város 066020'!M64+'7.18 háziorvos 072111'!M64+'7.19 ügyelet 072112'!M64+'7.20 fülészet 072210'!M64+'7.21 védőnők 074031'!M64+'7.22 isk eü 074032'!M64+'7.23 sportcsépület 081030'!M64+'7.24 sport tám 081041'!M64+'7.25 diáksport 081043'!M64+'7.26 közműv 082091'!M64+'7.27 közműv 082092'!M64+'7.28  óvoda 091140'!M64+'7.29 intézmkiv gyétk 104037'!M64+'7.30 szoc étk 107051'!M64+'7.31 segélyek 107060'!M64+'7.32 adóbev 900020'!M64+'7.33 pályázatok összesen'!M64+'7.6 út építés 045127'!M64</f>
        <v>0</v>
      </c>
      <c r="N64" s="247">
        <f t="shared" ca="1" si="3"/>
        <v>672426</v>
      </c>
    </row>
    <row r="65" spans="1:18" x14ac:dyDescent="0.25">
      <c r="A65" s="53" t="s">
        <v>128</v>
      </c>
      <c r="B65" s="62" t="s">
        <v>129</v>
      </c>
      <c r="C65" s="246">
        <f>'7.1. igazg 011130'!C65+'7.2 temető 013320'!C65+'7.3. vagyon 013350'!C65+'7.4 018010'!C65+'7.5 finansz műveletek 018030'!C65+'7.7 közütak működtetés 045160'!C65+'7.8 parkoló 045170'!C65+'7.9 kábeltv 046020'!C65+'7.10 piac 047120'!C65+'7.11 tdm tám047320'!C65+'7.12 szemét 051030'!C65+'7.13 szennyvíz 052080'!C65+'7.14 víz 063080'!C65+'7.15 közvil 064010'!C65+'7.16 zöldterület 066010'!C65+'7.17 város 066020'!C65+'7.18 háziorvos 072111'!C65+'7.19 ügyelet 072112'!C65+'7.20 fülészet 072210'!C65+'7.21 védőnők 074031'!C65+'7.22 isk eü 074032'!C65+'7.23 sportcsépület 081030'!C65+'7.24 sport tám 081041'!C65+'7.25 diáksport 081043'!C65+'7.26 közműv 082091'!C65+'7.27 közműv 082092'!C65+'7.28  óvoda 091140'!C65+'7.29 intézmkiv gyétk 104037'!C65+'7.30 szoc étk 107051'!C65+'7.31 segélyek 107060'!C65+'7.32 adóbev 900020'!C65+'7.33 pályázatok összesen'!C65+'7.6 út építés 045127'!C65</f>
        <v>0</v>
      </c>
      <c r="D65" s="246">
        <f>'7.1. igazg 011130'!D65+'7.2 temető 013320'!D65+'7.3. vagyon 013350'!D65+'7.4 018010'!D65+'7.5 finansz műveletek 018030'!D65+'7.7 közütak működtetés 045160'!D65+'7.8 parkoló 045170'!D65+'7.9 kábeltv 046020'!D65+'7.10 piac 047120'!D65+'7.11 tdm tám047320'!D65+'7.12 szemét 051030'!D65+'7.13 szennyvíz 052080'!D65+'7.14 víz 063080'!D65+'7.15 közvil 064010'!D65+'7.16 zöldterület 066010'!D65+'7.17 város 066020'!D65+'7.18 háziorvos 072111'!D65+'7.19 ügyelet 072112'!D65+'7.20 fülészet 072210'!D65+'7.21 védőnők 074031'!D65+'7.22 isk eü 074032'!D65+'7.23 sportcsépület 081030'!D65+'7.24 sport tám 081041'!D65+'7.25 diáksport 081043'!D65+'7.26 közműv 082091'!D65+'7.27 közműv 082092'!D65+'7.28  óvoda 091140'!D65+'7.29 intézmkiv gyétk 104037'!D65+'7.30 szoc étk 107051'!D65+'7.31 segélyek 107060'!D65+'7.32 adóbev 900020'!D65+'7.33 pályázatok összesen'!D65+'7.6 út építés 045127'!D65</f>
        <v>0</v>
      </c>
      <c r="E65" s="247">
        <f t="shared" si="0"/>
        <v>0</v>
      </c>
      <c r="F65" s="246">
        <f>'7.1. igazg 011130'!F65+'7.2 temető 013320'!F65+'7.3. vagyon 013350'!F65+'7.4 018010'!F65+'7.5 finansz műveletek 018030'!F65+'7.7 közütak működtetés 045160'!F65+'7.8 parkoló 045170'!F65+'7.9 kábeltv 046020'!F65+'7.10 piac 047120'!F65+'7.11 tdm tám047320'!F65+'7.12 szemét 051030'!F65+'7.13 szennyvíz 052080'!F65+'7.14 víz 063080'!F65+'7.15 közvil 064010'!F65+'7.16 zöldterület 066010'!F65+'7.17 város 066020'!F65+'7.18 háziorvos 072111'!F65+'7.19 ügyelet 072112'!F65+'7.20 fülészet 072210'!F65+'7.21 védőnők 074031'!F65+'7.22 isk eü 074032'!F65+'7.23 sportcsépület 081030'!F65+'7.24 sport tám 081041'!F65+'7.25 diáksport 081043'!F65+'7.26 közműv 082091'!F65+'7.27 közműv 082092'!F65+'7.28  óvoda 091140'!F65+'7.29 intézmkiv gyétk 104037'!F65+'7.30 szoc étk 107051'!F65+'7.31 segélyek 107060'!F65+'7.32 adóbev 900020'!F65+'7.33 pályázatok összesen'!F65+'7.6 út építés 045127'!F65</f>
        <v>0</v>
      </c>
      <c r="G65" s="246">
        <f>'7.1. igazg 011130'!G65+'7.2 temető 013320'!G65+'7.3. vagyon 013350'!G65+'7.4 018010'!G65+'7.5 finansz műveletek 018030'!G65+'7.7 közütak működtetés 045160'!G65+'7.8 parkoló 045170'!G65+'7.9 kábeltv 046020'!G65+'7.10 piac 047120'!G65+'7.11 tdm tám047320'!G65+'7.12 szemét 051030'!G65+'7.13 szennyvíz 052080'!G65+'7.14 víz 063080'!G65+'7.15 közvil 064010'!G65+'7.16 zöldterület 066010'!G65+'7.17 város 066020'!G65+'7.18 háziorvos 072111'!G65+'7.19 ügyelet 072112'!G65+'7.20 fülészet 072210'!G65+'7.21 védőnők 074031'!G65+'7.22 isk eü 074032'!G65+'7.23 sportcsépület 081030'!G65+'7.24 sport tám 081041'!G65+'7.25 diáksport 081043'!G65+'7.26 közműv 082091'!G65+'7.27 közműv 082092'!G65+'7.28  óvoda 091140'!G65+'7.29 intézmkiv gyétk 104037'!G65+'7.30 szoc étk 107051'!G65+'7.31 segélyek 107060'!G65+'7.32 adóbev 900020'!G65+'7.33 pályázatok összesen'!G65+'7.6 út építés 045127'!G65</f>
        <v>0</v>
      </c>
      <c r="H65" s="247">
        <f t="shared" si="1"/>
        <v>0</v>
      </c>
      <c r="I65" s="246">
        <f ca="1">'7.1. igazg 011130'!I65+'7.2 temető 013320'!I65+'7.3. vagyon 013350'!I65+'7.4 018010'!I65+'7.5 finansz műveletek 018030'!I65+'7.7 közütak működtetés 045160'!I65+'7.8 parkoló 045170'!I65+'7.9 kábeltv 046020'!I65+'7.10 piac 047120'!I65+'7.11 tdm tám047320'!I65+'7.12 szemét 051030'!I65+'7.13 szennyvíz 052080'!I65+'7.14 víz 063080'!I65+'7.15 közvil 064010'!I65+'7.16 zöldterület 066010'!I65+'7.17 város 066020'!I65+'7.18 háziorvos 072111'!I65+'7.19 ügyelet 072112'!I65+'7.20 fülészet 072210'!I65+'7.21 védőnők 074031'!I65+'7.22 isk eü 074032'!I65+'7.23 sportcsépület 081030'!I65+'7.24 sport tám 081041'!I65+'7.25 diáksport 081043'!I65+'7.26 közműv 082091'!I65+'7.27 közműv 082092'!I65+'7.28  óvoda 091140'!I65+'7.29 intézmkiv gyétk 104037'!I65+'7.30 szoc étk 107051'!I65+'7.31 segélyek 107060'!I65+'7.32 adóbev 900020'!I65+'7.33 pályázatok összesen'!I65+'7.6 út építés 045127'!I65</f>
        <v>0</v>
      </c>
      <c r="J65" s="246">
        <f>'7.1. igazg 011130'!J65+'7.2 temető 013320'!J65+'7.3. vagyon 013350'!J65+'7.4 018010'!J65+'7.5 finansz műveletek 018030'!J65+'7.7 közütak működtetés 045160'!J65+'7.8 parkoló 045170'!J65+'7.9 kábeltv 046020'!J65+'7.10 piac 047120'!J65+'7.11 tdm tám047320'!J65+'7.12 szemét 051030'!J65+'7.13 szennyvíz 052080'!J65+'7.14 víz 063080'!J65+'7.15 közvil 064010'!J65+'7.16 zöldterület 066010'!J65+'7.17 város 066020'!J65+'7.18 háziorvos 072111'!J65+'7.19 ügyelet 072112'!J65+'7.20 fülészet 072210'!J65+'7.21 védőnők 074031'!J65+'7.22 isk eü 074032'!J65+'7.23 sportcsépület 081030'!J65+'7.24 sport tám 081041'!J65+'7.25 diáksport 081043'!J65+'7.26 közműv 082091'!J65+'7.27 közműv 082092'!J65+'7.28  óvoda 091140'!J65+'7.29 intézmkiv gyétk 104037'!J65+'7.30 szoc étk 107051'!J65+'7.31 segélyek 107060'!J65+'7.32 adóbev 900020'!J65+'7.33 pályázatok összesen'!J65+'7.6 út építés 045127'!J65</f>
        <v>0</v>
      </c>
      <c r="K65" s="247">
        <f t="shared" ca="1" si="2"/>
        <v>0</v>
      </c>
      <c r="L65" s="246">
        <f ca="1">'7.1. igazg 011130'!L65+'7.2 temető 013320'!L65+'7.3. vagyon 013350'!L65+'7.4 018010'!L65+'7.5 finansz műveletek 018030'!L65+'7.7 közütak működtetés 045160'!L65+'7.8 parkoló 045170'!L65+'7.9 kábeltv 046020'!L65+'7.10 piac 047120'!L65+'7.11 tdm tám047320'!L65+'7.12 szemét 051030'!L65+'7.13 szennyvíz 052080'!L65+'7.14 víz 063080'!L65+'7.15 közvil 064010'!L65+'7.16 zöldterület 066010'!L65+'7.17 város 066020'!L65+'7.18 háziorvos 072111'!L65+'7.19 ügyelet 072112'!L65+'7.20 fülészet 072210'!L65+'7.21 védőnők 074031'!L65+'7.22 isk eü 074032'!L65+'7.23 sportcsépület 081030'!L65+'7.24 sport tám 081041'!L65+'7.25 diáksport 081043'!L65+'7.26 közműv 082091'!L65+'7.27 közműv 082092'!L65+'7.28  óvoda 091140'!L65+'7.29 intézmkiv gyétk 104037'!L65+'7.30 szoc étk 107051'!L65+'7.31 segélyek 107060'!L65+'7.32 adóbev 900020'!L65+'7.33 pályázatok összesen'!L65+'7.6 út építés 045127'!L65</f>
        <v>0</v>
      </c>
      <c r="M65" s="246">
        <f>'7.1. igazg 011130'!M65+'7.2 temető 013320'!M65+'7.3. vagyon 013350'!M65+'7.4 018010'!M65+'7.5 finansz műveletek 018030'!M65+'7.7 közütak működtetés 045160'!M65+'7.8 parkoló 045170'!M65+'7.9 kábeltv 046020'!M65+'7.10 piac 047120'!M65+'7.11 tdm tám047320'!M65+'7.12 szemét 051030'!M65+'7.13 szennyvíz 052080'!M65+'7.14 víz 063080'!M65+'7.15 közvil 064010'!M65+'7.16 zöldterület 066010'!M65+'7.17 város 066020'!M65+'7.18 háziorvos 072111'!M65+'7.19 ügyelet 072112'!M65+'7.20 fülészet 072210'!M65+'7.21 védőnők 074031'!M65+'7.22 isk eü 074032'!M65+'7.23 sportcsépület 081030'!M65+'7.24 sport tám 081041'!M65+'7.25 diáksport 081043'!M65+'7.26 közműv 082091'!M65+'7.27 közműv 082092'!M65+'7.28  óvoda 091140'!M65+'7.29 intézmkiv gyétk 104037'!M65+'7.30 szoc étk 107051'!M65+'7.31 segélyek 107060'!M65+'7.32 adóbev 900020'!M65+'7.33 pályázatok összesen'!M65+'7.6 út építés 045127'!M65</f>
        <v>0</v>
      </c>
      <c r="N65" s="247">
        <f t="shared" ca="1" si="3"/>
        <v>0</v>
      </c>
    </row>
    <row r="66" spans="1:18" ht="15.75" thickBot="1" x14ac:dyDescent="0.3">
      <c r="A66" s="55" t="s">
        <v>130</v>
      </c>
      <c r="B66" s="64" t="s">
        <v>131</v>
      </c>
      <c r="C66" s="248">
        <f>'7.1. igazg 011130'!C66+'7.2 temető 013320'!C66+'7.3. vagyon 013350'!C66+'7.4 018010'!C66+'7.5 finansz műveletek 018030'!C66+'7.7 közütak működtetés 045160'!C66+'7.8 parkoló 045170'!C66+'7.9 kábeltv 046020'!C66+'7.10 piac 047120'!C66+'7.11 tdm tám047320'!C66+'7.12 szemét 051030'!C66+'7.13 szennyvíz 052080'!C66+'7.14 víz 063080'!C66+'7.15 közvil 064010'!C66+'7.16 zöldterület 066010'!C66+'7.17 város 066020'!C66+'7.18 háziorvos 072111'!C66+'7.19 ügyelet 072112'!C66+'7.20 fülészet 072210'!C66+'7.21 védőnők 074031'!C66+'7.22 isk eü 074032'!C66+'7.23 sportcsépület 081030'!C66+'7.24 sport tám 081041'!C66+'7.25 diáksport 081043'!C66+'7.26 közműv 082091'!C66+'7.27 közműv 082092'!C66+'7.28  óvoda 091140'!C66+'7.29 intézmkiv gyétk 104037'!C66+'7.30 szoc étk 107051'!C66+'7.31 segélyek 107060'!C66+'7.32 adóbev 900020'!C66+'7.33 pályázatok összesen'!C66+'7.6 út építés 045127'!C66</f>
        <v>0</v>
      </c>
      <c r="D66" s="248">
        <f>'7.1. igazg 011130'!D66+'7.2 temető 013320'!D66+'7.3. vagyon 013350'!D66+'7.4 018010'!D66+'7.5 finansz műveletek 018030'!D66+'7.7 közütak működtetés 045160'!D66+'7.8 parkoló 045170'!D66+'7.9 kábeltv 046020'!D66+'7.10 piac 047120'!D66+'7.11 tdm tám047320'!D66+'7.12 szemét 051030'!D66+'7.13 szennyvíz 052080'!D66+'7.14 víz 063080'!D66+'7.15 közvil 064010'!D66+'7.16 zöldterület 066010'!D66+'7.17 város 066020'!D66+'7.18 háziorvos 072111'!D66+'7.19 ügyelet 072112'!D66+'7.20 fülészet 072210'!D66+'7.21 védőnők 074031'!D66+'7.22 isk eü 074032'!D66+'7.23 sportcsépület 081030'!D66+'7.24 sport tám 081041'!D66+'7.25 diáksport 081043'!D66+'7.26 közműv 082091'!D66+'7.27 közműv 082092'!D66+'7.28  óvoda 091140'!D66+'7.29 intézmkiv gyétk 104037'!D66+'7.30 szoc étk 107051'!D66+'7.31 segélyek 107060'!D66+'7.32 adóbev 900020'!D66+'7.33 pályázatok összesen'!D66+'7.6 út építés 045127'!D66</f>
        <v>0</v>
      </c>
      <c r="E66" s="249">
        <f t="shared" si="0"/>
        <v>0</v>
      </c>
      <c r="F66" s="248">
        <f>'7.1. igazg 011130'!F66+'7.2 temető 013320'!F66+'7.3. vagyon 013350'!F66+'7.4 018010'!F66+'7.5 finansz műveletek 018030'!F66+'7.7 közütak működtetés 045160'!F66+'7.8 parkoló 045170'!F66+'7.9 kábeltv 046020'!F66+'7.10 piac 047120'!F66+'7.11 tdm tám047320'!F66+'7.12 szemét 051030'!F66+'7.13 szennyvíz 052080'!F66+'7.14 víz 063080'!F66+'7.15 közvil 064010'!F66+'7.16 zöldterület 066010'!F66+'7.17 város 066020'!F66+'7.18 háziorvos 072111'!F66+'7.19 ügyelet 072112'!F66+'7.20 fülészet 072210'!F66+'7.21 védőnők 074031'!F66+'7.22 isk eü 074032'!F66+'7.23 sportcsépület 081030'!F66+'7.24 sport tám 081041'!F66+'7.25 diáksport 081043'!F66+'7.26 közműv 082091'!F66+'7.27 közműv 082092'!F66+'7.28  óvoda 091140'!F66+'7.29 intézmkiv gyétk 104037'!F66+'7.30 szoc étk 107051'!F66+'7.31 segélyek 107060'!F66+'7.32 adóbev 900020'!F66+'7.33 pályázatok összesen'!F66+'7.6 út építés 045127'!F66</f>
        <v>0</v>
      </c>
      <c r="G66" s="248">
        <f>'7.1. igazg 011130'!G66+'7.2 temető 013320'!G66+'7.3. vagyon 013350'!G66+'7.4 018010'!G66+'7.5 finansz műveletek 018030'!G66+'7.7 közütak működtetés 045160'!G66+'7.8 parkoló 045170'!G66+'7.9 kábeltv 046020'!G66+'7.10 piac 047120'!G66+'7.11 tdm tám047320'!G66+'7.12 szemét 051030'!G66+'7.13 szennyvíz 052080'!G66+'7.14 víz 063080'!G66+'7.15 közvil 064010'!G66+'7.16 zöldterület 066010'!G66+'7.17 város 066020'!G66+'7.18 háziorvos 072111'!G66+'7.19 ügyelet 072112'!G66+'7.20 fülészet 072210'!G66+'7.21 védőnők 074031'!G66+'7.22 isk eü 074032'!G66+'7.23 sportcsépület 081030'!G66+'7.24 sport tám 081041'!G66+'7.25 diáksport 081043'!G66+'7.26 közműv 082091'!G66+'7.27 közműv 082092'!G66+'7.28  óvoda 091140'!G66+'7.29 intézmkiv gyétk 104037'!G66+'7.30 szoc étk 107051'!G66+'7.31 segélyek 107060'!G66+'7.32 adóbev 900020'!G66+'7.33 pályázatok összesen'!G66+'7.6 út építés 045127'!G66</f>
        <v>0</v>
      </c>
      <c r="H66" s="249">
        <f t="shared" si="1"/>
        <v>0</v>
      </c>
      <c r="I66" s="248">
        <f ca="1">'7.1. igazg 011130'!I66+'7.2 temető 013320'!I66+'7.3. vagyon 013350'!I66+'7.4 018010'!I66+'7.5 finansz műveletek 018030'!I66+'7.7 közütak működtetés 045160'!I66+'7.8 parkoló 045170'!I66+'7.9 kábeltv 046020'!I66+'7.10 piac 047120'!I66+'7.11 tdm tám047320'!I66+'7.12 szemét 051030'!I66+'7.13 szennyvíz 052080'!I66+'7.14 víz 063080'!I66+'7.15 közvil 064010'!I66+'7.16 zöldterület 066010'!I66+'7.17 város 066020'!I66+'7.18 háziorvos 072111'!I66+'7.19 ügyelet 072112'!I66+'7.20 fülészet 072210'!I66+'7.21 védőnők 074031'!I66+'7.22 isk eü 074032'!I66+'7.23 sportcsépület 081030'!I66+'7.24 sport tám 081041'!I66+'7.25 diáksport 081043'!I66+'7.26 közműv 082091'!I66+'7.27 közműv 082092'!I66+'7.28  óvoda 091140'!I66+'7.29 intézmkiv gyétk 104037'!I66+'7.30 szoc étk 107051'!I66+'7.31 segélyek 107060'!I66+'7.32 adóbev 900020'!I66+'7.33 pályázatok összesen'!I66+'7.6 út építés 045127'!I66</f>
        <v>0</v>
      </c>
      <c r="J66" s="248">
        <f>'7.1. igazg 011130'!J66+'7.2 temető 013320'!J66+'7.3. vagyon 013350'!J66+'7.4 018010'!J66+'7.5 finansz műveletek 018030'!J66+'7.7 közütak működtetés 045160'!J66+'7.8 parkoló 045170'!J66+'7.9 kábeltv 046020'!J66+'7.10 piac 047120'!J66+'7.11 tdm tám047320'!J66+'7.12 szemét 051030'!J66+'7.13 szennyvíz 052080'!J66+'7.14 víz 063080'!J66+'7.15 közvil 064010'!J66+'7.16 zöldterület 066010'!J66+'7.17 város 066020'!J66+'7.18 háziorvos 072111'!J66+'7.19 ügyelet 072112'!J66+'7.20 fülészet 072210'!J66+'7.21 védőnők 074031'!J66+'7.22 isk eü 074032'!J66+'7.23 sportcsépület 081030'!J66+'7.24 sport tám 081041'!J66+'7.25 diáksport 081043'!J66+'7.26 közműv 082091'!J66+'7.27 közműv 082092'!J66+'7.28  óvoda 091140'!J66+'7.29 intézmkiv gyétk 104037'!J66+'7.30 szoc étk 107051'!J66+'7.31 segélyek 107060'!J66+'7.32 adóbev 900020'!J66+'7.33 pályázatok összesen'!J66+'7.6 út építés 045127'!J66</f>
        <v>0</v>
      </c>
      <c r="K66" s="249">
        <f t="shared" ca="1" si="2"/>
        <v>0</v>
      </c>
      <c r="L66" s="248">
        <f ca="1">'7.1. igazg 011130'!L66+'7.2 temető 013320'!L66+'7.3. vagyon 013350'!L66+'7.4 018010'!L66+'7.5 finansz műveletek 018030'!L66+'7.7 közütak működtetés 045160'!L66+'7.8 parkoló 045170'!L66+'7.9 kábeltv 046020'!L66+'7.10 piac 047120'!L66+'7.11 tdm tám047320'!L66+'7.12 szemét 051030'!L66+'7.13 szennyvíz 052080'!L66+'7.14 víz 063080'!L66+'7.15 közvil 064010'!L66+'7.16 zöldterület 066010'!L66+'7.17 város 066020'!L66+'7.18 háziorvos 072111'!L66+'7.19 ügyelet 072112'!L66+'7.20 fülészet 072210'!L66+'7.21 védőnők 074031'!L66+'7.22 isk eü 074032'!L66+'7.23 sportcsépület 081030'!L66+'7.24 sport tám 081041'!L66+'7.25 diáksport 081043'!L66+'7.26 közműv 082091'!L66+'7.27 közműv 082092'!L66+'7.28  óvoda 091140'!L66+'7.29 intézmkiv gyétk 104037'!L66+'7.30 szoc étk 107051'!L66+'7.31 segélyek 107060'!L66+'7.32 adóbev 900020'!L66+'7.33 pályázatok összesen'!L66+'7.6 út építés 045127'!L66</f>
        <v>0</v>
      </c>
      <c r="M66" s="248">
        <f>'7.1. igazg 011130'!M66+'7.2 temető 013320'!M66+'7.3. vagyon 013350'!M66+'7.4 018010'!M66+'7.5 finansz műveletek 018030'!M66+'7.7 közütak működtetés 045160'!M66+'7.8 parkoló 045170'!M66+'7.9 kábeltv 046020'!M66+'7.10 piac 047120'!M66+'7.11 tdm tám047320'!M66+'7.12 szemét 051030'!M66+'7.13 szennyvíz 052080'!M66+'7.14 víz 063080'!M66+'7.15 közvil 064010'!M66+'7.16 zöldterület 066010'!M66+'7.17 város 066020'!M66+'7.18 háziorvos 072111'!M66+'7.19 ügyelet 072112'!M66+'7.20 fülészet 072210'!M66+'7.21 védőnők 074031'!M66+'7.22 isk eü 074032'!M66+'7.23 sportcsépület 081030'!M66+'7.24 sport tám 081041'!M66+'7.25 diáksport 081043'!M66+'7.26 közműv 082091'!M66+'7.27 közműv 082092'!M66+'7.28  óvoda 091140'!M66+'7.29 intézmkiv gyétk 104037'!M66+'7.30 szoc étk 107051'!M66+'7.31 segélyek 107060'!M66+'7.32 adóbev 900020'!M66+'7.33 pályázatok összesen'!M66+'7.6 út építés 045127'!M66</f>
        <v>0</v>
      </c>
      <c r="N66" s="249">
        <f t="shared" ca="1" si="3"/>
        <v>0</v>
      </c>
    </row>
    <row r="67" spans="1:18" x14ac:dyDescent="0.25">
      <c r="A67" s="52" t="s">
        <v>132</v>
      </c>
      <c r="B67" s="48" t="s">
        <v>133</v>
      </c>
      <c r="C67" s="244">
        <f>'7.1. igazg 011130'!C67+'7.2 temető 013320'!C67+'7.3. vagyon 013350'!C67+'7.4 018010'!C67+'7.5 finansz műveletek 018030'!C67+'7.7 közütak működtetés 045160'!C67+'7.8 parkoló 045170'!C67+'7.9 kábeltv 046020'!C67+'7.10 piac 047120'!C67+'7.11 tdm tám047320'!C67+'7.12 szemét 051030'!C67+'7.13 szennyvíz 052080'!C67+'7.14 víz 063080'!C67+'7.15 közvil 064010'!C67+'7.16 zöldterület 066010'!C67+'7.17 város 066020'!C67+'7.18 háziorvos 072111'!C67+'7.19 ügyelet 072112'!C67+'7.20 fülészet 072210'!C67+'7.21 védőnők 074031'!C67+'7.22 isk eü 074032'!C67+'7.23 sportcsépület 081030'!C67+'7.24 sport tám 081041'!C67+'7.25 diáksport 081043'!C67+'7.26 közműv 082091'!C67+'7.27 közműv 082092'!C67+'7.28  óvoda 091140'!C67+'7.29 intézmkiv gyétk 104037'!C67+'7.30 szoc étk 107051'!C67+'7.31 segélyek 107060'!C67+'7.32 adóbev 900020'!C67+'7.33 pályázatok összesen'!C67+'7.6 út építés 045127'!C67</f>
        <v>0</v>
      </c>
      <c r="D67" s="244">
        <f>'7.1. igazg 011130'!D67+'7.2 temető 013320'!D67+'7.3. vagyon 013350'!D67+'7.4 018010'!D67+'7.5 finansz műveletek 018030'!D67+'7.7 közütak működtetés 045160'!D67+'7.8 parkoló 045170'!D67+'7.9 kábeltv 046020'!D67+'7.10 piac 047120'!D67+'7.11 tdm tám047320'!D67+'7.12 szemét 051030'!D67+'7.13 szennyvíz 052080'!D67+'7.14 víz 063080'!D67+'7.15 közvil 064010'!D67+'7.16 zöldterület 066010'!D67+'7.17 város 066020'!D67+'7.18 háziorvos 072111'!D67+'7.19 ügyelet 072112'!D67+'7.20 fülészet 072210'!D67+'7.21 védőnők 074031'!D67+'7.22 isk eü 074032'!D67+'7.23 sportcsépület 081030'!D67+'7.24 sport tám 081041'!D67+'7.25 diáksport 081043'!D67+'7.26 közműv 082091'!D67+'7.27 közműv 082092'!D67+'7.28  óvoda 091140'!D67+'7.29 intézmkiv gyétk 104037'!D67+'7.30 szoc étk 107051'!D67+'7.31 segélyek 107060'!D67+'7.32 adóbev 900020'!D67+'7.33 pályázatok összesen'!D67+'7.6 út építés 045127'!D67</f>
        <v>0</v>
      </c>
      <c r="E67" s="245">
        <f t="shared" si="0"/>
        <v>0</v>
      </c>
      <c r="F67" s="244">
        <f>'7.1. igazg 011130'!F67+'7.2 temető 013320'!F67+'7.3. vagyon 013350'!F67+'7.4 018010'!F67+'7.5 finansz műveletek 018030'!F67+'7.7 közütak működtetés 045160'!F67+'7.8 parkoló 045170'!F67+'7.9 kábeltv 046020'!F67+'7.10 piac 047120'!F67+'7.11 tdm tám047320'!F67+'7.12 szemét 051030'!F67+'7.13 szennyvíz 052080'!F67+'7.14 víz 063080'!F67+'7.15 közvil 064010'!F67+'7.16 zöldterület 066010'!F67+'7.17 város 066020'!F67+'7.18 háziorvos 072111'!F67+'7.19 ügyelet 072112'!F67+'7.20 fülészet 072210'!F67+'7.21 védőnők 074031'!F67+'7.22 isk eü 074032'!F67+'7.23 sportcsépület 081030'!F67+'7.24 sport tám 081041'!F67+'7.25 diáksport 081043'!F67+'7.26 közműv 082091'!F67+'7.27 közműv 082092'!F67+'7.28  óvoda 091140'!F67+'7.29 intézmkiv gyétk 104037'!F67+'7.30 szoc étk 107051'!F67+'7.31 segélyek 107060'!F67+'7.32 adóbev 900020'!F67+'7.33 pályázatok összesen'!F67+'7.6 út építés 045127'!F67</f>
        <v>0</v>
      </c>
      <c r="G67" s="244">
        <f>'7.1. igazg 011130'!G67+'7.2 temető 013320'!G67+'7.3. vagyon 013350'!G67+'7.4 018010'!G67+'7.5 finansz műveletek 018030'!G67+'7.7 közütak működtetés 045160'!G67+'7.8 parkoló 045170'!G67+'7.9 kábeltv 046020'!G67+'7.10 piac 047120'!G67+'7.11 tdm tám047320'!G67+'7.12 szemét 051030'!G67+'7.13 szennyvíz 052080'!G67+'7.14 víz 063080'!G67+'7.15 közvil 064010'!G67+'7.16 zöldterület 066010'!G67+'7.17 város 066020'!G67+'7.18 háziorvos 072111'!G67+'7.19 ügyelet 072112'!G67+'7.20 fülészet 072210'!G67+'7.21 védőnők 074031'!G67+'7.22 isk eü 074032'!G67+'7.23 sportcsépület 081030'!G67+'7.24 sport tám 081041'!G67+'7.25 diáksport 081043'!G67+'7.26 közműv 082091'!G67+'7.27 közműv 082092'!G67+'7.28  óvoda 091140'!G67+'7.29 intézmkiv gyétk 104037'!G67+'7.30 szoc étk 107051'!G67+'7.31 segélyek 107060'!G67+'7.32 adóbev 900020'!G67+'7.33 pályázatok összesen'!G67+'7.6 út építés 045127'!G67</f>
        <v>0</v>
      </c>
      <c r="H67" s="245">
        <f t="shared" si="1"/>
        <v>0</v>
      </c>
      <c r="I67" s="244">
        <f ca="1">'7.1. igazg 011130'!I67+'7.2 temető 013320'!I67+'7.3. vagyon 013350'!I67+'7.4 018010'!I67+'7.5 finansz műveletek 018030'!I67+'7.7 közütak működtetés 045160'!I67+'7.8 parkoló 045170'!I67+'7.9 kábeltv 046020'!I67+'7.10 piac 047120'!I67+'7.11 tdm tám047320'!I67+'7.12 szemét 051030'!I67+'7.13 szennyvíz 052080'!I67+'7.14 víz 063080'!I67+'7.15 közvil 064010'!I67+'7.16 zöldterület 066010'!I67+'7.17 város 066020'!I67+'7.18 háziorvos 072111'!I67+'7.19 ügyelet 072112'!I67+'7.20 fülészet 072210'!I67+'7.21 védőnők 074031'!I67+'7.22 isk eü 074032'!I67+'7.23 sportcsépület 081030'!I67+'7.24 sport tám 081041'!I67+'7.25 diáksport 081043'!I67+'7.26 közműv 082091'!I67+'7.27 közműv 082092'!I67+'7.28  óvoda 091140'!I67+'7.29 intézmkiv gyétk 104037'!I67+'7.30 szoc étk 107051'!I67+'7.31 segélyek 107060'!I67+'7.32 adóbev 900020'!I67+'7.33 pályázatok összesen'!I67+'7.6 út építés 045127'!I67</f>
        <v>0</v>
      </c>
      <c r="J67" s="244">
        <f>'7.1. igazg 011130'!J67+'7.2 temető 013320'!J67+'7.3. vagyon 013350'!J67+'7.4 018010'!J67+'7.5 finansz műveletek 018030'!J67+'7.7 közütak működtetés 045160'!J67+'7.8 parkoló 045170'!J67+'7.9 kábeltv 046020'!J67+'7.10 piac 047120'!J67+'7.11 tdm tám047320'!J67+'7.12 szemét 051030'!J67+'7.13 szennyvíz 052080'!J67+'7.14 víz 063080'!J67+'7.15 közvil 064010'!J67+'7.16 zöldterület 066010'!J67+'7.17 város 066020'!J67+'7.18 háziorvos 072111'!J67+'7.19 ügyelet 072112'!J67+'7.20 fülészet 072210'!J67+'7.21 védőnők 074031'!J67+'7.22 isk eü 074032'!J67+'7.23 sportcsépület 081030'!J67+'7.24 sport tám 081041'!J67+'7.25 diáksport 081043'!J67+'7.26 közműv 082091'!J67+'7.27 közműv 082092'!J67+'7.28  óvoda 091140'!J67+'7.29 intézmkiv gyétk 104037'!J67+'7.30 szoc étk 107051'!J67+'7.31 segélyek 107060'!J67+'7.32 adóbev 900020'!J67+'7.33 pályázatok összesen'!J67+'7.6 út építés 045127'!J67</f>
        <v>0</v>
      </c>
      <c r="K67" s="245">
        <f t="shared" ca="1" si="2"/>
        <v>0</v>
      </c>
      <c r="L67" s="244">
        <f ca="1">'7.1. igazg 011130'!L67+'7.2 temető 013320'!L67+'7.3. vagyon 013350'!L67+'7.4 018010'!L67+'7.5 finansz műveletek 018030'!L67+'7.7 közütak működtetés 045160'!L67+'7.8 parkoló 045170'!L67+'7.9 kábeltv 046020'!L67+'7.10 piac 047120'!L67+'7.11 tdm tám047320'!L67+'7.12 szemét 051030'!L67+'7.13 szennyvíz 052080'!L67+'7.14 víz 063080'!L67+'7.15 közvil 064010'!L67+'7.16 zöldterület 066010'!L67+'7.17 város 066020'!L67+'7.18 háziorvos 072111'!L67+'7.19 ügyelet 072112'!L67+'7.20 fülészet 072210'!L67+'7.21 védőnők 074031'!L67+'7.22 isk eü 074032'!L67+'7.23 sportcsépület 081030'!L67+'7.24 sport tám 081041'!L67+'7.25 diáksport 081043'!L67+'7.26 közműv 082091'!L67+'7.27 közműv 082092'!L67+'7.28  óvoda 091140'!L67+'7.29 intézmkiv gyétk 104037'!L67+'7.30 szoc étk 107051'!L67+'7.31 segélyek 107060'!L67+'7.32 adóbev 900020'!L67+'7.33 pályázatok összesen'!L67+'7.6 út építés 045127'!L67</f>
        <v>168730</v>
      </c>
      <c r="M67" s="244">
        <f>'7.1. igazg 011130'!M67+'7.2 temető 013320'!M67+'7.3. vagyon 013350'!M67+'7.4 018010'!M67+'7.5 finansz műveletek 018030'!M67+'7.7 közütak működtetés 045160'!M67+'7.8 parkoló 045170'!M67+'7.9 kábeltv 046020'!M67+'7.10 piac 047120'!M67+'7.11 tdm tám047320'!M67+'7.12 szemét 051030'!M67+'7.13 szennyvíz 052080'!M67+'7.14 víz 063080'!M67+'7.15 közvil 064010'!M67+'7.16 zöldterület 066010'!M67+'7.17 város 066020'!M67+'7.18 háziorvos 072111'!M67+'7.19 ügyelet 072112'!M67+'7.20 fülészet 072210'!M67+'7.21 védőnők 074031'!M67+'7.22 isk eü 074032'!M67+'7.23 sportcsépület 081030'!M67+'7.24 sport tám 081041'!M67+'7.25 diáksport 081043'!M67+'7.26 közműv 082091'!M67+'7.27 közműv 082092'!M67+'7.28  óvoda 091140'!M67+'7.29 intézmkiv gyétk 104037'!M67+'7.30 szoc étk 107051'!M67+'7.31 segélyek 107060'!M67+'7.32 adóbev 900020'!M67+'7.33 pályázatok összesen'!M67+'7.6 út építés 045127'!M67</f>
        <v>0</v>
      </c>
      <c r="N67" s="245">
        <f t="shared" ca="1" si="3"/>
        <v>168730</v>
      </c>
    </row>
    <row r="68" spans="1:18" x14ac:dyDescent="0.25">
      <c r="A68" s="53" t="s">
        <v>134</v>
      </c>
      <c r="B68" s="62" t="s">
        <v>135</v>
      </c>
      <c r="C68" s="246">
        <f>'7.1. igazg 011130'!C68+'7.2 temető 013320'!C68+'7.3. vagyon 013350'!C68+'7.4 018010'!C68+'7.5 finansz műveletek 018030'!C68+'7.7 közütak működtetés 045160'!C68+'7.8 parkoló 045170'!C68+'7.9 kábeltv 046020'!C68+'7.10 piac 047120'!C68+'7.11 tdm tám047320'!C68+'7.12 szemét 051030'!C68+'7.13 szennyvíz 052080'!C68+'7.14 víz 063080'!C68+'7.15 közvil 064010'!C68+'7.16 zöldterület 066010'!C68+'7.17 város 066020'!C68+'7.18 háziorvos 072111'!C68+'7.19 ügyelet 072112'!C68+'7.20 fülészet 072210'!C68+'7.21 védőnők 074031'!C68+'7.22 isk eü 074032'!C68+'7.23 sportcsépület 081030'!C68+'7.24 sport tám 081041'!C68+'7.25 diáksport 081043'!C68+'7.26 közműv 082091'!C68+'7.27 közműv 082092'!C68+'7.28  óvoda 091140'!C68+'7.29 intézmkiv gyétk 104037'!C68+'7.30 szoc étk 107051'!C68+'7.31 segélyek 107060'!C68+'7.32 adóbev 900020'!C68+'7.33 pályázatok összesen'!C68+'7.6 út építés 045127'!C68</f>
        <v>0</v>
      </c>
      <c r="D68" s="246">
        <f>'7.1. igazg 011130'!D68+'7.2 temető 013320'!D68+'7.3. vagyon 013350'!D68+'7.4 018010'!D68+'7.5 finansz műveletek 018030'!D68+'7.7 közütak működtetés 045160'!D68+'7.8 parkoló 045170'!D68+'7.9 kábeltv 046020'!D68+'7.10 piac 047120'!D68+'7.11 tdm tám047320'!D68+'7.12 szemét 051030'!D68+'7.13 szennyvíz 052080'!D68+'7.14 víz 063080'!D68+'7.15 közvil 064010'!D68+'7.16 zöldterület 066010'!D68+'7.17 város 066020'!D68+'7.18 háziorvos 072111'!D68+'7.19 ügyelet 072112'!D68+'7.20 fülészet 072210'!D68+'7.21 védőnők 074031'!D68+'7.22 isk eü 074032'!D68+'7.23 sportcsépület 081030'!D68+'7.24 sport tám 081041'!D68+'7.25 diáksport 081043'!D68+'7.26 közműv 082091'!D68+'7.27 közműv 082092'!D68+'7.28  óvoda 091140'!D68+'7.29 intézmkiv gyétk 104037'!D68+'7.30 szoc étk 107051'!D68+'7.31 segélyek 107060'!D68+'7.32 adóbev 900020'!D68+'7.33 pályázatok összesen'!D68+'7.6 út építés 045127'!D68</f>
        <v>0</v>
      </c>
      <c r="E68" s="247">
        <f t="shared" si="0"/>
        <v>0</v>
      </c>
      <c r="F68" s="246">
        <f>'7.1. igazg 011130'!F68+'7.2 temető 013320'!F68+'7.3. vagyon 013350'!F68+'7.4 018010'!F68+'7.5 finansz műveletek 018030'!F68+'7.7 közütak működtetés 045160'!F68+'7.8 parkoló 045170'!F68+'7.9 kábeltv 046020'!F68+'7.10 piac 047120'!F68+'7.11 tdm tám047320'!F68+'7.12 szemét 051030'!F68+'7.13 szennyvíz 052080'!F68+'7.14 víz 063080'!F68+'7.15 közvil 064010'!F68+'7.16 zöldterület 066010'!F68+'7.17 város 066020'!F68+'7.18 háziorvos 072111'!F68+'7.19 ügyelet 072112'!F68+'7.20 fülészet 072210'!F68+'7.21 védőnők 074031'!F68+'7.22 isk eü 074032'!F68+'7.23 sportcsépület 081030'!F68+'7.24 sport tám 081041'!F68+'7.25 diáksport 081043'!F68+'7.26 közműv 082091'!F68+'7.27 közműv 082092'!F68+'7.28  óvoda 091140'!F68+'7.29 intézmkiv gyétk 104037'!F68+'7.30 szoc étk 107051'!F68+'7.31 segélyek 107060'!F68+'7.32 adóbev 900020'!F68+'7.33 pályázatok összesen'!F68+'7.6 út építés 045127'!F68</f>
        <v>0</v>
      </c>
      <c r="G68" s="246">
        <f>'7.1. igazg 011130'!G68+'7.2 temető 013320'!G68+'7.3. vagyon 013350'!G68+'7.4 018010'!G68+'7.5 finansz műveletek 018030'!G68+'7.7 közütak működtetés 045160'!G68+'7.8 parkoló 045170'!G68+'7.9 kábeltv 046020'!G68+'7.10 piac 047120'!G68+'7.11 tdm tám047320'!G68+'7.12 szemét 051030'!G68+'7.13 szennyvíz 052080'!G68+'7.14 víz 063080'!G68+'7.15 közvil 064010'!G68+'7.16 zöldterület 066010'!G68+'7.17 város 066020'!G68+'7.18 háziorvos 072111'!G68+'7.19 ügyelet 072112'!G68+'7.20 fülészet 072210'!G68+'7.21 védőnők 074031'!G68+'7.22 isk eü 074032'!G68+'7.23 sportcsépület 081030'!G68+'7.24 sport tám 081041'!G68+'7.25 diáksport 081043'!G68+'7.26 közműv 082091'!G68+'7.27 közműv 082092'!G68+'7.28  óvoda 091140'!G68+'7.29 intézmkiv gyétk 104037'!G68+'7.30 szoc étk 107051'!G68+'7.31 segélyek 107060'!G68+'7.32 adóbev 900020'!G68+'7.33 pályázatok összesen'!G68+'7.6 út építés 045127'!G68</f>
        <v>0</v>
      </c>
      <c r="H68" s="247">
        <f t="shared" si="1"/>
        <v>0</v>
      </c>
      <c r="I68" s="246">
        <f ca="1">'7.1. igazg 011130'!I68+'7.2 temető 013320'!I68+'7.3. vagyon 013350'!I68+'7.4 018010'!I68+'7.5 finansz műveletek 018030'!I68+'7.7 közütak működtetés 045160'!I68+'7.8 parkoló 045170'!I68+'7.9 kábeltv 046020'!I68+'7.10 piac 047120'!I68+'7.11 tdm tám047320'!I68+'7.12 szemét 051030'!I68+'7.13 szennyvíz 052080'!I68+'7.14 víz 063080'!I68+'7.15 közvil 064010'!I68+'7.16 zöldterület 066010'!I68+'7.17 város 066020'!I68+'7.18 háziorvos 072111'!I68+'7.19 ügyelet 072112'!I68+'7.20 fülészet 072210'!I68+'7.21 védőnők 074031'!I68+'7.22 isk eü 074032'!I68+'7.23 sportcsépület 081030'!I68+'7.24 sport tám 081041'!I68+'7.25 diáksport 081043'!I68+'7.26 közműv 082091'!I68+'7.27 közműv 082092'!I68+'7.28  óvoda 091140'!I68+'7.29 intézmkiv gyétk 104037'!I68+'7.30 szoc étk 107051'!I68+'7.31 segélyek 107060'!I68+'7.32 adóbev 900020'!I68+'7.33 pályázatok összesen'!I68+'7.6 út építés 045127'!I68</f>
        <v>0</v>
      </c>
      <c r="J68" s="246">
        <f>'7.1. igazg 011130'!J68+'7.2 temető 013320'!J68+'7.3. vagyon 013350'!J68+'7.4 018010'!J68+'7.5 finansz műveletek 018030'!J68+'7.7 közütak működtetés 045160'!J68+'7.8 parkoló 045170'!J68+'7.9 kábeltv 046020'!J68+'7.10 piac 047120'!J68+'7.11 tdm tám047320'!J68+'7.12 szemét 051030'!J68+'7.13 szennyvíz 052080'!J68+'7.14 víz 063080'!J68+'7.15 közvil 064010'!J68+'7.16 zöldterület 066010'!J68+'7.17 város 066020'!J68+'7.18 háziorvos 072111'!J68+'7.19 ügyelet 072112'!J68+'7.20 fülészet 072210'!J68+'7.21 védőnők 074031'!J68+'7.22 isk eü 074032'!J68+'7.23 sportcsépület 081030'!J68+'7.24 sport tám 081041'!J68+'7.25 diáksport 081043'!J68+'7.26 közműv 082091'!J68+'7.27 közműv 082092'!J68+'7.28  óvoda 091140'!J68+'7.29 intézmkiv gyétk 104037'!J68+'7.30 szoc étk 107051'!J68+'7.31 segélyek 107060'!J68+'7.32 adóbev 900020'!J68+'7.33 pályázatok összesen'!J68+'7.6 út építés 045127'!J68</f>
        <v>0</v>
      </c>
      <c r="K68" s="247">
        <f t="shared" ca="1" si="2"/>
        <v>0</v>
      </c>
      <c r="L68" s="246">
        <f ca="1">'7.1. igazg 011130'!L68+'7.2 temető 013320'!L68+'7.3. vagyon 013350'!L68+'7.4 018010'!L68+'7.5 finansz műveletek 018030'!L68+'7.7 közütak működtetés 045160'!L68+'7.8 parkoló 045170'!L68+'7.9 kábeltv 046020'!L68+'7.10 piac 047120'!L68+'7.11 tdm tám047320'!L68+'7.12 szemét 051030'!L68+'7.13 szennyvíz 052080'!L68+'7.14 víz 063080'!L68+'7.15 közvil 064010'!L68+'7.16 zöldterület 066010'!L68+'7.17 város 066020'!L68+'7.18 háziorvos 072111'!L68+'7.19 ügyelet 072112'!L68+'7.20 fülészet 072210'!L68+'7.21 védőnők 074031'!L68+'7.22 isk eü 074032'!L68+'7.23 sportcsépület 081030'!L68+'7.24 sport tám 081041'!L68+'7.25 diáksport 081043'!L68+'7.26 közműv 082091'!L68+'7.27 közműv 082092'!L68+'7.28  óvoda 091140'!L68+'7.29 intézmkiv gyétk 104037'!L68+'7.30 szoc étk 107051'!L68+'7.31 segélyek 107060'!L68+'7.32 adóbev 900020'!L68+'7.33 pályázatok összesen'!L68+'7.6 út építés 045127'!L68</f>
        <v>0</v>
      </c>
      <c r="M68" s="246">
        <f>'7.1. igazg 011130'!M68+'7.2 temető 013320'!M68+'7.3. vagyon 013350'!M68+'7.4 018010'!M68+'7.5 finansz műveletek 018030'!M68+'7.7 közütak működtetés 045160'!M68+'7.8 parkoló 045170'!M68+'7.9 kábeltv 046020'!M68+'7.10 piac 047120'!M68+'7.11 tdm tám047320'!M68+'7.12 szemét 051030'!M68+'7.13 szennyvíz 052080'!M68+'7.14 víz 063080'!M68+'7.15 közvil 064010'!M68+'7.16 zöldterület 066010'!M68+'7.17 város 066020'!M68+'7.18 háziorvos 072111'!M68+'7.19 ügyelet 072112'!M68+'7.20 fülészet 072210'!M68+'7.21 védőnők 074031'!M68+'7.22 isk eü 074032'!M68+'7.23 sportcsépület 081030'!M68+'7.24 sport tám 081041'!M68+'7.25 diáksport 081043'!M68+'7.26 közműv 082091'!M68+'7.27 közműv 082092'!M68+'7.28  óvoda 091140'!M68+'7.29 intézmkiv gyétk 104037'!M68+'7.30 szoc étk 107051'!M68+'7.31 segélyek 107060'!M68+'7.32 adóbev 900020'!M68+'7.33 pályázatok összesen'!M68+'7.6 út építés 045127'!M68</f>
        <v>0</v>
      </c>
      <c r="N68" s="247">
        <f t="shared" ca="1" si="3"/>
        <v>0</v>
      </c>
    </row>
    <row r="69" spans="1:18" ht="15.75" thickBot="1" x14ac:dyDescent="0.3">
      <c r="A69" s="55" t="s">
        <v>136</v>
      </c>
      <c r="B69" s="64" t="s">
        <v>137</v>
      </c>
      <c r="C69" s="248">
        <f>'7.1. igazg 011130'!C69+'7.2 temető 013320'!C69+'7.3. vagyon 013350'!C69+'7.4 018010'!C69+'7.5 finansz műveletek 018030'!C69+'7.7 közütak működtetés 045160'!C69+'7.8 parkoló 045170'!C69+'7.9 kábeltv 046020'!C69+'7.10 piac 047120'!C69+'7.11 tdm tám047320'!C69+'7.12 szemét 051030'!C69+'7.13 szennyvíz 052080'!C69+'7.14 víz 063080'!C69+'7.15 közvil 064010'!C69+'7.16 zöldterület 066010'!C69+'7.17 város 066020'!C69+'7.18 háziorvos 072111'!C69+'7.19 ügyelet 072112'!C69+'7.20 fülészet 072210'!C69+'7.21 védőnők 074031'!C69+'7.22 isk eü 074032'!C69+'7.23 sportcsépület 081030'!C69+'7.24 sport tám 081041'!C69+'7.25 diáksport 081043'!C69+'7.26 közműv 082091'!C69+'7.27 közműv 082092'!C69+'7.28  óvoda 091140'!C69+'7.29 intézmkiv gyétk 104037'!C69+'7.30 szoc étk 107051'!C69+'7.31 segélyek 107060'!C69+'7.32 adóbev 900020'!C69+'7.33 pályázatok összesen'!C69+'7.6 út építés 045127'!C69</f>
        <v>0</v>
      </c>
      <c r="D69" s="248">
        <f>'7.1. igazg 011130'!D69+'7.2 temető 013320'!D69+'7.3. vagyon 013350'!D69+'7.4 018010'!D69+'7.5 finansz műveletek 018030'!D69+'7.7 közütak működtetés 045160'!D69+'7.8 parkoló 045170'!D69+'7.9 kábeltv 046020'!D69+'7.10 piac 047120'!D69+'7.11 tdm tám047320'!D69+'7.12 szemét 051030'!D69+'7.13 szennyvíz 052080'!D69+'7.14 víz 063080'!D69+'7.15 közvil 064010'!D69+'7.16 zöldterület 066010'!D69+'7.17 város 066020'!D69+'7.18 háziorvos 072111'!D69+'7.19 ügyelet 072112'!D69+'7.20 fülészet 072210'!D69+'7.21 védőnők 074031'!D69+'7.22 isk eü 074032'!D69+'7.23 sportcsépület 081030'!D69+'7.24 sport tám 081041'!D69+'7.25 diáksport 081043'!D69+'7.26 közműv 082091'!D69+'7.27 közműv 082092'!D69+'7.28  óvoda 091140'!D69+'7.29 intézmkiv gyétk 104037'!D69+'7.30 szoc étk 107051'!D69+'7.31 segélyek 107060'!D69+'7.32 adóbev 900020'!D69+'7.33 pályázatok összesen'!D69+'7.6 út építés 045127'!D69</f>
        <v>0</v>
      </c>
      <c r="E69" s="249">
        <f t="shared" si="0"/>
        <v>0</v>
      </c>
      <c r="F69" s="248">
        <f>'7.1. igazg 011130'!F69+'7.2 temető 013320'!F69+'7.3. vagyon 013350'!F69+'7.4 018010'!F69+'7.5 finansz műveletek 018030'!F69+'7.7 közütak működtetés 045160'!F69+'7.8 parkoló 045170'!F69+'7.9 kábeltv 046020'!F69+'7.10 piac 047120'!F69+'7.11 tdm tám047320'!F69+'7.12 szemét 051030'!F69+'7.13 szennyvíz 052080'!F69+'7.14 víz 063080'!F69+'7.15 közvil 064010'!F69+'7.16 zöldterület 066010'!F69+'7.17 város 066020'!F69+'7.18 háziorvos 072111'!F69+'7.19 ügyelet 072112'!F69+'7.20 fülészet 072210'!F69+'7.21 védőnők 074031'!F69+'7.22 isk eü 074032'!F69+'7.23 sportcsépület 081030'!F69+'7.24 sport tám 081041'!F69+'7.25 diáksport 081043'!F69+'7.26 közműv 082091'!F69+'7.27 közműv 082092'!F69+'7.28  óvoda 091140'!F69+'7.29 intézmkiv gyétk 104037'!F69+'7.30 szoc étk 107051'!F69+'7.31 segélyek 107060'!F69+'7.32 adóbev 900020'!F69+'7.33 pályázatok összesen'!F69+'7.6 út építés 045127'!F69</f>
        <v>0</v>
      </c>
      <c r="G69" s="248">
        <f>'7.1. igazg 011130'!G69+'7.2 temető 013320'!G69+'7.3. vagyon 013350'!G69+'7.4 018010'!G69+'7.5 finansz műveletek 018030'!G69+'7.7 közütak működtetés 045160'!G69+'7.8 parkoló 045170'!G69+'7.9 kábeltv 046020'!G69+'7.10 piac 047120'!G69+'7.11 tdm tám047320'!G69+'7.12 szemét 051030'!G69+'7.13 szennyvíz 052080'!G69+'7.14 víz 063080'!G69+'7.15 közvil 064010'!G69+'7.16 zöldterület 066010'!G69+'7.17 város 066020'!G69+'7.18 háziorvos 072111'!G69+'7.19 ügyelet 072112'!G69+'7.20 fülészet 072210'!G69+'7.21 védőnők 074031'!G69+'7.22 isk eü 074032'!G69+'7.23 sportcsépület 081030'!G69+'7.24 sport tám 081041'!G69+'7.25 diáksport 081043'!G69+'7.26 közműv 082091'!G69+'7.27 közműv 082092'!G69+'7.28  óvoda 091140'!G69+'7.29 intézmkiv gyétk 104037'!G69+'7.30 szoc étk 107051'!G69+'7.31 segélyek 107060'!G69+'7.32 adóbev 900020'!G69+'7.33 pályázatok összesen'!G69+'7.6 út építés 045127'!G69</f>
        <v>0</v>
      </c>
      <c r="H69" s="249">
        <f t="shared" si="1"/>
        <v>0</v>
      </c>
      <c r="I69" s="248">
        <f ca="1">'7.1. igazg 011130'!I69+'7.2 temető 013320'!I69+'7.3. vagyon 013350'!I69+'7.4 018010'!I69+'7.5 finansz műveletek 018030'!I69+'7.7 közütak működtetés 045160'!I69+'7.8 parkoló 045170'!I69+'7.9 kábeltv 046020'!I69+'7.10 piac 047120'!I69+'7.11 tdm tám047320'!I69+'7.12 szemét 051030'!I69+'7.13 szennyvíz 052080'!I69+'7.14 víz 063080'!I69+'7.15 közvil 064010'!I69+'7.16 zöldterület 066010'!I69+'7.17 város 066020'!I69+'7.18 háziorvos 072111'!I69+'7.19 ügyelet 072112'!I69+'7.20 fülészet 072210'!I69+'7.21 védőnők 074031'!I69+'7.22 isk eü 074032'!I69+'7.23 sportcsépület 081030'!I69+'7.24 sport tám 081041'!I69+'7.25 diáksport 081043'!I69+'7.26 közműv 082091'!I69+'7.27 közműv 082092'!I69+'7.28  óvoda 091140'!I69+'7.29 intézmkiv gyétk 104037'!I69+'7.30 szoc étk 107051'!I69+'7.31 segélyek 107060'!I69+'7.32 adóbev 900020'!I69+'7.33 pályázatok összesen'!I69+'7.6 út építés 045127'!I69</f>
        <v>0</v>
      </c>
      <c r="J69" s="248">
        <f>'7.1. igazg 011130'!J69+'7.2 temető 013320'!J69+'7.3. vagyon 013350'!J69+'7.4 018010'!J69+'7.5 finansz műveletek 018030'!J69+'7.7 közütak működtetés 045160'!J69+'7.8 parkoló 045170'!J69+'7.9 kábeltv 046020'!J69+'7.10 piac 047120'!J69+'7.11 tdm tám047320'!J69+'7.12 szemét 051030'!J69+'7.13 szennyvíz 052080'!J69+'7.14 víz 063080'!J69+'7.15 közvil 064010'!J69+'7.16 zöldterület 066010'!J69+'7.17 város 066020'!J69+'7.18 háziorvos 072111'!J69+'7.19 ügyelet 072112'!J69+'7.20 fülészet 072210'!J69+'7.21 védőnők 074031'!J69+'7.22 isk eü 074032'!J69+'7.23 sportcsépület 081030'!J69+'7.24 sport tám 081041'!J69+'7.25 diáksport 081043'!J69+'7.26 közműv 082091'!J69+'7.27 közműv 082092'!J69+'7.28  óvoda 091140'!J69+'7.29 intézmkiv gyétk 104037'!J69+'7.30 szoc étk 107051'!J69+'7.31 segélyek 107060'!J69+'7.32 adóbev 900020'!J69+'7.33 pályázatok összesen'!J69+'7.6 út építés 045127'!J69</f>
        <v>0</v>
      </c>
      <c r="K69" s="249">
        <f t="shared" ca="1" si="2"/>
        <v>0</v>
      </c>
      <c r="L69" s="248">
        <f ca="1">'7.1. igazg 011130'!L69+'7.2 temető 013320'!L69+'7.3. vagyon 013350'!L69+'7.4 018010'!L69+'7.5 finansz műveletek 018030'!L69+'7.7 közütak működtetés 045160'!L69+'7.8 parkoló 045170'!L69+'7.9 kábeltv 046020'!L69+'7.10 piac 047120'!L69+'7.11 tdm tám047320'!L69+'7.12 szemét 051030'!L69+'7.13 szennyvíz 052080'!L69+'7.14 víz 063080'!L69+'7.15 közvil 064010'!L69+'7.16 zöldterület 066010'!L69+'7.17 város 066020'!L69+'7.18 háziorvos 072111'!L69+'7.19 ügyelet 072112'!L69+'7.20 fülészet 072210'!L69+'7.21 védőnők 074031'!L69+'7.22 isk eü 074032'!L69+'7.23 sportcsépület 081030'!L69+'7.24 sport tám 081041'!L69+'7.25 diáksport 081043'!L69+'7.26 közműv 082091'!L69+'7.27 közműv 082092'!L69+'7.28  óvoda 091140'!L69+'7.29 intézmkiv gyétk 104037'!L69+'7.30 szoc étk 107051'!L69+'7.31 segélyek 107060'!L69+'7.32 adóbev 900020'!L69+'7.33 pályázatok összesen'!L69+'7.6 út építés 045127'!L69</f>
        <v>168730</v>
      </c>
      <c r="M69" s="248">
        <f>'7.1. igazg 011130'!M69+'7.2 temető 013320'!M69+'7.3. vagyon 013350'!M69+'7.4 018010'!M69+'7.5 finansz műveletek 018030'!M69+'7.7 közütak működtetés 045160'!M69+'7.8 parkoló 045170'!M69+'7.9 kábeltv 046020'!M69+'7.10 piac 047120'!M69+'7.11 tdm tám047320'!M69+'7.12 szemét 051030'!M69+'7.13 szennyvíz 052080'!M69+'7.14 víz 063080'!M69+'7.15 közvil 064010'!M69+'7.16 zöldterület 066010'!M69+'7.17 város 066020'!M69+'7.18 háziorvos 072111'!M69+'7.19 ügyelet 072112'!M69+'7.20 fülészet 072210'!M69+'7.21 védőnők 074031'!M69+'7.22 isk eü 074032'!M69+'7.23 sportcsépület 081030'!M69+'7.24 sport tám 081041'!M69+'7.25 diáksport 081043'!M69+'7.26 közműv 082091'!M69+'7.27 közműv 082092'!M69+'7.28  óvoda 091140'!M69+'7.29 intézmkiv gyétk 104037'!M69+'7.30 szoc étk 107051'!M69+'7.31 segélyek 107060'!M69+'7.32 adóbev 900020'!M69+'7.33 pályázatok összesen'!M69+'7.6 út építés 045127'!M69</f>
        <v>0</v>
      </c>
      <c r="N69" s="249">
        <f t="shared" ca="1" si="3"/>
        <v>168730</v>
      </c>
    </row>
    <row r="70" spans="1:18" x14ac:dyDescent="0.25">
      <c r="A70" s="52" t="s">
        <v>138</v>
      </c>
      <c r="B70" s="48" t="s">
        <v>139</v>
      </c>
      <c r="C70" s="244">
        <f>'7.1. igazg 011130'!C70+'7.2 temető 013320'!C70+'7.3. vagyon 013350'!C70+'7.4 018010'!C70+'7.5 finansz műveletek 018030'!C70+'7.7 közütak működtetés 045160'!C70+'7.8 parkoló 045170'!C70+'7.9 kábeltv 046020'!C70+'7.10 piac 047120'!C70+'7.11 tdm tám047320'!C70+'7.12 szemét 051030'!C70+'7.13 szennyvíz 052080'!C70+'7.14 víz 063080'!C70+'7.15 közvil 064010'!C70+'7.16 zöldterület 066010'!C70+'7.17 város 066020'!C70+'7.18 háziorvos 072111'!C70+'7.19 ügyelet 072112'!C70+'7.20 fülészet 072210'!C70+'7.21 védőnők 074031'!C70+'7.22 isk eü 074032'!C70+'7.23 sportcsépület 081030'!C70+'7.24 sport tám 081041'!C70+'7.25 diáksport 081043'!C70+'7.26 közműv 082091'!C70+'7.27 közműv 082092'!C70+'7.28  óvoda 091140'!C70+'7.29 intézmkiv gyétk 104037'!C70+'7.30 szoc étk 107051'!C70+'7.31 segélyek 107060'!C70+'7.32 adóbev 900020'!C70+'7.33 pályázatok összesen'!C70+'7.6 út építés 045127'!C70</f>
        <v>375000</v>
      </c>
      <c r="D70" s="244">
        <f>'7.1. igazg 011130'!D70+'7.2 temető 013320'!D70+'7.3. vagyon 013350'!D70+'7.4 018010'!D70+'7.5 finansz műveletek 018030'!D70+'7.7 közütak működtetés 045160'!D70+'7.8 parkoló 045170'!D70+'7.9 kábeltv 046020'!D70+'7.10 piac 047120'!D70+'7.11 tdm tám047320'!D70+'7.12 szemét 051030'!D70+'7.13 szennyvíz 052080'!D70+'7.14 víz 063080'!D70+'7.15 közvil 064010'!D70+'7.16 zöldterület 066010'!D70+'7.17 város 066020'!D70+'7.18 háziorvos 072111'!D70+'7.19 ügyelet 072112'!D70+'7.20 fülészet 072210'!D70+'7.21 védőnők 074031'!D70+'7.22 isk eü 074032'!D70+'7.23 sportcsépület 081030'!D70+'7.24 sport tám 081041'!D70+'7.25 diáksport 081043'!D70+'7.26 közműv 082091'!D70+'7.27 közműv 082092'!D70+'7.28  óvoda 091140'!D70+'7.29 intézmkiv gyétk 104037'!D70+'7.30 szoc étk 107051'!D70+'7.31 segélyek 107060'!D70+'7.32 adóbev 900020'!D70+'7.33 pályázatok összesen'!D70+'7.6 út építés 045127'!D70</f>
        <v>0</v>
      </c>
      <c r="E70" s="245">
        <f t="shared" si="0"/>
        <v>375000</v>
      </c>
      <c r="F70" s="244">
        <f>'7.1. igazg 011130'!F70+'7.2 temető 013320'!F70+'7.3. vagyon 013350'!F70+'7.4 018010'!F70+'7.5 finansz műveletek 018030'!F70+'7.7 közütak működtetés 045160'!F70+'7.8 parkoló 045170'!F70+'7.9 kábeltv 046020'!F70+'7.10 piac 047120'!F70+'7.11 tdm tám047320'!F70+'7.12 szemét 051030'!F70+'7.13 szennyvíz 052080'!F70+'7.14 víz 063080'!F70+'7.15 közvil 064010'!F70+'7.16 zöldterület 066010'!F70+'7.17 város 066020'!F70+'7.18 háziorvos 072111'!F70+'7.19 ügyelet 072112'!F70+'7.20 fülészet 072210'!F70+'7.21 védőnők 074031'!F70+'7.22 isk eü 074032'!F70+'7.23 sportcsépület 081030'!F70+'7.24 sport tám 081041'!F70+'7.25 diáksport 081043'!F70+'7.26 közműv 082091'!F70+'7.27 közműv 082092'!F70+'7.28  óvoda 091140'!F70+'7.29 intézmkiv gyétk 104037'!F70+'7.30 szoc étk 107051'!F70+'7.31 segélyek 107060'!F70+'7.32 adóbev 900020'!F70+'7.33 pályázatok összesen'!F70+'7.6 út építés 045127'!F70</f>
        <v>375000</v>
      </c>
      <c r="G70" s="244">
        <f>'7.1. igazg 011130'!G70+'7.2 temető 013320'!G70+'7.3. vagyon 013350'!G70+'7.4 018010'!G70+'7.5 finansz műveletek 018030'!G70+'7.7 közütak működtetés 045160'!G70+'7.8 parkoló 045170'!G70+'7.9 kábeltv 046020'!G70+'7.10 piac 047120'!G70+'7.11 tdm tám047320'!G70+'7.12 szemét 051030'!G70+'7.13 szennyvíz 052080'!G70+'7.14 víz 063080'!G70+'7.15 közvil 064010'!G70+'7.16 zöldterület 066010'!G70+'7.17 város 066020'!G70+'7.18 háziorvos 072111'!G70+'7.19 ügyelet 072112'!G70+'7.20 fülészet 072210'!G70+'7.21 védőnők 074031'!G70+'7.22 isk eü 074032'!G70+'7.23 sportcsépület 081030'!G70+'7.24 sport tám 081041'!G70+'7.25 diáksport 081043'!G70+'7.26 közműv 082091'!G70+'7.27 közműv 082092'!G70+'7.28  óvoda 091140'!G70+'7.29 intézmkiv gyétk 104037'!G70+'7.30 szoc étk 107051'!G70+'7.31 segélyek 107060'!G70+'7.32 adóbev 900020'!G70+'7.33 pályázatok összesen'!G70+'7.6 út építés 045127'!G70</f>
        <v>0</v>
      </c>
      <c r="H70" s="245">
        <f t="shared" si="1"/>
        <v>375000</v>
      </c>
      <c r="I70" s="244">
        <f ca="1">'7.1. igazg 011130'!I70+'7.2 temető 013320'!I70+'7.3. vagyon 013350'!I70+'7.4 018010'!I70+'7.5 finansz műveletek 018030'!I70+'7.7 közütak működtetés 045160'!I70+'7.8 parkoló 045170'!I70+'7.9 kábeltv 046020'!I70+'7.10 piac 047120'!I70+'7.11 tdm tám047320'!I70+'7.12 szemét 051030'!I70+'7.13 szennyvíz 052080'!I70+'7.14 víz 063080'!I70+'7.15 közvil 064010'!I70+'7.16 zöldterület 066010'!I70+'7.17 város 066020'!I70+'7.18 háziorvos 072111'!I70+'7.19 ügyelet 072112'!I70+'7.20 fülészet 072210'!I70+'7.21 védőnők 074031'!I70+'7.22 isk eü 074032'!I70+'7.23 sportcsépület 081030'!I70+'7.24 sport tám 081041'!I70+'7.25 diáksport 081043'!I70+'7.26 közműv 082091'!I70+'7.27 közműv 082092'!I70+'7.28  óvoda 091140'!I70+'7.29 intézmkiv gyétk 104037'!I70+'7.30 szoc étk 107051'!I70+'7.31 segélyek 107060'!I70+'7.32 adóbev 900020'!I70+'7.33 pályázatok összesen'!I70+'7.6 út építés 045127'!I70</f>
        <v>375000</v>
      </c>
      <c r="J70" s="244">
        <f>'7.1. igazg 011130'!J70+'7.2 temető 013320'!J70+'7.3. vagyon 013350'!J70+'7.4 018010'!J70+'7.5 finansz műveletek 018030'!J70+'7.7 közütak működtetés 045160'!J70+'7.8 parkoló 045170'!J70+'7.9 kábeltv 046020'!J70+'7.10 piac 047120'!J70+'7.11 tdm tám047320'!J70+'7.12 szemét 051030'!J70+'7.13 szennyvíz 052080'!J70+'7.14 víz 063080'!J70+'7.15 közvil 064010'!J70+'7.16 zöldterület 066010'!J70+'7.17 város 066020'!J70+'7.18 háziorvos 072111'!J70+'7.19 ügyelet 072112'!J70+'7.20 fülészet 072210'!J70+'7.21 védőnők 074031'!J70+'7.22 isk eü 074032'!J70+'7.23 sportcsépület 081030'!J70+'7.24 sport tám 081041'!J70+'7.25 diáksport 081043'!J70+'7.26 közműv 082091'!J70+'7.27 közműv 082092'!J70+'7.28  óvoda 091140'!J70+'7.29 intézmkiv gyétk 104037'!J70+'7.30 szoc étk 107051'!J70+'7.31 segélyek 107060'!J70+'7.32 adóbev 900020'!J70+'7.33 pályázatok összesen'!J70+'7.6 út építés 045127'!J70</f>
        <v>0</v>
      </c>
      <c r="K70" s="245">
        <f t="shared" ca="1" si="2"/>
        <v>375000</v>
      </c>
      <c r="L70" s="244">
        <f ca="1">'7.1. igazg 011130'!L70+'7.2 temető 013320'!L70+'7.3. vagyon 013350'!L70+'7.4 018010'!L70+'7.5 finansz műveletek 018030'!L70+'7.7 közütak működtetés 045160'!L70+'7.8 parkoló 045170'!L70+'7.9 kábeltv 046020'!L70+'7.10 piac 047120'!L70+'7.11 tdm tám047320'!L70+'7.12 szemét 051030'!L70+'7.13 szennyvíz 052080'!L70+'7.14 víz 063080'!L70+'7.15 közvil 064010'!L70+'7.16 zöldterület 066010'!L70+'7.17 város 066020'!L70+'7.18 háziorvos 072111'!L70+'7.19 ügyelet 072112'!L70+'7.20 fülészet 072210'!L70+'7.21 védőnők 074031'!L70+'7.22 isk eü 074032'!L70+'7.23 sportcsépület 081030'!L70+'7.24 sport tám 081041'!L70+'7.25 diáksport 081043'!L70+'7.26 közműv 082091'!L70+'7.27 közműv 082092'!L70+'7.28  óvoda 091140'!L70+'7.29 intézmkiv gyétk 104037'!L70+'7.30 szoc étk 107051'!L70+'7.31 segélyek 107060'!L70+'7.32 adóbev 900020'!L70+'7.33 pályázatok összesen'!L70+'7.6 út építés 045127'!L70</f>
        <v>406665</v>
      </c>
      <c r="M70" s="244">
        <f>'7.1. igazg 011130'!M70+'7.2 temető 013320'!M70+'7.3. vagyon 013350'!M70+'7.4 018010'!M70+'7.5 finansz műveletek 018030'!M70+'7.7 közütak működtetés 045160'!M70+'7.8 parkoló 045170'!M70+'7.9 kábeltv 046020'!M70+'7.10 piac 047120'!M70+'7.11 tdm tám047320'!M70+'7.12 szemét 051030'!M70+'7.13 szennyvíz 052080'!M70+'7.14 víz 063080'!M70+'7.15 közvil 064010'!M70+'7.16 zöldterület 066010'!M70+'7.17 város 066020'!M70+'7.18 háziorvos 072111'!M70+'7.19 ügyelet 072112'!M70+'7.20 fülészet 072210'!M70+'7.21 védőnők 074031'!M70+'7.22 isk eü 074032'!M70+'7.23 sportcsépület 081030'!M70+'7.24 sport tám 081041'!M70+'7.25 diáksport 081043'!M70+'7.26 közműv 082091'!M70+'7.27 közműv 082092'!M70+'7.28  óvoda 091140'!M70+'7.29 intézmkiv gyétk 104037'!M70+'7.30 szoc étk 107051'!M70+'7.31 segélyek 107060'!M70+'7.32 adóbev 900020'!M70+'7.33 pályázatok összesen'!M70+'7.6 út építés 045127'!M70</f>
        <v>0</v>
      </c>
      <c r="N70" s="245">
        <f t="shared" ca="1" si="3"/>
        <v>406665</v>
      </c>
    </row>
    <row r="71" spans="1:18" ht="15.75" thickBot="1" x14ac:dyDescent="0.3">
      <c r="A71" s="55"/>
      <c r="B71" s="64" t="s">
        <v>140</v>
      </c>
      <c r="C71" s="248">
        <f>'7.1. igazg 011130'!C71+'7.2 temető 013320'!C71+'7.3. vagyon 013350'!C71+'7.4 018010'!C71+'7.5 finansz műveletek 018030'!C71+'7.7 közütak működtetés 045160'!C71+'7.8 parkoló 045170'!C71+'7.9 kábeltv 046020'!C71+'7.10 piac 047120'!C71+'7.11 tdm tám047320'!C71+'7.12 szemét 051030'!C71+'7.13 szennyvíz 052080'!C71+'7.14 víz 063080'!C71+'7.15 közvil 064010'!C71+'7.16 zöldterület 066010'!C71+'7.17 város 066020'!C71+'7.18 háziorvos 072111'!C71+'7.19 ügyelet 072112'!C71+'7.20 fülészet 072210'!C71+'7.21 védőnők 074031'!C71+'7.22 isk eü 074032'!C71+'7.23 sportcsépület 081030'!C71+'7.24 sport tám 081041'!C71+'7.25 diáksport 081043'!C71+'7.26 közműv 082091'!C71+'7.27 közműv 082092'!C71+'7.28  óvoda 091140'!C71+'7.29 intézmkiv gyétk 104037'!C71+'7.30 szoc étk 107051'!C71+'7.31 segélyek 107060'!C71+'7.32 adóbev 900020'!C71+'7.33 pályázatok összesen'!C71+'7.6 út építés 045127'!C71</f>
        <v>375000</v>
      </c>
      <c r="D71" s="248">
        <f>'7.1. igazg 011130'!D71+'7.2 temető 013320'!D71+'7.3. vagyon 013350'!D71+'7.4 018010'!D71+'7.5 finansz műveletek 018030'!D71+'7.7 közütak működtetés 045160'!D71+'7.8 parkoló 045170'!D71+'7.9 kábeltv 046020'!D71+'7.10 piac 047120'!D71+'7.11 tdm tám047320'!D71+'7.12 szemét 051030'!D71+'7.13 szennyvíz 052080'!D71+'7.14 víz 063080'!D71+'7.15 közvil 064010'!D71+'7.16 zöldterület 066010'!D71+'7.17 város 066020'!D71+'7.18 háziorvos 072111'!D71+'7.19 ügyelet 072112'!D71+'7.20 fülészet 072210'!D71+'7.21 védőnők 074031'!D71+'7.22 isk eü 074032'!D71+'7.23 sportcsépület 081030'!D71+'7.24 sport tám 081041'!D71+'7.25 diáksport 081043'!D71+'7.26 közműv 082091'!D71+'7.27 közműv 082092'!D71+'7.28  óvoda 091140'!D71+'7.29 intézmkiv gyétk 104037'!D71+'7.30 szoc étk 107051'!D71+'7.31 segélyek 107060'!D71+'7.32 adóbev 900020'!D71+'7.33 pályázatok összesen'!D71+'7.6 út építés 045127'!D71</f>
        <v>0</v>
      </c>
      <c r="E71" s="249">
        <f t="shared" si="0"/>
        <v>375000</v>
      </c>
      <c r="F71" s="248">
        <f>'7.1. igazg 011130'!F71+'7.2 temető 013320'!F71+'7.3. vagyon 013350'!F71+'7.4 018010'!F71+'7.5 finansz műveletek 018030'!F71+'7.7 közütak működtetés 045160'!F71+'7.8 parkoló 045170'!F71+'7.9 kábeltv 046020'!F71+'7.10 piac 047120'!F71+'7.11 tdm tám047320'!F71+'7.12 szemét 051030'!F71+'7.13 szennyvíz 052080'!F71+'7.14 víz 063080'!F71+'7.15 közvil 064010'!F71+'7.16 zöldterület 066010'!F71+'7.17 város 066020'!F71+'7.18 háziorvos 072111'!F71+'7.19 ügyelet 072112'!F71+'7.20 fülészet 072210'!F71+'7.21 védőnők 074031'!F71+'7.22 isk eü 074032'!F71+'7.23 sportcsépület 081030'!F71+'7.24 sport tám 081041'!F71+'7.25 diáksport 081043'!F71+'7.26 közműv 082091'!F71+'7.27 közműv 082092'!F71+'7.28  óvoda 091140'!F71+'7.29 intézmkiv gyétk 104037'!F71+'7.30 szoc étk 107051'!F71+'7.31 segélyek 107060'!F71+'7.32 adóbev 900020'!F71+'7.33 pályázatok összesen'!F71+'7.6 út építés 045127'!F71</f>
        <v>375000</v>
      </c>
      <c r="G71" s="248">
        <f>'7.1. igazg 011130'!G71+'7.2 temető 013320'!G71+'7.3. vagyon 013350'!G71+'7.4 018010'!G71+'7.5 finansz műveletek 018030'!G71+'7.7 közütak működtetés 045160'!G71+'7.8 parkoló 045170'!G71+'7.9 kábeltv 046020'!G71+'7.10 piac 047120'!G71+'7.11 tdm tám047320'!G71+'7.12 szemét 051030'!G71+'7.13 szennyvíz 052080'!G71+'7.14 víz 063080'!G71+'7.15 közvil 064010'!G71+'7.16 zöldterület 066010'!G71+'7.17 város 066020'!G71+'7.18 háziorvos 072111'!G71+'7.19 ügyelet 072112'!G71+'7.20 fülészet 072210'!G71+'7.21 védőnők 074031'!G71+'7.22 isk eü 074032'!G71+'7.23 sportcsépület 081030'!G71+'7.24 sport tám 081041'!G71+'7.25 diáksport 081043'!G71+'7.26 közműv 082091'!G71+'7.27 közműv 082092'!G71+'7.28  óvoda 091140'!G71+'7.29 intézmkiv gyétk 104037'!G71+'7.30 szoc étk 107051'!G71+'7.31 segélyek 107060'!G71+'7.32 adóbev 900020'!G71+'7.33 pályázatok összesen'!G71+'7.6 út építés 045127'!G71</f>
        <v>0</v>
      </c>
      <c r="H71" s="249">
        <f t="shared" si="1"/>
        <v>375000</v>
      </c>
      <c r="I71" s="248">
        <f ca="1">'7.1. igazg 011130'!I71+'7.2 temető 013320'!I71+'7.3. vagyon 013350'!I71+'7.4 018010'!I71+'7.5 finansz műveletek 018030'!I71+'7.7 közütak működtetés 045160'!I71+'7.8 parkoló 045170'!I71+'7.9 kábeltv 046020'!I71+'7.10 piac 047120'!I71+'7.11 tdm tám047320'!I71+'7.12 szemét 051030'!I71+'7.13 szennyvíz 052080'!I71+'7.14 víz 063080'!I71+'7.15 közvil 064010'!I71+'7.16 zöldterület 066010'!I71+'7.17 város 066020'!I71+'7.18 háziorvos 072111'!I71+'7.19 ügyelet 072112'!I71+'7.20 fülészet 072210'!I71+'7.21 védőnők 074031'!I71+'7.22 isk eü 074032'!I71+'7.23 sportcsépület 081030'!I71+'7.24 sport tám 081041'!I71+'7.25 diáksport 081043'!I71+'7.26 közműv 082091'!I71+'7.27 közműv 082092'!I71+'7.28  óvoda 091140'!I71+'7.29 intézmkiv gyétk 104037'!I71+'7.30 szoc étk 107051'!I71+'7.31 segélyek 107060'!I71+'7.32 adóbev 900020'!I71+'7.33 pályázatok összesen'!I71+'7.6 út építés 045127'!I71</f>
        <v>375000</v>
      </c>
      <c r="J71" s="248">
        <f>'7.1. igazg 011130'!J71+'7.2 temető 013320'!J71+'7.3. vagyon 013350'!J71+'7.4 018010'!J71+'7.5 finansz műveletek 018030'!J71+'7.7 közütak működtetés 045160'!J71+'7.8 parkoló 045170'!J71+'7.9 kábeltv 046020'!J71+'7.10 piac 047120'!J71+'7.11 tdm tám047320'!J71+'7.12 szemét 051030'!J71+'7.13 szennyvíz 052080'!J71+'7.14 víz 063080'!J71+'7.15 közvil 064010'!J71+'7.16 zöldterület 066010'!J71+'7.17 város 066020'!J71+'7.18 háziorvos 072111'!J71+'7.19 ügyelet 072112'!J71+'7.20 fülészet 072210'!J71+'7.21 védőnők 074031'!J71+'7.22 isk eü 074032'!J71+'7.23 sportcsépület 081030'!J71+'7.24 sport tám 081041'!J71+'7.25 diáksport 081043'!J71+'7.26 közműv 082091'!J71+'7.27 közműv 082092'!J71+'7.28  óvoda 091140'!J71+'7.29 intézmkiv gyétk 104037'!J71+'7.30 szoc étk 107051'!J71+'7.31 segélyek 107060'!J71+'7.32 adóbev 900020'!J71+'7.33 pályázatok összesen'!J71+'7.6 út építés 045127'!J71</f>
        <v>0</v>
      </c>
      <c r="K71" s="249">
        <f t="shared" ca="1" si="2"/>
        <v>375000</v>
      </c>
      <c r="L71" s="248">
        <f ca="1">'7.1. igazg 011130'!L71+'7.2 temető 013320'!L71+'7.3. vagyon 013350'!L71+'7.4 018010'!L71+'7.5 finansz műveletek 018030'!L71+'7.7 közütak működtetés 045160'!L71+'7.8 parkoló 045170'!L71+'7.9 kábeltv 046020'!L71+'7.10 piac 047120'!L71+'7.11 tdm tám047320'!L71+'7.12 szemét 051030'!L71+'7.13 szennyvíz 052080'!L71+'7.14 víz 063080'!L71+'7.15 közvil 064010'!L71+'7.16 zöldterület 066010'!L71+'7.17 város 066020'!L71+'7.18 háziorvos 072111'!L71+'7.19 ügyelet 072112'!L71+'7.20 fülészet 072210'!L71+'7.21 védőnők 074031'!L71+'7.22 isk eü 074032'!L71+'7.23 sportcsépület 081030'!L71+'7.24 sport tám 081041'!L71+'7.25 diáksport 081043'!L71+'7.26 közműv 082091'!L71+'7.27 közműv 082092'!L71+'7.28  óvoda 091140'!L71+'7.29 intézmkiv gyétk 104037'!L71+'7.30 szoc étk 107051'!L71+'7.31 segélyek 107060'!L71+'7.32 adóbev 900020'!L71+'7.33 pályázatok összesen'!L71+'7.6 út építés 045127'!L71</f>
        <v>406665</v>
      </c>
      <c r="M71" s="248">
        <f>'7.1. igazg 011130'!M71+'7.2 temető 013320'!M71+'7.3. vagyon 013350'!M71+'7.4 018010'!M71+'7.5 finansz műveletek 018030'!M71+'7.7 közütak működtetés 045160'!M71+'7.8 parkoló 045170'!M71+'7.9 kábeltv 046020'!M71+'7.10 piac 047120'!M71+'7.11 tdm tám047320'!M71+'7.12 szemét 051030'!M71+'7.13 szennyvíz 052080'!M71+'7.14 víz 063080'!M71+'7.15 közvil 064010'!M71+'7.16 zöldterület 066010'!M71+'7.17 város 066020'!M71+'7.18 háziorvos 072111'!M71+'7.19 ügyelet 072112'!M71+'7.20 fülészet 072210'!M71+'7.21 védőnők 074031'!M71+'7.22 isk eü 074032'!M71+'7.23 sportcsépület 081030'!M71+'7.24 sport tám 081041'!M71+'7.25 diáksport 081043'!M71+'7.26 közműv 082091'!M71+'7.27 közműv 082092'!M71+'7.28  óvoda 091140'!M71+'7.29 intézmkiv gyétk 104037'!M71+'7.30 szoc étk 107051'!M71+'7.31 segélyek 107060'!M71+'7.32 adóbev 900020'!M71+'7.33 pályázatok összesen'!M71+'7.6 út építés 045127'!M71</f>
        <v>0</v>
      </c>
      <c r="N71" s="249">
        <f t="shared" ca="1" si="3"/>
        <v>406665</v>
      </c>
    </row>
    <row r="72" spans="1:18" s="179" customFormat="1" ht="15.75" thickBot="1" x14ac:dyDescent="0.3">
      <c r="A72" s="625"/>
      <c r="B72" s="180" t="s">
        <v>831</v>
      </c>
      <c r="C72" s="254"/>
      <c r="D72" s="254"/>
      <c r="E72" s="255"/>
      <c r="F72" s="248">
        <f>'7.1. igazg 011130'!F72+'7.2 temető 013320'!F72+'7.3. vagyon 013350'!F72+'7.4 018010'!F72+'7.5 finansz műveletek 018030'!F72+'7.7 közütak működtetés 045160'!F72+'7.8 parkoló 045170'!F72+'7.9 kábeltv 046020'!F72+'7.10 piac 047120'!F72+'7.11 tdm tám047320'!F72+'7.12 szemét 051030'!F72+'7.13 szennyvíz 052080'!F72+'7.14 víz 063080'!F72+'7.15 közvil 064010'!F72+'7.16 zöldterület 066010'!F72+'7.17 város 066020'!F72+'7.18 háziorvos 072111'!F72+'7.19 ügyelet 072112'!F72+'7.20 fülészet 072210'!F72+'7.21 védőnők 074031'!F72+'7.22 isk eü 074032'!F72+'7.23 sportcsépület 081030'!F72+'7.24 sport tám 081041'!F72+'7.25 diáksport 081043'!F72+'7.26 közműv 082091'!F72+'7.27 közműv 082092'!F72+'7.28  óvoda 091140'!F72+'7.29 intézmkiv gyétk 104037'!F72+'7.30 szoc étk 107051'!F72+'7.31 segélyek 107060'!F72+'7.32 adóbev 900020'!F72+'7.33 pályázatok összesen'!F72+'7.6 út építés 045127'!F72</f>
        <v>5122863</v>
      </c>
      <c r="G72" s="254"/>
      <c r="H72" s="249">
        <f t="shared" si="1"/>
        <v>5122863</v>
      </c>
      <c r="I72" s="248">
        <f ca="1">'7.1. igazg 011130'!I72+'7.2 temető 013320'!I72+'7.3. vagyon 013350'!I72+'7.4 018010'!I72+'7.5 finansz műveletek 018030'!I72+'7.7 közütak működtetés 045160'!I72+'7.8 parkoló 045170'!I72+'7.9 kábeltv 046020'!I72+'7.10 piac 047120'!I72+'7.11 tdm tám047320'!I72+'7.12 szemét 051030'!I72+'7.13 szennyvíz 052080'!I72+'7.14 víz 063080'!I72+'7.15 közvil 064010'!I72+'7.16 zöldterület 066010'!I72+'7.17 város 066020'!I72+'7.18 háziorvos 072111'!I72+'7.19 ügyelet 072112'!I72+'7.20 fülészet 072210'!I72+'7.21 védőnők 074031'!I72+'7.22 isk eü 074032'!I72+'7.23 sportcsépület 081030'!I72+'7.24 sport tám 081041'!I72+'7.25 diáksport 081043'!I72+'7.26 közműv 082091'!I72+'7.27 közműv 082092'!I72+'7.28  óvoda 091140'!I72+'7.29 intézmkiv gyétk 104037'!I72+'7.30 szoc étk 107051'!I72+'7.31 segélyek 107060'!I72+'7.32 adóbev 900020'!I72+'7.33 pályázatok összesen'!I72+'7.6 út építés 045127'!I72</f>
        <v>5122863</v>
      </c>
      <c r="J72" s="254"/>
      <c r="K72" s="249">
        <f t="shared" ca="1" si="2"/>
        <v>5122863</v>
      </c>
      <c r="L72" s="248">
        <f ca="1">'7.1. igazg 011130'!L72+'7.2 temető 013320'!L72+'7.3. vagyon 013350'!L72+'7.4 018010'!L72+'7.5 finansz műveletek 018030'!L72+'7.7 közütak működtetés 045160'!L72+'7.8 parkoló 045170'!L72+'7.9 kábeltv 046020'!L72+'7.10 piac 047120'!L72+'7.11 tdm tám047320'!L72+'7.12 szemét 051030'!L72+'7.13 szennyvíz 052080'!L72+'7.14 víz 063080'!L72+'7.15 közvil 064010'!L72+'7.16 zöldterület 066010'!L72+'7.17 város 066020'!L72+'7.18 háziorvos 072111'!L72+'7.19 ügyelet 072112'!L72+'7.20 fülészet 072210'!L72+'7.21 védőnők 074031'!L72+'7.22 isk eü 074032'!L72+'7.23 sportcsépület 081030'!L72+'7.24 sport tám 081041'!L72+'7.25 diáksport 081043'!L72+'7.26 közműv 082091'!L72+'7.27 közműv 082092'!L72+'7.28  óvoda 091140'!L72+'7.29 intézmkiv gyétk 104037'!L72+'7.30 szoc étk 107051'!L72+'7.31 segélyek 107060'!L72+'7.32 adóbev 900020'!L72+'7.33 pályázatok összesen'!L72+'7.6 út építés 045127'!L72</f>
        <v>0</v>
      </c>
      <c r="M72" s="254"/>
      <c r="N72" s="249">
        <f t="shared" ca="1" si="3"/>
        <v>0</v>
      </c>
      <c r="O72" s="148"/>
      <c r="P72" s="646"/>
      <c r="Q72" s="646"/>
      <c r="R72" s="148"/>
    </row>
    <row r="73" spans="1:18" ht="15.75" thickBot="1" x14ac:dyDescent="0.3">
      <c r="A73" s="56" t="s">
        <v>141</v>
      </c>
      <c r="B73" s="47" t="s">
        <v>142</v>
      </c>
      <c r="C73" s="250">
        <f>'7.1. igazg 011130'!C73+'7.2 temető 013320'!C73+'7.3. vagyon 013350'!C73+'7.4 018010'!C73+'7.5 finansz műveletek 018030'!C73+'7.7 közütak működtetés 045160'!C73+'7.8 parkoló 045170'!C73+'7.9 kábeltv 046020'!C73+'7.10 piac 047120'!C73+'7.11 tdm tám047320'!C73+'7.12 szemét 051030'!C73+'7.13 szennyvíz 052080'!C73+'7.14 víz 063080'!C73+'7.15 közvil 064010'!C73+'7.16 zöldterület 066010'!C73+'7.17 város 066020'!C73+'7.18 háziorvos 072111'!C73+'7.19 ügyelet 072112'!C73+'7.20 fülészet 072210'!C73+'7.21 védőnők 074031'!C73+'7.22 isk eü 074032'!C73+'7.23 sportcsépület 081030'!C73+'7.24 sport tám 081041'!C73+'7.25 diáksport 081043'!C73+'7.26 közműv 082091'!C73+'7.27 közműv 082092'!C73+'7.28  óvoda 091140'!C73+'7.29 intézmkiv gyétk 104037'!C73+'7.30 szoc étk 107051'!C73+'7.31 segélyek 107060'!C73+'7.32 adóbev 900020'!C73+'7.33 pályázatok összesen'!C73+'7.6 út építés 045127'!C73</f>
        <v>2384638827</v>
      </c>
      <c r="D73" s="250">
        <f>'7.1. igazg 011130'!D73+'7.2 temető 013320'!D73+'7.3. vagyon 013350'!D73+'7.4 018010'!D73+'7.5 finansz műveletek 018030'!D73+'7.7 közütak működtetés 045160'!D73+'7.8 parkoló 045170'!D73+'7.9 kábeltv 046020'!D73+'7.10 piac 047120'!D73+'7.11 tdm tám047320'!D73+'7.12 szemét 051030'!D73+'7.13 szennyvíz 052080'!D73+'7.14 víz 063080'!D73+'7.15 közvil 064010'!D73+'7.16 zöldterület 066010'!D73+'7.17 város 066020'!D73+'7.18 háziorvos 072111'!D73+'7.19 ügyelet 072112'!D73+'7.20 fülészet 072210'!D73+'7.21 védőnők 074031'!D73+'7.22 isk eü 074032'!D73+'7.23 sportcsépület 081030'!D73+'7.24 sport tám 081041'!D73+'7.25 diáksport 081043'!D73+'7.26 közműv 082091'!D73+'7.27 közműv 082092'!D73+'7.28  óvoda 091140'!D73+'7.29 intézmkiv gyétk 104037'!D73+'7.30 szoc étk 107051'!D73+'7.31 segélyek 107060'!D73+'7.32 adóbev 900020'!D73+'7.33 pályázatok összesen'!D73+'7.6 út építés 045127'!D73</f>
        <v>0</v>
      </c>
      <c r="E73" s="251">
        <f t="shared" si="0"/>
        <v>2384638827</v>
      </c>
      <c r="F73" s="250">
        <f>'7.1. igazg 011130'!F73+'7.2 temető 013320'!F73+'7.3. vagyon 013350'!F73+'7.4 018010'!F73+'7.5 finansz műveletek 018030'!F73+'7.7 közütak működtetés 045160'!F73+'7.8 parkoló 045170'!F73+'7.9 kábeltv 046020'!F73+'7.10 piac 047120'!F73+'7.11 tdm tám047320'!F73+'7.12 szemét 051030'!F73+'7.13 szennyvíz 052080'!F73+'7.14 víz 063080'!F73+'7.15 közvil 064010'!F73+'7.16 zöldterület 066010'!F73+'7.17 város 066020'!F73+'7.18 háziorvos 072111'!F73+'7.19 ügyelet 072112'!F73+'7.20 fülészet 072210'!F73+'7.21 védőnők 074031'!F73+'7.22 isk eü 074032'!F73+'7.23 sportcsépület 081030'!F73+'7.24 sport tám 081041'!F73+'7.25 diáksport 081043'!F73+'7.26 közműv 082091'!F73+'7.27 közműv 082092'!F73+'7.28  óvoda 091140'!F73+'7.29 intézmkiv gyétk 104037'!F73+'7.30 szoc étk 107051'!F73+'7.31 segélyek 107060'!F73+'7.32 adóbev 900020'!F73+'7.33 pályázatok összesen'!F73+'7.6 út építés 045127'!F73</f>
        <v>2409025781</v>
      </c>
      <c r="G73" s="250">
        <f>'7.1. igazg 011130'!G73+'7.2 temető 013320'!G73+'7.3. vagyon 013350'!G73+'7.4 018010'!G73+'7.5 finansz műveletek 018030'!G73+'7.7 közütak működtetés 045160'!G73+'7.8 parkoló 045170'!G73+'7.9 kábeltv 046020'!G73+'7.10 piac 047120'!G73+'7.11 tdm tám047320'!G73+'7.12 szemét 051030'!G73+'7.13 szennyvíz 052080'!G73+'7.14 víz 063080'!G73+'7.15 közvil 064010'!G73+'7.16 zöldterület 066010'!G73+'7.17 város 066020'!G73+'7.18 háziorvos 072111'!G73+'7.19 ügyelet 072112'!G73+'7.20 fülészet 072210'!G73+'7.21 védőnők 074031'!G73+'7.22 isk eü 074032'!G73+'7.23 sportcsépület 081030'!G73+'7.24 sport tám 081041'!G73+'7.25 diáksport 081043'!G73+'7.26 közműv 082091'!G73+'7.27 közműv 082092'!G73+'7.28  óvoda 091140'!G73+'7.29 intézmkiv gyétk 104037'!G73+'7.30 szoc étk 107051'!G73+'7.31 segélyek 107060'!G73+'7.32 adóbev 900020'!G73+'7.33 pályázatok összesen'!G73+'7.6 út építés 045127'!G73</f>
        <v>0</v>
      </c>
      <c r="H73" s="251">
        <f t="shared" si="1"/>
        <v>2409025781</v>
      </c>
      <c r="I73" s="250">
        <f ca="1">'7.1. igazg 011130'!I73+'7.2 temető 013320'!I73+'7.3. vagyon 013350'!I73+'7.4 018010'!I73+'7.5 finansz műveletek 018030'!I73+'7.7 közütak működtetés 045160'!I73+'7.8 parkoló 045170'!I73+'7.9 kábeltv 046020'!I73+'7.10 piac 047120'!I73+'7.11 tdm tám047320'!I73+'7.12 szemét 051030'!I73+'7.13 szennyvíz 052080'!I73+'7.14 víz 063080'!I73+'7.15 közvil 064010'!I73+'7.16 zöldterület 066010'!I73+'7.17 város 066020'!I73+'7.18 háziorvos 072111'!I73+'7.19 ügyelet 072112'!I73+'7.20 fülészet 072210'!I73+'7.21 védőnők 074031'!I73+'7.22 isk eü 074032'!I73+'7.23 sportcsépület 081030'!I73+'7.24 sport tám 081041'!I73+'7.25 diáksport 081043'!I73+'7.26 közműv 082091'!I73+'7.27 közműv 082092'!I73+'7.28  óvoda 091140'!I73+'7.29 intézmkiv gyétk 104037'!I73+'7.30 szoc étk 107051'!I73+'7.31 segélyek 107060'!I73+'7.32 adóbev 900020'!I73+'7.33 pályázatok összesen'!I73+'7.6 út építés 045127'!I73</f>
        <v>2456265545</v>
      </c>
      <c r="J73" s="250">
        <f>'7.1. igazg 011130'!J73+'7.2 temető 013320'!J73+'7.3. vagyon 013350'!J73+'7.4 018010'!J73+'7.5 finansz műveletek 018030'!J73+'7.7 közütak működtetés 045160'!J73+'7.8 parkoló 045170'!J73+'7.9 kábeltv 046020'!J73+'7.10 piac 047120'!J73+'7.11 tdm tám047320'!J73+'7.12 szemét 051030'!J73+'7.13 szennyvíz 052080'!J73+'7.14 víz 063080'!J73+'7.15 közvil 064010'!J73+'7.16 zöldterület 066010'!J73+'7.17 város 066020'!J73+'7.18 háziorvos 072111'!J73+'7.19 ügyelet 072112'!J73+'7.20 fülészet 072210'!J73+'7.21 védőnők 074031'!J73+'7.22 isk eü 074032'!J73+'7.23 sportcsépület 081030'!J73+'7.24 sport tám 081041'!J73+'7.25 diáksport 081043'!J73+'7.26 közműv 082091'!J73+'7.27 közműv 082092'!J73+'7.28  óvoda 091140'!J73+'7.29 intézmkiv gyétk 104037'!J73+'7.30 szoc étk 107051'!J73+'7.31 segélyek 107060'!J73+'7.32 adóbev 900020'!J73+'7.33 pályázatok összesen'!J73+'7.6 út építés 045127'!J73</f>
        <v>0</v>
      </c>
      <c r="K73" s="251">
        <f t="shared" ca="1" si="2"/>
        <v>2456265545</v>
      </c>
      <c r="L73" s="250">
        <f ca="1">'7.1. igazg 011130'!L73+'7.2 temető 013320'!L73+'7.3. vagyon 013350'!L73+'7.4 018010'!L73+'7.5 finansz műveletek 018030'!L73+'7.7 közütak működtetés 045160'!L73+'7.8 parkoló 045170'!L73+'7.9 kábeltv 046020'!L73+'7.10 piac 047120'!L73+'7.11 tdm tám047320'!L73+'7.12 szemét 051030'!L73+'7.13 szennyvíz 052080'!L73+'7.14 víz 063080'!L73+'7.15 közvil 064010'!L73+'7.16 zöldterület 066010'!L73+'7.17 város 066020'!L73+'7.18 háziorvos 072111'!L73+'7.19 ügyelet 072112'!L73+'7.20 fülészet 072210'!L73+'7.21 védőnők 074031'!L73+'7.22 isk eü 074032'!L73+'7.23 sportcsépület 081030'!L73+'7.24 sport tám 081041'!L73+'7.25 diáksport 081043'!L73+'7.26 közműv 082091'!L73+'7.27 közműv 082092'!L73+'7.28  óvoda 091140'!L73+'7.29 intézmkiv gyétk 104037'!L73+'7.30 szoc étk 107051'!L73+'7.31 segélyek 107060'!L73+'7.32 adóbev 900020'!L73+'7.33 pályázatok összesen'!L73+'7.6 út építés 045127'!L73</f>
        <v>2373915346</v>
      </c>
      <c r="M73" s="250">
        <f>'7.1. igazg 011130'!M73+'7.2 temető 013320'!M73+'7.3. vagyon 013350'!M73+'7.4 018010'!M73+'7.5 finansz műveletek 018030'!M73+'7.7 közütak működtetés 045160'!M73+'7.8 parkoló 045170'!M73+'7.9 kábeltv 046020'!M73+'7.10 piac 047120'!M73+'7.11 tdm tám047320'!M73+'7.12 szemét 051030'!M73+'7.13 szennyvíz 052080'!M73+'7.14 víz 063080'!M73+'7.15 közvil 064010'!M73+'7.16 zöldterület 066010'!M73+'7.17 város 066020'!M73+'7.18 háziorvos 072111'!M73+'7.19 ügyelet 072112'!M73+'7.20 fülészet 072210'!M73+'7.21 védőnők 074031'!M73+'7.22 isk eü 074032'!M73+'7.23 sportcsépület 081030'!M73+'7.24 sport tám 081041'!M73+'7.25 diáksport 081043'!M73+'7.26 közműv 082091'!M73+'7.27 közműv 082092'!M73+'7.28  óvoda 091140'!M73+'7.29 intézmkiv gyétk 104037'!M73+'7.30 szoc étk 107051'!M73+'7.31 segélyek 107060'!M73+'7.32 adóbev 900020'!M73+'7.33 pályázatok összesen'!M73+'7.6 út építés 045127'!M73</f>
        <v>0</v>
      </c>
      <c r="N73" s="251">
        <f t="shared" ca="1" si="3"/>
        <v>2373915346</v>
      </c>
    </row>
    <row r="74" spans="1:18" x14ac:dyDescent="0.25">
      <c r="A74" s="57" t="s">
        <v>143</v>
      </c>
      <c r="B74" s="68" t="s">
        <v>144</v>
      </c>
      <c r="C74" s="244">
        <f>'7.1. igazg 011130'!C74+'7.2 temető 013320'!C74+'7.3. vagyon 013350'!C74+'7.4 018010'!C74+'7.5 finansz műveletek 018030'!C74+'7.7 közütak működtetés 045160'!C74+'7.8 parkoló 045170'!C74+'7.9 kábeltv 046020'!C74+'7.10 piac 047120'!C74+'7.11 tdm tám047320'!C74+'7.12 szemét 051030'!C74+'7.13 szennyvíz 052080'!C74+'7.14 víz 063080'!C74+'7.15 közvil 064010'!C74+'7.16 zöldterület 066010'!C74+'7.17 város 066020'!C74+'7.18 háziorvos 072111'!C74+'7.19 ügyelet 072112'!C74+'7.20 fülészet 072210'!C74+'7.21 védőnők 074031'!C74+'7.22 isk eü 074032'!C74+'7.23 sportcsépület 081030'!C74+'7.24 sport tám 081041'!C74+'7.25 diáksport 081043'!C74+'7.26 közműv 082091'!C74+'7.27 közműv 082092'!C74+'7.28  óvoda 091140'!C74+'7.29 intézmkiv gyétk 104037'!C74+'7.30 szoc étk 107051'!C74+'7.31 segélyek 107060'!C74+'7.32 adóbev 900020'!C74+'7.33 pályázatok összesen'!C74+'7.6 út építés 045127'!C74</f>
        <v>2469475370</v>
      </c>
      <c r="D74" s="244">
        <f>'7.1. igazg 011130'!D74+'7.2 temető 013320'!D74+'7.3. vagyon 013350'!D74+'7.4 018010'!D74+'7.5 finansz műveletek 018030'!D74+'7.7 közütak működtetés 045160'!D74+'7.8 parkoló 045170'!D74+'7.9 kábeltv 046020'!D74+'7.10 piac 047120'!D74+'7.11 tdm tám047320'!D74+'7.12 szemét 051030'!D74+'7.13 szennyvíz 052080'!D74+'7.14 víz 063080'!D74+'7.15 közvil 064010'!D74+'7.16 zöldterület 066010'!D74+'7.17 város 066020'!D74+'7.18 háziorvos 072111'!D74+'7.19 ügyelet 072112'!D74+'7.20 fülészet 072210'!D74+'7.21 védőnők 074031'!D74+'7.22 isk eü 074032'!D74+'7.23 sportcsépület 081030'!D74+'7.24 sport tám 081041'!D74+'7.25 diáksport 081043'!D74+'7.26 közműv 082091'!D74+'7.27 közműv 082092'!D74+'7.28  óvoda 091140'!D74+'7.29 intézmkiv gyétk 104037'!D74+'7.30 szoc étk 107051'!D74+'7.31 segélyek 107060'!D74+'7.32 adóbev 900020'!D74+'7.33 pályázatok összesen'!D74+'7.6 út építés 045127'!D74</f>
        <v>0</v>
      </c>
      <c r="E74" s="245">
        <f t="shared" ref="E74:E85" si="4">SUM(C74:D74)</f>
        <v>2469475370</v>
      </c>
      <c r="F74" s="244">
        <f>'7.1. igazg 011130'!F74+'7.2 temető 013320'!F74+'7.3. vagyon 013350'!F74+'7.4 018010'!F74+'7.5 finansz műveletek 018030'!F74+'7.7 közütak működtetés 045160'!F74+'7.8 parkoló 045170'!F74+'7.9 kábeltv 046020'!F74+'7.10 piac 047120'!F74+'7.11 tdm tám047320'!F74+'7.12 szemét 051030'!F74+'7.13 szennyvíz 052080'!F74+'7.14 víz 063080'!F74+'7.15 közvil 064010'!F74+'7.16 zöldterület 066010'!F74+'7.17 város 066020'!F74+'7.18 háziorvos 072111'!F74+'7.19 ügyelet 072112'!F74+'7.20 fülészet 072210'!F74+'7.21 védőnők 074031'!F74+'7.22 isk eü 074032'!F74+'7.23 sportcsépület 081030'!F74+'7.24 sport tám 081041'!F74+'7.25 diáksport 081043'!F74+'7.26 közműv 082091'!F74+'7.27 közműv 082092'!F74+'7.28  óvoda 091140'!F74+'7.29 intézmkiv gyétk 104037'!F74+'7.30 szoc étk 107051'!F74+'7.31 segélyek 107060'!F74+'7.32 adóbev 900020'!F74+'7.33 pályázatok összesen'!F74+'7.6 út építés 045127'!F74</f>
        <v>2473017443</v>
      </c>
      <c r="G74" s="244">
        <f>'7.1. igazg 011130'!G74+'7.2 temető 013320'!G74+'7.3. vagyon 013350'!G74+'7.4 018010'!G74+'7.5 finansz műveletek 018030'!G74+'7.7 közütak működtetés 045160'!G74+'7.8 parkoló 045170'!G74+'7.9 kábeltv 046020'!G74+'7.10 piac 047120'!G74+'7.11 tdm tám047320'!G74+'7.12 szemét 051030'!G74+'7.13 szennyvíz 052080'!G74+'7.14 víz 063080'!G74+'7.15 közvil 064010'!G74+'7.16 zöldterület 066010'!G74+'7.17 város 066020'!G74+'7.18 háziorvos 072111'!G74+'7.19 ügyelet 072112'!G74+'7.20 fülészet 072210'!G74+'7.21 védőnők 074031'!G74+'7.22 isk eü 074032'!G74+'7.23 sportcsépület 081030'!G74+'7.24 sport tám 081041'!G74+'7.25 diáksport 081043'!G74+'7.26 közműv 082091'!G74+'7.27 közműv 082092'!G74+'7.28  óvoda 091140'!G74+'7.29 intézmkiv gyétk 104037'!G74+'7.30 szoc étk 107051'!G74+'7.31 segélyek 107060'!G74+'7.32 adóbev 900020'!G74+'7.33 pályázatok összesen'!G74+'7.6 út építés 045127'!G74</f>
        <v>0</v>
      </c>
      <c r="H74" s="245">
        <f t="shared" ref="H74:H81" si="5">SUM(F74:G74)</f>
        <v>2473017443</v>
      </c>
      <c r="I74" s="244">
        <f ca="1">'7.1. igazg 011130'!I74+'7.2 temető 013320'!I74+'7.3. vagyon 013350'!I74+'7.4 018010'!I74+'7.5 finansz műveletek 018030'!I74+'7.7 közütak működtetés 045160'!I74+'7.8 parkoló 045170'!I74+'7.9 kábeltv 046020'!I74+'7.10 piac 047120'!I74+'7.11 tdm tám047320'!I74+'7.12 szemét 051030'!I74+'7.13 szennyvíz 052080'!I74+'7.14 víz 063080'!I74+'7.15 közvil 064010'!I74+'7.16 zöldterület 066010'!I74+'7.17 város 066020'!I74+'7.18 háziorvos 072111'!I74+'7.19 ügyelet 072112'!I74+'7.20 fülészet 072210'!I74+'7.21 védőnők 074031'!I74+'7.22 isk eü 074032'!I74+'7.23 sportcsépület 081030'!I74+'7.24 sport tám 081041'!I74+'7.25 diáksport 081043'!I74+'7.26 közműv 082091'!I74+'7.27 közműv 082092'!I74+'7.28  óvoda 091140'!I74+'7.29 intézmkiv gyétk 104037'!I74+'7.30 szoc étk 107051'!I74+'7.31 segélyek 107060'!I74+'7.32 adóbev 900020'!I74+'7.33 pályázatok összesen'!I74+'7.6 út építés 045127'!I74</f>
        <v>2473017443</v>
      </c>
      <c r="J74" s="244">
        <f>'7.1. igazg 011130'!J74+'7.2 temető 013320'!J74+'7.3. vagyon 013350'!J74+'7.4 018010'!J74+'7.5 finansz műveletek 018030'!J74+'7.7 közütak működtetés 045160'!J74+'7.8 parkoló 045170'!J74+'7.9 kábeltv 046020'!J74+'7.10 piac 047120'!J74+'7.11 tdm tám047320'!J74+'7.12 szemét 051030'!J74+'7.13 szennyvíz 052080'!J74+'7.14 víz 063080'!J74+'7.15 közvil 064010'!J74+'7.16 zöldterület 066010'!J74+'7.17 város 066020'!J74+'7.18 háziorvos 072111'!J74+'7.19 ügyelet 072112'!J74+'7.20 fülészet 072210'!J74+'7.21 védőnők 074031'!J74+'7.22 isk eü 074032'!J74+'7.23 sportcsépület 081030'!J74+'7.24 sport tám 081041'!J74+'7.25 diáksport 081043'!J74+'7.26 közműv 082091'!J74+'7.27 közműv 082092'!J74+'7.28  óvoda 091140'!J74+'7.29 intézmkiv gyétk 104037'!J74+'7.30 szoc étk 107051'!J74+'7.31 segélyek 107060'!J74+'7.32 adóbev 900020'!J74+'7.33 pályázatok összesen'!J74+'7.6 út építés 045127'!J74</f>
        <v>0</v>
      </c>
      <c r="K74" s="245">
        <f t="shared" ref="K74:K81" ca="1" si="6">SUM(I74:J74)</f>
        <v>2473017443</v>
      </c>
      <c r="L74" s="244">
        <f ca="1">'7.1. igazg 011130'!L74+'7.2 temető 013320'!L74+'7.3. vagyon 013350'!L74+'7.4 018010'!L74+'7.5 finansz műveletek 018030'!L74+'7.7 közütak működtetés 045160'!L74+'7.8 parkoló 045170'!L74+'7.9 kábeltv 046020'!L74+'7.10 piac 047120'!L74+'7.11 tdm tám047320'!L74+'7.12 szemét 051030'!L74+'7.13 szennyvíz 052080'!L74+'7.14 víz 063080'!L74+'7.15 közvil 064010'!L74+'7.16 zöldterület 066010'!L74+'7.17 város 066020'!L74+'7.18 háziorvos 072111'!L74+'7.19 ügyelet 072112'!L74+'7.20 fülészet 072210'!L74+'7.21 védőnők 074031'!L74+'7.22 isk eü 074032'!L74+'7.23 sportcsépület 081030'!L74+'7.24 sport tám 081041'!L74+'7.25 diáksport 081043'!L74+'7.26 közműv 082091'!L74+'7.27 közműv 082092'!L74+'7.28  óvoda 091140'!L74+'7.29 intézmkiv gyétk 104037'!L74+'7.30 szoc étk 107051'!L74+'7.31 segélyek 107060'!L74+'7.32 adóbev 900020'!L74+'7.33 pályázatok összesen'!L74+'7.6 út építés 045127'!L74</f>
        <v>2492086160</v>
      </c>
      <c r="M74" s="244">
        <f>'7.1. igazg 011130'!M74+'7.2 temető 013320'!M74+'7.3. vagyon 013350'!M74+'7.4 018010'!M74+'7.5 finansz műveletek 018030'!M74+'7.7 közütak működtetés 045160'!M74+'7.8 parkoló 045170'!M74+'7.9 kábeltv 046020'!M74+'7.10 piac 047120'!M74+'7.11 tdm tám047320'!M74+'7.12 szemét 051030'!M74+'7.13 szennyvíz 052080'!M74+'7.14 víz 063080'!M74+'7.15 közvil 064010'!M74+'7.16 zöldterület 066010'!M74+'7.17 város 066020'!M74+'7.18 háziorvos 072111'!M74+'7.19 ügyelet 072112'!M74+'7.20 fülészet 072210'!M74+'7.21 védőnők 074031'!M74+'7.22 isk eü 074032'!M74+'7.23 sportcsépület 081030'!M74+'7.24 sport tám 081041'!M74+'7.25 diáksport 081043'!M74+'7.26 közműv 082091'!M74+'7.27 közműv 082092'!M74+'7.28  óvoda 091140'!M74+'7.29 intézmkiv gyétk 104037'!M74+'7.30 szoc étk 107051'!M74+'7.31 segélyek 107060'!M74+'7.32 adóbev 900020'!M74+'7.33 pályázatok összesen'!M74+'7.6 út építés 045127'!M74</f>
        <v>0</v>
      </c>
      <c r="N74" s="245">
        <f t="shared" ref="N74:N82" ca="1" si="7">SUM(L74:M74)</f>
        <v>2492086160</v>
      </c>
    </row>
    <row r="75" spans="1:18" x14ac:dyDescent="0.25">
      <c r="A75" s="53" t="s">
        <v>145</v>
      </c>
      <c r="B75" s="62" t="s">
        <v>146</v>
      </c>
      <c r="C75" s="246">
        <f>'7.1. igazg 011130'!C75+'7.2 temető 013320'!C75+'7.3. vagyon 013350'!C75+'7.4 018010'!C75+'7.5 finansz műveletek 018030'!C75+'7.7 közütak működtetés 045160'!C75+'7.8 parkoló 045170'!C75+'7.9 kábeltv 046020'!C75+'7.10 piac 047120'!C75+'7.11 tdm tám047320'!C75+'7.12 szemét 051030'!C75+'7.13 szennyvíz 052080'!C75+'7.14 víz 063080'!C75+'7.15 közvil 064010'!C75+'7.16 zöldterület 066010'!C75+'7.17 város 066020'!C75+'7.18 háziorvos 072111'!C75+'7.19 ügyelet 072112'!C75+'7.20 fülészet 072210'!C75+'7.21 védőnők 074031'!C75+'7.22 isk eü 074032'!C75+'7.23 sportcsépület 081030'!C75+'7.24 sport tám 081041'!C75+'7.25 diáksport 081043'!C75+'7.26 közműv 082091'!C75+'7.27 közműv 082092'!C75+'7.28  óvoda 091140'!C75+'7.29 intézmkiv gyétk 104037'!C75+'7.30 szoc étk 107051'!C75+'7.31 segélyek 107060'!C75+'7.32 adóbev 900020'!C75+'7.33 pályázatok összesen'!C75+'7.6 út építés 045127'!C75</f>
        <v>2469475370</v>
      </c>
      <c r="D75" s="246">
        <f>'7.1. igazg 011130'!D75+'7.2 temető 013320'!D75+'7.3. vagyon 013350'!D75+'7.4 018010'!D75+'7.5 finansz műveletek 018030'!D75+'7.7 közütak működtetés 045160'!D75+'7.8 parkoló 045170'!D75+'7.9 kábeltv 046020'!D75+'7.10 piac 047120'!D75+'7.11 tdm tám047320'!D75+'7.12 szemét 051030'!D75+'7.13 szennyvíz 052080'!D75+'7.14 víz 063080'!D75+'7.15 közvil 064010'!D75+'7.16 zöldterület 066010'!D75+'7.17 város 066020'!D75+'7.18 háziorvos 072111'!D75+'7.19 ügyelet 072112'!D75+'7.20 fülészet 072210'!D75+'7.21 védőnők 074031'!D75+'7.22 isk eü 074032'!D75+'7.23 sportcsépület 081030'!D75+'7.24 sport tám 081041'!D75+'7.25 diáksport 081043'!D75+'7.26 közműv 082091'!D75+'7.27 közműv 082092'!D75+'7.28  óvoda 091140'!D75+'7.29 intézmkiv gyétk 104037'!D75+'7.30 szoc étk 107051'!D75+'7.31 segélyek 107060'!D75+'7.32 adóbev 900020'!D75+'7.33 pályázatok összesen'!D75+'7.6 út építés 045127'!D75</f>
        <v>0</v>
      </c>
      <c r="E75" s="247">
        <f t="shared" si="4"/>
        <v>2469475370</v>
      </c>
      <c r="F75" s="246">
        <f>'7.1. igazg 011130'!F75+'7.2 temető 013320'!F75+'7.3. vagyon 013350'!F75+'7.4 018010'!F75+'7.5 finansz műveletek 018030'!F75+'7.7 közütak működtetés 045160'!F75+'7.8 parkoló 045170'!F75+'7.9 kábeltv 046020'!F75+'7.10 piac 047120'!F75+'7.11 tdm tám047320'!F75+'7.12 szemét 051030'!F75+'7.13 szennyvíz 052080'!F75+'7.14 víz 063080'!F75+'7.15 közvil 064010'!F75+'7.16 zöldterület 066010'!F75+'7.17 város 066020'!F75+'7.18 háziorvos 072111'!F75+'7.19 ügyelet 072112'!F75+'7.20 fülészet 072210'!F75+'7.21 védőnők 074031'!F75+'7.22 isk eü 074032'!F75+'7.23 sportcsépület 081030'!F75+'7.24 sport tám 081041'!F75+'7.25 diáksport 081043'!F75+'7.26 közműv 082091'!F75+'7.27 közműv 082092'!F75+'7.28  óvoda 091140'!F75+'7.29 intézmkiv gyétk 104037'!F75+'7.30 szoc étk 107051'!F75+'7.31 segélyek 107060'!F75+'7.32 adóbev 900020'!F75+'7.33 pályázatok összesen'!F75+'7.6 út építés 045127'!F75</f>
        <v>2473017443</v>
      </c>
      <c r="G75" s="246">
        <f>'7.1. igazg 011130'!G75+'7.2 temető 013320'!G75+'7.3. vagyon 013350'!G75+'7.4 018010'!G75+'7.5 finansz műveletek 018030'!G75+'7.7 közütak működtetés 045160'!G75+'7.8 parkoló 045170'!G75+'7.9 kábeltv 046020'!G75+'7.10 piac 047120'!G75+'7.11 tdm tám047320'!G75+'7.12 szemét 051030'!G75+'7.13 szennyvíz 052080'!G75+'7.14 víz 063080'!G75+'7.15 közvil 064010'!G75+'7.16 zöldterület 066010'!G75+'7.17 város 066020'!G75+'7.18 háziorvos 072111'!G75+'7.19 ügyelet 072112'!G75+'7.20 fülészet 072210'!G75+'7.21 védőnők 074031'!G75+'7.22 isk eü 074032'!G75+'7.23 sportcsépület 081030'!G75+'7.24 sport tám 081041'!G75+'7.25 diáksport 081043'!G75+'7.26 közműv 082091'!G75+'7.27 közműv 082092'!G75+'7.28  óvoda 091140'!G75+'7.29 intézmkiv gyétk 104037'!G75+'7.30 szoc étk 107051'!G75+'7.31 segélyek 107060'!G75+'7.32 adóbev 900020'!G75+'7.33 pályázatok összesen'!G75+'7.6 út építés 045127'!G75</f>
        <v>0</v>
      </c>
      <c r="H75" s="247">
        <f t="shared" si="5"/>
        <v>2473017443</v>
      </c>
      <c r="I75" s="246">
        <f ca="1">'7.1. igazg 011130'!I75+'7.2 temető 013320'!I75+'7.3. vagyon 013350'!I75+'7.4 018010'!I75+'7.5 finansz műveletek 018030'!I75+'7.7 közütak működtetés 045160'!I75+'7.8 parkoló 045170'!I75+'7.9 kábeltv 046020'!I75+'7.10 piac 047120'!I75+'7.11 tdm tám047320'!I75+'7.12 szemét 051030'!I75+'7.13 szennyvíz 052080'!I75+'7.14 víz 063080'!I75+'7.15 közvil 064010'!I75+'7.16 zöldterület 066010'!I75+'7.17 város 066020'!I75+'7.18 háziorvos 072111'!I75+'7.19 ügyelet 072112'!I75+'7.20 fülészet 072210'!I75+'7.21 védőnők 074031'!I75+'7.22 isk eü 074032'!I75+'7.23 sportcsépület 081030'!I75+'7.24 sport tám 081041'!I75+'7.25 diáksport 081043'!I75+'7.26 közműv 082091'!I75+'7.27 közműv 082092'!I75+'7.28  óvoda 091140'!I75+'7.29 intézmkiv gyétk 104037'!I75+'7.30 szoc étk 107051'!I75+'7.31 segélyek 107060'!I75+'7.32 adóbev 900020'!I75+'7.33 pályázatok összesen'!I75+'7.6 út építés 045127'!I75</f>
        <v>2473017443</v>
      </c>
      <c r="J75" s="246">
        <f>'7.1. igazg 011130'!J75+'7.2 temető 013320'!J75+'7.3. vagyon 013350'!J75+'7.4 018010'!J75+'7.5 finansz műveletek 018030'!J75+'7.7 közütak működtetés 045160'!J75+'7.8 parkoló 045170'!J75+'7.9 kábeltv 046020'!J75+'7.10 piac 047120'!J75+'7.11 tdm tám047320'!J75+'7.12 szemét 051030'!J75+'7.13 szennyvíz 052080'!J75+'7.14 víz 063080'!J75+'7.15 közvil 064010'!J75+'7.16 zöldterület 066010'!J75+'7.17 város 066020'!J75+'7.18 háziorvos 072111'!J75+'7.19 ügyelet 072112'!J75+'7.20 fülészet 072210'!J75+'7.21 védőnők 074031'!J75+'7.22 isk eü 074032'!J75+'7.23 sportcsépület 081030'!J75+'7.24 sport tám 081041'!J75+'7.25 diáksport 081043'!J75+'7.26 közműv 082091'!J75+'7.27 közműv 082092'!J75+'7.28  óvoda 091140'!J75+'7.29 intézmkiv gyétk 104037'!J75+'7.30 szoc étk 107051'!J75+'7.31 segélyek 107060'!J75+'7.32 adóbev 900020'!J75+'7.33 pályázatok összesen'!J75+'7.6 út építés 045127'!J75</f>
        <v>0</v>
      </c>
      <c r="K75" s="247">
        <f t="shared" ca="1" si="6"/>
        <v>2473017443</v>
      </c>
      <c r="L75" s="246">
        <f ca="1">'7.1. igazg 011130'!L75+'7.2 temető 013320'!L75+'7.3. vagyon 013350'!L75+'7.4 018010'!L75+'7.5 finansz műveletek 018030'!L75+'7.7 közütak működtetés 045160'!L75+'7.8 parkoló 045170'!L75+'7.9 kábeltv 046020'!L75+'7.10 piac 047120'!L75+'7.11 tdm tám047320'!L75+'7.12 szemét 051030'!L75+'7.13 szennyvíz 052080'!L75+'7.14 víz 063080'!L75+'7.15 közvil 064010'!L75+'7.16 zöldterület 066010'!L75+'7.17 város 066020'!L75+'7.18 háziorvos 072111'!L75+'7.19 ügyelet 072112'!L75+'7.20 fülészet 072210'!L75+'7.21 védőnők 074031'!L75+'7.22 isk eü 074032'!L75+'7.23 sportcsépület 081030'!L75+'7.24 sport tám 081041'!L75+'7.25 diáksport 081043'!L75+'7.26 közműv 082091'!L75+'7.27 közműv 082092'!L75+'7.28  óvoda 091140'!L75+'7.29 intézmkiv gyétk 104037'!L75+'7.30 szoc étk 107051'!L75+'7.31 segélyek 107060'!L75+'7.32 adóbev 900020'!L75+'7.33 pályázatok összesen'!L75+'7.6 út építés 045127'!L75</f>
        <v>2492086160</v>
      </c>
      <c r="M75" s="246">
        <f>'7.1. igazg 011130'!M75+'7.2 temető 013320'!M75+'7.3. vagyon 013350'!M75+'7.4 018010'!M75+'7.5 finansz műveletek 018030'!M75+'7.7 közütak működtetés 045160'!M75+'7.8 parkoló 045170'!M75+'7.9 kábeltv 046020'!M75+'7.10 piac 047120'!M75+'7.11 tdm tám047320'!M75+'7.12 szemét 051030'!M75+'7.13 szennyvíz 052080'!M75+'7.14 víz 063080'!M75+'7.15 közvil 064010'!M75+'7.16 zöldterület 066010'!M75+'7.17 város 066020'!M75+'7.18 háziorvos 072111'!M75+'7.19 ügyelet 072112'!M75+'7.20 fülészet 072210'!M75+'7.21 védőnők 074031'!M75+'7.22 isk eü 074032'!M75+'7.23 sportcsépület 081030'!M75+'7.24 sport tám 081041'!M75+'7.25 diáksport 081043'!M75+'7.26 közműv 082091'!M75+'7.27 közműv 082092'!M75+'7.28  óvoda 091140'!M75+'7.29 intézmkiv gyétk 104037'!M75+'7.30 szoc étk 107051'!M75+'7.31 segélyek 107060'!M75+'7.32 adóbev 900020'!M75+'7.33 pályázatok összesen'!M75+'7.6 út építés 045127'!M75</f>
        <v>0</v>
      </c>
      <c r="N75" s="247">
        <f t="shared" ca="1" si="7"/>
        <v>2492086160</v>
      </c>
    </row>
    <row r="76" spans="1:18" x14ac:dyDescent="0.25">
      <c r="A76" s="53" t="s">
        <v>147</v>
      </c>
      <c r="B76" s="62" t="s">
        <v>148</v>
      </c>
      <c r="C76" s="246">
        <f>'7.1. igazg 011130'!C76+'7.2 temető 013320'!C76+'7.3. vagyon 013350'!C76+'7.4 018010'!C76+'7.5 finansz műveletek 018030'!C76+'7.7 közütak működtetés 045160'!C76+'7.8 parkoló 045170'!C76+'7.9 kábeltv 046020'!C76+'7.10 piac 047120'!C76+'7.11 tdm tám047320'!C76+'7.12 szemét 051030'!C76+'7.13 szennyvíz 052080'!C76+'7.14 víz 063080'!C76+'7.15 közvil 064010'!C76+'7.16 zöldterület 066010'!C76+'7.17 város 066020'!C76+'7.18 háziorvos 072111'!C76+'7.19 ügyelet 072112'!C76+'7.20 fülészet 072210'!C76+'7.21 védőnők 074031'!C76+'7.22 isk eü 074032'!C76+'7.23 sportcsépület 081030'!C76+'7.24 sport tám 081041'!C76+'7.25 diáksport 081043'!C76+'7.26 közműv 082091'!C76+'7.27 közműv 082092'!C76+'7.28  óvoda 091140'!C76+'7.29 intézmkiv gyétk 104037'!C76+'7.30 szoc étk 107051'!C76+'7.31 segélyek 107060'!C76+'7.32 adóbev 900020'!C76+'7.33 pályázatok összesen'!C76+'7.6 út építés 045127'!C76</f>
        <v>0</v>
      </c>
      <c r="D76" s="246">
        <f>'7.1. igazg 011130'!D76+'7.2 temető 013320'!D76+'7.3. vagyon 013350'!D76+'7.4 018010'!D76+'7.5 finansz műveletek 018030'!D76+'7.7 közütak működtetés 045160'!D76+'7.8 parkoló 045170'!D76+'7.9 kábeltv 046020'!D76+'7.10 piac 047120'!D76+'7.11 tdm tám047320'!D76+'7.12 szemét 051030'!D76+'7.13 szennyvíz 052080'!D76+'7.14 víz 063080'!D76+'7.15 közvil 064010'!D76+'7.16 zöldterület 066010'!D76+'7.17 város 066020'!D76+'7.18 háziorvos 072111'!D76+'7.19 ügyelet 072112'!D76+'7.20 fülészet 072210'!D76+'7.21 védőnők 074031'!D76+'7.22 isk eü 074032'!D76+'7.23 sportcsépület 081030'!D76+'7.24 sport tám 081041'!D76+'7.25 diáksport 081043'!D76+'7.26 közműv 082091'!D76+'7.27 közműv 082092'!D76+'7.28  óvoda 091140'!D76+'7.29 intézmkiv gyétk 104037'!D76+'7.30 szoc étk 107051'!D76+'7.31 segélyek 107060'!D76+'7.32 adóbev 900020'!D76+'7.33 pályázatok összesen'!D76+'7.6 út építés 045127'!D76</f>
        <v>0</v>
      </c>
      <c r="E76" s="247">
        <f t="shared" si="4"/>
        <v>0</v>
      </c>
      <c r="F76" s="246">
        <f>'7.1. igazg 011130'!F76+'7.2 temető 013320'!F76+'7.3. vagyon 013350'!F76+'7.4 018010'!F76+'7.5 finansz műveletek 018030'!F76+'7.7 közütak működtetés 045160'!F76+'7.8 parkoló 045170'!F76+'7.9 kábeltv 046020'!F76+'7.10 piac 047120'!F76+'7.11 tdm tám047320'!F76+'7.12 szemét 051030'!F76+'7.13 szennyvíz 052080'!F76+'7.14 víz 063080'!F76+'7.15 közvil 064010'!F76+'7.16 zöldterület 066010'!F76+'7.17 város 066020'!F76+'7.18 háziorvos 072111'!F76+'7.19 ügyelet 072112'!F76+'7.20 fülészet 072210'!F76+'7.21 védőnők 074031'!F76+'7.22 isk eü 074032'!F76+'7.23 sportcsépület 081030'!F76+'7.24 sport tám 081041'!F76+'7.25 diáksport 081043'!F76+'7.26 közműv 082091'!F76+'7.27 közműv 082092'!F76+'7.28  óvoda 091140'!F76+'7.29 intézmkiv gyétk 104037'!F76+'7.30 szoc étk 107051'!F76+'7.31 segélyek 107060'!F76+'7.32 adóbev 900020'!F76+'7.33 pályázatok összesen'!F76+'7.6 út építés 045127'!F76</f>
        <v>0</v>
      </c>
      <c r="G76" s="246">
        <f>'7.1. igazg 011130'!G76+'7.2 temető 013320'!G76+'7.3. vagyon 013350'!G76+'7.4 018010'!G76+'7.5 finansz műveletek 018030'!G76+'7.7 közütak működtetés 045160'!G76+'7.8 parkoló 045170'!G76+'7.9 kábeltv 046020'!G76+'7.10 piac 047120'!G76+'7.11 tdm tám047320'!G76+'7.12 szemét 051030'!G76+'7.13 szennyvíz 052080'!G76+'7.14 víz 063080'!G76+'7.15 közvil 064010'!G76+'7.16 zöldterület 066010'!G76+'7.17 város 066020'!G76+'7.18 háziorvos 072111'!G76+'7.19 ügyelet 072112'!G76+'7.20 fülészet 072210'!G76+'7.21 védőnők 074031'!G76+'7.22 isk eü 074032'!G76+'7.23 sportcsépület 081030'!G76+'7.24 sport tám 081041'!G76+'7.25 diáksport 081043'!G76+'7.26 közműv 082091'!G76+'7.27 közműv 082092'!G76+'7.28  óvoda 091140'!G76+'7.29 intézmkiv gyétk 104037'!G76+'7.30 szoc étk 107051'!G76+'7.31 segélyek 107060'!G76+'7.32 adóbev 900020'!G76+'7.33 pályázatok összesen'!G76+'7.6 út építés 045127'!G76</f>
        <v>0</v>
      </c>
      <c r="H76" s="247">
        <f t="shared" si="5"/>
        <v>0</v>
      </c>
      <c r="I76" s="246">
        <f ca="1">'7.1. igazg 011130'!I76+'7.2 temető 013320'!I76+'7.3. vagyon 013350'!I76+'7.4 018010'!I76+'7.5 finansz műveletek 018030'!I76+'7.7 közütak működtetés 045160'!I76+'7.8 parkoló 045170'!I76+'7.9 kábeltv 046020'!I76+'7.10 piac 047120'!I76+'7.11 tdm tám047320'!I76+'7.12 szemét 051030'!I76+'7.13 szennyvíz 052080'!I76+'7.14 víz 063080'!I76+'7.15 közvil 064010'!I76+'7.16 zöldterület 066010'!I76+'7.17 város 066020'!I76+'7.18 háziorvos 072111'!I76+'7.19 ügyelet 072112'!I76+'7.20 fülészet 072210'!I76+'7.21 védőnők 074031'!I76+'7.22 isk eü 074032'!I76+'7.23 sportcsépület 081030'!I76+'7.24 sport tám 081041'!I76+'7.25 diáksport 081043'!I76+'7.26 közműv 082091'!I76+'7.27 közműv 082092'!I76+'7.28  óvoda 091140'!I76+'7.29 intézmkiv gyétk 104037'!I76+'7.30 szoc étk 107051'!I76+'7.31 segélyek 107060'!I76+'7.32 adóbev 900020'!I76+'7.33 pályázatok összesen'!I76+'7.6 út építés 045127'!I76</f>
        <v>0</v>
      </c>
      <c r="J76" s="246">
        <f>'7.1. igazg 011130'!J76+'7.2 temető 013320'!J76+'7.3. vagyon 013350'!J76+'7.4 018010'!J76+'7.5 finansz műveletek 018030'!J76+'7.7 közütak működtetés 045160'!J76+'7.8 parkoló 045170'!J76+'7.9 kábeltv 046020'!J76+'7.10 piac 047120'!J76+'7.11 tdm tám047320'!J76+'7.12 szemét 051030'!J76+'7.13 szennyvíz 052080'!J76+'7.14 víz 063080'!J76+'7.15 közvil 064010'!J76+'7.16 zöldterület 066010'!J76+'7.17 város 066020'!J76+'7.18 háziorvos 072111'!J76+'7.19 ügyelet 072112'!J76+'7.20 fülészet 072210'!J76+'7.21 védőnők 074031'!J76+'7.22 isk eü 074032'!J76+'7.23 sportcsépület 081030'!J76+'7.24 sport tám 081041'!J76+'7.25 diáksport 081043'!J76+'7.26 közműv 082091'!J76+'7.27 közműv 082092'!J76+'7.28  óvoda 091140'!J76+'7.29 intézmkiv gyétk 104037'!J76+'7.30 szoc étk 107051'!J76+'7.31 segélyek 107060'!J76+'7.32 adóbev 900020'!J76+'7.33 pályázatok összesen'!J76+'7.6 út építés 045127'!J76</f>
        <v>0</v>
      </c>
      <c r="K76" s="247">
        <f t="shared" ca="1" si="6"/>
        <v>0</v>
      </c>
      <c r="L76" s="246">
        <f ca="1">'7.1. igazg 011130'!L76+'7.2 temető 013320'!L76+'7.3. vagyon 013350'!L76+'7.4 018010'!L76+'7.5 finansz műveletek 018030'!L76+'7.7 közütak működtetés 045160'!L76+'7.8 parkoló 045170'!L76+'7.9 kábeltv 046020'!L76+'7.10 piac 047120'!L76+'7.11 tdm tám047320'!L76+'7.12 szemét 051030'!L76+'7.13 szennyvíz 052080'!L76+'7.14 víz 063080'!L76+'7.15 közvil 064010'!L76+'7.16 zöldterület 066010'!L76+'7.17 város 066020'!L76+'7.18 háziorvos 072111'!L76+'7.19 ügyelet 072112'!L76+'7.20 fülészet 072210'!L76+'7.21 védőnők 074031'!L76+'7.22 isk eü 074032'!L76+'7.23 sportcsépület 081030'!L76+'7.24 sport tám 081041'!L76+'7.25 diáksport 081043'!L76+'7.26 közműv 082091'!L76+'7.27 közműv 082092'!L76+'7.28  óvoda 091140'!L76+'7.29 intézmkiv gyétk 104037'!L76+'7.30 szoc étk 107051'!L76+'7.31 segélyek 107060'!L76+'7.32 adóbev 900020'!L76+'7.33 pályázatok összesen'!L76+'7.6 út építés 045127'!L76</f>
        <v>0</v>
      </c>
      <c r="M76" s="246">
        <f>'7.1. igazg 011130'!M76+'7.2 temető 013320'!M76+'7.3. vagyon 013350'!M76+'7.4 018010'!M76+'7.5 finansz műveletek 018030'!M76+'7.7 közütak működtetés 045160'!M76+'7.8 parkoló 045170'!M76+'7.9 kábeltv 046020'!M76+'7.10 piac 047120'!M76+'7.11 tdm tám047320'!M76+'7.12 szemét 051030'!M76+'7.13 szennyvíz 052080'!M76+'7.14 víz 063080'!M76+'7.15 közvil 064010'!M76+'7.16 zöldterület 066010'!M76+'7.17 város 066020'!M76+'7.18 háziorvos 072111'!M76+'7.19 ügyelet 072112'!M76+'7.20 fülészet 072210'!M76+'7.21 védőnők 074031'!M76+'7.22 isk eü 074032'!M76+'7.23 sportcsépület 081030'!M76+'7.24 sport tám 081041'!M76+'7.25 diáksport 081043'!M76+'7.26 közműv 082091'!M76+'7.27 közműv 082092'!M76+'7.28  óvoda 091140'!M76+'7.29 intézmkiv gyétk 104037'!M76+'7.30 szoc étk 107051'!M76+'7.31 segélyek 107060'!M76+'7.32 adóbev 900020'!M76+'7.33 pályázatok összesen'!M76+'7.6 út építés 045127'!M76</f>
        <v>0</v>
      </c>
      <c r="N76" s="247">
        <f t="shared" ca="1" si="7"/>
        <v>0</v>
      </c>
    </row>
    <row r="77" spans="1:18" x14ac:dyDescent="0.25">
      <c r="A77" s="53" t="s">
        <v>149</v>
      </c>
      <c r="B77" s="62" t="s">
        <v>150</v>
      </c>
      <c r="C77" s="246">
        <f>'7.1. igazg 011130'!C77+'7.2 temető 013320'!C77+'7.3. vagyon 013350'!C77+'7.4 018010'!C77+'7.5 finansz műveletek 018030'!C77+'7.7 közütak működtetés 045160'!C77+'7.8 parkoló 045170'!C77+'7.9 kábeltv 046020'!C77+'7.10 piac 047120'!C77+'7.11 tdm tám047320'!C77+'7.12 szemét 051030'!C77+'7.13 szennyvíz 052080'!C77+'7.14 víz 063080'!C77+'7.15 közvil 064010'!C77+'7.16 zöldterület 066010'!C77+'7.17 város 066020'!C77+'7.18 háziorvos 072111'!C77+'7.19 ügyelet 072112'!C77+'7.20 fülészet 072210'!C77+'7.21 védőnők 074031'!C77+'7.22 isk eü 074032'!C77+'7.23 sportcsépület 081030'!C77+'7.24 sport tám 081041'!C77+'7.25 diáksport 081043'!C77+'7.26 közműv 082091'!C77+'7.27 közműv 082092'!C77+'7.28  óvoda 091140'!C77+'7.29 intézmkiv gyétk 104037'!C77+'7.30 szoc étk 107051'!C77+'7.31 segélyek 107060'!C77+'7.32 adóbev 900020'!C77+'7.33 pályázatok összesen'!C77+'7.6 út építés 045127'!C77</f>
        <v>0</v>
      </c>
      <c r="D77" s="246">
        <f>'7.1. igazg 011130'!D77+'7.2 temető 013320'!D77+'7.3. vagyon 013350'!D77+'7.4 018010'!D77+'7.5 finansz műveletek 018030'!D77+'7.7 közütak működtetés 045160'!D77+'7.8 parkoló 045170'!D77+'7.9 kábeltv 046020'!D77+'7.10 piac 047120'!D77+'7.11 tdm tám047320'!D77+'7.12 szemét 051030'!D77+'7.13 szennyvíz 052080'!D77+'7.14 víz 063080'!D77+'7.15 közvil 064010'!D77+'7.16 zöldterület 066010'!D77+'7.17 város 066020'!D77+'7.18 háziorvos 072111'!D77+'7.19 ügyelet 072112'!D77+'7.20 fülészet 072210'!D77+'7.21 védőnők 074031'!D77+'7.22 isk eü 074032'!D77+'7.23 sportcsépület 081030'!D77+'7.24 sport tám 081041'!D77+'7.25 diáksport 081043'!D77+'7.26 közműv 082091'!D77+'7.27 közműv 082092'!D77+'7.28  óvoda 091140'!D77+'7.29 intézmkiv gyétk 104037'!D77+'7.30 szoc étk 107051'!D77+'7.31 segélyek 107060'!D77+'7.32 adóbev 900020'!D77+'7.33 pályázatok összesen'!D77+'7.6 út építés 045127'!D77</f>
        <v>0</v>
      </c>
      <c r="E77" s="247">
        <f t="shared" si="4"/>
        <v>0</v>
      </c>
      <c r="F77" s="246">
        <f>'7.1. igazg 011130'!F77+'7.2 temető 013320'!F77+'7.3. vagyon 013350'!F77+'7.4 018010'!F77+'7.5 finansz műveletek 018030'!F77+'7.7 közütak működtetés 045160'!F77+'7.8 parkoló 045170'!F77+'7.9 kábeltv 046020'!F77+'7.10 piac 047120'!F77+'7.11 tdm tám047320'!F77+'7.12 szemét 051030'!F77+'7.13 szennyvíz 052080'!F77+'7.14 víz 063080'!F77+'7.15 közvil 064010'!F77+'7.16 zöldterület 066010'!F77+'7.17 város 066020'!F77+'7.18 háziorvos 072111'!F77+'7.19 ügyelet 072112'!F77+'7.20 fülészet 072210'!F77+'7.21 védőnők 074031'!F77+'7.22 isk eü 074032'!F77+'7.23 sportcsépület 081030'!F77+'7.24 sport tám 081041'!F77+'7.25 diáksport 081043'!F77+'7.26 közműv 082091'!F77+'7.27 közműv 082092'!F77+'7.28  óvoda 091140'!F77+'7.29 intézmkiv gyétk 104037'!F77+'7.30 szoc étk 107051'!F77+'7.31 segélyek 107060'!F77+'7.32 adóbev 900020'!F77+'7.33 pályázatok összesen'!F77+'7.6 út építés 045127'!F77</f>
        <v>0</v>
      </c>
      <c r="G77" s="246">
        <f>'7.1. igazg 011130'!G77+'7.2 temető 013320'!G77+'7.3. vagyon 013350'!G77+'7.4 018010'!G77+'7.5 finansz műveletek 018030'!G77+'7.7 közütak működtetés 045160'!G77+'7.8 parkoló 045170'!G77+'7.9 kábeltv 046020'!G77+'7.10 piac 047120'!G77+'7.11 tdm tám047320'!G77+'7.12 szemét 051030'!G77+'7.13 szennyvíz 052080'!G77+'7.14 víz 063080'!G77+'7.15 közvil 064010'!G77+'7.16 zöldterület 066010'!G77+'7.17 város 066020'!G77+'7.18 háziorvos 072111'!G77+'7.19 ügyelet 072112'!G77+'7.20 fülészet 072210'!G77+'7.21 védőnők 074031'!G77+'7.22 isk eü 074032'!G77+'7.23 sportcsépület 081030'!G77+'7.24 sport tám 081041'!G77+'7.25 diáksport 081043'!G77+'7.26 közműv 082091'!G77+'7.27 közműv 082092'!G77+'7.28  óvoda 091140'!G77+'7.29 intézmkiv gyétk 104037'!G77+'7.30 szoc étk 107051'!G77+'7.31 segélyek 107060'!G77+'7.32 adóbev 900020'!G77+'7.33 pályázatok összesen'!G77+'7.6 út építés 045127'!G77</f>
        <v>0</v>
      </c>
      <c r="H77" s="247">
        <f t="shared" si="5"/>
        <v>0</v>
      </c>
      <c r="I77" s="246">
        <f ca="1">'7.1. igazg 011130'!I77+'7.2 temető 013320'!I77+'7.3. vagyon 013350'!I77+'7.4 018010'!I77+'7.5 finansz műveletek 018030'!I77+'7.7 közütak működtetés 045160'!I77+'7.8 parkoló 045170'!I77+'7.9 kábeltv 046020'!I77+'7.10 piac 047120'!I77+'7.11 tdm tám047320'!I77+'7.12 szemét 051030'!I77+'7.13 szennyvíz 052080'!I77+'7.14 víz 063080'!I77+'7.15 közvil 064010'!I77+'7.16 zöldterület 066010'!I77+'7.17 város 066020'!I77+'7.18 háziorvos 072111'!I77+'7.19 ügyelet 072112'!I77+'7.20 fülészet 072210'!I77+'7.21 védőnők 074031'!I77+'7.22 isk eü 074032'!I77+'7.23 sportcsépület 081030'!I77+'7.24 sport tám 081041'!I77+'7.25 diáksport 081043'!I77+'7.26 közműv 082091'!I77+'7.27 közműv 082092'!I77+'7.28  óvoda 091140'!I77+'7.29 intézmkiv gyétk 104037'!I77+'7.30 szoc étk 107051'!I77+'7.31 segélyek 107060'!I77+'7.32 adóbev 900020'!I77+'7.33 pályázatok összesen'!I77+'7.6 út építés 045127'!I77</f>
        <v>0</v>
      </c>
      <c r="J77" s="246">
        <f>'7.1. igazg 011130'!J77+'7.2 temető 013320'!J77+'7.3. vagyon 013350'!J77+'7.4 018010'!J77+'7.5 finansz műveletek 018030'!J77+'7.7 közütak működtetés 045160'!J77+'7.8 parkoló 045170'!J77+'7.9 kábeltv 046020'!J77+'7.10 piac 047120'!J77+'7.11 tdm tám047320'!J77+'7.12 szemét 051030'!J77+'7.13 szennyvíz 052080'!J77+'7.14 víz 063080'!J77+'7.15 közvil 064010'!J77+'7.16 zöldterület 066010'!J77+'7.17 város 066020'!J77+'7.18 háziorvos 072111'!J77+'7.19 ügyelet 072112'!J77+'7.20 fülészet 072210'!J77+'7.21 védőnők 074031'!J77+'7.22 isk eü 074032'!J77+'7.23 sportcsépület 081030'!J77+'7.24 sport tám 081041'!J77+'7.25 diáksport 081043'!J77+'7.26 közműv 082091'!J77+'7.27 közműv 082092'!J77+'7.28  óvoda 091140'!J77+'7.29 intézmkiv gyétk 104037'!J77+'7.30 szoc étk 107051'!J77+'7.31 segélyek 107060'!J77+'7.32 adóbev 900020'!J77+'7.33 pályázatok összesen'!J77+'7.6 út építés 045127'!J77</f>
        <v>0</v>
      </c>
      <c r="K77" s="247">
        <f t="shared" ca="1" si="6"/>
        <v>0</v>
      </c>
      <c r="L77" s="246">
        <f ca="1">'7.1. igazg 011130'!L77+'7.2 temető 013320'!L77+'7.3. vagyon 013350'!L77+'7.4 018010'!L77+'7.5 finansz műveletek 018030'!L77+'7.7 közütak működtetés 045160'!L77+'7.8 parkoló 045170'!L77+'7.9 kábeltv 046020'!L77+'7.10 piac 047120'!L77+'7.11 tdm tám047320'!L77+'7.12 szemét 051030'!L77+'7.13 szennyvíz 052080'!L77+'7.14 víz 063080'!L77+'7.15 közvil 064010'!L77+'7.16 zöldterület 066010'!L77+'7.17 város 066020'!L77+'7.18 háziorvos 072111'!L77+'7.19 ügyelet 072112'!L77+'7.20 fülészet 072210'!L77+'7.21 védőnők 074031'!L77+'7.22 isk eü 074032'!L77+'7.23 sportcsépület 081030'!L77+'7.24 sport tám 081041'!L77+'7.25 diáksport 081043'!L77+'7.26 közműv 082091'!L77+'7.27 közműv 082092'!L77+'7.28  óvoda 091140'!L77+'7.29 intézmkiv gyétk 104037'!L77+'7.30 szoc étk 107051'!L77+'7.31 segélyek 107060'!L77+'7.32 adóbev 900020'!L77+'7.33 pályázatok összesen'!L77+'7.6 út építés 045127'!L77</f>
        <v>0</v>
      </c>
      <c r="M77" s="246">
        <f>'7.1. igazg 011130'!M77+'7.2 temető 013320'!M77+'7.3. vagyon 013350'!M77+'7.4 018010'!M77+'7.5 finansz műveletek 018030'!M77+'7.7 közütak működtetés 045160'!M77+'7.8 parkoló 045170'!M77+'7.9 kábeltv 046020'!M77+'7.10 piac 047120'!M77+'7.11 tdm tám047320'!M77+'7.12 szemét 051030'!M77+'7.13 szennyvíz 052080'!M77+'7.14 víz 063080'!M77+'7.15 közvil 064010'!M77+'7.16 zöldterület 066010'!M77+'7.17 város 066020'!M77+'7.18 háziorvos 072111'!M77+'7.19 ügyelet 072112'!M77+'7.20 fülészet 072210'!M77+'7.21 védőnők 074031'!M77+'7.22 isk eü 074032'!M77+'7.23 sportcsépület 081030'!M77+'7.24 sport tám 081041'!M77+'7.25 diáksport 081043'!M77+'7.26 közműv 082091'!M77+'7.27 közműv 082092'!M77+'7.28  óvoda 091140'!M77+'7.29 intézmkiv gyétk 104037'!M77+'7.30 szoc étk 107051'!M77+'7.31 segélyek 107060'!M77+'7.32 adóbev 900020'!M77+'7.33 pályázatok összesen'!M77+'7.6 út építés 045127'!M77</f>
        <v>0</v>
      </c>
      <c r="N77" s="247">
        <f t="shared" ca="1" si="7"/>
        <v>0</v>
      </c>
    </row>
    <row r="78" spans="1:18" x14ac:dyDescent="0.25">
      <c r="A78" s="53" t="s">
        <v>151</v>
      </c>
      <c r="B78" s="62" t="s">
        <v>152</v>
      </c>
      <c r="C78" s="246">
        <f>'7.1. igazg 011130'!C78+'7.2 temető 013320'!C78+'7.3. vagyon 013350'!C78+'7.4 018010'!C78+'7.5 finansz műveletek 018030'!C78+'7.7 közütak működtetés 045160'!C78+'7.8 parkoló 045170'!C78+'7.9 kábeltv 046020'!C78+'7.10 piac 047120'!C78+'7.11 tdm tám047320'!C78+'7.12 szemét 051030'!C78+'7.13 szennyvíz 052080'!C78+'7.14 víz 063080'!C78+'7.15 közvil 064010'!C78+'7.16 zöldterület 066010'!C78+'7.17 város 066020'!C78+'7.18 háziorvos 072111'!C78+'7.19 ügyelet 072112'!C78+'7.20 fülészet 072210'!C78+'7.21 védőnők 074031'!C78+'7.22 isk eü 074032'!C78+'7.23 sportcsépület 081030'!C78+'7.24 sport tám 081041'!C78+'7.25 diáksport 081043'!C78+'7.26 közműv 082091'!C78+'7.27 közműv 082092'!C78+'7.28  óvoda 091140'!C78+'7.29 intézmkiv gyétk 104037'!C78+'7.30 szoc étk 107051'!C78+'7.31 segélyek 107060'!C78+'7.32 adóbev 900020'!C78+'7.33 pályázatok összesen'!C78+'7.6 út építés 045127'!C78</f>
        <v>0</v>
      </c>
      <c r="D78" s="246">
        <f>'7.1. igazg 011130'!D78+'7.2 temető 013320'!D78+'7.3. vagyon 013350'!D78+'7.4 018010'!D78+'7.5 finansz műveletek 018030'!D78+'7.7 közütak működtetés 045160'!D78+'7.8 parkoló 045170'!D78+'7.9 kábeltv 046020'!D78+'7.10 piac 047120'!D78+'7.11 tdm tám047320'!D78+'7.12 szemét 051030'!D78+'7.13 szennyvíz 052080'!D78+'7.14 víz 063080'!D78+'7.15 közvil 064010'!D78+'7.16 zöldterület 066010'!D78+'7.17 város 066020'!D78+'7.18 háziorvos 072111'!D78+'7.19 ügyelet 072112'!D78+'7.20 fülészet 072210'!D78+'7.21 védőnők 074031'!D78+'7.22 isk eü 074032'!D78+'7.23 sportcsépület 081030'!D78+'7.24 sport tám 081041'!D78+'7.25 diáksport 081043'!D78+'7.26 közműv 082091'!D78+'7.27 közműv 082092'!D78+'7.28  óvoda 091140'!D78+'7.29 intézmkiv gyétk 104037'!D78+'7.30 szoc étk 107051'!D78+'7.31 segélyek 107060'!D78+'7.32 adóbev 900020'!D78+'7.33 pályázatok összesen'!D78+'7.6 út építés 045127'!D78</f>
        <v>0</v>
      </c>
      <c r="E78" s="247">
        <f t="shared" si="4"/>
        <v>0</v>
      </c>
      <c r="F78" s="246">
        <f>'7.1. igazg 011130'!F78+'7.2 temető 013320'!F78+'7.3. vagyon 013350'!F78+'7.4 018010'!F78+'7.5 finansz műveletek 018030'!F78+'7.7 közütak működtetés 045160'!F78+'7.8 parkoló 045170'!F78+'7.9 kábeltv 046020'!F78+'7.10 piac 047120'!F78+'7.11 tdm tám047320'!F78+'7.12 szemét 051030'!F78+'7.13 szennyvíz 052080'!F78+'7.14 víz 063080'!F78+'7.15 közvil 064010'!F78+'7.16 zöldterület 066010'!F78+'7.17 város 066020'!F78+'7.18 háziorvos 072111'!F78+'7.19 ügyelet 072112'!F78+'7.20 fülészet 072210'!F78+'7.21 védőnők 074031'!F78+'7.22 isk eü 074032'!F78+'7.23 sportcsépület 081030'!F78+'7.24 sport tám 081041'!F78+'7.25 diáksport 081043'!F78+'7.26 közműv 082091'!F78+'7.27 közműv 082092'!F78+'7.28  óvoda 091140'!F78+'7.29 intézmkiv gyétk 104037'!F78+'7.30 szoc étk 107051'!F78+'7.31 segélyek 107060'!F78+'7.32 adóbev 900020'!F78+'7.33 pályázatok összesen'!F78+'7.6 út építés 045127'!F78</f>
        <v>0</v>
      </c>
      <c r="G78" s="246">
        <f>'7.1. igazg 011130'!G78+'7.2 temető 013320'!G78+'7.3. vagyon 013350'!G78+'7.4 018010'!G78+'7.5 finansz műveletek 018030'!G78+'7.7 közütak működtetés 045160'!G78+'7.8 parkoló 045170'!G78+'7.9 kábeltv 046020'!G78+'7.10 piac 047120'!G78+'7.11 tdm tám047320'!G78+'7.12 szemét 051030'!G78+'7.13 szennyvíz 052080'!G78+'7.14 víz 063080'!G78+'7.15 közvil 064010'!G78+'7.16 zöldterület 066010'!G78+'7.17 város 066020'!G78+'7.18 háziorvos 072111'!G78+'7.19 ügyelet 072112'!G78+'7.20 fülészet 072210'!G78+'7.21 védőnők 074031'!G78+'7.22 isk eü 074032'!G78+'7.23 sportcsépület 081030'!G78+'7.24 sport tám 081041'!G78+'7.25 diáksport 081043'!G78+'7.26 közműv 082091'!G78+'7.27 közműv 082092'!G78+'7.28  óvoda 091140'!G78+'7.29 intézmkiv gyétk 104037'!G78+'7.30 szoc étk 107051'!G78+'7.31 segélyek 107060'!G78+'7.32 adóbev 900020'!G78+'7.33 pályázatok összesen'!G78+'7.6 út építés 045127'!G78</f>
        <v>0</v>
      </c>
      <c r="H78" s="247">
        <f t="shared" si="5"/>
        <v>0</v>
      </c>
      <c r="I78" s="246">
        <f ca="1">'7.1. igazg 011130'!I78+'7.2 temető 013320'!I78+'7.3. vagyon 013350'!I78+'7.4 018010'!I78+'7.5 finansz műveletek 018030'!I78+'7.7 közütak működtetés 045160'!I78+'7.8 parkoló 045170'!I78+'7.9 kábeltv 046020'!I78+'7.10 piac 047120'!I78+'7.11 tdm tám047320'!I78+'7.12 szemét 051030'!I78+'7.13 szennyvíz 052080'!I78+'7.14 víz 063080'!I78+'7.15 közvil 064010'!I78+'7.16 zöldterület 066010'!I78+'7.17 város 066020'!I78+'7.18 háziorvos 072111'!I78+'7.19 ügyelet 072112'!I78+'7.20 fülészet 072210'!I78+'7.21 védőnők 074031'!I78+'7.22 isk eü 074032'!I78+'7.23 sportcsépület 081030'!I78+'7.24 sport tám 081041'!I78+'7.25 diáksport 081043'!I78+'7.26 közműv 082091'!I78+'7.27 közműv 082092'!I78+'7.28  óvoda 091140'!I78+'7.29 intézmkiv gyétk 104037'!I78+'7.30 szoc étk 107051'!I78+'7.31 segélyek 107060'!I78+'7.32 adóbev 900020'!I78+'7.33 pályázatok összesen'!I78+'7.6 út építés 045127'!I78</f>
        <v>0</v>
      </c>
      <c r="J78" s="246">
        <f>'7.1. igazg 011130'!J78+'7.2 temető 013320'!J78+'7.3. vagyon 013350'!J78+'7.4 018010'!J78+'7.5 finansz műveletek 018030'!J78+'7.7 közütak működtetés 045160'!J78+'7.8 parkoló 045170'!J78+'7.9 kábeltv 046020'!J78+'7.10 piac 047120'!J78+'7.11 tdm tám047320'!J78+'7.12 szemét 051030'!J78+'7.13 szennyvíz 052080'!J78+'7.14 víz 063080'!J78+'7.15 közvil 064010'!J78+'7.16 zöldterület 066010'!J78+'7.17 város 066020'!J78+'7.18 háziorvos 072111'!J78+'7.19 ügyelet 072112'!J78+'7.20 fülészet 072210'!J78+'7.21 védőnők 074031'!J78+'7.22 isk eü 074032'!J78+'7.23 sportcsépület 081030'!J78+'7.24 sport tám 081041'!J78+'7.25 diáksport 081043'!J78+'7.26 közműv 082091'!J78+'7.27 közműv 082092'!J78+'7.28  óvoda 091140'!J78+'7.29 intézmkiv gyétk 104037'!J78+'7.30 szoc étk 107051'!J78+'7.31 segélyek 107060'!J78+'7.32 adóbev 900020'!J78+'7.33 pályázatok összesen'!J78+'7.6 út építés 045127'!J78</f>
        <v>0</v>
      </c>
      <c r="K78" s="247">
        <f t="shared" ca="1" si="6"/>
        <v>0</v>
      </c>
      <c r="L78" s="246">
        <f ca="1">'7.1. igazg 011130'!L78+'7.2 temető 013320'!L78+'7.3. vagyon 013350'!L78+'7.4 018010'!L78+'7.5 finansz műveletek 018030'!L78+'7.7 közütak működtetés 045160'!L78+'7.8 parkoló 045170'!L78+'7.9 kábeltv 046020'!L78+'7.10 piac 047120'!L78+'7.11 tdm tám047320'!L78+'7.12 szemét 051030'!L78+'7.13 szennyvíz 052080'!L78+'7.14 víz 063080'!L78+'7.15 közvil 064010'!L78+'7.16 zöldterület 066010'!L78+'7.17 város 066020'!L78+'7.18 háziorvos 072111'!L78+'7.19 ügyelet 072112'!L78+'7.20 fülészet 072210'!L78+'7.21 védőnők 074031'!L78+'7.22 isk eü 074032'!L78+'7.23 sportcsépület 081030'!L78+'7.24 sport tám 081041'!L78+'7.25 diáksport 081043'!L78+'7.26 közműv 082091'!L78+'7.27 közműv 082092'!L78+'7.28  óvoda 091140'!L78+'7.29 intézmkiv gyétk 104037'!L78+'7.30 szoc étk 107051'!L78+'7.31 segélyek 107060'!L78+'7.32 adóbev 900020'!L78+'7.33 pályázatok összesen'!L78+'7.6 út építés 045127'!L78</f>
        <v>0</v>
      </c>
      <c r="M78" s="246">
        <f>'7.1. igazg 011130'!M78+'7.2 temető 013320'!M78+'7.3. vagyon 013350'!M78+'7.4 018010'!M78+'7.5 finansz műveletek 018030'!M78+'7.7 közütak működtetés 045160'!M78+'7.8 parkoló 045170'!M78+'7.9 kábeltv 046020'!M78+'7.10 piac 047120'!M78+'7.11 tdm tám047320'!M78+'7.12 szemét 051030'!M78+'7.13 szennyvíz 052080'!M78+'7.14 víz 063080'!M78+'7.15 közvil 064010'!M78+'7.16 zöldterület 066010'!M78+'7.17 város 066020'!M78+'7.18 háziorvos 072111'!M78+'7.19 ügyelet 072112'!M78+'7.20 fülészet 072210'!M78+'7.21 védőnők 074031'!M78+'7.22 isk eü 074032'!M78+'7.23 sportcsépület 081030'!M78+'7.24 sport tám 081041'!M78+'7.25 diáksport 081043'!M78+'7.26 közműv 082091'!M78+'7.27 közműv 082092'!M78+'7.28  óvoda 091140'!M78+'7.29 intézmkiv gyétk 104037'!M78+'7.30 szoc étk 107051'!M78+'7.31 segélyek 107060'!M78+'7.32 adóbev 900020'!M78+'7.33 pályázatok összesen'!M78+'7.6 út építés 045127'!M78</f>
        <v>0</v>
      </c>
      <c r="N78" s="247">
        <f t="shared" ca="1" si="7"/>
        <v>0</v>
      </c>
    </row>
    <row r="79" spans="1:18" x14ac:dyDescent="0.25">
      <c r="A79" s="53" t="s">
        <v>153</v>
      </c>
      <c r="B79" s="62" t="s">
        <v>154</v>
      </c>
      <c r="C79" s="246">
        <f>'7.1. igazg 011130'!C79+'7.2 temető 013320'!C79+'7.3. vagyon 013350'!C79+'7.4 018010'!C79+'7.5 finansz műveletek 018030'!C79+'7.7 közütak működtetés 045160'!C79+'7.8 parkoló 045170'!C79+'7.9 kábeltv 046020'!C79+'7.10 piac 047120'!C79+'7.11 tdm tám047320'!C79+'7.12 szemét 051030'!C79+'7.13 szennyvíz 052080'!C79+'7.14 víz 063080'!C79+'7.15 közvil 064010'!C79+'7.16 zöldterület 066010'!C79+'7.17 város 066020'!C79+'7.18 háziorvos 072111'!C79+'7.19 ügyelet 072112'!C79+'7.20 fülészet 072210'!C79+'7.21 védőnők 074031'!C79+'7.22 isk eü 074032'!C79+'7.23 sportcsépület 081030'!C79+'7.24 sport tám 081041'!C79+'7.25 diáksport 081043'!C79+'7.26 közműv 082091'!C79+'7.27 közműv 082092'!C79+'7.28  óvoda 091140'!C79+'7.29 intézmkiv gyétk 104037'!C79+'7.30 szoc étk 107051'!C79+'7.31 segélyek 107060'!C79+'7.32 adóbev 900020'!C79+'7.33 pályázatok összesen'!C79+'7.6 út építés 045127'!C79</f>
        <v>2469475370</v>
      </c>
      <c r="D79" s="246">
        <f>'7.1. igazg 011130'!D79+'7.2 temető 013320'!D79+'7.3. vagyon 013350'!D79+'7.4 018010'!D79+'7.5 finansz műveletek 018030'!D79+'7.7 közütak működtetés 045160'!D79+'7.8 parkoló 045170'!D79+'7.9 kábeltv 046020'!D79+'7.10 piac 047120'!D79+'7.11 tdm tám047320'!D79+'7.12 szemét 051030'!D79+'7.13 szennyvíz 052080'!D79+'7.14 víz 063080'!D79+'7.15 közvil 064010'!D79+'7.16 zöldterület 066010'!D79+'7.17 város 066020'!D79+'7.18 háziorvos 072111'!D79+'7.19 ügyelet 072112'!D79+'7.20 fülészet 072210'!D79+'7.21 védőnők 074031'!D79+'7.22 isk eü 074032'!D79+'7.23 sportcsépület 081030'!D79+'7.24 sport tám 081041'!D79+'7.25 diáksport 081043'!D79+'7.26 közműv 082091'!D79+'7.27 közműv 082092'!D79+'7.28  óvoda 091140'!D79+'7.29 intézmkiv gyétk 104037'!D79+'7.30 szoc étk 107051'!D79+'7.31 segélyek 107060'!D79+'7.32 adóbev 900020'!D79+'7.33 pályázatok összesen'!D79+'7.6 út építés 045127'!D79</f>
        <v>0</v>
      </c>
      <c r="E79" s="247">
        <f t="shared" si="4"/>
        <v>2469475370</v>
      </c>
      <c r="F79" s="246">
        <f>'7.1. igazg 011130'!F79+'7.2 temető 013320'!F79+'7.3. vagyon 013350'!F79+'7.4 018010'!F79+'7.5 finansz műveletek 018030'!F79+'7.7 közütak működtetés 045160'!F79+'7.8 parkoló 045170'!F79+'7.9 kábeltv 046020'!F79+'7.10 piac 047120'!F79+'7.11 tdm tám047320'!F79+'7.12 szemét 051030'!F79+'7.13 szennyvíz 052080'!F79+'7.14 víz 063080'!F79+'7.15 közvil 064010'!F79+'7.16 zöldterület 066010'!F79+'7.17 város 066020'!F79+'7.18 háziorvos 072111'!F79+'7.19 ügyelet 072112'!F79+'7.20 fülészet 072210'!F79+'7.21 védőnők 074031'!F79+'7.22 isk eü 074032'!F79+'7.23 sportcsépület 081030'!F79+'7.24 sport tám 081041'!F79+'7.25 diáksport 081043'!F79+'7.26 közműv 082091'!F79+'7.27 közműv 082092'!F79+'7.28  óvoda 091140'!F79+'7.29 intézmkiv gyétk 104037'!F79+'7.30 szoc étk 107051'!F79+'7.31 segélyek 107060'!F79+'7.32 adóbev 900020'!F79+'7.33 pályázatok összesen'!F79+'7.6 út építés 045127'!F79</f>
        <v>2473017443</v>
      </c>
      <c r="G79" s="246">
        <f>'7.1. igazg 011130'!G79+'7.2 temető 013320'!G79+'7.3. vagyon 013350'!G79+'7.4 018010'!G79+'7.5 finansz műveletek 018030'!G79+'7.7 közütak működtetés 045160'!G79+'7.8 parkoló 045170'!G79+'7.9 kábeltv 046020'!G79+'7.10 piac 047120'!G79+'7.11 tdm tám047320'!G79+'7.12 szemét 051030'!G79+'7.13 szennyvíz 052080'!G79+'7.14 víz 063080'!G79+'7.15 közvil 064010'!G79+'7.16 zöldterület 066010'!G79+'7.17 város 066020'!G79+'7.18 háziorvos 072111'!G79+'7.19 ügyelet 072112'!G79+'7.20 fülészet 072210'!G79+'7.21 védőnők 074031'!G79+'7.22 isk eü 074032'!G79+'7.23 sportcsépület 081030'!G79+'7.24 sport tám 081041'!G79+'7.25 diáksport 081043'!G79+'7.26 közműv 082091'!G79+'7.27 közműv 082092'!G79+'7.28  óvoda 091140'!G79+'7.29 intézmkiv gyétk 104037'!G79+'7.30 szoc étk 107051'!G79+'7.31 segélyek 107060'!G79+'7.32 adóbev 900020'!G79+'7.33 pályázatok összesen'!G79+'7.6 út építés 045127'!G79</f>
        <v>0</v>
      </c>
      <c r="H79" s="247">
        <f t="shared" si="5"/>
        <v>2473017443</v>
      </c>
      <c r="I79" s="246">
        <f ca="1">'7.1. igazg 011130'!I79+'7.2 temető 013320'!I79+'7.3. vagyon 013350'!I79+'7.4 018010'!I79+'7.5 finansz műveletek 018030'!I79+'7.7 közütak működtetés 045160'!I79+'7.8 parkoló 045170'!I79+'7.9 kábeltv 046020'!I79+'7.10 piac 047120'!I79+'7.11 tdm tám047320'!I79+'7.12 szemét 051030'!I79+'7.13 szennyvíz 052080'!I79+'7.14 víz 063080'!I79+'7.15 közvil 064010'!I79+'7.16 zöldterület 066010'!I79+'7.17 város 066020'!I79+'7.18 háziorvos 072111'!I79+'7.19 ügyelet 072112'!I79+'7.20 fülészet 072210'!I79+'7.21 védőnők 074031'!I79+'7.22 isk eü 074032'!I79+'7.23 sportcsépület 081030'!I79+'7.24 sport tám 081041'!I79+'7.25 diáksport 081043'!I79+'7.26 közműv 082091'!I79+'7.27 közműv 082092'!I79+'7.28  óvoda 091140'!I79+'7.29 intézmkiv gyétk 104037'!I79+'7.30 szoc étk 107051'!I79+'7.31 segélyek 107060'!I79+'7.32 adóbev 900020'!I79+'7.33 pályázatok összesen'!I79+'7.6 út építés 045127'!I79</f>
        <v>2473017443</v>
      </c>
      <c r="J79" s="246">
        <f>'7.1. igazg 011130'!J79+'7.2 temető 013320'!J79+'7.3. vagyon 013350'!J79+'7.4 018010'!J79+'7.5 finansz műveletek 018030'!J79+'7.7 közütak működtetés 045160'!J79+'7.8 parkoló 045170'!J79+'7.9 kábeltv 046020'!J79+'7.10 piac 047120'!J79+'7.11 tdm tám047320'!J79+'7.12 szemét 051030'!J79+'7.13 szennyvíz 052080'!J79+'7.14 víz 063080'!J79+'7.15 közvil 064010'!J79+'7.16 zöldterület 066010'!J79+'7.17 város 066020'!J79+'7.18 háziorvos 072111'!J79+'7.19 ügyelet 072112'!J79+'7.20 fülészet 072210'!J79+'7.21 védőnők 074031'!J79+'7.22 isk eü 074032'!J79+'7.23 sportcsépület 081030'!J79+'7.24 sport tám 081041'!J79+'7.25 diáksport 081043'!J79+'7.26 közműv 082091'!J79+'7.27 közműv 082092'!J79+'7.28  óvoda 091140'!J79+'7.29 intézmkiv gyétk 104037'!J79+'7.30 szoc étk 107051'!J79+'7.31 segélyek 107060'!J79+'7.32 adóbev 900020'!J79+'7.33 pályázatok összesen'!J79+'7.6 út építés 045127'!J79</f>
        <v>0</v>
      </c>
      <c r="K79" s="247">
        <f t="shared" ca="1" si="6"/>
        <v>2473017443</v>
      </c>
      <c r="L79" s="246">
        <f ca="1">'7.1. igazg 011130'!L79+'7.2 temető 013320'!L79+'7.3. vagyon 013350'!L79+'7.4 018010'!L79+'7.5 finansz műveletek 018030'!L79+'7.7 közütak működtetés 045160'!L79+'7.8 parkoló 045170'!L79+'7.9 kábeltv 046020'!L79+'7.10 piac 047120'!L79+'7.11 tdm tám047320'!L79+'7.12 szemét 051030'!L79+'7.13 szennyvíz 052080'!L79+'7.14 víz 063080'!L79+'7.15 közvil 064010'!L79+'7.16 zöldterület 066010'!L79+'7.17 város 066020'!L79+'7.18 háziorvos 072111'!L79+'7.19 ügyelet 072112'!L79+'7.20 fülészet 072210'!L79+'7.21 védőnők 074031'!L79+'7.22 isk eü 074032'!L79+'7.23 sportcsépület 081030'!L79+'7.24 sport tám 081041'!L79+'7.25 diáksport 081043'!L79+'7.26 közműv 082091'!L79+'7.27 közműv 082092'!L79+'7.28  óvoda 091140'!L79+'7.29 intézmkiv gyétk 104037'!L79+'7.30 szoc étk 107051'!L79+'7.31 segélyek 107060'!L79+'7.32 adóbev 900020'!L79+'7.33 pályázatok összesen'!L79+'7.6 út építés 045127'!L79</f>
        <v>2473017443</v>
      </c>
      <c r="M79" s="246">
        <f>'7.1. igazg 011130'!M79+'7.2 temető 013320'!M79+'7.3. vagyon 013350'!M79+'7.4 018010'!M79+'7.5 finansz műveletek 018030'!M79+'7.7 közütak működtetés 045160'!M79+'7.8 parkoló 045170'!M79+'7.9 kábeltv 046020'!M79+'7.10 piac 047120'!M79+'7.11 tdm tám047320'!M79+'7.12 szemét 051030'!M79+'7.13 szennyvíz 052080'!M79+'7.14 víz 063080'!M79+'7.15 közvil 064010'!M79+'7.16 zöldterület 066010'!M79+'7.17 város 066020'!M79+'7.18 háziorvos 072111'!M79+'7.19 ügyelet 072112'!M79+'7.20 fülészet 072210'!M79+'7.21 védőnők 074031'!M79+'7.22 isk eü 074032'!M79+'7.23 sportcsépület 081030'!M79+'7.24 sport tám 081041'!M79+'7.25 diáksport 081043'!M79+'7.26 közműv 082091'!M79+'7.27 közműv 082092'!M79+'7.28  óvoda 091140'!M79+'7.29 intézmkiv gyétk 104037'!M79+'7.30 szoc étk 107051'!M79+'7.31 segélyek 107060'!M79+'7.32 adóbev 900020'!M79+'7.33 pályázatok összesen'!M79+'7.6 út építés 045127'!M79</f>
        <v>0</v>
      </c>
      <c r="N79" s="247">
        <f t="shared" ca="1" si="7"/>
        <v>2473017443</v>
      </c>
    </row>
    <row r="80" spans="1:18" x14ac:dyDescent="0.25">
      <c r="A80" s="53"/>
      <c r="B80" s="62" t="s">
        <v>29</v>
      </c>
      <c r="C80" s="246">
        <f>'7.1. igazg 011130'!C80+'7.2 temető 013320'!C80+'7.3. vagyon 013350'!C80+'7.4 018010'!C80+'7.5 finansz műveletek 018030'!C80+'7.7 közütak működtetés 045160'!C80+'7.8 parkoló 045170'!C80+'7.9 kábeltv 046020'!C80+'7.10 piac 047120'!C80+'7.11 tdm tám047320'!C80+'7.12 szemét 051030'!C80+'7.13 szennyvíz 052080'!C80+'7.14 víz 063080'!C80+'7.15 közvil 064010'!C80+'7.16 zöldterület 066010'!C80+'7.17 város 066020'!C80+'7.18 háziorvos 072111'!C80+'7.19 ügyelet 072112'!C80+'7.20 fülészet 072210'!C80+'7.21 védőnők 074031'!C80+'7.22 isk eü 074032'!C80+'7.23 sportcsépület 081030'!C80+'7.24 sport tám 081041'!C80+'7.25 diáksport 081043'!C80+'7.26 közműv 082091'!C80+'7.27 közműv 082092'!C80+'7.28  óvoda 091140'!C80+'7.29 intézmkiv gyétk 104037'!C80+'7.30 szoc étk 107051'!C80+'7.31 segélyek 107060'!C80+'7.32 adóbev 900020'!C80+'7.33 pályázatok összesen'!C80+'7.6 út építés 045127'!C80</f>
        <v>488571724</v>
      </c>
      <c r="D80" s="246">
        <f>'7.1. igazg 011130'!D80+'7.2 temető 013320'!D80+'7.3. vagyon 013350'!D80+'7.4 018010'!D80+'7.5 finansz műveletek 018030'!D80+'7.7 közütak működtetés 045160'!D80+'7.8 parkoló 045170'!D80+'7.9 kábeltv 046020'!D80+'7.10 piac 047120'!D80+'7.11 tdm tám047320'!D80+'7.12 szemét 051030'!D80+'7.13 szennyvíz 052080'!D80+'7.14 víz 063080'!D80+'7.15 közvil 064010'!D80+'7.16 zöldterület 066010'!D80+'7.17 város 066020'!D80+'7.18 háziorvos 072111'!D80+'7.19 ügyelet 072112'!D80+'7.20 fülészet 072210'!D80+'7.21 védőnők 074031'!D80+'7.22 isk eü 074032'!D80+'7.23 sportcsépület 081030'!D80+'7.24 sport tám 081041'!D80+'7.25 diáksport 081043'!D80+'7.26 közműv 082091'!D80+'7.27 közműv 082092'!D80+'7.28  óvoda 091140'!D80+'7.29 intézmkiv gyétk 104037'!D80+'7.30 szoc étk 107051'!D80+'7.31 segélyek 107060'!D80+'7.32 adóbev 900020'!D80+'7.33 pályázatok összesen'!D80+'7.6 út építés 045127'!D80</f>
        <v>0</v>
      </c>
      <c r="E80" s="247">
        <f t="shared" si="4"/>
        <v>488571724</v>
      </c>
      <c r="F80" s="246">
        <f>'7.1. igazg 011130'!F80+'7.2 temető 013320'!F80+'7.3. vagyon 013350'!F80+'7.4 018010'!F80+'7.5 finansz műveletek 018030'!F80+'7.7 közütak működtetés 045160'!F80+'7.8 parkoló 045170'!F80+'7.9 kábeltv 046020'!F80+'7.10 piac 047120'!F80+'7.11 tdm tám047320'!F80+'7.12 szemét 051030'!F80+'7.13 szennyvíz 052080'!F80+'7.14 víz 063080'!F80+'7.15 közvil 064010'!F80+'7.16 zöldterület 066010'!F80+'7.17 város 066020'!F80+'7.18 háziorvos 072111'!F80+'7.19 ügyelet 072112'!F80+'7.20 fülészet 072210'!F80+'7.21 védőnők 074031'!F80+'7.22 isk eü 074032'!F80+'7.23 sportcsépület 081030'!F80+'7.24 sport tám 081041'!F80+'7.25 diáksport 081043'!F80+'7.26 közműv 082091'!F80+'7.27 közműv 082092'!F80+'7.28  óvoda 091140'!F80+'7.29 intézmkiv gyétk 104037'!F80+'7.30 szoc étk 107051'!F80+'7.31 segélyek 107060'!F80+'7.32 adóbev 900020'!F80+'7.33 pályázatok összesen'!F80+'7.6 út építés 045127'!F80</f>
        <v>492113797</v>
      </c>
      <c r="G80" s="246">
        <f>'7.1. igazg 011130'!G80+'7.2 temető 013320'!G80+'7.3. vagyon 013350'!G80+'7.4 018010'!G80+'7.5 finansz műveletek 018030'!G80+'7.7 közütak működtetés 045160'!G80+'7.8 parkoló 045170'!G80+'7.9 kábeltv 046020'!G80+'7.10 piac 047120'!G80+'7.11 tdm tám047320'!G80+'7.12 szemét 051030'!G80+'7.13 szennyvíz 052080'!G80+'7.14 víz 063080'!G80+'7.15 közvil 064010'!G80+'7.16 zöldterület 066010'!G80+'7.17 város 066020'!G80+'7.18 háziorvos 072111'!G80+'7.19 ügyelet 072112'!G80+'7.20 fülészet 072210'!G80+'7.21 védőnők 074031'!G80+'7.22 isk eü 074032'!G80+'7.23 sportcsépület 081030'!G80+'7.24 sport tám 081041'!G80+'7.25 diáksport 081043'!G80+'7.26 közműv 082091'!G80+'7.27 közműv 082092'!G80+'7.28  óvoda 091140'!G80+'7.29 intézmkiv gyétk 104037'!G80+'7.30 szoc étk 107051'!G80+'7.31 segélyek 107060'!G80+'7.32 adóbev 900020'!G80+'7.33 pályázatok összesen'!G80+'7.6 út építés 045127'!G80</f>
        <v>0</v>
      </c>
      <c r="H80" s="247">
        <f t="shared" si="5"/>
        <v>492113797</v>
      </c>
      <c r="I80" s="246">
        <f ca="1">'7.1. igazg 011130'!I80+'7.2 temető 013320'!I80+'7.3. vagyon 013350'!I80+'7.4 018010'!I80+'7.5 finansz műveletek 018030'!I80+'7.7 közütak működtetés 045160'!I80+'7.8 parkoló 045170'!I80+'7.9 kábeltv 046020'!I80+'7.10 piac 047120'!I80+'7.11 tdm tám047320'!I80+'7.12 szemét 051030'!I80+'7.13 szennyvíz 052080'!I80+'7.14 víz 063080'!I80+'7.15 közvil 064010'!I80+'7.16 zöldterület 066010'!I80+'7.17 város 066020'!I80+'7.18 háziorvos 072111'!I80+'7.19 ügyelet 072112'!I80+'7.20 fülészet 072210'!I80+'7.21 védőnők 074031'!I80+'7.22 isk eü 074032'!I80+'7.23 sportcsépület 081030'!I80+'7.24 sport tám 081041'!I80+'7.25 diáksport 081043'!I80+'7.26 közműv 082091'!I80+'7.27 közműv 082092'!I80+'7.28  óvoda 091140'!I80+'7.29 intézmkiv gyétk 104037'!I80+'7.30 szoc étk 107051'!I80+'7.31 segélyek 107060'!I80+'7.32 adóbev 900020'!I80+'7.33 pályázatok összesen'!I80+'7.6 út építés 045127'!I80</f>
        <v>492113797</v>
      </c>
      <c r="J80" s="246">
        <f>'7.1. igazg 011130'!J80+'7.2 temető 013320'!J80+'7.3. vagyon 013350'!J80+'7.4 018010'!J80+'7.5 finansz műveletek 018030'!J80+'7.7 közütak működtetés 045160'!J80+'7.8 parkoló 045170'!J80+'7.9 kábeltv 046020'!J80+'7.10 piac 047120'!J80+'7.11 tdm tám047320'!J80+'7.12 szemét 051030'!J80+'7.13 szennyvíz 052080'!J80+'7.14 víz 063080'!J80+'7.15 közvil 064010'!J80+'7.16 zöldterület 066010'!J80+'7.17 város 066020'!J80+'7.18 háziorvos 072111'!J80+'7.19 ügyelet 072112'!J80+'7.20 fülészet 072210'!J80+'7.21 védőnők 074031'!J80+'7.22 isk eü 074032'!J80+'7.23 sportcsépület 081030'!J80+'7.24 sport tám 081041'!J80+'7.25 diáksport 081043'!J80+'7.26 közműv 082091'!J80+'7.27 közműv 082092'!J80+'7.28  óvoda 091140'!J80+'7.29 intézmkiv gyétk 104037'!J80+'7.30 szoc étk 107051'!J80+'7.31 segélyek 107060'!J80+'7.32 adóbev 900020'!J80+'7.33 pályázatok összesen'!J80+'7.6 út építés 045127'!J80</f>
        <v>0</v>
      </c>
      <c r="K80" s="247">
        <f t="shared" ca="1" si="6"/>
        <v>492113797</v>
      </c>
      <c r="L80" s="246">
        <f ca="1">'7.1. igazg 011130'!L80+'7.2 temető 013320'!L80+'7.3. vagyon 013350'!L80+'7.4 018010'!L80+'7.5 finansz műveletek 018030'!L80+'7.7 közütak működtetés 045160'!L80+'7.8 parkoló 045170'!L80+'7.9 kábeltv 046020'!L80+'7.10 piac 047120'!L80+'7.11 tdm tám047320'!L80+'7.12 szemét 051030'!L80+'7.13 szennyvíz 052080'!L80+'7.14 víz 063080'!L80+'7.15 közvil 064010'!L80+'7.16 zöldterület 066010'!L80+'7.17 város 066020'!L80+'7.18 háziorvos 072111'!L80+'7.19 ügyelet 072112'!L80+'7.20 fülészet 072210'!L80+'7.21 védőnők 074031'!L80+'7.22 isk eü 074032'!L80+'7.23 sportcsépület 081030'!L80+'7.24 sport tám 081041'!L80+'7.25 diáksport 081043'!L80+'7.26 közműv 082091'!L80+'7.27 közműv 082092'!L80+'7.28  óvoda 091140'!L80+'7.29 intézmkiv gyétk 104037'!L80+'7.30 szoc étk 107051'!L80+'7.31 segélyek 107060'!L80+'7.32 adóbev 900020'!L80+'7.33 pályázatok összesen'!L80+'7.6 út építés 045127'!L80</f>
        <v>492113797</v>
      </c>
      <c r="M80" s="246">
        <f>'7.1. igazg 011130'!M80+'7.2 temető 013320'!M80+'7.3. vagyon 013350'!M80+'7.4 018010'!M80+'7.5 finansz műveletek 018030'!M80+'7.7 közütak működtetés 045160'!M80+'7.8 parkoló 045170'!M80+'7.9 kábeltv 046020'!M80+'7.10 piac 047120'!M80+'7.11 tdm tám047320'!M80+'7.12 szemét 051030'!M80+'7.13 szennyvíz 052080'!M80+'7.14 víz 063080'!M80+'7.15 közvil 064010'!M80+'7.16 zöldterület 066010'!M80+'7.17 város 066020'!M80+'7.18 háziorvos 072111'!M80+'7.19 ügyelet 072112'!M80+'7.20 fülészet 072210'!M80+'7.21 védőnők 074031'!M80+'7.22 isk eü 074032'!M80+'7.23 sportcsépület 081030'!M80+'7.24 sport tám 081041'!M80+'7.25 diáksport 081043'!M80+'7.26 közműv 082091'!M80+'7.27 közműv 082092'!M80+'7.28  óvoda 091140'!M80+'7.29 intézmkiv gyétk 104037'!M80+'7.30 szoc étk 107051'!M80+'7.31 segélyek 107060'!M80+'7.32 adóbev 900020'!M80+'7.33 pályázatok összesen'!M80+'7.6 út építés 045127'!M80</f>
        <v>0</v>
      </c>
      <c r="N80" s="247">
        <f t="shared" ca="1" si="7"/>
        <v>492113797</v>
      </c>
    </row>
    <row r="81" spans="1:18" x14ac:dyDescent="0.25">
      <c r="A81" s="53"/>
      <c r="B81" s="62" t="s">
        <v>30</v>
      </c>
      <c r="C81" s="246">
        <f>'7.1. igazg 011130'!C81+'7.2 temető 013320'!C81+'7.3. vagyon 013350'!C81+'7.4 018010'!C81+'7.5 finansz műveletek 018030'!C81+'7.7 közütak működtetés 045160'!C81+'7.8 parkoló 045170'!C81+'7.9 kábeltv 046020'!C81+'7.10 piac 047120'!C81+'7.11 tdm tám047320'!C81+'7.12 szemét 051030'!C81+'7.13 szennyvíz 052080'!C81+'7.14 víz 063080'!C81+'7.15 közvil 064010'!C81+'7.16 zöldterület 066010'!C81+'7.17 város 066020'!C81+'7.18 háziorvos 072111'!C81+'7.19 ügyelet 072112'!C81+'7.20 fülészet 072210'!C81+'7.21 védőnők 074031'!C81+'7.22 isk eü 074032'!C81+'7.23 sportcsépület 081030'!C81+'7.24 sport tám 081041'!C81+'7.25 diáksport 081043'!C81+'7.26 közműv 082091'!C81+'7.27 közműv 082092'!C81+'7.28  óvoda 091140'!C81+'7.29 intézmkiv gyétk 104037'!C81+'7.30 szoc étk 107051'!C81+'7.31 segélyek 107060'!C81+'7.32 adóbev 900020'!C81+'7.33 pályázatok összesen'!C81+'7.6 út építés 045127'!C81</f>
        <v>1980903646</v>
      </c>
      <c r="D81" s="246">
        <f>'7.1. igazg 011130'!D81+'7.2 temető 013320'!D81+'7.3. vagyon 013350'!D81+'7.4 018010'!D81+'7.5 finansz műveletek 018030'!D81+'7.7 közütak működtetés 045160'!D81+'7.8 parkoló 045170'!D81+'7.9 kábeltv 046020'!D81+'7.10 piac 047120'!D81+'7.11 tdm tám047320'!D81+'7.12 szemét 051030'!D81+'7.13 szennyvíz 052080'!D81+'7.14 víz 063080'!D81+'7.15 közvil 064010'!D81+'7.16 zöldterület 066010'!D81+'7.17 város 066020'!D81+'7.18 háziorvos 072111'!D81+'7.19 ügyelet 072112'!D81+'7.20 fülészet 072210'!D81+'7.21 védőnők 074031'!D81+'7.22 isk eü 074032'!D81+'7.23 sportcsépület 081030'!D81+'7.24 sport tám 081041'!D81+'7.25 diáksport 081043'!D81+'7.26 közműv 082091'!D81+'7.27 közműv 082092'!D81+'7.28  óvoda 091140'!D81+'7.29 intézmkiv gyétk 104037'!D81+'7.30 szoc étk 107051'!D81+'7.31 segélyek 107060'!D81+'7.32 adóbev 900020'!D81+'7.33 pályázatok összesen'!D81+'7.6 út építés 045127'!D81</f>
        <v>0</v>
      </c>
      <c r="E81" s="247">
        <f t="shared" si="4"/>
        <v>1980903646</v>
      </c>
      <c r="F81" s="246">
        <f>'7.1. igazg 011130'!F81+'7.2 temető 013320'!F81+'7.3. vagyon 013350'!F81+'7.4 018010'!F81+'7.5 finansz műveletek 018030'!F81+'7.7 közütak működtetés 045160'!F81+'7.8 parkoló 045170'!F81+'7.9 kábeltv 046020'!F81+'7.10 piac 047120'!F81+'7.11 tdm tám047320'!F81+'7.12 szemét 051030'!F81+'7.13 szennyvíz 052080'!F81+'7.14 víz 063080'!F81+'7.15 közvil 064010'!F81+'7.16 zöldterület 066010'!F81+'7.17 város 066020'!F81+'7.18 háziorvos 072111'!F81+'7.19 ügyelet 072112'!F81+'7.20 fülészet 072210'!F81+'7.21 védőnők 074031'!F81+'7.22 isk eü 074032'!F81+'7.23 sportcsépület 081030'!F81+'7.24 sport tám 081041'!F81+'7.25 diáksport 081043'!F81+'7.26 közműv 082091'!F81+'7.27 közműv 082092'!F81+'7.28  óvoda 091140'!F81+'7.29 intézmkiv gyétk 104037'!F81+'7.30 szoc étk 107051'!F81+'7.31 segélyek 107060'!F81+'7.32 adóbev 900020'!F81+'7.33 pályázatok összesen'!F81+'7.6 út építés 045127'!F81</f>
        <v>1980903646</v>
      </c>
      <c r="G81" s="246">
        <f>'7.1. igazg 011130'!G81+'7.2 temető 013320'!G81+'7.3. vagyon 013350'!G81+'7.4 018010'!G81+'7.5 finansz műveletek 018030'!G81+'7.7 közütak működtetés 045160'!G81+'7.8 parkoló 045170'!G81+'7.9 kábeltv 046020'!G81+'7.10 piac 047120'!G81+'7.11 tdm tám047320'!G81+'7.12 szemét 051030'!G81+'7.13 szennyvíz 052080'!G81+'7.14 víz 063080'!G81+'7.15 közvil 064010'!G81+'7.16 zöldterület 066010'!G81+'7.17 város 066020'!G81+'7.18 háziorvos 072111'!G81+'7.19 ügyelet 072112'!G81+'7.20 fülészet 072210'!G81+'7.21 védőnők 074031'!G81+'7.22 isk eü 074032'!G81+'7.23 sportcsépület 081030'!G81+'7.24 sport tám 081041'!G81+'7.25 diáksport 081043'!G81+'7.26 közműv 082091'!G81+'7.27 közműv 082092'!G81+'7.28  óvoda 091140'!G81+'7.29 intézmkiv gyétk 104037'!G81+'7.30 szoc étk 107051'!G81+'7.31 segélyek 107060'!G81+'7.32 adóbev 900020'!G81+'7.33 pályázatok összesen'!G81+'7.6 út építés 045127'!G81</f>
        <v>0</v>
      </c>
      <c r="H81" s="247">
        <f t="shared" si="5"/>
        <v>1980903646</v>
      </c>
      <c r="I81" s="246">
        <f ca="1">'7.1. igazg 011130'!I81+'7.2 temető 013320'!I81+'7.3. vagyon 013350'!I81+'7.4 018010'!I81+'7.5 finansz műveletek 018030'!I81+'7.7 közütak működtetés 045160'!I81+'7.8 parkoló 045170'!I81+'7.9 kábeltv 046020'!I81+'7.10 piac 047120'!I81+'7.11 tdm tám047320'!I81+'7.12 szemét 051030'!I81+'7.13 szennyvíz 052080'!I81+'7.14 víz 063080'!I81+'7.15 közvil 064010'!I81+'7.16 zöldterület 066010'!I81+'7.17 város 066020'!I81+'7.18 háziorvos 072111'!I81+'7.19 ügyelet 072112'!I81+'7.20 fülészet 072210'!I81+'7.21 védőnők 074031'!I81+'7.22 isk eü 074032'!I81+'7.23 sportcsépület 081030'!I81+'7.24 sport tám 081041'!I81+'7.25 diáksport 081043'!I81+'7.26 közműv 082091'!I81+'7.27 közműv 082092'!I81+'7.28  óvoda 091140'!I81+'7.29 intézmkiv gyétk 104037'!I81+'7.30 szoc étk 107051'!I81+'7.31 segélyek 107060'!I81+'7.32 adóbev 900020'!I81+'7.33 pályázatok összesen'!I81+'7.6 út építés 045127'!I81</f>
        <v>1980903646</v>
      </c>
      <c r="J81" s="246">
        <f>'7.1. igazg 011130'!J81+'7.2 temető 013320'!J81+'7.3. vagyon 013350'!J81+'7.4 018010'!J81+'7.5 finansz műveletek 018030'!J81+'7.7 közütak működtetés 045160'!J81+'7.8 parkoló 045170'!J81+'7.9 kábeltv 046020'!J81+'7.10 piac 047120'!J81+'7.11 tdm tám047320'!J81+'7.12 szemét 051030'!J81+'7.13 szennyvíz 052080'!J81+'7.14 víz 063080'!J81+'7.15 közvil 064010'!J81+'7.16 zöldterület 066010'!J81+'7.17 város 066020'!J81+'7.18 háziorvos 072111'!J81+'7.19 ügyelet 072112'!J81+'7.20 fülészet 072210'!J81+'7.21 védőnők 074031'!J81+'7.22 isk eü 074032'!J81+'7.23 sportcsépület 081030'!J81+'7.24 sport tám 081041'!J81+'7.25 diáksport 081043'!J81+'7.26 közműv 082091'!J81+'7.27 közműv 082092'!J81+'7.28  óvoda 091140'!J81+'7.29 intézmkiv gyétk 104037'!J81+'7.30 szoc étk 107051'!J81+'7.31 segélyek 107060'!J81+'7.32 adóbev 900020'!J81+'7.33 pályázatok összesen'!J81+'7.6 út építés 045127'!J81</f>
        <v>0</v>
      </c>
      <c r="K81" s="247">
        <f t="shared" ca="1" si="6"/>
        <v>1980903646</v>
      </c>
      <c r="L81" s="246">
        <f ca="1">'7.1. igazg 011130'!L81+'7.2 temető 013320'!L81+'7.3. vagyon 013350'!L81+'7.4 018010'!L81+'7.5 finansz műveletek 018030'!L81+'7.7 közütak működtetés 045160'!L81+'7.8 parkoló 045170'!L81+'7.9 kábeltv 046020'!L81+'7.10 piac 047120'!L81+'7.11 tdm tám047320'!L81+'7.12 szemét 051030'!L81+'7.13 szennyvíz 052080'!L81+'7.14 víz 063080'!L81+'7.15 közvil 064010'!L81+'7.16 zöldterület 066010'!L81+'7.17 város 066020'!L81+'7.18 háziorvos 072111'!L81+'7.19 ügyelet 072112'!L81+'7.20 fülészet 072210'!L81+'7.21 védőnők 074031'!L81+'7.22 isk eü 074032'!L81+'7.23 sportcsépület 081030'!L81+'7.24 sport tám 081041'!L81+'7.25 diáksport 081043'!L81+'7.26 közműv 082091'!L81+'7.27 közműv 082092'!L81+'7.28  óvoda 091140'!L81+'7.29 intézmkiv gyétk 104037'!L81+'7.30 szoc étk 107051'!L81+'7.31 segélyek 107060'!L81+'7.32 adóbev 900020'!L81+'7.33 pályázatok összesen'!L81+'7.6 út építés 045127'!L81</f>
        <v>1980903646</v>
      </c>
      <c r="M81" s="246">
        <f>'7.1. igazg 011130'!M81+'7.2 temető 013320'!M81+'7.3. vagyon 013350'!M81+'7.4 018010'!M81+'7.5 finansz műveletek 018030'!M81+'7.7 közütak működtetés 045160'!M81+'7.8 parkoló 045170'!M81+'7.9 kábeltv 046020'!M81+'7.10 piac 047120'!M81+'7.11 tdm tám047320'!M81+'7.12 szemét 051030'!M81+'7.13 szennyvíz 052080'!M81+'7.14 víz 063080'!M81+'7.15 közvil 064010'!M81+'7.16 zöldterület 066010'!M81+'7.17 város 066020'!M81+'7.18 háziorvos 072111'!M81+'7.19 ügyelet 072112'!M81+'7.20 fülészet 072210'!M81+'7.21 védőnők 074031'!M81+'7.22 isk eü 074032'!M81+'7.23 sportcsépület 081030'!M81+'7.24 sport tám 081041'!M81+'7.25 diáksport 081043'!M81+'7.26 közműv 082091'!M81+'7.27 közműv 082092'!M81+'7.28  óvoda 091140'!M81+'7.29 intézmkiv gyétk 104037'!M81+'7.30 szoc étk 107051'!M81+'7.31 segélyek 107060'!M81+'7.32 adóbev 900020'!M81+'7.33 pályázatok összesen'!M81+'7.6 út építés 045127'!M81</f>
        <v>0</v>
      </c>
      <c r="N81" s="247">
        <f t="shared" ca="1" si="7"/>
        <v>1980903646</v>
      </c>
    </row>
    <row r="82" spans="1:18" s="179" customFormat="1" x14ac:dyDescent="0.25">
      <c r="A82" s="184" t="s">
        <v>543</v>
      </c>
      <c r="B82" s="180" t="s">
        <v>337</v>
      </c>
      <c r="C82" s="246">
        <f>'7.1. igazg 011130'!C82+'7.2 temető 013320'!C82+'7.3. vagyon 013350'!C82+'7.4 018010'!C82+'7.5 finansz műveletek 018030'!C82+'7.7 közütak működtetés 045160'!C82+'7.8 parkoló 045170'!C82+'7.9 kábeltv 046020'!C82+'7.10 piac 047120'!C82+'7.11 tdm tám047320'!C82+'7.12 szemét 051030'!C82+'7.13 szennyvíz 052080'!C82+'7.14 víz 063080'!C82+'7.15 közvil 064010'!C82+'7.16 zöldterület 066010'!C82+'7.17 város 066020'!C82+'7.18 háziorvos 072111'!C82+'7.19 ügyelet 072112'!C82+'7.20 fülészet 072210'!C82+'7.21 védőnők 074031'!C82+'7.22 isk eü 074032'!C82+'7.23 sportcsépület 081030'!C82+'7.24 sport tám 081041'!C82+'7.25 diáksport 081043'!C82+'7.26 közműv 082091'!C82+'7.27 közműv 082092'!C82+'7.28  óvoda 091140'!C82+'7.29 intézmkiv gyétk 104037'!C82+'7.30 szoc étk 107051'!C82+'7.31 segélyek 107060'!C82+'7.32 adóbev 900020'!C82+'7.33 pályázatok összesen'!C82+'7.6 út építés 045127'!C82</f>
        <v>0</v>
      </c>
      <c r="D82" s="246">
        <f>'7.1. igazg 011130'!D82+'7.2 temető 013320'!D82+'7.3. vagyon 013350'!D82+'7.4 018010'!D82+'7.5 finansz műveletek 018030'!D82+'7.7 közütak működtetés 045160'!D82+'7.8 parkoló 045170'!D82+'7.9 kábeltv 046020'!D82+'7.10 piac 047120'!D82+'7.11 tdm tám047320'!D82+'7.12 szemét 051030'!D82+'7.13 szennyvíz 052080'!D82+'7.14 víz 063080'!D82+'7.15 közvil 064010'!D82+'7.16 zöldterület 066010'!D82+'7.17 város 066020'!D82+'7.18 háziorvos 072111'!D82+'7.19 ügyelet 072112'!D82+'7.20 fülészet 072210'!D82+'7.21 védőnők 074031'!D82+'7.22 isk eü 074032'!D82+'7.23 sportcsépület 081030'!D82+'7.24 sport tám 081041'!D82+'7.25 diáksport 081043'!D82+'7.26 közműv 082091'!D82+'7.27 közműv 082092'!D82+'7.28  óvoda 091140'!D82+'7.29 intézmkiv gyétk 104037'!D82+'7.30 szoc étk 107051'!D82+'7.31 segélyek 107060'!D82+'7.32 adóbev 900020'!D82+'7.33 pályázatok összesen'!D82+'7.6 út építés 045127'!D82</f>
        <v>0</v>
      </c>
      <c r="E82" s="247"/>
      <c r="F82" s="246">
        <f>'7.1. igazg 011130'!F82+'7.2 temető 013320'!F82+'7.3. vagyon 013350'!F82+'7.4 018010'!F82+'7.5 finansz műveletek 018030'!F82+'7.7 közütak működtetés 045160'!F82+'7.8 parkoló 045170'!F82+'7.9 kábeltv 046020'!F82+'7.10 piac 047120'!F82+'7.11 tdm tám047320'!F82+'7.12 szemét 051030'!F82+'7.13 szennyvíz 052080'!F82+'7.14 víz 063080'!F82+'7.15 közvil 064010'!F82+'7.16 zöldterület 066010'!F82+'7.17 város 066020'!F82+'7.18 háziorvos 072111'!F82+'7.19 ügyelet 072112'!F82+'7.20 fülészet 072210'!F82+'7.21 védőnők 074031'!F82+'7.22 isk eü 074032'!F82+'7.23 sportcsépület 081030'!F82+'7.24 sport tám 081041'!F82+'7.25 diáksport 081043'!F82+'7.26 közműv 082091'!F82+'7.27 közműv 082092'!F82+'7.28  óvoda 091140'!F82+'7.29 intézmkiv gyétk 104037'!F82+'7.30 szoc étk 107051'!F82+'7.31 segélyek 107060'!F82+'7.32 adóbev 900020'!F82+'7.33 pályázatok összesen'!F82+'7.6 út építés 045127'!F82</f>
        <v>0</v>
      </c>
      <c r="G82" s="246">
        <f>'7.1. igazg 011130'!G82+'7.2 temető 013320'!G82+'7.3. vagyon 013350'!G82+'7.4 018010'!G82+'7.5 finansz műveletek 018030'!G82+'7.7 közütak működtetés 045160'!G82+'7.8 parkoló 045170'!G82+'7.9 kábeltv 046020'!G82+'7.10 piac 047120'!G82+'7.11 tdm tám047320'!G82+'7.12 szemét 051030'!G82+'7.13 szennyvíz 052080'!G82+'7.14 víz 063080'!G82+'7.15 közvil 064010'!G82+'7.16 zöldterület 066010'!G82+'7.17 város 066020'!G82+'7.18 háziorvos 072111'!G82+'7.19 ügyelet 072112'!G82+'7.20 fülészet 072210'!G82+'7.21 védőnők 074031'!G82+'7.22 isk eü 074032'!G82+'7.23 sportcsépület 081030'!G82+'7.24 sport tám 081041'!G82+'7.25 diáksport 081043'!G82+'7.26 közműv 082091'!G82+'7.27 közműv 082092'!G82+'7.28  óvoda 091140'!G82+'7.29 intézmkiv gyétk 104037'!G82+'7.30 szoc étk 107051'!G82+'7.31 segélyek 107060'!G82+'7.32 adóbev 900020'!G82+'7.33 pályázatok összesen'!G82+'7.6 út építés 045127'!G82</f>
        <v>0</v>
      </c>
      <c r="H82" s="247"/>
      <c r="I82" s="246">
        <f ca="1">'7.1. igazg 011130'!I82+'7.2 temető 013320'!I82+'7.3. vagyon 013350'!I82+'7.4 018010'!I82+'7.5 finansz műveletek 018030'!I82+'7.7 közütak működtetés 045160'!I82+'7.8 parkoló 045170'!I82+'7.9 kábeltv 046020'!I82+'7.10 piac 047120'!I82+'7.11 tdm tám047320'!I82+'7.12 szemét 051030'!I82+'7.13 szennyvíz 052080'!I82+'7.14 víz 063080'!I82+'7.15 közvil 064010'!I82+'7.16 zöldterület 066010'!I82+'7.17 város 066020'!I82+'7.18 háziorvos 072111'!I82+'7.19 ügyelet 072112'!I82+'7.20 fülészet 072210'!I82+'7.21 védőnők 074031'!I82+'7.22 isk eü 074032'!I82+'7.23 sportcsépület 081030'!I82+'7.24 sport tám 081041'!I82+'7.25 diáksport 081043'!I82+'7.26 közműv 082091'!I82+'7.27 közműv 082092'!I82+'7.28  óvoda 091140'!I82+'7.29 intézmkiv gyétk 104037'!I82+'7.30 szoc étk 107051'!I82+'7.31 segélyek 107060'!I82+'7.32 adóbev 900020'!I82+'7.33 pályázatok összesen'!I82+'7.6 út építés 045127'!I82</f>
        <v>0</v>
      </c>
      <c r="J82" s="246">
        <f>'7.1. igazg 011130'!J82+'7.2 temető 013320'!J82+'7.3. vagyon 013350'!J82+'7.4 018010'!J82+'7.5 finansz műveletek 018030'!J82+'7.7 közütak működtetés 045160'!J82+'7.8 parkoló 045170'!J82+'7.9 kábeltv 046020'!J82+'7.10 piac 047120'!J82+'7.11 tdm tám047320'!J82+'7.12 szemét 051030'!J82+'7.13 szennyvíz 052080'!J82+'7.14 víz 063080'!J82+'7.15 közvil 064010'!J82+'7.16 zöldterület 066010'!J82+'7.17 város 066020'!J82+'7.18 háziorvos 072111'!J82+'7.19 ügyelet 072112'!J82+'7.20 fülészet 072210'!J82+'7.21 védőnők 074031'!J82+'7.22 isk eü 074032'!J82+'7.23 sportcsépület 081030'!J82+'7.24 sport tám 081041'!J82+'7.25 diáksport 081043'!J82+'7.26 közműv 082091'!J82+'7.27 közműv 082092'!J82+'7.28  óvoda 091140'!J82+'7.29 intézmkiv gyétk 104037'!J82+'7.30 szoc étk 107051'!J82+'7.31 segélyek 107060'!J82+'7.32 adóbev 900020'!J82+'7.33 pályázatok összesen'!J82+'7.6 út építés 045127'!J82</f>
        <v>0</v>
      </c>
      <c r="K82" s="247"/>
      <c r="L82" s="246">
        <f ca="1">'7.1. igazg 011130'!L82+'7.2 temető 013320'!L82+'7.3. vagyon 013350'!L82+'7.4 018010'!L82+'7.5 finansz műveletek 018030'!L82+'7.7 közütak működtetés 045160'!L82+'7.8 parkoló 045170'!L82+'7.9 kábeltv 046020'!L82+'7.10 piac 047120'!L82+'7.11 tdm tám047320'!L82+'7.12 szemét 051030'!L82+'7.13 szennyvíz 052080'!L82+'7.14 víz 063080'!L82+'7.15 közvil 064010'!L82+'7.16 zöldterület 066010'!L82+'7.17 város 066020'!L82+'7.18 háziorvos 072111'!L82+'7.19 ügyelet 072112'!L82+'7.20 fülészet 072210'!L82+'7.21 védőnők 074031'!L82+'7.22 isk eü 074032'!L82+'7.23 sportcsépület 081030'!L82+'7.24 sport tám 081041'!L82+'7.25 diáksport 081043'!L82+'7.26 közműv 082091'!L82+'7.27 közműv 082092'!L82+'7.28  óvoda 091140'!L82+'7.29 intézmkiv gyétk 104037'!L82+'7.30 szoc étk 107051'!L82+'7.31 segélyek 107060'!L82+'7.32 adóbev 900020'!L82+'7.33 pályázatok összesen'!L82+'7.6 út építés 045127'!L82</f>
        <v>19068717</v>
      </c>
      <c r="M82" s="246">
        <f>'7.1. igazg 011130'!M82+'7.2 temető 013320'!M82+'7.3. vagyon 013350'!M82+'7.4 018010'!M82+'7.5 finansz műveletek 018030'!M82+'7.7 közütak működtetés 045160'!M82+'7.8 parkoló 045170'!M82+'7.9 kábeltv 046020'!M82+'7.10 piac 047120'!M82+'7.11 tdm tám047320'!M82+'7.12 szemét 051030'!M82+'7.13 szennyvíz 052080'!M82+'7.14 víz 063080'!M82+'7.15 közvil 064010'!M82+'7.16 zöldterület 066010'!M82+'7.17 város 066020'!M82+'7.18 háziorvos 072111'!M82+'7.19 ügyelet 072112'!M82+'7.20 fülészet 072210'!M82+'7.21 védőnők 074031'!M82+'7.22 isk eü 074032'!M82+'7.23 sportcsépület 081030'!M82+'7.24 sport tám 081041'!M82+'7.25 diáksport 081043'!M82+'7.26 közműv 082091'!M82+'7.27 közműv 082092'!M82+'7.28  óvoda 091140'!M82+'7.29 intézmkiv gyétk 104037'!M82+'7.30 szoc étk 107051'!M82+'7.31 segélyek 107060'!M82+'7.32 adóbev 900020'!M82+'7.33 pályázatok összesen'!M82+'7.6 út építés 045127'!M82</f>
        <v>0</v>
      </c>
      <c r="N82" s="247">
        <f t="shared" ca="1" si="7"/>
        <v>19068717</v>
      </c>
      <c r="O82" s="148"/>
      <c r="P82" s="646"/>
      <c r="Q82" s="646"/>
      <c r="R82" s="148"/>
    </row>
    <row r="83" spans="1:18" x14ac:dyDescent="0.25">
      <c r="A83" s="53" t="s">
        <v>155</v>
      </c>
      <c r="B83" s="62" t="s">
        <v>156</v>
      </c>
      <c r="C83" s="246">
        <f>'7.1. igazg 011130'!C83+'7.2 temető 013320'!C83+'7.3. vagyon 013350'!C83+'7.4 018010'!C83+'7.5 finansz műveletek 018030'!C83+'7.7 közütak működtetés 045160'!C83+'7.8 parkoló 045170'!C83+'7.9 kábeltv 046020'!C83+'7.10 piac 047120'!C83+'7.11 tdm tám047320'!C83+'7.12 szemét 051030'!C83+'7.13 szennyvíz 052080'!C83+'7.14 víz 063080'!C83+'7.15 közvil 064010'!C83+'7.16 zöldterület 066010'!C83+'7.17 város 066020'!C83+'7.18 háziorvos 072111'!C83+'7.19 ügyelet 072112'!C83+'7.20 fülészet 072210'!C83+'7.21 védőnők 074031'!C83+'7.22 isk eü 074032'!C83+'7.23 sportcsépület 081030'!C83+'7.24 sport tám 081041'!C83+'7.25 diáksport 081043'!C83+'7.26 közműv 082091'!C83+'7.27 közműv 082092'!C83+'7.28  óvoda 091140'!C83+'7.29 intézmkiv gyétk 104037'!C83+'7.30 szoc étk 107051'!C83+'7.31 segélyek 107060'!C83+'7.32 adóbev 900020'!C83+'7.33 pályázatok összesen'!C83+'7.6 út építés 045127'!C83</f>
        <v>0</v>
      </c>
      <c r="D83" s="246">
        <f>'7.1. igazg 011130'!D83+'7.2 temető 013320'!D83+'7.3. vagyon 013350'!D83+'7.4 018010'!D83+'7.5 finansz műveletek 018030'!D83+'7.7 közütak működtetés 045160'!D83+'7.8 parkoló 045170'!D83+'7.9 kábeltv 046020'!D83+'7.10 piac 047120'!D83+'7.11 tdm tám047320'!D83+'7.12 szemét 051030'!D83+'7.13 szennyvíz 052080'!D83+'7.14 víz 063080'!D83+'7.15 közvil 064010'!D83+'7.16 zöldterület 066010'!D83+'7.17 város 066020'!D83+'7.18 háziorvos 072111'!D83+'7.19 ügyelet 072112'!D83+'7.20 fülészet 072210'!D83+'7.21 védőnők 074031'!D83+'7.22 isk eü 074032'!D83+'7.23 sportcsépület 081030'!D83+'7.24 sport tám 081041'!D83+'7.25 diáksport 081043'!D83+'7.26 közműv 082091'!D83+'7.27 közműv 082092'!D83+'7.28  óvoda 091140'!D83+'7.29 intézmkiv gyétk 104037'!D83+'7.30 szoc étk 107051'!D83+'7.31 segélyek 107060'!D83+'7.32 adóbev 900020'!D83+'7.33 pályázatok összesen'!D83+'7.6 út építés 045127'!D83</f>
        <v>0</v>
      </c>
      <c r="E83" s="247">
        <f t="shared" si="4"/>
        <v>0</v>
      </c>
      <c r="F83" s="246">
        <f>'7.1. igazg 011130'!F83+'7.2 temető 013320'!F83+'7.3. vagyon 013350'!F83+'7.4 018010'!F83+'7.5 finansz műveletek 018030'!F83+'7.7 közütak működtetés 045160'!F83+'7.8 parkoló 045170'!F83+'7.9 kábeltv 046020'!F83+'7.10 piac 047120'!F83+'7.11 tdm tám047320'!F83+'7.12 szemét 051030'!F83+'7.13 szennyvíz 052080'!F83+'7.14 víz 063080'!F83+'7.15 közvil 064010'!F83+'7.16 zöldterület 066010'!F83+'7.17 város 066020'!F83+'7.18 háziorvos 072111'!F83+'7.19 ügyelet 072112'!F83+'7.20 fülészet 072210'!F83+'7.21 védőnők 074031'!F83+'7.22 isk eü 074032'!F83+'7.23 sportcsépület 081030'!F83+'7.24 sport tám 081041'!F83+'7.25 diáksport 081043'!F83+'7.26 közműv 082091'!F83+'7.27 közműv 082092'!F83+'7.28  óvoda 091140'!F83+'7.29 intézmkiv gyétk 104037'!F83+'7.30 szoc étk 107051'!F83+'7.31 segélyek 107060'!F83+'7.32 adóbev 900020'!F83+'7.33 pályázatok összesen'!F83+'7.6 út építés 045127'!F83</f>
        <v>0</v>
      </c>
      <c r="G83" s="246">
        <f>'7.1. igazg 011130'!G83+'7.2 temető 013320'!G83+'7.3. vagyon 013350'!G83+'7.4 018010'!G83+'7.5 finansz műveletek 018030'!G83+'7.7 közütak működtetés 045160'!G83+'7.8 parkoló 045170'!G83+'7.9 kábeltv 046020'!G83+'7.10 piac 047120'!G83+'7.11 tdm tám047320'!G83+'7.12 szemét 051030'!G83+'7.13 szennyvíz 052080'!G83+'7.14 víz 063080'!G83+'7.15 közvil 064010'!G83+'7.16 zöldterület 066010'!G83+'7.17 város 066020'!G83+'7.18 háziorvos 072111'!G83+'7.19 ügyelet 072112'!G83+'7.20 fülészet 072210'!G83+'7.21 védőnők 074031'!G83+'7.22 isk eü 074032'!G83+'7.23 sportcsépület 081030'!G83+'7.24 sport tám 081041'!G83+'7.25 diáksport 081043'!G83+'7.26 közműv 082091'!G83+'7.27 közműv 082092'!G83+'7.28  óvoda 091140'!G83+'7.29 intézmkiv gyétk 104037'!G83+'7.30 szoc étk 107051'!G83+'7.31 segélyek 107060'!G83+'7.32 adóbev 900020'!G83+'7.33 pályázatok összesen'!G83+'7.6 út építés 045127'!G83</f>
        <v>0</v>
      </c>
      <c r="H83" s="247">
        <f t="shared" ref="H83:H85" si="8">SUM(F83:G83)</f>
        <v>0</v>
      </c>
      <c r="I83" s="246">
        <f ca="1">'7.1. igazg 011130'!I83+'7.2 temető 013320'!I83+'7.3. vagyon 013350'!I83+'7.4 018010'!I83+'7.5 finansz műveletek 018030'!I83+'7.7 közütak működtetés 045160'!I83+'7.8 parkoló 045170'!I83+'7.9 kábeltv 046020'!I83+'7.10 piac 047120'!I83+'7.11 tdm tám047320'!I83+'7.12 szemét 051030'!I83+'7.13 szennyvíz 052080'!I83+'7.14 víz 063080'!I83+'7.15 közvil 064010'!I83+'7.16 zöldterület 066010'!I83+'7.17 város 066020'!I83+'7.18 háziorvos 072111'!I83+'7.19 ügyelet 072112'!I83+'7.20 fülészet 072210'!I83+'7.21 védőnők 074031'!I83+'7.22 isk eü 074032'!I83+'7.23 sportcsépület 081030'!I83+'7.24 sport tám 081041'!I83+'7.25 diáksport 081043'!I83+'7.26 közműv 082091'!I83+'7.27 közműv 082092'!I83+'7.28  óvoda 091140'!I83+'7.29 intézmkiv gyétk 104037'!I83+'7.30 szoc étk 107051'!I83+'7.31 segélyek 107060'!I83+'7.32 adóbev 900020'!I83+'7.33 pályázatok összesen'!I83+'7.6 út építés 045127'!I83</f>
        <v>0</v>
      </c>
      <c r="J83" s="246">
        <f>'7.1. igazg 011130'!J83+'7.2 temető 013320'!J83+'7.3. vagyon 013350'!J83+'7.4 018010'!J83+'7.5 finansz műveletek 018030'!J83+'7.7 közütak működtetés 045160'!J83+'7.8 parkoló 045170'!J83+'7.9 kábeltv 046020'!J83+'7.10 piac 047120'!J83+'7.11 tdm tám047320'!J83+'7.12 szemét 051030'!J83+'7.13 szennyvíz 052080'!J83+'7.14 víz 063080'!J83+'7.15 közvil 064010'!J83+'7.16 zöldterület 066010'!J83+'7.17 város 066020'!J83+'7.18 háziorvos 072111'!J83+'7.19 ügyelet 072112'!J83+'7.20 fülészet 072210'!J83+'7.21 védőnők 074031'!J83+'7.22 isk eü 074032'!J83+'7.23 sportcsépület 081030'!J83+'7.24 sport tám 081041'!J83+'7.25 diáksport 081043'!J83+'7.26 közműv 082091'!J83+'7.27 közműv 082092'!J83+'7.28  óvoda 091140'!J83+'7.29 intézmkiv gyétk 104037'!J83+'7.30 szoc étk 107051'!J83+'7.31 segélyek 107060'!J83+'7.32 adóbev 900020'!J83+'7.33 pályázatok összesen'!J83+'7.6 út építés 045127'!J83</f>
        <v>0</v>
      </c>
      <c r="K83" s="247">
        <f t="shared" ref="K83:K85" ca="1" si="9">SUM(I83:J83)</f>
        <v>0</v>
      </c>
      <c r="L83" s="246">
        <f ca="1">'7.1. igazg 011130'!L83+'7.2 temető 013320'!L83+'7.3. vagyon 013350'!L83+'7.4 018010'!L83+'7.5 finansz műveletek 018030'!L83+'7.7 közütak működtetés 045160'!L83+'7.8 parkoló 045170'!L83+'7.9 kábeltv 046020'!L83+'7.10 piac 047120'!L83+'7.11 tdm tám047320'!L83+'7.12 szemét 051030'!L83+'7.13 szennyvíz 052080'!L83+'7.14 víz 063080'!L83+'7.15 közvil 064010'!L83+'7.16 zöldterület 066010'!L83+'7.17 város 066020'!L83+'7.18 háziorvos 072111'!L83+'7.19 ügyelet 072112'!L83+'7.20 fülészet 072210'!L83+'7.21 védőnők 074031'!L83+'7.22 isk eü 074032'!L83+'7.23 sportcsépület 081030'!L83+'7.24 sport tám 081041'!L83+'7.25 diáksport 081043'!L83+'7.26 közműv 082091'!L83+'7.27 közműv 082092'!L83+'7.28  óvoda 091140'!L83+'7.29 intézmkiv gyétk 104037'!L83+'7.30 szoc étk 107051'!L83+'7.31 segélyek 107060'!L83+'7.32 adóbev 900020'!L83+'7.33 pályázatok összesen'!L83+'7.6 út építés 045127'!L83</f>
        <v>0</v>
      </c>
      <c r="M83" s="246">
        <f>'7.1. igazg 011130'!M83+'7.2 temető 013320'!M83+'7.3. vagyon 013350'!M83+'7.4 018010'!M83+'7.5 finansz műveletek 018030'!M83+'7.7 közütak működtetés 045160'!M83+'7.8 parkoló 045170'!M83+'7.9 kábeltv 046020'!M83+'7.10 piac 047120'!M83+'7.11 tdm tám047320'!M83+'7.12 szemét 051030'!M83+'7.13 szennyvíz 052080'!M83+'7.14 víz 063080'!M83+'7.15 közvil 064010'!M83+'7.16 zöldterület 066010'!M83+'7.17 város 066020'!M83+'7.18 háziorvos 072111'!M83+'7.19 ügyelet 072112'!M83+'7.20 fülészet 072210'!M83+'7.21 védőnők 074031'!M83+'7.22 isk eü 074032'!M83+'7.23 sportcsépület 081030'!M83+'7.24 sport tám 081041'!M83+'7.25 diáksport 081043'!M83+'7.26 közműv 082091'!M83+'7.27 közműv 082092'!M83+'7.28  óvoda 091140'!M83+'7.29 intézmkiv gyétk 104037'!M83+'7.30 szoc étk 107051'!M83+'7.31 segélyek 107060'!M83+'7.32 adóbev 900020'!M83+'7.33 pályázatok összesen'!M83+'7.6 út építés 045127'!M83</f>
        <v>0</v>
      </c>
      <c r="N83" s="247">
        <f t="shared" ref="N83:N85" ca="1" si="10">SUM(L83:M83)</f>
        <v>0</v>
      </c>
    </row>
    <row r="84" spans="1:18" ht="15.75" thickBot="1" x14ac:dyDescent="0.3">
      <c r="A84" s="55" t="s">
        <v>157</v>
      </c>
      <c r="B84" s="64" t="s">
        <v>158</v>
      </c>
      <c r="C84" s="248">
        <f>'7.1. igazg 011130'!C84+'7.2 temető 013320'!C84+'7.3. vagyon 013350'!C84+'7.4 018010'!C84+'7.5 finansz műveletek 018030'!C84+'7.7 közütak működtetés 045160'!C84+'7.8 parkoló 045170'!C84+'7.9 kábeltv 046020'!C84+'7.10 piac 047120'!C84+'7.11 tdm tám047320'!C84+'7.12 szemét 051030'!C84+'7.13 szennyvíz 052080'!C84+'7.14 víz 063080'!C84+'7.15 közvil 064010'!C84+'7.16 zöldterület 066010'!C84+'7.17 város 066020'!C84+'7.18 háziorvos 072111'!C84+'7.19 ügyelet 072112'!C84+'7.20 fülészet 072210'!C84+'7.21 védőnők 074031'!C84+'7.22 isk eü 074032'!C84+'7.23 sportcsépület 081030'!C84+'7.24 sport tám 081041'!C84+'7.25 diáksport 081043'!C84+'7.26 közműv 082091'!C84+'7.27 közműv 082092'!C84+'7.28  óvoda 091140'!C84+'7.29 intézmkiv gyétk 104037'!C84+'7.30 szoc étk 107051'!C84+'7.31 segélyek 107060'!C84+'7.32 adóbev 900020'!C84+'7.33 pályázatok összesen'!C84+'7.6 út építés 045127'!C84</f>
        <v>0</v>
      </c>
      <c r="D84" s="248">
        <f>'7.1. igazg 011130'!D84+'7.2 temető 013320'!D84+'7.3. vagyon 013350'!D84+'7.4 018010'!D84+'7.5 finansz műveletek 018030'!D84+'7.7 közütak működtetés 045160'!D84+'7.8 parkoló 045170'!D84+'7.9 kábeltv 046020'!D84+'7.10 piac 047120'!D84+'7.11 tdm tám047320'!D84+'7.12 szemét 051030'!D84+'7.13 szennyvíz 052080'!D84+'7.14 víz 063080'!D84+'7.15 közvil 064010'!D84+'7.16 zöldterület 066010'!D84+'7.17 város 066020'!D84+'7.18 háziorvos 072111'!D84+'7.19 ügyelet 072112'!D84+'7.20 fülészet 072210'!D84+'7.21 védőnők 074031'!D84+'7.22 isk eü 074032'!D84+'7.23 sportcsépület 081030'!D84+'7.24 sport tám 081041'!D84+'7.25 diáksport 081043'!D84+'7.26 közműv 082091'!D84+'7.27 közműv 082092'!D84+'7.28  óvoda 091140'!D84+'7.29 intézmkiv gyétk 104037'!D84+'7.30 szoc étk 107051'!D84+'7.31 segélyek 107060'!D84+'7.32 adóbev 900020'!D84+'7.33 pályázatok összesen'!D84+'7.6 út építés 045127'!D84</f>
        <v>0</v>
      </c>
      <c r="E84" s="249">
        <f t="shared" si="4"/>
        <v>0</v>
      </c>
      <c r="F84" s="248">
        <f>'7.1. igazg 011130'!F84+'7.2 temető 013320'!F84+'7.3. vagyon 013350'!F84+'7.4 018010'!F84+'7.5 finansz műveletek 018030'!F84+'7.7 közütak működtetés 045160'!F84+'7.8 parkoló 045170'!F84+'7.9 kábeltv 046020'!F84+'7.10 piac 047120'!F84+'7.11 tdm tám047320'!F84+'7.12 szemét 051030'!F84+'7.13 szennyvíz 052080'!F84+'7.14 víz 063080'!F84+'7.15 közvil 064010'!F84+'7.16 zöldterület 066010'!F84+'7.17 város 066020'!F84+'7.18 háziorvos 072111'!F84+'7.19 ügyelet 072112'!F84+'7.20 fülészet 072210'!F84+'7.21 védőnők 074031'!F84+'7.22 isk eü 074032'!F84+'7.23 sportcsépület 081030'!F84+'7.24 sport tám 081041'!F84+'7.25 diáksport 081043'!F84+'7.26 közműv 082091'!F84+'7.27 közműv 082092'!F84+'7.28  óvoda 091140'!F84+'7.29 intézmkiv gyétk 104037'!F84+'7.30 szoc étk 107051'!F84+'7.31 segélyek 107060'!F84+'7.32 adóbev 900020'!F84+'7.33 pályázatok összesen'!F84+'7.6 út építés 045127'!F84</f>
        <v>0</v>
      </c>
      <c r="G84" s="248">
        <f>'7.1. igazg 011130'!G84+'7.2 temető 013320'!G84+'7.3. vagyon 013350'!G84+'7.4 018010'!G84+'7.5 finansz műveletek 018030'!G84+'7.7 közütak működtetés 045160'!G84+'7.8 parkoló 045170'!G84+'7.9 kábeltv 046020'!G84+'7.10 piac 047120'!G84+'7.11 tdm tám047320'!G84+'7.12 szemét 051030'!G84+'7.13 szennyvíz 052080'!G84+'7.14 víz 063080'!G84+'7.15 közvil 064010'!G84+'7.16 zöldterület 066010'!G84+'7.17 város 066020'!G84+'7.18 háziorvos 072111'!G84+'7.19 ügyelet 072112'!G84+'7.20 fülészet 072210'!G84+'7.21 védőnők 074031'!G84+'7.22 isk eü 074032'!G84+'7.23 sportcsépület 081030'!G84+'7.24 sport tám 081041'!G84+'7.25 diáksport 081043'!G84+'7.26 közműv 082091'!G84+'7.27 közműv 082092'!G84+'7.28  óvoda 091140'!G84+'7.29 intézmkiv gyétk 104037'!G84+'7.30 szoc étk 107051'!G84+'7.31 segélyek 107060'!G84+'7.32 adóbev 900020'!G84+'7.33 pályázatok összesen'!G84+'7.6 út építés 045127'!G84</f>
        <v>0</v>
      </c>
      <c r="H84" s="249">
        <f t="shared" si="8"/>
        <v>0</v>
      </c>
      <c r="I84" s="248">
        <f ca="1">'7.1. igazg 011130'!I84+'7.2 temető 013320'!I84+'7.3. vagyon 013350'!I84+'7.4 018010'!I84+'7.5 finansz műveletek 018030'!I84+'7.7 közütak működtetés 045160'!I84+'7.8 parkoló 045170'!I84+'7.9 kábeltv 046020'!I84+'7.10 piac 047120'!I84+'7.11 tdm tám047320'!I84+'7.12 szemét 051030'!I84+'7.13 szennyvíz 052080'!I84+'7.14 víz 063080'!I84+'7.15 közvil 064010'!I84+'7.16 zöldterület 066010'!I84+'7.17 város 066020'!I84+'7.18 háziorvos 072111'!I84+'7.19 ügyelet 072112'!I84+'7.20 fülészet 072210'!I84+'7.21 védőnők 074031'!I84+'7.22 isk eü 074032'!I84+'7.23 sportcsépület 081030'!I84+'7.24 sport tám 081041'!I84+'7.25 diáksport 081043'!I84+'7.26 közműv 082091'!I84+'7.27 közműv 082092'!I84+'7.28  óvoda 091140'!I84+'7.29 intézmkiv gyétk 104037'!I84+'7.30 szoc étk 107051'!I84+'7.31 segélyek 107060'!I84+'7.32 adóbev 900020'!I84+'7.33 pályázatok összesen'!I84+'7.6 út építés 045127'!I84</f>
        <v>0</v>
      </c>
      <c r="J84" s="248">
        <f>'7.1. igazg 011130'!J84+'7.2 temető 013320'!J84+'7.3. vagyon 013350'!J84+'7.4 018010'!J84+'7.5 finansz műveletek 018030'!J84+'7.7 közütak működtetés 045160'!J84+'7.8 parkoló 045170'!J84+'7.9 kábeltv 046020'!J84+'7.10 piac 047120'!J84+'7.11 tdm tám047320'!J84+'7.12 szemét 051030'!J84+'7.13 szennyvíz 052080'!J84+'7.14 víz 063080'!J84+'7.15 közvil 064010'!J84+'7.16 zöldterület 066010'!J84+'7.17 város 066020'!J84+'7.18 háziorvos 072111'!J84+'7.19 ügyelet 072112'!J84+'7.20 fülészet 072210'!J84+'7.21 védőnők 074031'!J84+'7.22 isk eü 074032'!J84+'7.23 sportcsépület 081030'!J84+'7.24 sport tám 081041'!J84+'7.25 diáksport 081043'!J84+'7.26 közműv 082091'!J84+'7.27 közműv 082092'!J84+'7.28  óvoda 091140'!J84+'7.29 intézmkiv gyétk 104037'!J84+'7.30 szoc étk 107051'!J84+'7.31 segélyek 107060'!J84+'7.32 adóbev 900020'!J84+'7.33 pályázatok összesen'!J84+'7.6 út építés 045127'!J84</f>
        <v>0</v>
      </c>
      <c r="K84" s="249">
        <f t="shared" ca="1" si="9"/>
        <v>0</v>
      </c>
      <c r="L84" s="248">
        <f ca="1">'7.1. igazg 011130'!L84+'7.2 temető 013320'!L84+'7.3. vagyon 013350'!L84+'7.4 018010'!L84+'7.5 finansz műveletek 018030'!L84+'7.7 közütak működtetés 045160'!L84+'7.8 parkoló 045170'!L84+'7.9 kábeltv 046020'!L84+'7.10 piac 047120'!L84+'7.11 tdm tám047320'!L84+'7.12 szemét 051030'!L84+'7.13 szennyvíz 052080'!L84+'7.14 víz 063080'!L84+'7.15 közvil 064010'!L84+'7.16 zöldterület 066010'!L84+'7.17 város 066020'!L84+'7.18 háziorvos 072111'!L84+'7.19 ügyelet 072112'!L84+'7.20 fülészet 072210'!L84+'7.21 védőnők 074031'!L84+'7.22 isk eü 074032'!L84+'7.23 sportcsépület 081030'!L84+'7.24 sport tám 081041'!L84+'7.25 diáksport 081043'!L84+'7.26 közműv 082091'!L84+'7.27 közműv 082092'!L84+'7.28  óvoda 091140'!L84+'7.29 intézmkiv gyétk 104037'!L84+'7.30 szoc étk 107051'!L84+'7.31 segélyek 107060'!L84+'7.32 adóbev 900020'!L84+'7.33 pályázatok összesen'!L84+'7.6 út építés 045127'!L84</f>
        <v>0</v>
      </c>
      <c r="M84" s="248">
        <f>'7.1. igazg 011130'!M84+'7.2 temető 013320'!M84+'7.3. vagyon 013350'!M84+'7.4 018010'!M84+'7.5 finansz műveletek 018030'!M84+'7.7 közütak működtetés 045160'!M84+'7.8 parkoló 045170'!M84+'7.9 kábeltv 046020'!M84+'7.10 piac 047120'!M84+'7.11 tdm tám047320'!M84+'7.12 szemét 051030'!M84+'7.13 szennyvíz 052080'!M84+'7.14 víz 063080'!M84+'7.15 közvil 064010'!M84+'7.16 zöldterület 066010'!M84+'7.17 város 066020'!M84+'7.18 háziorvos 072111'!M84+'7.19 ügyelet 072112'!M84+'7.20 fülészet 072210'!M84+'7.21 védőnők 074031'!M84+'7.22 isk eü 074032'!M84+'7.23 sportcsépület 081030'!M84+'7.24 sport tám 081041'!M84+'7.25 diáksport 081043'!M84+'7.26 közműv 082091'!M84+'7.27 közműv 082092'!M84+'7.28  óvoda 091140'!M84+'7.29 intézmkiv gyétk 104037'!M84+'7.30 szoc étk 107051'!M84+'7.31 segélyek 107060'!M84+'7.32 adóbev 900020'!M84+'7.33 pályázatok összesen'!M84+'7.6 út építés 045127'!M84</f>
        <v>0</v>
      </c>
      <c r="N84" s="249">
        <f t="shared" ca="1" si="10"/>
        <v>0</v>
      </c>
    </row>
    <row r="85" spans="1:18" ht="15.75" thickBot="1" x14ac:dyDescent="0.3">
      <c r="A85" s="56" t="s">
        <v>264</v>
      </c>
      <c r="B85" s="47" t="s">
        <v>159</v>
      </c>
      <c r="C85" s="250">
        <f>'7.1. igazg 011130'!C85+'7.2 temető 013320'!C85+'7.3. vagyon 013350'!C85+'7.4 018010'!C85+'7.5 finansz műveletek 018030'!C85+'7.7 közütak működtetés 045160'!C85+'7.8 parkoló 045170'!C85+'7.9 kábeltv 046020'!C85+'7.10 piac 047120'!C85+'7.11 tdm tám047320'!C85+'7.12 szemét 051030'!C85+'7.13 szennyvíz 052080'!C85+'7.14 víz 063080'!C85+'7.15 közvil 064010'!C85+'7.16 zöldterület 066010'!C85+'7.17 város 066020'!C85+'7.18 háziorvos 072111'!C85+'7.19 ügyelet 072112'!C85+'7.20 fülészet 072210'!C85+'7.21 védőnők 074031'!C85+'7.22 isk eü 074032'!C85+'7.23 sportcsépület 081030'!C85+'7.24 sport tám 081041'!C85+'7.25 diáksport 081043'!C85+'7.26 közműv 082091'!C85+'7.27 közműv 082092'!C85+'7.28  óvoda 091140'!C85+'7.29 intézmkiv gyétk 104037'!C85+'7.30 szoc étk 107051'!C85+'7.31 segélyek 107060'!C85+'7.32 adóbev 900020'!C85+'7.33 pályázatok összesen'!C85+'7.6 út építés 045127'!C85</f>
        <v>4854114197</v>
      </c>
      <c r="D85" s="250">
        <f>'7.1. igazg 011130'!D85+'7.2 temető 013320'!D85+'7.3. vagyon 013350'!D85+'7.4 018010'!D85+'7.5 finansz műveletek 018030'!D85+'7.7 közütak működtetés 045160'!D85+'7.8 parkoló 045170'!D85+'7.9 kábeltv 046020'!D85+'7.10 piac 047120'!D85+'7.11 tdm tám047320'!D85+'7.12 szemét 051030'!D85+'7.13 szennyvíz 052080'!D85+'7.14 víz 063080'!D85+'7.15 közvil 064010'!D85+'7.16 zöldterület 066010'!D85+'7.17 város 066020'!D85+'7.18 háziorvos 072111'!D85+'7.19 ügyelet 072112'!D85+'7.20 fülészet 072210'!D85+'7.21 védőnők 074031'!D85+'7.22 isk eü 074032'!D85+'7.23 sportcsépület 081030'!D85+'7.24 sport tám 081041'!D85+'7.25 diáksport 081043'!D85+'7.26 közműv 082091'!D85+'7.27 közműv 082092'!D85+'7.28  óvoda 091140'!D85+'7.29 intézmkiv gyétk 104037'!D85+'7.30 szoc étk 107051'!D85+'7.31 segélyek 107060'!D85+'7.32 adóbev 900020'!D85+'7.33 pályázatok összesen'!D85+'7.6 út építés 045127'!D85</f>
        <v>0</v>
      </c>
      <c r="E85" s="251">
        <f t="shared" si="4"/>
        <v>4854114197</v>
      </c>
      <c r="F85" s="250">
        <f>'7.1. igazg 011130'!F85+'7.2 temető 013320'!F85+'7.3. vagyon 013350'!F85+'7.4 018010'!F85+'7.5 finansz műveletek 018030'!F85+'7.7 közütak működtetés 045160'!F85+'7.8 parkoló 045170'!F85+'7.9 kábeltv 046020'!F85+'7.10 piac 047120'!F85+'7.11 tdm tám047320'!F85+'7.12 szemét 051030'!F85+'7.13 szennyvíz 052080'!F85+'7.14 víz 063080'!F85+'7.15 közvil 064010'!F85+'7.16 zöldterület 066010'!F85+'7.17 város 066020'!F85+'7.18 háziorvos 072111'!F85+'7.19 ügyelet 072112'!F85+'7.20 fülészet 072210'!F85+'7.21 védőnők 074031'!F85+'7.22 isk eü 074032'!F85+'7.23 sportcsépület 081030'!F85+'7.24 sport tám 081041'!F85+'7.25 diáksport 081043'!F85+'7.26 közműv 082091'!F85+'7.27 közműv 082092'!F85+'7.28  óvoda 091140'!F85+'7.29 intézmkiv gyétk 104037'!F85+'7.30 szoc étk 107051'!F85+'7.31 segélyek 107060'!F85+'7.32 adóbev 900020'!F85+'7.33 pályázatok összesen'!F85+'7.6 út építés 045127'!F85</f>
        <v>4882043224</v>
      </c>
      <c r="G85" s="250">
        <f>'7.1. igazg 011130'!G85+'7.2 temető 013320'!G85+'7.3. vagyon 013350'!G85+'7.4 018010'!G85+'7.5 finansz műveletek 018030'!G85+'7.7 közütak működtetés 045160'!G85+'7.8 parkoló 045170'!G85+'7.9 kábeltv 046020'!G85+'7.10 piac 047120'!G85+'7.11 tdm tám047320'!G85+'7.12 szemét 051030'!G85+'7.13 szennyvíz 052080'!G85+'7.14 víz 063080'!G85+'7.15 közvil 064010'!G85+'7.16 zöldterület 066010'!G85+'7.17 város 066020'!G85+'7.18 háziorvos 072111'!G85+'7.19 ügyelet 072112'!G85+'7.20 fülészet 072210'!G85+'7.21 védőnők 074031'!G85+'7.22 isk eü 074032'!G85+'7.23 sportcsépület 081030'!G85+'7.24 sport tám 081041'!G85+'7.25 diáksport 081043'!G85+'7.26 közműv 082091'!G85+'7.27 közműv 082092'!G85+'7.28  óvoda 091140'!G85+'7.29 intézmkiv gyétk 104037'!G85+'7.30 szoc étk 107051'!G85+'7.31 segélyek 107060'!G85+'7.32 adóbev 900020'!G85+'7.33 pályázatok összesen'!G85+'7.6 út építés 045127'!G85</f>
        <v>0</v>
      </c>
      <c r="H85" s="251">
        <f t="shared" si="8"/>
        <v>4882043224</v>
      </c>
      <c r="I85" s="250">
        <f ca="1">'7.1. igazg 011130'!I85+'7.2 temető 013320'!I85+'7.3. vagyon 013350'!I85+'7.4 018010'!I85+'7.5 finansz műveletek 018030'!I85+'7.7 közütak működtetés 045160'!I85+'7.8 parkoló 045170'!I85+'7.9 kábeltv 046020'!I85+'7.10 piac 047120'!I85+'7.11 tdm tám047320'!I85+'7.12 szemét 051030'!I85+'7.13 szennyvíz 052080'!I85+'7.14 víz 063080'!I85+'7.15 közvil 064010'!I85+'7.16 zöldterület 066010'!I85+'7.17 város 066020'!I85+'7.18 háziorvos 072111'!I85+'7.19 ügyelet 072112'!I85+'7.20 fülészet 072210'!I85+'7.21 védőnők 074031'!I85+'7.22 isk eü 074032'!I85+'7.23 sportcsépület 081030'!I85+'7.24 sport tám 081041'!I85+'7.25 diáksport 081043'!I85+'7.26 közműv 082091'!I85+'7.27 közműv 082092'!I85+'7.28  óvoda 091140'!I85+'7.29 intézmkiv gyétk 104037'!I85+'7.30 szoc étk 107051'!I85+'7.31 segélyek 107060'!I85+'7.32 adóbev 900020'!I85+'7.33 pályázatok összesen'!I85+'7.6 út építés 045127'!I85</f>
        <v>4929282988</v>
      </c>
      <c r="J85" s="250">
        <f>'7.1. igazg 011130'!J85+'7.2 temető 013320'!J85+'7.3. vagyon 013350'!J85+'7.4 018010'!J85+'7.5 finansz műveletek 018030'!J85+'7.7 közütak működtetés 045160'!J85+'7.8 parkoló 045170'!J85+'7.9 kábeltv 046020'!J85+'7.10 piac 047120'!J85+'7.11 tdm tám047320'!J85+'7.12 szemét 051030'!J85+'7.13 szennyvíz 052080'!J85+'7.14 víz 063080'!J85+'7.15 közvil 064010'!J85+'7.16 zöldterület 066010'!J85+'7.17 város 066020'!J85+'7.18 háziorvos 072111'!J85+'7.19 ügyelet 072112'!J85+'7.20 fülészet 072210'!J85+'7.21 védőnők 074031'!J85+'7.22 isk eü 074032'!J85+'7.23 sportcsépület 081030'!J85+'7.24 sport tám 081041'!J85+'7.25 diáksport 081043'!J85+'7.26 közműv 082091'!J85+'7.27 közműv 082092'!J85+'7.28  óvoda 091140'!J85+'7.29 intézmkiv gyétk 104037'!J85+'7.30 szoc étk 107051'!J85+'7.31 segélyek 107060'!J85+'7.32 adóbev 900020'!J85+'7.33 pályázatok összesen'!J85+'7.6 út építés 045127'!J85</f>
        <v>0</v>
      </c>
      <c r="K85" s="251">
        <f t="shared" ca="1" si="9"/>
        <v>4929282988</v>
      </c>
      <c r="L85" s="250">
        <f ca="1">'7.1. igazg 011130'!L85+'7.2 temető 013320'!L85+'7.3. vagyon 013350'!L85+'7.4 018010'!L85+'7.5 finansz műveletek 018030'!L85+'7.7 közütak működtetés 045160'!L85+'7.8 parkoló 045170'!L85+'7.9 kábeltv 046020'!L85+'7.10 piac 047120'!L85+'7.11 tdm tám047320'!L85+'7.12 szemét 051030'!L85+'7.13 szennyvíz 052080'!L85+'7.14 víz 063080'!L85+'7.15 közvil 064010'!L85+'7.16 zöldterület 066010'!L85+'7.17 város 066020'!L85+'7.18 háziorvos 072111'!L85+'7.19 ügyelet 072112'!L85+'7.20 fülészet 072210'!L85+'7.21 védőnők 074031'!L85+'7.22 isk eü 074032'!L85+'7.23 sportcsépület 081030'!L85+'7.24 sport tám 081041'!L85+'7.25 diáksport 081043'!L85+'7.26 közműv 082091'!L85+'7.27 közműv 082092'!L85+'7.28  óvoda 091140'!L85+'7.29 intézmkiv gyétk 104037'!L85+'7.30 szoc étk 107051'!L85+'7.31 segélyek 107060'!L85+'7.32 adóbev 900020'!L85+'7.33 pályázatok összesen'!L85+'7.6 út építés 045127'!L85</f>
        <v>4866001506</v>
      </c>
      <c r="M85" s="250">
        <f>'7.1. igazg 011130'!M85+'7.2 temető 013320'!M85+'7.3. vagyon 013350'!M85+'7.4 018010'!M85+'7.5 finansz műveletek 018030'!M85+'7.7 közütak működtetés 045160'!M85+'7.8 parkoló 045170'!M85+'7.9 kábeltv 046020'!M85+'7.10 piac 047120'!M85+'7.11 tdm tám047320'!M85+'7.12 szemét 051030'!M85+'7.13 szennyvíz 052080'!M85+'7.14 víz 063080'!M85+'7.15 közvil 064010'!M85+'7.16 zöldterület 066010'!M85+'7.17 város 066020'!M85+'7.18 háziorvos 072111'!M85+'7.19 ügyelet 072112'!M85+'7.20 fülészet 072210'!M85+'7.21 védőnők 074031'!M85+'7.22 isk eü 074032'!M85+'7.23 sportcsépület 081030'!M85+'7.24 sport tám 081041'!M85+'7.25 diáksport 081043'!M85+'7.26 közműv 082091'!M85+'7.27 közműv 082092'!M85+'7.28  óvoda 091140'!M85+'7.29 intézmkiv gyétk 104037'!M85+'7.30 szoc étk 107051'!M85+'7.31 segélyek 107060'!M85+'7.32 adóbev 900020'!M85+'7.33 pályázatok összesen'!M85+'7.6 út építés 045127'!M85</f>
        <v>0</v>
      </c>
      <c r="N85" s="251">
        <f t="shared" ca="1" si="10"/>
        <v>4866001506</v>
      </c>
    </row>
    <row r="86" spans="1:18" x14ac:dyDescent="0.25">
      <c r="A86" s="58"/>
      <c r="B86" s="59"/>
      <c r="C86" s="148"/>
      <c r="D86" s="148"/>
      <c r="E86" s="148"/>
      <c r="F86" s="148"/>
      <c r="G86" s="148"/>
      <c r="H86" s="148">
        <f>H85-E85</f>
        <v>27929027</v>
      </c>
      <c r="I86" s="148"/>
      <c r="J86" s="148"/>
      <c r="K86" s="148">
        <f ca="1">K85-H85</f>
        <v>47239764</v>
      </c>
      <c r="L86" s="148"/>
      <c r="M86" s="148"/>
      <c r="N86" s="148">
        <f ca="1">N85-K85</f>
        <v>-63281482</v>
      </c>
    </row>
    <row r="87" spans="1:18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8" x14ac:dyDescent="0.25">
      <c r="A88" s="60" t="s">
        <v>160</v>
      </c>
      <c r="B88" s="48" t="s">
        <v>34</v>
      </c>
      <c r="C88" s="246">
        <f>'7.1. igazg 011130'!C88+'7.2 temető 013320'!C88+'7.3. vagyon 013350'!C88+'7.4 018010'!C88+'7.5 finansz műveletek 018030'!C88+'7.7 közütak működtetés 045160'!C88+'7.8 parkoló 045170'!C88+'7.9 kábeltv 046020'!C88+'7.10 piac 047120'!C88+'7.11 tdm tám047320'!C88+'7.12 szemét 051030'!C88+'7.13 szennyvíz 052080'!C88+'7.14 víz 063080'!C88+'7.15 közvil 064010'!C88+'7.16 zöldterület 066010'!C88+'7.17 város 066020'!C88+'7.18 háziorvos 072111'!C88+'7.19 ügyelet 072112'!C88+'7.20 fülészet 072210'!C88+'7.21 védőnők 074031'!C88+'7.22 isk eü 074032'!C88+'7.23 sportcsépület 081030'!C88+'7.24 sport tám 081041'!C88+'7.25 diáksport 081043'!C88+'7.26 közműv 082091'!C88+'7.27 közműv 082092'!C88+'7.28  óvoda 091140'!C88+'7.29 intézmkiv gyétk 104037'!C88+'7.30 szoc étk 107051'!C88+'7.31 segélyek 107060'!C88+'7.32 adóbev 900020'!C88+'7.33 pályázatok összesen'!C88+'7.6 út építés 045127'!C88</f>
        <v>190329921</v>
      </c>
      <c r="D88" s="246">
        <f>'7.1. igazg 011130'!D88+'7.2 temető 013320'!D88+'7.3. vagyon 013350'!D88+'7.4 018010'!D88+'7.5 finansz műveletek 018030'!D88+'7.7 közütak működtetés 045160'!D88+'7.8 parkoló 045170'!D88+'7.9 kábeltv 046020'!D88+'7.10 piac 047120'!D88+'7.11 tdm tám047320'!D88+'7.12 szemét 051030'!D88+'7.13 szennyvíz 052080'!D88+'7.14 víz 063080'!D88+'7.15 közvil 064010'!D88+'7.16 zöldterület 066010'!D88+'7.17 város 066020'!D88+'7.18 háziorvos 072111'!D88+'7.19 ügyelet 072112'!D88+'7.20 fülészet 072210'!D88+'7.21 védőnők 074031'!D88+'7.22 isk eü 074032'!D88+'7.23 sportcsépület 081030'!D88+'7.24 sport tám 081041'!D88+'7.25 diáksport 081043'!D88+'7.26 közműv 082091'!D88+'7.27 közműv 082092'!D88+'7.28  óvoda 091140'!D88+'7.29 intézmkiv gyétk 104037'!D88+'7.30 szoc étk 107051'!D88+'7.31 segélyek 107060'!D88+'7.32 adóbev 900020'!D88+'7.33 pályázatok összesen'!D88+'7.6 út építés 045127'!D88</f>
        <v>0</v>
      </c>
      <c r="E88" s="253">
        <f t="shared" ref="E88:E150" si="11">SUM(C88:D88)</f>
        <v>190329921</v>
      </c>
      <c r="F88" s="246">
        <f>'7.1. igazg 011130'!F88+'7.2 temető 013320'!F88+'7.3. vagyon 013350'!F88+'7.4 018010'!F88+'7.5 finansz műveletek 018030'!F88+'7.7 közütak működtetés 045160'!F88+'7.8 parkoló 045170'!F88+'7.9 kábeltv 046020'!F88+'7.10 piac 047120'!F88+'7.11 tdm tám047320'!F88+'7.12 szemét 051030'!F88+'7.13 szennyvíz 052080'!F88+'7.14 víz 063080'!F88+'7.15 közvil 064010'!F88+'7.16 zöldterület 066010'!F88+'7.17 város 066020'!F88+'7.18 háziorvos 072111'!F88+'7.19 ügyelet 072112'!F88+'7.20 fülészet 072210'!F88+'7.21 védőnők 074031'!F88+'7.22 isk eü 074032'!F88+'7.23 sportcsépület 081030'!F88+'7.24 sport tám 081041'!F88+'7.25 diáksport 081043'!F88+'7.26 közműv 082091'!F88+'7.27 közműv 082092'!F88+'7.28  óvoda 091140'!F88+'7.29 intézmkiv gyétk 104037'!F88+'7.30 szoc étk 107051'!F88+'7.31 segélyek 107060'!F88+'7.32 adóbev 900020'!F88+'7.33 pályázatok összesen'!F88+'7.6 út építés 045127'!F88</f>
        <v>191595878</v>
      </c>
      <c r="G88" s="246">
        <f>'7.1. igazg 011130'!G88+'7.2 temető 013320'!G88+'7.3. vagyon 013350'!G88+'7.4 018010'!G88+'7.5 finansz műveletek 018030'!G88+'7.7 közütak működtetés 045160'!G88+'7.8 parkoló 045170'!G88+'7.9 kábeltv 046020'!G88+'7.10 piac 047120'!G88+'7.11 tdm tám047320'!G88+'7.12 szemét 051030'!G88+'7.13 szennyvíz 052080'!G88+'7.14 víz 063080'!G88+'7.15 közvil 064010'!G88+'7.16 zöldterület 066010'!G88+'7.17 város 066020'!G88+'7.18 háziorvos 072111'!G88+'7.19 ügyelet 072112'!G88+'7.20 fülészet 072210'!G88+'7.21 védőnők 074031'!G88+'7.22 isk eü 074032'!G88+'7.23 sportcsépület 081030'!G88+'7.24 sport tám 081041'!G88+'7.25 diáksport 081043'!G88+'7.26 közműv 082091'!G88+'7.27 közműv 082092'!G88+'7.28  óvoda 091140'!G88+'7.29 intézmkiv gyétk 104037'!G88+'7.30 szoc étk 107051'!G88+'7.31 segélyek 107060'!G88+'7.32 adóbev 900020'!G88+'7.33 pályázatok összesen'!G88+'7.6 út építés 045127'!G88</f>
        <v>0</v>
      </c>
      <c r="H88" s="253">
        <f t="shared" ref="H88:H90" si="12">SUM(F88:G88)</f>
        <v>191595878</v>
      </c>
      <c r="I88" s="246">
        <f ca="1">'7.1. igazg 011130'!I88+'7.2 temető 013320'!I88+'7.3. vagyon 013350'!I88+'7.4 018010'!I88+'7.5 finansz műveletek 018030'!I88+'7.7 közütak működtetés 045160'!I88+'7.8 parkoló 045170'!I88+'7.9 kábeltv 046020'!I88+'7.10 piac 047120'!I88+'7.11 tdm tám047320'!I88+'7.12 szemét 051030'!I88+'7.13 szennyvíz 052080'!I88+'7.14 víz 063080'!I88+'7.15 közvil 064010'!I88+'7.16 zöldterület 066010'!I88+'7.17 város 066020'!I88+'7.18 háziorvos 072111'!I88+'7.19 ügyelet 072112'!I88+'7.20 fülészet 072210'!I88+'7.21 védőnők 074031'!I88+'7.22 isk eü 074032'!I88+'7.23 sportcsépület 081030'!I88+'7.24 sport tám 081041'!I88+'7.25 diáksport 081043'!I88+'7.26 közműv 082091'!I88+'7.27 közműv 082092'!I88+'7.28  óvoda 091140'!I88+'7.29 intézmkiv gyétk 104037'!I88+'7.30 szoc étk 107051'!I88+'7.31 segélyek 107060'!I88+'7.32 adóbev 900020'!I88+'7.33 pályázatok összesen'!I88+'7.6 út építés 045127'!I88</f>
        <v>200257109</v>
      </c>
      <c r="J88" s="246">
        <f>'7.1. igazg 011130'!J88+'7.2 temető 013320'!J88+'7.3. vagyon 013350'!J88+'7.4 018010'!J88+'7.5 finansz műveletek 018030'!J88+'7.7 közütak működtetés 045160'!J88+'7.8 parkoló 045170'!J88+'7.9 kábeltv 046020'!J88+'7.10 piac 047120'!J88+'7.11 tdm tám047320'!J88+'7.12 szemét 051030'!J88+'7.13 szennyvíz 052080'!J88+'7.14 víz 063080'!J88+'7.15 közvil 064010'!J88+'7.16 zöldterület 066010'!J88+'7.17 város 066020'!J88+'7.18 háziorvos 072111'!J88+'7.19 ügyelet 072112'!J88+'7.20 fülészet 072210'!J88+'7.21 védőnők 074031'!J88+'7.22 isk eü 074032'!J88+'7.23 sportcsépület 081030'!J88+'7.24 sport tám 081041'!J88+'7.25 diáksport 081043'!J88+'7.26 közműv 082091'!J88+'7.27 közműv 082092'!J88+'7.28  óvoda 091140'!J88+'7.29 intézmkiv gyétk 104037'!J88+'7.30 szoc étk 107051'!J88+'7.31 segélyek 107060'!J88+'7.32 adóbev 900020'!J88+'7.33 pályázatok összesen'!J88+'7.6 út építés 045127'!J88</f>
        <v>6750</v>
      </c>
      <c r="K88" s="253">
        <f t="shared" ref="K88:K91" ca="1" si="13">SUM(I88:J88)</f>
        <v>200263859</v>
      </c>
      <c r="L88" s="246">
        <f ca="1">'7.1. igazg 011130'!L88+'7.2 temető 013320'!L88+'7.3. vagyon 013350'!L88+'7.4 018010'!L88+'7.5 finansz műveletek 018030'!L88+'7.7 közütak működtetés 045160'!L88+'7.8 parkoló 045170'!L88+'7.9 kábeltv 046020'!L88+'7.10 piac 047120'!L88+'7.11 tdm tám047320'!L88+'7.12 szemét 051030'!L88+'7.13 szennyvíz 052080'!L88+'7.14 víz 063080'!L88+'7.15 közvil 064010'!L88+'7.16 zöldterület 066010'!L88+'7.17 város 066020'!L88+'7.18 háziorvos 072111'!L88+'7.19 ügyelet 072112'!L88+'7.20 fülészet 072210'!L88+'7.21 védőnők 074031'!L88+'7.22 isk eü 074032'!L88+'7.23 sportcsépület 081030'!L88+'7.24 sport tám 081041'!L88+'7.25 diáksport 081043'!L88+'7.26 közműv 082091'!L88+'7.27 közműv 082092'!L88+'7.28  óvoda 091140'!L88+'7.29 intézmkiv gyétk 104037'!L88+'7.30 szoc étk 107051'!L88+'7.31 segélyek 107060'!L88+'7.32 adóbev 900020'!L88+'7.33 pályázatok összesen'!L88+'7.6 út építés 045127'!L88</f>
        <v>198937691</v>
      </c>
      <c r="M88" s="246">
        <f>'7.1. igazg 011130'!M88+'7.2 temető 013320'!M88+'7.3. vagyon 013350'!M88+'7.4 018010'!M88+'7.5 finansz műveletek 018030'!M88+'7.7 közütak működtetés 045160'!M88+'7.8 parkoló 045170'!M88+'7.9 kábeltv 046020'!M88+'7.10 piac 047120'!M88+'7.11 tdm tám047320'!M88+'7.12 szemét 051030'!M88+'7.13 szennyvíz 052080'!M88+'7.14 víz 063080'!M88+'7.15 közvil 064010'!M88+'7.16 zöldterület 066010'!M88+'7.17 város 066020'!M88+'7.18 háziorvos 072111'!M88+'7.19 ügyelet 072112'!M88+'7.20 fülészet 072210'!M88+'7.21 védőnők 074031'!M88+'7.22 isk eü 074032'!M88+'7.23 sportcsépület 081030'!M88+'7.24 sport tám 081041'!M88+'7.25 diáksport 081043'!M88+'7.26 közműv 082091'!M88+'7.27 közműv 082092'!M88+'7.28  óvoda 091140'!M88+'7.29 intézmkiv gyétk 104037'!M88+'7.30 szoc étk 107051'!M88+'7.31 segélyek 107060'!M88+'7.32 adóbev 900020'!M88+'7.33 pályázatok összesen'!M88+'7.6 út építés 045127'!M88</f>
        <v>6750</v>
      </c>
      <c r="N88" s="253">
        <f t="shared" ref="N88:N123" ca="1" si="14">SUM(L88:M88)</f>
        <v>198944441</v>
      </c>
    </row>
    <row r="89" spans="1:18" x14ac:dyDescent="0.25">
      <c r="A89" s="61" t="s">
        <v>161</v>
      </c>
      <c r="B89" s="62" t="s">
        <v>162</v>
      </c>
      <c r="C89" s="246">
        <f>'7.1. igazg 011130'!C89+'7.2 temető 013320'!C89+'7.3. vagyon 013350'!C89+'7.4 018010'!C89+'7.5 finansz műveletek 018030'!C89+'7.7 közütak működtetés 045160'!C89+'7.8 parkoló 045170'!C89+'7.9 kábeltv 046020'!C89+'7.10 piac 047120'!C89+'7.11 tdm tám047320'!C89+'7.12 szemét 051030'!C89+'7.13 szennyvíz 052080'!C89+'7.14 víz 063080'!C89+'7.15 közvil 064010'!C89+'7.16 zöldterület 066010'!C89+'7.17 város 066020'!C89+'7.18 háziorvos 072111'!C89+'7.19 ügyelet 072112'!C89+'7.20 fülészet 072210'!C89+'7.21 védőnők 074031'!C89+'7.22 isk eü 074032'!C89+'7.23 sportcsépület 081030'!C89+'7.24 sport tám 081041'!C89+'7.25 diáksport 081043'!C89+'7.26 közműv 082091'!C89+'7.27 közműv 082092'!C89+'7.28  óvoda 091140'!C89+'7.29 intézmkiv gyétk 104037'!C89+'7.30 szoc étk 107051'!C89+'7.31 segélyek 107060'!C89+'7.32 adóbev 900020'!C89+'7.33 pályázatok összesen'!C89+'7.6 út építés 045127'!C89</f>
        <v>148831192</v>
      </c>
      <c r="D89" s="246">
        <f>'7.1. igazg 011130'!D89+'7.2 temető 013320'!D89+'7.3. vagyon 013350'!D89+'7.4 018010'!D89+'7.5 finansz műveletek 018030'!D89+'7.7 közütak működtetés 045160'!D89+'7.8 parkoló 045170'!D89+'7.9 kábeltv 046020'!D89+'7.10 piac 047120'!D89+'7.11 tdm tám047320'!D89+'7.12 szemét 051030'!D89+'7.13 szennyvíz 052080'!D89+'7.14 víz 063080'!D89+'7.15 közvil 064010'!D89+'7.16 zöldterület 066010'!D89+'7.17 város 066020'!D89+'7.18 háziorvos 072111'!D89+'7.19 ügyelet 072112'!D89+'7.20 fülészet 072210'!D89+'7.21 védőnők 074031'!D89+'7.22 isk eü 074032'!D89+'7.23 sportcsépület 081030'!D89+'7.24 sport tám 081041'!D89+'7.25 diáksport 081043'!D89+'7.26 közműv 082091'!D89+'7.27 közműv 082092'!D89+'7.28  óvoda 091140'!D89+'7.29 intézmkiv gyétk 104037'!D89+'7.30 szoc étk 107051'!D89+'7.31 segélyek 107060'!D89+'7.32 adóbev 900020'!D89+'7.33 pályázatok összesen'!D89+'7.6 út építés 045127'!D89</f>
        <v>0</v>
      </c>
      <c r="E89" s="247">
        <f t="shared" si="11"/>
        <v>148831192</v>
      </c>
      <c r="F89" s="246">
        <f>'7.1. igazg 011130'!F89+'7.2 temető 013320'!F89+'7.3. vagyon 013350'!F89+'7.4 018010'!F89+'7.5 finansz műveletek 018030'!F89+'7.7 közütak működtetés 045160'!F89+'7.8 parkoló 045170'!F89+'7.9 kábeltv 046020'!F89+'7.10 piac 047120'!F89+'7.11 tdm tám047320'!F89+'7.12 szemét 051030'!F89+'7.13 szennyvíz 052080'!F89+'7.14 víz 063080'!F89+'7.15 közvil 064010'!F89+'7.16 zöldterület 066010'!F89+'7.17 város 066020'!F89+'7.18 háziorvos 072111'!F89+'7.19 ügyelet 072112'!F89+'7.20 fülészet 072210'!F89+'7.21 védőnők 074031'!F89+'7.22 isk eü 074032'!F89+'7.23 sportcsépület 081030'!F89+'7.24 sport tám 081041'!F89+'7.25 diáksport 081043'!F89+'7.26 közműv 082091'!F89+'7.27 közműv 082092'!F89+'7.28  óvoda 091140'!F89+'7.29 intézmkiv gyétk 104037'!F89+'7.30 szoc étk 107051'!F89+'7.31 segélyek 107060'!F89+'7.32 adóbev 900020'!F89+'7.33 pályázatok összesen'!F89+'7.6 út építés 045127'!F89</f>
        <v>151709599</v>
      </c>
      <c r="G89" s="246">
        <f>'7.1. igazg 011130'!G89+'7.2 temető 013320'!G89+'7.3. vagyon 013350'!G89+'7.4 018010'!G89+'7.5 finansz műveletek 018030'!G89+'7.7 közütak működtetés 045160'!G89+'7.8 parkoló 045170'!G89+'7.9 kábeltv 046020'!G89+'7.10 piac 047120'!G89+'7.11 tdm tám047320'!G89+'7.12 szemét 051030'!G89+'7.13 szennyvíz 052080'!G89+'7.14 víz 063080'!G89+'7.15 közvil 064010'!G89+'7.16 zöldterület 066010'!G89+'7.17 város 066020'!G89+'7.18 háziorvos 072111'!G89+'7.19 ügyelet 072112'!G89+'7.20 fülészet 072210'!G89+'7.21 védőnők 074031'!G89+'7.22 isk eü 074032'!G89+'7.23 sportcsépület 081030'!G89+'7.24 sport tám 081041'!G89+'7.25 diáksport 081043'!G89+'7.26 közműv 082091'!G89+'7.27 közműv 082092'!G89+'7.28  óvoda 091140'!G89+'7.29 intézmkiv gyétk 104037'!G89+'7.30 szoc étk 107051'!G89+'7.31 segélyek 107060'!G89+'7.32 adóbev 900020'!G89+'7.33 pályázatok összesen'!G89+'7.6 út építés 045127'!G89</f>
        <v>0</v>
      </c>
      <c r="H89" s="247">
        <f t="shared" si="12"/>
        <v>151709599</v>
      </c>
      <c r="I89" s="246">
        <f ca="1">'7.1. igazg 011130'!I89+'7.2 temető 013320'!I89+'7.3. vagyon 013350'!I89+'7.4 018010'!I89+'7.5 finansz műveletek 018030'!I89+'7.7 közütak működtetés 045160'!I89+'7.8 parkoló 045170'!I89+'7.9 kábeltv 046020'!I89+'7.10 piac 047120'!I89+'7.11 tdm tám047320'!I89+'7.12 szemét 051030'!I89+'7.13 szennyvíz 052080'!I89+'7.14 víz 063080'!I89+'7.15 közvil 064010'!I89+'7.16 zöldterület 066010'!I89+'7.17 város 066020'!I89+'7.18 háziorvos 072111'!I89+'7.19 ügyelet 072112'!I89+'7.20 fülészet 072210'!I89+'7.21 védőnők 074031'!I89+'7.22 isk eü 074032'!I89+'7.23 sportcsépület 081030'!I89+'7.24 sport tám 081041'!I89+'7.25 diáksport 081043'!I89+'7.26 közműv 082091'!I89+'7.27 közműv 082092'!I89+'7.28  óvoda 091140'!I89+'7.29 intézmkiv gyétk 104037'!I89+'7.30 szoc étk 107051'!I89+'7.31 segélyek 107060'!I89+'7.32 adóbev 900020'!I89+'7.33 pályázatok összesen'!I89+'7.6 út építés 045127'!I89</f>
        <v>155016388</v>
      </c>
      <c r="J89" s="246">
        <f>'7.1. igazg 011130'!J89+'7.2 temető 013320'!J89+'7.3. vagyon 013350'!J89+'7.4 018010'!J89+'7.5 finansz műveletek 018030'!J89+'7.7 közütak működtetés 045160'!J89+'7.8 parkoló 045170'!J89+'7.9 kábeltv 046020'!J89+'7.10 piac 047120'!J89+'7.11 tdm tám047320'!J89+'7.12 szemét 051030'!J89+'7.13 szennyvíz 052080'!J89+'7.14 víz 063080'!J89+'7.15 közvil 064010'!J89+'7.16 zöldterület 066010'!J89+'7.17 város 066020'!J89+'7.18 háziorvos 072111'!J89+'7.19 ügyelet 072112'!J89+'7.20 fülészet 072210'!J89+'7.21 védőnők 074031'!J89+'7.22 isk eü 074032'!J89+'7.23 sportcsépület 081030'!J89+'7.24 sport tám 081041'!J89+'7.25 diáksport 081043'!J89+'7.26 közműv 082091'!J89+'7.27 közműv 082092'!J89+'7.28  óvoda 091140'!J89+'7.29 intézmkiv gyétk 104037'!J89+'7.30 szoc étk 107051'!J89+'7.31 segélyek 107060'!J89+'7.32 adóbev 900020'!J89+'7.33 pályázatok összesen'!J89+'7.6 út építés 045127'!J89</f>
        <v>0</v>
      </c>
      <c r="K89" s="247">
        <f t="shared" ca="1" si="13"/>
        <v>155016388</v>
      </c>
      <c r="L89" s="246">
        <f ca="1">'7.1. igazg 011130'!L89+'7.2 temető 013320'!L89+'7.3. vagyon 013350'!L89+'7.4 018010'!L89+'7.5 finansz műveletek 018030'!L89+'7.7 közütak működtetés 045160'!L89+'7.8 parkoló 045170'!L89+'7.9 kábeltv 046020'!L89+'7.10 piac 047120'!L89+'7.11 tdm tám047320'!L89+'7.12 szemét 051030'!L89+'7.13 szennyvíz 052080'!L89+'7.14 víz 063080'!L89+'7.15 közvil 064010'!L89+'7.16 zöldterület 066010'!L89+'7.17 város 066020'!L89+'7.18 háziorvos 072111'!L89+'7.19 ügyelet 072112'!L89+'7.20 fülészet 072210'!L89+'7.21 védőnők 074031'!L89+'7.22 isk eü 074032'!L89+'7.23 sportcsépület 081030'!L89+'7.24 sport tám 081041'!L89+'7.25 diáksport 081043'!L89+'7.26 közműv 082091'!L89+'7.27 közműv 082092'!L89+'7.28  óvoda 091140'!L89+'7.29 intézmkiv gyétk 104037'!L89+'7.30 szoc étk 107051'!L89+'7.31 segélyek 107060'!L89+'7.32 adóbev 900020'!L89+'7.33 pályázatok összesen'!L89+'7.6 út építés 045127'!L89</f>
        <v>153992754</v>
      </c>
      <c r="M89" s="246">
        <f>'7.1. igazg 011130'!M89+'7.2 temető 013320'!M89+'7.3. vagyon 013350'!M89+'7.4 018010'!M89+'7.5 finansz műveletek 018030'!M89+'7.7 közütak működtetés 045160'!M89+'7.8 parkoló 045170'!M89+'7.9 kábeltv 046020'!M89+'7.10 piac 047120'!M89+'7.11 tdm tám047320'!M89+'7.12 szemét 051030'!M89+'7.13 szennyvíz 052080'!M89+'7.14 víz 063080'!M89+'7.15 közvil 064010'!M89+'7.16 zöldterület 066010'!M89+'7.17 város 066020'!M89+'7.18 háziorvos 072111'!M89+'7.19 ügyelet 072112'!M89+'7.20 fülészet 072210'!M89+'7.21 védőnők 074031'!M89+'7.22 isk eü 074032'!M89+'7.23 sportcsépület 081030'!M89+'7.24 sport tám 081041'!M89+'7.25 diáksport 081043'!M89+'7.26 közműv 082091'!M89+'7.27 közműv 082092'!M89+'7.28  óvoda 091140'!M89+'7.29 intézmkiv gyétk 104037'!M89+'7.30 szoc étk 107051'!M89+'7.31 segélyek 107060'!M89+'7.32 adóbev 900020'!M89+'7.33 pályázatok összesen'!M89+'7.6 út építés 045127'!M89</f>
        <v>0</v>
      </c>
      <c r="N89" s="247">
        <f t="shared" ca="1" si="14"/>
        <v>153992754</v>
      </c>
    </row>
    <row r="90" spans="1:18" x14ac:dyDescent="0.25">
      <c r="A90" s="61" t="s">
        <v>163</v>
      </c>
      <c r="B90" s="62" t="s">
        <v>164</v>
      </c>
      <c r="C90" s="246">
        <f>'7.1. igazg 011130'!C90+'7.2 temető 013320'!C90+'7.3. vagyon 013350'!C90+'7.4 018010'!C90+'7.5 finansz műveletek 018030'!C90+'7.7 közütak működtetés 045160'!C90+'7.8 parkoló 045170'!C90+'7.9 kábeltv 046020'!C90+'7.10 piac 047120'!C90+'7.11 tdm tám047320'!C90+'7.12 szemét 051030'!C90+'7.13 szennyvíz 052080'!C90+'7.14 víz 063080'!C90+'7.15 közvil 064010'!C90+'7.16 zöldterület 066010'!C90+'7.17 város 066020'!C90+'7.18 háziorvos 072111'!C90+'7.19 ügyelet 072112'!C90+'7.20 fülészet 072210'!C90+'7.21 védőnők 074031'!C90+'7.22 isk eü 074032'!C90+'7.23 sportcsépület 081030'!C90+'7.24 sport tám 081041'!C90+'7.25 diáksport 081043'!C90+'7.26 közműv 082091'!C90+'7.27 közműv 082092'!C90+'7.28  óvoda 091140'!C90+'7.29 intézmkiv gyétk 104037'!C90+'7.30 szoc étk 107051'!C90+'7.31 segélyek 107060'!C90+'7.32 adóbev 900020'!C90+'7.33 pályázatok összesen'!C90+'7.6 út építés 045127'!C90</f>
        <v>133530562</v>
      </c>
      <c r="D90" s="246">
        <f>'7.1. igazg 011130'!D90+'7.2 temető 013320'!D90+'7.3. vagyon 013350'!D90+'7.4 018010'!D90+'7.5 finansz műveletek 018030'!D90+'7.7 közütak működtetés 045160'!D90+'7.8 parkoló 045170'!D90+'7.9 kábeltv 046020'!D90+'7.10 piac 047120'!D90+'7.11 tdm tám047320'!D90+'7.12 szemét 051030'!D90+'7.13 szennyvíz 052080'!D90+'7.14 víz 063080'!D90+'7.15 közvil 064010'!D90+'7.16 zöldterület 066010'!D90+'7.17 város 066020'!D90+'7.18 háziorvos 072111'!D90+'7.19 ügyelet 072112'!D90+'7.20 fülészet 072210'!D90+'7.21 védőnők 074031'!D90+'7.22 isk eü 074032'!D90+'7.23 sportcsépület 081030'!D90+'7.24 sport tám 081041'!D90+'7.25 diáksport 081043'!D90+'7.26 közműv 082091'!D90+'7.27 közműv 082092'!D90+'7.28  óvoda 091140'!D90+'7.29 intézmkiv gyétk 104037'!D90+'7.30 szoc étk 107051'!D90+'7.31 segélyek 107060'!D90+'7.32 adóbev 900020'!D90+'7.33 pályázatok összesen'!D90+'7.6 út építés 045127'!D90</f>
        <v>0</v>
      </c>
      <c r="E90" s="247">
        <f t="shared" si="11"/>
        <v>133530562</v>
      </c>
      <c r="F90" s="246">
        <f>'7.1. igazg 011130'!F90+'7.2 temető 013320'!F90+'7.3. vagyon 013350'!F90+'7.4 018010'!F90+'7.5 finansz műveletek 018030'!F90+'7.7 közütak működtetés 045160'!F90+'7.8 parkoló 045170'!F90+'7.9 kábeltv 046020'!F90+'7.10 piac 047120'!F90+'7.11 tdm tám047320'!F90+'7.12 szemét 051030'!F90+'7.13 szennyvíz 052080'!F90+'7.14 víz 063080'!F90+'7.15 közvil 064010'!F90+'7.16 zöldterület 066010'!F90+'7.17 város 066020'!F90+'7.18 háziorvos 072111'!F90+'7.19 ügyelet 072112'!F90+'7.20 fülészet 072210'!F90+'7.21 védőnők 074031'!F90+'7.22 isk eü 074032'!F90+'7.23 sportcsépület 081030'!F90+'7.24 sport tám 081041'!F90+'7.25 diáksport 081043'!F90+'7.26 közműv 082091'!F90+'7.27 közműv 082092'!F90+'7.28  óvoda 091140'!F90+'7.29 intézmkiv gyétk 104037'!F90+'7.30 szoc étk 107051'!F90+'7.31 segélyek 107060'!F90+'7.32 adóbev 900020'!F90+'7.33 pályázatok összesen'!F90+'7.6 út építés 045127'!F90</f>
        <v>133642969</v>
      </c>
      <c r="G90" s="246">
        <f>'7.1. igazg 011130'!G90+'7.2 temető 013320'!G90+'7.3. vagyon 013350'!G90+'7.4 018010'!G90+'7.5 finansz műveletek 018030'!G90+'7.7 közütak működtetés 045160'!G90+'7.8 parkoló 045170'!G90+'7.9 kábeltv 046020'!G90+'7.10 piac 047120'!G90+'7.11 tdm tám047320'!G90+'7.12 szemét 051030'!G90+'7.13 szennyvíz 052080'!G90+'7.14 víz 063080'!G90+'7.15 közvil 064010'!G90+'7.16 zöldterület 066010'!G90+'7.17 város 066020'!G90+'7.18 háziorvos 072111'!G90+'7.19 ügyelet 072112'!G90+'7.20 fülészet 072210'!G90+'7.21 védőnők 074031'!G90+'7.22 isk eü 074032'!G90+'7.23 sportcsépület 081030'!G90+'7.24 sport tám 081041'!G90+'7.25 diáksport 081043'!G90+'7.26 közműv 082091'!G90+'7.27 közműv 082092'!G90+'7.28  óvoda 091140'!G90+'7.29 intézmkiv gyétk 104037'!G90+'7.30 szoc étk 107051'!G90+'7.31 segélyek 107060'!G90+'7.32 adóbev 900020'!G90+'7.33 pályázatok összesen'!G90+'7.6 út építés 045127'!G90</f>
        <v>0</v>
      </c>
      <c r="H90" s="247">
        <f t="shared" si="12"/>
        <v>133642969</v>
      </c>
      <c r="I90" s="246">
        <f ca="1">'7.1. igazg 011130'!I90+'7.2 temető 013320'!I90+'7.3. vagyon 013350'!I90+'7.4 018010'!I90+'7.5 finansz műveletek 018030'!I90+'7.7 közütak működtetés 045160'!I90+'7.8 parkoló 045170'!I90+'7.9 kábeltv 046020'!I90+'7.10 piac 047120'!I90+'7.11 tdm tám047320'!I90+'7.12 szemét 051030'!I90+'7.13 szennyvíz 052080'!I90+'7.14 víz 063080'!I90+'7.15 közvil 064010'!I90+'7.16 zöldterület 066010'!I90+'7.17 város 066020'!I90+'7.18 háziorvos 072111'!I90+'7.19 ügyelet 072112'!I90+'7.20 fülészet 072210'!I90+'7.21 védőnők 074031'!I90+'7.22 isk eü 074032'!I90+'7.23 sportcsépület 081030'!I90+'7.24 sport tám 081041'!I90+'7.25 diáksport 081043'!I90+'7.26 közműv 082091'!I90+'7.27 közműv 082092'!I90+'7.28  óvoda 091140'!I90+'7.29 intézmkiv gyétk 104037'!I90+'7.30 szoc étk 107051'!I90+'7.31 segélyek 107060'!I90+'7.32 adóbev 900020'!I90+'7.33 pályázatok összesen'!I90+'7.6 út építés 045127'!I90</f>
        <v>134255835</v>
      </c>
      <c r="J90" s="246">
        <f>'7.1. igazg 011130'!J90+'7.2 temető 013320'!J90+'7.3. vagyon 013350'!J90+'7.4 018010'!J90+'7.5 finansz műveletek 018030'!J90+'7.7 közütak működtetés 045160'!J90+'7.8 parkoló 045170'!J90+'7.9 kábeltv 046020'!J90+'7.10 piac 047120'!J90+'7.11 tdm tám047320'!J90+'7.12 szemét 051030'!J90+'7.13 szennyvíz 052080'!J90+'7.14 víz 063080'!J90+'7.15 közvil 064010'!J90+'7.16 zöldterület 066010'!J90+'7.17 város 066020'!J90+'7.18 háziorvos 072111'!J90+'7.19 ügyelet 072112'!J90+'7.20 fülészet 072210'!J90+'7.21 védőnők 074031'!J90+'7.22 isk eü 074032'!J90+'7.23 sportcsépület 081030'!J90+'7.24 sport tám 081041'!J90+'7.25 diáksport 081043'!J90+'7.26 közműv 082091'!J90+'7.27 közműv 082092'!J90+'7.28  óvoda 091140'!J90+'7.29 intézmkiv gyétk 104037'!J90+'7.30 szoc étk 107051'!J90+'7.31 segélyek 107060'!J90+'7.32 adóbev 900020'!J90+'7.33 pályázatok összesen'!J90+'7.6 út építés 045127'!J90</f>
        <v>0</v>
      </c>
      <c r="K90" s="247">
        <f t="shared" ca="1" si="13"/>
        <v>134255835</v>
      </c>
      <c r="L90" s="246">
        <f ca="1">'7.1. igazg 011130'!L90+'7.2 temető 013320'!L90+'7.3. vagyon 013350'!L90+'7.4 018010'!L90+'7.5 finansz műveletek 018030'!L90+'7.7 közütak működtetés 045160'!L90+'7.8 parkoló 045170'!L90+'7.9 kábeltv 046020'!L90+'7.10 piac 047120'!L90+'7.11 tdm tám047320'!L90+'7.12 szemét 051030'!L90+'7.13 szennyvíz 052080'!L90+'7.14 víz 063080'!L90+'7.15 közvil 064010'!L90+'7.16 zöldterület 066010'!L90+'7.17 város 066020'!L90+'7.18 háziorvos 072111'!L90+'7.19 ügyelet 072112'!L90+'7.20 fülészet 072210'!L90+'7.21 védőnők 074031'!L90+'7.22 isk eü 074032'!L90+'7.23 sportcsépület 081030'!L90+'7.24 sport tám 081041'!L90+'7.25 diáksport 081043'!L90+'7.26 közműv 082091'!L90+'7.27 közműv 082092'!L90+'7.28  óvoda 091140'!L90+'7.29 intézmkiv gyétk 104037'!L90+'7.30 szoc étk 107051'!L90+'7.31 segélyek 107060'!L90+'7.32 adóbev 900020'!L90+'7.33 pályázatok összesen'!L90+'7.6 út építés 045127'!L90</f>
        <v>134255621</v>
      </c>
      <c r="M90" s="246">
        <f>'7.1. igazg 011130'!M90+'7.2 temető 013320'!M90+'7.3. vagyon 013350'!M90+'7.4 018010'!M90+'7.5 finansz műveletek 018030'!M90+'7.7 közütak működtetés 045160'!M90+'7.8 parkoló 045170'!M90+'7.9 kábeltv 046020'!M90+'7.10 piac 047120'!M90+'7.11 tdm tám047320'!M90+'7.12 szemét 051030'!M90+'7.13 szennyvíz 052080'!M90+'7.14 víz 063080'!M90+'7.15 közvil 064010'!M90+'7.16 zöldterület 066010'!M90+'7.17 város 066020'!M90+'7.18 háziorvos 072111'!M90+'7.19 ügyelet 072112'!M90+'7.20 fülészet 072210'!M90+'7.21 védőnők 074031'!M90+'7.22 isk eü 074032'!M90+'7.23 sportcsépület 081030'!M90+'7.24 sport tám 081041'!M90+'7.25 diáksport 081043'!M90+'7.26 közműv 082091'!M90+'7.27 közműv 082092'!M90+'7.28  óvoda 091140'!M90+'7.29 intézmkiv gyétk 104037'!M90+'7.30 szoc étk 107051'!M90+'7.31 segélyek 107060'!M90+'7.32 adóbev 900020'!M90+'7.33 pályázatok összesen'!M90+'7.6 út építés 045127'!M90</f>
        <v>0</v>
      </c>
      <c r="N90" s="247">
        <f t="shared" ca="1" si="14"/>
        <v>134255621</v>
      </c>
    </row>
    <row r="91" spans="1:18" s="179" customFormat="1" x14ac:dyDescent="0.25">
      <c r="A91" s="190" t="s">
        <v>533</v>
      </c>
      <c r="B91" s="180" t="s">
        <v>534</v>
      </c>
      <c r="C91" s="246">
        <f>'7.1. igazg 011130'!C91+'7.2 temető 013320'!C91+'7.3. vagyon 013350'!C91+'7.4 018010'!C91+'7.5 finansz műveletek 018030'!C91+'7.7 közütak működtetés 045160'!C91+'7.8 parkoló 045170'!C91+'7.9 kábeltv 046020'!C91+'7.10 piac 047120'!C91+'7.11 tdm tám047320'!C91+'7.12 szemét 051030'!C91+'7.13 szennyvíz 052080'!C91+'7.14 víz 063080'!C91+'7.15 közvil 064010'!C91+'7.16 zöldterület 066010'!C91+'7.17 város 066020'!C91+'7.18 háziorvos 072111'!C91+'7.19 ügyelet 072112'!C91+'7.20 fülészet 072210'!C91+'7.21 védőnők 074031'!C91+'7.22 isk eü 074032'!C91+'7.23 sportcsépület 081030'!C91+'7.24 sport tám 081041'!C91+'7.25 diáksport 081043'!C91+'7.26 közműv 082091'!C91+'7.27 közműv 082092'!C91+'7.28  óvoda 091140'!C91+'7.29 intézmkiv gyétk 104037'!C91+'7.30 szoc étk 107051'!C91+'7.31 segélyek 107060'!C91+'7.32 adóbev 900020'!C91+'7.33 pályázatok összesen'!C91+'7.6 út építés 045127'!C91</f>
        <v>4191000</v>
      </c>
      <c r="D91" s="246">
        <f>'7.1. igazg 011130'!D91+'7.2 temető 013320'!D91+'7.3. vagyon 013350'!D91+'7.4 018010'!D91+'7.5 finansz műveletek 018030'!D91+'7.7 közütak működtetés 045160'!D91+'7.8 parkoló 045170'!D91+'7.9 kábeltv 046020'!D91+'7.10 piac 047120'!D91+'7.11 tdm tám047320'!D91+'7.12 szemét 051030'!D91+'7.13 szennyvíz 052080'!D91+'7.14 víz 063080'!D91+'7.15 közvil 064010'!D91+'7.16 zöldterület 066010'!D91+'7.17 város 066020'!D91+'7.18 háziorvos 072111'!D91+'7.19 ügyelet 072112'!D91+'7.20 fülészet 072210'!D91+'7.21 védőnők 074031'!D91+'7.22 isk eü 074032'!D91+'7.23 sportcsépület 081030'!D91+'7.24 sport tám 081041'!D91+'7.25 diáksport 081043'!D91+'7.26 közműv 082091'!D91+'7.27 közműv 082092'!D91+'7.28  óvoda 091140'!D91+'7.29 intézmkiv gyétk 104037'!D91+'7.30 szoc étk 107051'!D91+'7.31 segélyek 107060'!D91+'7.32 adóbev 900020'!D91+'7.33 pályázatok összesen'!D91+'7.6 út építés 045127'!D91</f>
        <v>0</v>
      </c>
      <c r="E91" s="247"/>
      <c r="F91" s="246">
        <f>'7.1. igazg 011130'!F91+'7.2 temető 013320'!F91+'7.3. vagyon 013350'!F91+'7.4 018010'!F91+'7.5 finansz műveletek 018030'!F91+'7.7 közütak működtetés 045160'!F91+'7.8 parkoló 045170'!F91+'7.9 kábeltv 046020'!F91+'7.10 piac 047120'!F91+'7.11 tdm tám047320'!F91+'7.12 szemét 051030'!F91+'7.13 szennyvíz 052080'!F91+'7.14 víz 063080'!F91+'7.15 közvil 064010'!F91+'7.16 zöldterület 066010'!F91+'7.17 város 066020'!F91+'7.18 háziorvos 072111'!F91+'7.19 ügyelet 072112'!F91+'7.20 fülészet 072210'!F91+'7.21 védőnők 074031'!F91+'7.22 isk eü 074032'!F91+'7.23 sportcsépület 081030'!F91+'7.24 sport tám 081041'!F91+'7.25 diáksport 081043'!F91+'7.26 közműv 082091'!F91+'7.27 közműv 082092'!F91+'7.28  óvoda 091140'!F91+'7.29 intézmkiv gyétk 104037'!F91+'7.30 szoc étk 107051'!F91+'7.31 segélyek 107060'!F91+'7.32 adóbev 900020'!F91+'7.33 pályázatok összesen'!F91+'7.6 út építés 045127'!F91</f>
        <v>4191000</v>
      </c>
      <c r="G91" s="246">
        <f>'7.1. igazg 011130'!G91+'7.2 temető 013320'!G91+'7.3. vagyon 013350'!G91+'7.4 018010'!G91+'7.5 finansz műveletek 018030'!G91+'7.7 közütak működtetés 045160'!G91+'7.8 parkoló 045170'!G91+'7.9 kábeltv 046020'!G91+'7.10 piac 047120'!G91+'7.11 tdm tám047320'!G91+'7.12 szemét 051030'!G91+'7.13 szennyvíz 052080'!G91+'7.14 víz 063080'!G91+'7.15 közvil 064010'!G91+'7.16 zöldterület 066010'!G91+'7.17 város 066020'!G91+'7.18 háziorvos 072111'!G91+'7.19 ügyelet 072112'!G91+'7.20 fülészet 072210'!G91+'7.21 védőnők 074031'!G91+'7.22 isk eü 074032'!G91+'7.23 sportcsépület 081030'!G91+'7.24 sport tám 081041'!G91+'7.25 diáksport 081043'!G91+'7.26 közműv 082091'!G91+'7.27 közműv 082092'!G91+'7.28  óvoda 091140'!G91+'7.29 intézmkiv gyétk 104037'!G91+'7.30 szoc étk 107051'!G91+'7.31 segélyek 107060'!G91+'7.32 adóbev 900020'!G91+'7.33 pályázatok összesen'!G91+'7.6 út építés 045127'!G91</f>
        <v>0</v>
      </c>
      <c r="H91" s="247"/>
      <c r="I91" s="246">
        <f ca="1">'7.1. igazg 011130'!I91+'7.2 temető 013320'!I91+'7.3. vagyon 013350'!I91+'7.4 018010'!I91+'7.5 finansz műveletek 018030'!I91+'7.7 közütak működtetés 045160'!I91+'7.8 parkoló 045170'!I91+'7.9 kábeltv 046020'!I91+'7.10 piac 047120'!I91+'7.11 tdm tám047320'!I91+'7.12 szemét 051030'!I91+'7.13 szennyvíz 052080'!I91+'7.14 víz 063080'!I91+'7.15 közvil 064010'!I91+'7.16 zöldterület 066010'!I91+'7.17 város 066020'!I91+'7.18 háziorvos 072111'!I91+'7.19 ügyelet 072112'!I91+'7.20 fülészet 072210'!I91+'7.21 védőnők 074031'!I91+'7.22 isk eü 074032'!I91+'7.23 sportcsépület 081030'!I91+'7.24 sport tám 081041'!I91+'7.25 diáksport 081043'!I91+'7.26 közműv 082091'!I91+'7.27 közműv 082092'!I91+'7.28  óvoda 091140'!I91+'7.29 intézmkiv gyétk 104037'!I91+'7.30 szoc étk 107051'!I91+'7.31 segélyek 107060'!I91+'7.32 adóbev 900020'!I91+'7.33 pályázatok összesen'!I91+'7.6 út építés 045127'!I91</f>
        <v>4191000</v>
      </c>
      <c r="J91" s="246">
        <f>'7.1. igazg 011130'!J91+'7.2 temető 013320'!J91+'7.3. vagyon 013350'!J91+'7.4 018010'!J91+'7.5 finansz műveletek 018030'!J91+'7.7 közütak működtetés 045160'!J91+'7.8 parkoló 045170'!J91+'7.9 kábeltv 046020'!J91+'7.10 piac 047120'!J91+'7.11 tdm tám047320'!J91+'7.12 szemét 051030'!J91+'7.13 szennyvíz 052080'!J91+'7.14 víz 063080'!J91+'7.15 közvil 064010'!J91+'7.16 zöldterület 066010'!J91+'7.17 város 066020'!J91+'7.18 háziorvos 072111'!J91+'7.19 ügyelet 072112'!J91+'7.20 fülészet 072210'!J91+'7.21 védőnők 074031'!J91+'7.22 isk eü 074032'!J91+'7.23 sportcsépület 081030'!J91+'7.24 sport tám 081041'!J91+'7.25 diáksport 081043'!J91+'7.26 közműv 082091'!J91+'7.27 közműv 082092'!J91+'7.28  óvoda 091140'!J91+'7.29 intézmkiv gyétk 104037'!J91+'7.30 szoc étk 107051'!J91+'7.31 segélyek 107060'!J91+'7.32 adóbev 900020'!J91+'7.33 pályázatok összesen'!J91+'7.6 út építés 045127'!J91</f>
        <v>0</v>
      </c>
      <c r="K91" s="247">
        <f t="shared" ca="1" si="13"/>
        <v>4191000</v>
      </c>
      <c r="L91" s="246">
        <f ca="1">'7.1. igazg 011130'!L91+'7.2 temető 013320'!L91+'7.3. vagyon 013350'!L91+'7.4 018010'!L91+'7.5 finansz műveletek 018030'!L91+'7.7 közütak működtetés 045160'!L91+'7.8 parkoló 045170'!L91+'7.9 kábeltv 046020'!L91+'7.10 piac 047120'!L91+'7.11 tdm tám047320'!L91+'7.12 szemét 051030'!L91+'7.13 szennyvíz 052080'!L91+'7.14 víz 063080'!L91+'7.15 közvil 064010'!L91+'7.16 zöldterület 066010'!L91+'7.17 város 066020'!L91+'7.18 háziorvos 072111'!L91+'7.19 ügyelet 072112'!L91+'7.20 fülészet 072210'!L91+'7.21 védőnők 074031'!L91+'7.22 isk eü 074032'!L91+'7.23 sportcsépület 081030'!L91+'7.24 sport tám 081041'!L91+'7.25 diáksport 081043'!L91+'7.26 közműv 082091'!L91+'7.27 közműv 082092'!L91+'7.28  óvoda 091140'!L91+'7.29 intézmkiv gyétk 104037'!L91+'7.30 szoc étk 107051'!L91+'7.31 segélyek 107060'!L91+'7.32 adóbev 900020'!L91+'7.33 pályázatok összesen'!L91+'7.6 út építés 045127'!L91</f>
        <v>4130815</v>
      </c>
      <c r="M91" s="246">
        <f>'7.1. igazg 011130'!M91+'7.2 temető 013320'!M91+'7.3. vagyon 013350'!M91+'7.4 018010'!M91+'7.5 finansz műveletek 018030'!M91+'7.7 közütak működtetés 045160'!M91+'7.8 parkoló 045170'!M91+'7.9 kábeltv 046020'!M91+'7.10 piac 047120'!M91+'7.11 tdm tám047320'!M91+'7.12 szemét 051030'!M91+'7.13 szennyvíz 052080'!M91+'7.14 víz 063080'!M91+'7.15 közvil 064010'!M91+'7.16 zöldterület 066010'!M91+'7.17 város 066020'!M91+'7.18 háziorvos 072111'!M91+'7.19 ügyelet 072112'!M91+'7.20 fülészet 072210'!M91+'7.21 védőnők 074031'!M91+'7.22 isk eü 074032'!M91+'7.23 sportcsépület 081030'!M91+'7.24 sport tám 081041'!M91+'7.25 diáksport 081043'!M91+'7.26 közműv 082091'!M91+'7.27 közműv 082092'!M91+'7.28  óvoda 091140'!M91+'7.29 intézmkiv gyétk 104037'!M91+'7.30 szoc étk 107051'!M91+'7.31 segélyek 107060'!M91+'7.32 adóbev 900020'!M91+'7.33 pályázatok összesen'!M91+'7.6 út építés 045127'!M91</f>
        <v>0</v>
      </c>
      <c r="N91" s="247">
        <f t="shared" ca="1" si="14"/>
        <v>4130815</v>
      </c>
      <c r="O91" s="148"/>
      <c r="P91" s="646"/>
      <c r="Q91" s="646"/>
      <c r="R91" s="148"/>
    </row>
    <row r="92" spans="1:18" x14ac:dyDescent="0.25">
      <c r="A92" s="61" t="s">
        <v>165</v>
      </c>
      <c r="B92" s="62" t="s">
        <v>166</v>
      </c>
      <c r="C92" s="246">
        <f>'7.1. igazg 011130'!C92+'7.2 temető 013320'!C92+'7.3. vagyon 013350'!C92+'7.4 018010'!C92+'7.5 finansz műveletek 018030'!C92+'7.7 közütak működtetés 045160'!C92+'7.8 parkoló 045170'!C92+'7.9 kábeltv 046020'!C92+'7.10 piac 047120'!C92+'7.11 tdm tám047320'!C92+'7.12 szemét 051030'!C92+'7.13 szennyvíz 052080'!C92+'7.14 víz 063080'!C92+'7.15 közvil 064010'!C92+'7.16 zöldterület 066010'!C92+'7.17 város 066020'!C92+'7.18 háziorvos 072111'!C92+'7.19 ügyelet 072112'!C92+'7.20 fülészet 072210'!C92+'7.21 védőnők 074031'!C92+'7.22 isk eü 074032'!C92+'7.23 sportcsépület 081030'!C92+'7.24 sport tám 081041'!C92+'7.25 diáksport 081043'!C92+'7.26 közműv 082091'!C92+'7.27 közműv 082092'!C92+'7.28  óvoda 091140'!C92+'7.29 intézmkiv gyétk 104037'!C92+'7.30 szoc étk 107051'!C92+'7.31 segélyek 107060'!C92+'7.32 adóbev 900020'!C92+'7.33 pályázatok összesen'!C92+'7.6 út építés 045127'!C92</f>
        <v>500000</v>
      </c>
      <c r="D92" s="246">
        <f>'7.1. igazg 011130'!D92+'7.2 temető 013320'!D92+'7.3. vagyon 013350'!D92+'7.4 018010'!D92+'7.5 finansz műveletek 018030'!D92+'7.7 közütak működtetés 045160'!D92+'7.8 parkoló 045170'!D92+'7.9 kábeltv 046020'!D92+'7.10 piac 047120'!D92+'7.11 tdm tám047320'!D92+'7.12 szemét 051030'!D92+'7.13 szennyvíz 052080'!D92+'7.14 víz 063080'!D92+'7.15 közvil 064010'!D92+'7.16 zöldterület 066010'!D92+'7.17 város 066020'!D92+'7.18 háziorvos 072111'!D92+'7.19 ügyelet 072112'!D92+'7.20 fülészet 072210'!D92+'7.21 védőnők 074031'!D92+'7.22 isk eü 074032'!D92+'7.23 sportcsépület 081030'!D92+'7.24 sport tám 081041'!D92+'7.25 diáksport 081043'!D92+'7.26 közműv 082091'!D92+'7.27 közműv 082092'!D92+'7.28  óvoda 091140'!D92+'7.29 intézmkiv gyétk 104037'!D92+'7.30 szoc étk 107051'!D92+'7.31 segélyek 107060'!D92+'7.32 adóbev 900020'!D92+'7.33 pályázatok összesen'!D92+'7.6 út építés 045127'!D92</f>
        <v>0</v>
      </c>
      <c r="E92" s="247">
        <f t="shared" si="11"/>
        <v>500000</v>
      </c>
      <c r="F92" s="246">
        <f>'7.1. igazg 011130'!F92+'7.2 temető 013320'!F92+'7.3. vagyon 013350'!F92+'7.4 018010'!F92+'7.5 finansz műveletek 018030'!F92+'7.7 közütak működtetés 045160'!F92+'7.8 parkoló 045170'!F92+'7.9 kábeltv 046020'!F92+'7.10 piac 047120'!F92+'7.11 tdm tám047320'!F92+'7.12 szemét 051030'!F92+'7.13 szennyvíz 052080'!F92+'7.14 víz 063080'!F92+'7.15 közvil 064010'!F92+'7.16 zöldterület 066010'!F92+'7.17 város 066020'!F92+'7.18 háziorvos 072111'!F92+'7.19 ügyelet 072112'!F92+'7.20 fülészet 072210'!F92+'7.21 védőnők 074031'!F92+'7.22 isk eü 074032'!F92+'7.23 sportcsépület 081030'!F92+'7.24 sport tám 081041'!F92+'7.25 diáksport 081043'!F92+'7.26 közműv 082091'!F92+'7.27 közműv 082092'!F92+'7.28  óvoda 091140'!F92+'7.29 intézmkiv gyétk 104037'!F92+'7.30 szoc étk 107051'!F92+'7.31 segélyek 107060'!F92+'7.32 adóbev 900020'!F92+'7.33 pályázatok összesen'!F92+'7.6 út építés 045127'!F92</f>
        <v>500000</v>
      </c>
      <c r="G92" s="246">
        <f>'7.1. igazg 011130'!G92+'7.2 temető 013320'!G92+'7.3. vagyon 013350'!G92+'7.4 018010'!G92+'7.5 finansz műveletek 018030'!G92+'7.7 közütak működtetés 045160'!G92+'7.8 parkoló 045170'!G92+'7.9 kábeltv 046020'!G92+'7.10 piac 047120'!G92+'7.11 tdm tám047320'!G92+'7.12 szemét 051030'!G92+'7.13 szennyvíz 052080'!G92+'7.14 víz 063080'!G92+'7.15 közvil 064010'!G92+'7.16 zöldterület 066010'!G92+'7.17 város 066020'!G92+'7.18 háziorvos 072111'!G92+'7.19 ügyelet 072112'!G92+'7.20 fülészet 072210'!G92+'7.21 védőnők 074031'!G92+'7.22 isk eü 074032'!G92+'7.23 sportcsépület 081030'!G92+'7.24 sport tám 081041'!G92+'7.25 diáksport 081043'!G92+'7.26 közműv 082091'!G92+'7.27 közműv 082092'!G92+'7.28  óvoda 091140'!G92+'7.29 intézmkiv gyétk 104037'!G92+'7.30 szoc étk 107051'!G92+'7.31 segélyek 107060'!G92+'7.32 adóbev 900020'!G92+'7.33 pályázatok összesen'!G92+'7.6 út építés 045127'!G92</f>
        <v>0</v>
      </c>
      <c r="H92" s="247">
        <f t="shared" ref="H92:H123" si="15">SUM(F92:G92)</f>
        <v>500000</v>
      </c>
      <c r="I92" s="246">
        <f ca="1">'7.1. igazg 011130'!I92+'7.2 temető 013320'!I92+'7.3. vagyon 013350'!I92+'7.4 018010'!I92+'7.5 finansz műveletek 018030'!I92+'7.7 közütak működtetés 045160'!I92+'7.8 parkoló 045170'!I92+'7.9 kábeltv 046020'!I92+'7.10 piac 047120'!I92+'7.11 tdm tám047320'!I92+'7.12 szemét 051030'!I92+'7.13 szennyvíz 052080'!I92+'7.14 víz 063080'!I92+'7.15 közvil 064010'!I92+'7.16 zöldterület 066010'!I92+'7.17 város 066020'!I92+'7.18 háziorvos 072111'!I92+'7.19 ügyelet 072112'!I92+'7.20 fülészet 072210'!I92+'7.21 védőnők 074031'!I92+'7.22 isk eü 074032'!I92+'7.23 sportcsépület 081030'!I92+'7.24 sport tám 081041'!I92+'7.25 diáksport 081043'!I92+'7.26 közműv 082091'!I92+'7.27 közműv 082092'!I92+'7.28  óvoda 091140'!I92+'7.29 intézmkiv gyétk 104037'!I92+'7.30 szoc étk 107051'!I92+'7.31 segélyek 107060'!I92+'7.32 adóbev 900020'!I92+'7.33 pályázatok összesen'!I92+'7.6 út építés 045127'!I92</f>
        <v>500000</v>
      </c>
      <c r="J92" s="246">
        <f>'7.1. igazg 011130'!J92+'7.2 temető 013320'!J92+'7.3. vagyon 013350'!J92+'7.4 018010'!J92+'7.5 finansz műveletek 018030'!J92+'7.7 közütak működtetés 045160'!J92+'7.8 parkoló 045170'!J92+'7.9 kábeltv 046020'!J92+'7.10 piac 047120'!J92+'7.11 tdm tám047320'!J92+'7.12 szemét 051030'!J92+'7.13 szennyvíz 052080'!J92+'7.14 víz 063080'!J92+'7.15 közvil 064010'!J92+'7.16 zöldterület 066010'!J92+'7.17 város 066020'!J92+'7.18 háziorvos 072111'!J92+'7.19 ügyelet 072112'!J92+'7.20 fülészet 072210'!J92+'7.21 védőnők 074031'!J92+'7.22 isk eü 074032'!J92+'7.23 sportcsépület 081030'!J92+'7.24 sport tám 081041'!J92+'7.25 diáksport 081043'!J92+'7.26 közműv 082091'!J92+'7.27 közműv 082092'!J92+'7.28  óvoda 091140'!J92+'7.29 intézmkiv gyétk 104037'!J92+'7.30 szoc étk 107051'!J92+'7.31 segélyek 107060'!J92+'7.32 adóbev 900020'!J92+'7.33 pályázatok összesen'!J92+'7.6 út építés 045127'!J92</f>
        <v>0</v>
      </c>
      <c r="K92" s="247">
        <f t="shared" ref="K92:K123" ca="1" si="16">SUM(I92:J92)</f>
        <v>500000</v>
      </c>
      <c r="L92" s="246">
        <f ca="1">'7.1. igazg 011130'!L92+'7.2 temető 013320'!L92+'7.3. vagyon 013350'!L92+'7.4 018010'!L92+'7.5 finansz műveletek 018030'!L92+'7.7 közütak működtetés 045160'!L92+'7.8 parkoló 045170'!L92+'7.9 kábeltv 046020'!L92+'7.10 piac 047120'!L92+'7.11 tdm tám047320'!L92+'7.12 szemét 051030'!L92+'7.13 szennyvíz 052080'!L92+'7.14 víz 063080'!L92+'7.15 közvil 064010'!L92+'7.16 zöldterület 066010'!L92+'7.17 város 066020'!L92+'7.18 háziorvos 072111'!L92+'7.19 ügyelet 072112'!L92+'7.20 fülészet 072210'!L92+'7.21 védőnők 074031'!L92+'7.22 isk eü 074032'!L92+'7.23 sportcsépület 081030'!L92+'7.24 sport tám 081041'!L92+'7.25 diáksport 081043'!L92+'7.26 közműv 082091'!L92+'7.27 közműv 082092'!L92+'7.28  óvoda 091140'!L92+'7.29 intézmkiv gyétk 104037'!L92+'7.30 szoc étk 107051'!L92+'7.31 segélyek 107060'!L92+'7.32 adóbev 900020'!L92+'7.33 pályázatok összesen'!L92+'7.6 út építés 045127'!L92</f>
        <v>0</v>
      </c>
      <c r="M92" s="246">
        <f>'7.1. igazg 011130'!M92+'7.2 temető 013320'!M92+'7.3. vagyon 013350'!M92+'7.4 018010'!M92+'7.5 finansz műveletek 018030'!M92+'7.7 közütak működtetés 045160'!M92+'7.8 parkoló 045170'!M92+'7.9 kábeltv 046020'!M92+'7.10 piac 047120'!M92+'7.11 tdm tám047320'!M92+'7.12 szemét 051030'!M92+'7.13 szennyvíz 052080'!M92+'7.14 víz 063080'!M92+'7.15 közvil 064010'!M92+'7.16 zöldterület 066010'!M92+'7.17 város 066020'!M92+'7.18 háziorvos 072111'!M92+'7.19 ügyelet 072112'!M92+'7.20 fülészet 072210'!M92+'7.21 védőnők 074031'!M92+'7.22 isk eü 074032'!M92+'7.23 sportcsépület 081030'!M92+'7.24 sport tám 081041'!M92+'7.25 diáksport 081043'!M92+'7.26 közműv 082091'!M92+'7.27 közműv 082092'!M92+'7.28  óvoda 091140'!M92+'7.29 intézmkiv gyétk 104037'!M92+'7.30 szoc étk 107051'!M92+'7.31 segélyek 107060'!M92+'7.32 adóbev 900020'!M92+'7.33 pályázatok összesen'!M92+'7.6 út építés 045127'!M92</f>
        <v>0</v>
      </c>
      <c r="N92" s="247">
        <f t="shared" ca="1" si="14"/>
        <v>0</v>
      </c>
    </row>
    <row r="93" spans="1:18" x14ac:dyDescent="0.25">
      <c r="A93" s="61" t="s">
        <v>167</v>
      </c>
      <c r="B93" s="62" t="s">
        <v>168</v>
      </c>
      <c r="C93" s="246">
        <f>'7.1. igazg 011130'!C93+'7.2 temető 013320'!C93+'7.3. vagyon 013350'!C93+'7.4 018010'!C93+'7.5 finansz műveletek 018030'!C93+'7.7 közütak működtetés 045160'!C93+'7.8 parkoló 045170'!C93+'7.9 kábeltv 046020'!C93+'7.10 piac 047120'!C93+'7.11 tdm tám047320'!C93+'7.12 szemét 051030'!C93+'7.13 szennyvíz 052080'!C93+'7.14 víz 063080'!C93+'7.15 közvil 064010'!C93+'7.16 zöldterület 066010'!C93+'7.17 város 066020'!C93+'7.18 háziorvos 072111'!C93+'7.19 ügyelet 072112'!C93+'7.20 fülészet 072210'!C93+'7.21 védőnők 074031'!C93+'7.22 isk eü 074032'!C93+'7.23 sportcsépület 081030'!C93+'7.24 sport tám 081041'!C93+'7.25 diáksport 081043'!C93+'7.26 közműv 082091'!C93+'7.27 közműv 082092'!C93+'7.28  óvoda 091140'!C93+'7.29 intézmkiv gyétk 104037'!C93+'7.30 szoc étk 107051'!C93+'7.31 segélyek 107060'!C93+'7.32 adóbev 900020'!C93+'7.33 pályázatok összesen'!C93+'7.6 út építés 045127'!C93</f>
        <v>2750000</v>
      </c>
      <c r="D93" s="246">
        <f>'7.1. igazg 011130'!D93+'7.2 temető 013320'!D93+'7.3. vagyon 013350'!D93+'7.4 018010'!D93+'7.5 finansz műveletek 018030'!D93+'7.7 közütak működtetés 045160'!D93+'7.8 parkoló 045170'!D93+'7.9 kábeltv 046020'!D93+'7.10 piac 047120'!D93+'7.11 tdm tám047320'!D93+'7.12 szemét 051030'!D93+'7.13 szennyvíz 052080'!D93+'7.14 víz 063080'!D93+'7.15 közvil 064010'!D93+'7.16 zöldterület 066010'!D93+'7.17 város 066020'!D93+'7.18 háziorvos 072111'!D93+'7.19 ügyelet 072112'!D93+'7.20 fülészet 072210'!D93+'7.21 védőnők 074031'!D93+'7.22 isk eü 074032'!D93+'7.23 sportcsépület 081030'!D93+'7.24 sport tám 081041'!D93+'7.25 diáksport 081043'!D93+'7.26 közműv 082091'!D93+'7.27 közműv 082092'!D93+'7.28  óvoda 091140'!D93+'7.29 intézmkiv gyétk 104037'!D93+'7.30 szoc étk 107051'!D93+'7.31 segélyek 107060'!D93+'7.32 adóbev 900020'!D93+'7.33 pályázatok összesen'!D93+'7.6 út építés 045127'!D93</f>
        <v>0</v>
      </c>
      <c r="E93" s="247">
        <f t="shared" si="11"/>
        <v>2750000</v>
      </c>
      <c r="F93" s="246">
        <f>'7.1. igazg 011130'!F93+'7.2 temető 013320'!F93+'7.3. vagyon 013350'!F93+'7.4 018010'!F93+'7.5 finansz műveletek 018030'!F93+'7.7 közütak működtetés 045160'!F93+'7.8 parkoló 045170'!F93+'7.9 kábeltv 046020'!F93+'7.10 piac 047120'!F93+'7.11 tdm tám047320'!F93+'7.12 szemét 051030'!F93+'7.13 szennyvíz 052080'!F93+'7.14 víz 063080'!F93+'7.15 közvil 064010'!F93+'7.16 zöldterület 066010'!F93+'7.17 város 066020'!F93+'7.18 háziorvos 072111'!F93+'7.19 ügyelet 072112'!F93+'7.20 fülészet 072210'!F93+'7.21 védőnők 074031'!F93+'7.22 isk eü 074032'!F93+'7.23 sportcsépület 081030'!F93+'7.24 sport tám 081041'!F93+'7.25 diáksport 081043'!F93+'7.26 közműv 082091'!F93+'7.27 közműv 082092'!F93+'7.28  óvoda 091140'!F93+'7.29 intézmkiv gyétk 104037'!F93+'7.30 szoc étk 107051'!F93+'7.31 segélyek 107060'!F93+'7.32 adóbev 900020'!F93+'7.33 pályázatok összesen'!F93+'7.6 út építés 045127'!F93</f>
        <v>2750000</v>
      </c>
      <c r="G93" s="246">
        <f>'7.1. igazg 011130'!G93+'7.2 temető 013320'!G93+'7.3. vagyon 013350'!G93+'7.4 018010'!G93+'7.5 finansz műveletek 018030'!G93+'7.7 közütak működtetés 045160'!G93+'7.8 parkoló 045170'!G93+'7.9 kábeltv 046020'!G93+'7.10 piac 047120'!G93+'7.11 tdm tám047320'!G93+'7.12 szemét 051030'!G93+'7.13 szennyvíz 052080'!G93+'7.14 víz 063080'!G93+'7.15 közvil 064010'!G93+'7.16 zöldterület 066010'!G93+'7.17 város 066020'!G93+'7.18 háziorvos 072111'!G93+'7.19 ügyelet 072112'!G93+'7.20 fülészet 072210'!G93+'7.21 védőnők 074031'!G93+'7.22 isk eü 074032'!G93+'7.23 sportcsépület 081030'!G93+'7.24 sport tám 081041'!G93+'7.25 diáksport 081043'!G93+'7.26 közműv 082091'!G93+'7.27 közműv 082092'!G93+'7.28  óvoda 091140'!G93+'7.29 intézmkiv gyétk 104037'!G93+'7.30 szoc étk 107051'!G93+'7.31 segélyek 107060'!G93+'7.32 adóbev 900020'!G93+'7.33 pályázatok összesen'!G93+'7.6 út építés 045127'!G93</f>
        <v>0</v>
      </c>
      <c r="H93" s="247">
        <f t="shared" si="15"/>
        <v>2750000</v>
      </c>
      <c r="I93" s="246">
        <f ca="1">'7.1. igazg 011130'!I93+'7.2 temető 013320'!I93+'7.3. vagyon 013350'!I93+'7.4 018010'!I93+'7.5 finansz műveletek 018030'!I93+'7.7 közütak működtetés 045160'!I93+'7.8 parkoló 045170'!I93+'7.9 kábeltv 046020'!I93+'7.10 piac 047120'!I93+'7.11 tdm tám047320'!I93+'7.12 szemét 051030'!I93+'7.13 szennyvíz 052080'!I93+'7.14 víz 063080'!I93+'7.15 közvil 064010'!I93+'7.16 zöldterület 066010'!I93+'7.17 város 066020'!I93+'7.18 háziorvos 072111'!I93+'7.19 ügyelet 072112'!I93+'7.20 fülészet 072210'!I93+'7.21 védőnők 074031'!I93+'7.22 isk eü 074032'!I93+'7.23 sportcsépület 081030'!I93+'7.24 sport tám 081041'!I93+'7.25 diáksport 081043'!I93+'7.26 közműv 082091'!I93+'7.27 közműv 082092'!I93+'7.28  óvoda 091140'!I93+'7.29 intézmkiv gyétk 104037'!I93+'7.30 szoc étk 107051'!I93+'7.31 segélyek 107060'!I93+'7.32 adóbev 900020'!I93+'7.33 pályázatok összesen'!I93+'7.6 út építés 045127'!I93</f>
        <v>3812781</v>
      </c>
      <c r="J93" s="246">
        <f>'7.1. igazg 011130'!J93+'7.2 temető 013320'!J93+'7.3. vagyon 013350'!J93+'7.4 018010'!J93+'7.5 finansz műveletek 018030'!J93+'7.7 közütak működtetés 045160'!J93+'7.8 parkoló 045170'!J93+'7.9 kábeltv 046020'!J93+'7.10 piac 047120'!J93+'7.11 tdm tám047320'!J93+'7.12 szemét 051030'!J93+'7.13 szennyvíz 052080'!J93+'7.14 víz 063080'!J93+'7.15 közvil 064010'!J93+'7.16 zöldterület 066010'!J93+'7.17 város 066020'!J93+'7.18 háziorvos 072111'!J93+'7.19 ügyelet 072112'!J93+'7.20 fülészet 072210'!J93+'7.21 védőnők 074031'!J93+'7.22 isk eü 074032'!J93+'7.23 sportcsépület 081030'!J93+'7.24 sport tám 081041'!J93+'7.25 diáksport 081043'!J93+'7.26 közműv 082091'!J93+'7.27 közműv 082092'!J93+'7.28  óvoda 091140'!J93+'7.29 intézmkiv gyétk 104037'!J93+'7.30 szoc étk 107051'!J93+'7.31 segélyek 107060'!J93+'7.32 adóbev 900020'!J93+'7.33 pályázatok összesen'!J93+'7.6 út építés 045127'!J93</f>
        <v>0</v>
      </c>
      <c r="K93" s="247">
        <f t="shared" ca="1" si="16"/>
        <v>3812781</v>
      </c>
      <c r="L93" s="246">
        <f ca="1">'7.1. igazg 011130'!L93+'7.2 temető 013320'!L93+'7.3. vagyon 013350'!L93+'7.4 018010'!L93+'7.5 finansz műveletek 018030'!L93+'7.7 közütak működtetés 045160'!L93+'7.8 parkoló 045170'!L93+'7.9 kábeltv 046020'!L93+'7.10 piac 047120'!L93+'7.11 tdm tám047320'!L93+'7.12 szemét 051030'!L93+'7.13 szennyvíz 052080'!L93+'7.14 víz 063080'!L93+'7.15 közvil 064010'!L93+'7.16 zöldterület 066010'!L93+'7.17 város 066020'!L93+'7.18 háziorvos 072111'!L93+'7.19 ügyelet 072112'!L93+'7.20 fülészet 072210'!L93+'7.21 védőnők 074031'!L93+'7.22 isk eü 074032'!L93+'7.23 sportcsépület 081030'!L93+'7.24 sport tám 081041'!L93+'7.25 diáksport 081043'!L93+'7.26 közműv 082091'!L93+'7.27 közműv 082092'!L93+'7.28  óvoda 091140'!L93+'7.29 intézmkiv gyétk 104037'!L93+'7.30 szoc étk 107051'!L93+'7.31 segélyek 107060'!L93+'7.32 adóbev 900020'!L93+'7.33 pályázatok összesen'!L93+'7.6 út építés 045127'!L93</f>
        <v>3812781</v>
      </c>
      <c r="M93" s="246">
        <f>'7.1. igazg 011130'!M93+'7.2 temető 013320'!M93+'7.3. vagyon 013350'!M93+'7.4 018010'!M93+'7.5 finansz műveletek 018030'!M93+'7.7 közütak működtetés 045160'!M93+'7.8 parkoló 045170'!M93+'7.9 kábeltv 046020'!M93+'7.10 piac 047120'!M93+'7.11 tdm tám047320'!M93+'7.12 szemét 051030'!M93+'7.13 szennyvíz 052080'!M93+'7.14 víz 063080'!M93+'7.15 közvil 064010'!M93+'7.16 zöldterület 066010'!M93+'7.17 város 066020'!M93+'7.18 háziorvos 072111'!M93+'7.19 ügyelet 072112'!M93+'7.20 fülészet 072210'!M93+'7.21 védőnők 074031'!M93+'7.22 isk eü 074032'!M93+'7.23 sportcsépület 081030'!M93+'7.24 sport tám 081041'!M93+'7.25 diáksport 081043'!M93+'7.26 közműv 082091'!M93+'7.27 közműv 082092'!M93+'7.28  óvoda 091140'!M93+'7.29 intézmkiv gyétk 104037'!M93+'7.30 szoc étk 107051'!M93+'7.31 segélyek 107060'!M93+'7.32 adóbev 900020'!M93+'7.33 pályázatok összesen'!M93+'7.6 út építés 045127'!M93</f>
        <v>0</v>
      </c>
      <c r="N93" s="247">
        <f t="shared" ca="1" si="14"/>
        <v>3812781</v>
      </c>
    </row>
    <row r="94" spans="1:18" x14ac:dyDescent="0.25">
      <c r="A94" s="61" t="s">
        <v>169</v>
      </c>
      <c r="B94" s="62" t="s">
        <v>170</v>
      </c>
      <c r="C94" s="246">
        <f>'7.1. igazg 011130'!C94+'7.2 temető 013320'!C94+'7.3. vagyon 013350'!C94+'7.4 018010'!C94+'7.5 finansz műveletek 018030'!C94+'7.7 közütak működtetés 045160'!C94+'7.8 parkoló 045170'!C94+'7.9 kábeltv 046020'!C94+'7.10 piac 047120'!C94+'7.11 tdm tám047320'!C94+'7.12 szemét 051030'!C94+'7.13 szennyvíz 052080'!C94+'7.14 víz 063080'!C94+'7.15 közvil 064010'!C94+'7.16 zöldterület 066010'!C94+'7.17 város 066020'!C94+'7.18 háziorvos 072111'!C94+'7.19 ügyelet 072112'!C94+'7.20 fülészet 072210'!C94+'7.21 védőnők 074031'!C94+'7.22 isk eü 074032'!C94+'7.23 sportcsépület 081030'!C94+'7.24 sport tám 081041'!C94+'7.25 diáksport 081043'!C94+'7.26 közműv 082091'!C94+'7.27 közműv 082092'!C94+'7.28  óvoda 091140'!C94+'7.29 intézmkiv gyétk 104037'!C94+'7.30 szoc étk 107051'!C94+'7.31 segélyek 107060'!C94+'7.32 adóbev 900020'!C94+'7.33 pályázatok összesen'!C94+'7.6 út építés 045127'!C94</f>
        <v>0</v>
      </c>
      <c r="D94" s="246">
        <f>'7.1. igazg 011130'!D94+'7.2 temető 013320'!D94+'7.3. vagyon 013350'!D94+'7.4 018010'!D94+'7.5 finansz műveletek 018030'!D94+'7.7 közütak működtetés 045160'!D94+'7.8 parkoló 045170'!D94+'7.9 kábeltv 046020'!D94+'7.10 piac 047120'!D94+'7.11 tdm tám047320'!D94+'7.12 szemét 051030'!D94+'7.13 szennyvíz 052080'!D94+'7.14 víz 063080'!D94+'7.15 közvil 064010'!D94+'7.16 zöldterület 066010'!D94+'7.17 város 066020'!D94+'7.18 háziorvos 072111'!D94+'7.19 ügyelet 072112'!D94+'7.20 fülészet 072210'!D94+'7.21 védőnők 074031'!D94+'7.22 isk eü 074032'!D94+'7.23 sportcsépület 081030'!D94+'7.24 sport tám 081041'!D94+'7.25 diáksport 081043'!D94+'7.26 közműv 082091'!D94+'7.27 közműv 082092'!D94+'7.28  óvoda 091140'!D94+'7.29 intézmkiv gyétk 104037'!D94+'7.30 szoc étk 107051'!D94+'7.31 segélyek 107060'!D94+'7.32 adóbev 900020'!D94+'7.33 pályázatok összesen'!D94+'7.6 út építés 045127'!D94</f>
        <v>0</v>
      </c>
      <c r="E94" s="247">
        <f t="shared" si="11"/>
        <v>0</v>
      </c>
      <c r="F94" s="246">
        <f>'7.1. igazg 011130'!F94+'7.2 temető 013320'!F94+'7.3. vagyon 013350'!F94+'7.4 018010'!F94+'7.5 finansz műveletek 018030'!F94+'7.7 közütak működtetés 045160'!F94+'7.8 parkoló 045170'!F94+'7.9 kábeltv 046020'!F94+'7.10 piac 047120'!F94+'7.11 tdm tám047320'!F94+'7.12 szemét 051030'!F94+'7.13 szennyvíz 052080'!F94+'7.14 víz 063080'!F94+'7.15 közvil 064010'!F94+'7.16 zöldterület 066010'!F94+'7.17 város 066020'!F94+'7.18 háziorvos 072111'!F94+'7.19 ügyelet 072112'!F94+'7.20 fülészet 072210'!F94+'7.21 védőnők 074031'!F94+'7.22 isk eü 074032'!F94+'7.23 sportcsépület 081030'!F94+'7.24 sport tám 081041'!F94+'7.25 diáksport 081043'!F94+'7.26 közműv 082091'!F94+'7.27 közműv 082092'!F94+'7.28  óvoda 091140'!F94+'7.29 intézmkiv gyétk 104037'!F94+'7.30 szoc étk 107051'!F94+'7.31 segélyek 107060'!F94+'7.32 adóbev 900020'!F94+'7.33 pályázatok összesen'!F94+'7.6 út építés 045127'!F94</f>
        <v>0</v>
      </c>
      <c r="G94" s="246">
        <f>'7.1. igazg 011130'!G94+'7.2 temető 013320'!G94+'7.3. vagyon 013350'!G94+'7.4 018010'!G94+'7.5 finansz műveletek 018030'!G94+'7.7 közütak működtetés 045160'!G94+'7.8 parkoló 045170'!G94+'7.9 kábeltv 046020'!G94+'7.10 piac 047120'!G94+'7.11 tdm tám047320'!G94+'7.12 szemét 051030'!G94+'7.13 szennyvíz 052080'!G94+'7.14 víz 063080'!G94+'7.15 közvil 064010'!G94+'7.16 zöldterület 066010'!G94+'7.17 város 066020'!G94+'7.18 háziorvos 072111'!G94+'7.19 ügyelet 072112'!G94+'7.20 fülészet 072210'!G94+'7.21 védőnők 074031'!G94+'7.22 isk eü 074032'!G94+'7.23 sportcsépület 081030'!G94+'7.24 sport tám 081041'!G94+'7.25 diáksport 081043'!G94+'7.26 közműv 082091'!G94+'7.27 közműv 082092'!G94+'7.28  óvoda 091140'!G94+'7.29 intézmkiv gyétk 104037'!G94+'7.30 szoc étk 107051'!G94+'7.31 segélyek 107060'!G94+'7.32 adóbev 900020'!G94+'7.33 pályázatok összesen'!G94+'7.6 út építés 045127'!G94</f>
        <v>0</v>
      </c>
      <c r="H94" s="247">
        <f t="shared" si="15"/>
        <v>0</v>
      </c>
      <c r="I94" s="246">
        <f ca="1">'7.1. igazg 011130'!I94+'7.2 temető 013320'!I94+'7.3. vagyon 013350'!I94+'7.4 018010'!I94+'7.5 finansz műveletek 018030'!I94+'7.7 közütak működtetés 045160'!I94+'7.8 parkoló 045170'!I94+'7.9 kábeltv 046020'!I94+'7.10 piac 047120'!I94+'7.11 tdm tám047320'!I94+'7.12 szemét 051030'!I94+'7.13 szennyvíz 052080'!I94+'7.14 víz 063080'!I94+'7.15 közvil 064010'!I94+'7.16 zöldterület 066010'!I94+'7.17 város 066020'!I94+'7.18 háziorvos 072111'!I94+'7.19 ügyelet 072112'!I94+'7.20 fülészet 072210'!I94+'7.21 védőnők 074031'!I94+'7.22 isk eü 074032'!I94+'7.23 sportcsépület 081030'!I94+'7.24 sport tám 081041'!I94+'7.25 diáksport 081043'!I94+'7.26 közműv 082091'!I94+'7.27 közműv 082092'!I94+'7.28  óvoda 091140'!I94+'7.29 intézmkiv gyétk 104037'!I94+'7.30 szoc étk 107051'!I94+'7.31 segélyek 107060'!I94+'7.32 adóbev 900020'!I94+'7.33 pályázatok összesen'!I94+'7.6 út építés 045127'!I94</f>
        <v>0</v>
      </c>
      <c r="J94" s="246">
        <f>'7.1. igazg 011130'!J94+'7.2 temető 013320'!J94+'7.3. vagyon 013350'!J94+'7.4 018010'!J94+'7.5 finansz műveletek 018030'!J94+'7.7 közütak működtetés 045160'!J94+'7.8 parkoló 045170'!J94+'7.9 kábeltv 046020'!J94+'7.10 piac 047120'!J94+'7.11 tdm tám047320'!J94+'7.12 szemét 051030'!J94+'7.13 szennyvíz 052080'!J94+'7.14 víz 063080'!J94+'7.15 közvil 064010'!J94+'7.16 zöldterület 066010'!J94+'7.17 város 066020'!J94+'7.18 háziorvos 072111'!J94+'7.19 ügyelet 072112'!J94+'7.20 fülészet 072210'!J94+'7.21 védőnők 074031'!J94+'7.22 isk eü 074032'!J94+'7.23 sportcsépület 081030'!J94+'7.24 sport tám 081041'!J94+'7.25 diáksport 081043'!J94+'7.26 közműv 082091'!J94+'7.27 közműv 082092'!J94+'7.28  óvoda 091140'!J94+'7.29 intézmkiv gyétk 104037'!J94+'7.30 szoc étk 107051'!J94+'7.31 segélyek 107060'!J94+'7.32 adóbev 900020'!J94+'7.33 pályázatok összesen'!J94+'7.6 út építés 045127'!J94</f>
        <v>0</v>
      </c>
      <c r="K94" s="247">
        <f t="shared" ca="1" si="16"/>
        <v>0</v>
      </c>
      <c r="L94" s="246">
        <f ca="1">'7.1. igazg 011130'!L94+'7.2 temető 013320'!L94+'7.3. vagyon 013350'!L94+'7.4 018010'!L94+'7.5 finansz műveletek 018030'!L94+'7.7 közütak működtetés 045160'!L94+'7.8 parkoló 045170'!L94+'7.9 kábeltv 046020'!L94+'7.10 piac 047120'!L94+'7.11 tdm tám047320'!L94+'7.12 szemét 051030'!L94+'7.13 szennyvíz 052080'!L94+'7.14 víz 063080'!L94+'7.15 közvil 064010'!L94+'7.16 zöldterület 066010'!L94+'7.17 város 066020'!L94+'7.18 háziorvos 072111'!L94+'7.19 ügyelet 072112'!L94+'7.20 fülészet 072210'!L94+'7.21 védőnők 074031'!L94+'7.22 isk eü 074032'!L94+'7.23 sportcsépület 081030'!L94+'7.24 sport tám 081041'!L94+'7.25 diáksport 081043'!L94+'7.26 közműv 082091'!L94+'7.27 közműv 082092'!L94+'7.28  óvoda 091140'!L94+'7.29 intézmkiv gyétk 104037'!L94+'7.30 szoc étk 107051'!L94+'7.31 segélyek 107060'!L94+'7.32 adóbev 900020'!L94+'7.33 pályázatok összesen'!L94+'7.6 út építés 045127'!L94</f>
        <v>0</v>
      </c>
      <c r="M94" s="246">
        <f>'7.1. igazg 011130'!M94+'7.2 temető 013320'!M94+'7.3. vagyon 013350'!M94+'7.4 018010'!M94+'7.5 finansz műveletek 018030'!M94+'7.7 közütak működtetés 045160'!M94+'7.8 parkoló 045170'!M94+'7.9 kábeltv 046020'!M94+'7.10 piac 047120'!M94+'7.11 tdm tám047320'!M94+'7.12 szemét 051030'!M94+'7.13 szennyvíz 052080'!M94+'7.14 víz 063080'!M94+'7.15 közvil 064010'!M94+'7.16 zöldterület 066010'!M94+'7.17 város 066020'!M94+'7.18 háziorvos 072111'!M94+'7.19 ügyelet 072112'!M94+'7.20 fülészet 072210'!M94+'7.21 védőnők 074031'!M94+'7.22 isk eü 074032'!M94+'7.23 sportcsépület 081030'!M94+'7.24 sport tám 081041'!M94+'7.25 diáksport 081043'!M94+'7.26 közműv 082091'!M94+'7.27 közműv 082092'!M94+'7.28  óvoda 091140'!M94+'7.29 intézmkiv gyétk 104037'!M94+'7.30 szoc étk 107051'!M94+'7.31 segélyek 107060'!M94+'7.32 adóbev 900020'!M94+'7.33 pályázatok összesen'!M94+'7.6 út építés 045127'!M94</f>
        <v>0</v>
      </c>
      <c r="N94" s="247">
        <f t="shared" ca="1" si="14"/>
        <v>0</v>
      </c>
    </row>
    <row r="95" spans="1:18" x14ac:dyDescent="0.25">
      <c r="A95" s="61" t="s">
        <v>171</v>
      </c>
      <c r="B95" s="62" t="s">
        <v>172</v>
      </c>
      <c r="C95" s="246">
        <f>'7.1. igazg 011130'!C95+'7.2 temető 013320'!C95+'7.3. vagyon 013350'!C95+'7.4 018010'!C95+'7.5 finansz műveletek 018030'!C95+'7.7 közütak működtetés 045160'!C95+'7.8 parkoló 045170'!C95+'7.9 kábeltv 046020'!C95+'7.10 piac 047120'!C95+'7.11 tdm tám047320'!C95+'7.12 szemét 051030'!C95+'7.13 szennyvíz 052080'!C95+'7.14 víz 063080'!C95+'7.15 közvil 064010'!C95+'7.16 zöldterület 066010'!C95+'7.17 város 066020'!C95+'7.18 háziorvos 072111'!C95+'7.19 ügyelet 072112'!C95+'7.20 fülészet 072210'!C95+'7.21 védőnők 074031'!C95+'7.22 isk eü 074032'!C95+'7.23 sportcsépület 081030'!C95+'7.24 sport tám 081041'!C95+'7.25 diáksport 081043'!C95+'7.26 közműv 082091'!C95+'7.27 közműv 082092'!C95+'7.28  óvoda 091140'!C95+'7.29 intézmkiv gyétk 104037'!C95+'7.30 szoc étk 107051'!C95+'7.31 segélyek 107060'!C95+'7.32 adóbev 900020'!C95+'7.33 pályázatok összesen'!C95+'7.6 út építés 045127'!C95</f>
        <v>0</v>
      </c>
      <c r="D95" s="246">
        <f>'7.1. igazg 011130'!D95+'7.2 temető 013320'!D95+'7.3. vagyon 013350'!D95+'7.4 018010'!D95+'7.5 finansz műveletek 018030'!D95+'7.7 közütak működtetés 045160'!D95+'7.8 parkoló 045170'!D95+'7.9 kábeltv 046020'!D95+'7.10 piac 047120'!D95+'7.11 tdm tám047320'!D95+'7.12 szemét 051030'!D95+'7.13 szennyvíz 052080'!D95+'7.14 víz 063080'!D95+'7.15 közvil 064010'!D95+'7.16 zöldterület 066010'!D95+'7.17 város 066020'!D95+'7.18 háziorvos 072111'!D95+'7.19 ügyelet 072112'!D95+'7.20 fülészet 072210'!D95+'7.21 védőnők 074031'!D95+'7.22 isk eü 074032'!D95+'7.23 sportcsépület 081030'!D95+'7.24 sport tám 081041'!D95+'7.25 diáksport 081043'!D95+'7.26 közműv 082091'!D95+'7.27 közműv 082092'!D95+'7.28  óvoda 091140'!D95+'7.29 intézmkiv gyétk 104037'!D95+'7.30 szoc étk 107051'!D95+'7.31 segélyek 107060'!D95+'7.32 adóbev 900020'!D95+'7.33 pályázatok összesen'!D95+'7.6 út építés 045127'!D95</f>
        <v>0</v>
      </c>
      <c r="E95" s="247">
        <f t="shared" si="11"/>
        <v>0</v>
      </c>
      <c r="F95" s="246">
        <f>'7.1. igazg 011130'!F95+'7.2 temető 013320'!F95+'7.3. vagyon 013350'!F95+'7.4 018010'!F95+'7.5 finansz műveletek 018030'!F95+'7.7 közütak működtetés 045160'!F95+'7.8 parkoló 045170'!F95+'7.9 kábeltv 046020'!F95+'7.10 piac 047120'!F95+'7.11 tdm tám047320'!F95+'7.12 szemét 051030'!F95+'7.13 szennyvíz 052080'!F95+'7.14 víz 063080'!F95+'7.15 közvil 064010'!F95+'7.16 zöldterület 066010'!F95+'7.17 város 066020'!F95+'7.18 háziorvos 072111'!F95+'7.19 ügyelet 072112'!F95+'7.20 fülészet 072210'!F95+'7.21 védőnők 074031'!F95+'7.22 isk eü 074032'!F95+'7.23 sportcsépület 081030'!F95+'7.24 sport tám 081041'!F95+'7.25 diáksport 081043'!F95+'7.26 közműv 082091'!F95+'7.27 közműv 082092'!F95+'7.28  óvoda 091140'!F95+'7.29 intézmkiv gyétk 104037'!F95+'7.30 szoc étk 107051'!F95+'7.31 segélyek 107060'!F95+'7.32 adóbev 900020'!F95+'7.33 pályázatok összesen'!F95+'7.6 út építés 045127'!F95</f>
        <v>0</v>
      </c>
      <c r="G95" s="246">
        <f>'7.1. igazg 011130'!G95+'7.2 temető 013320'!G95+'7.3. vagyon 013350'!G95+'7.4 018010'!G95+'7.5 finansz műveletek 018030'!G95+'7.7 közütak működtetés 045160'!G95+'7.8 parkoló 045170'!G95+'7.9 kábeltv 046020'!G95+'7.10 piac 047120'!G95+'7.11 tdm tám047320'!G95+'7.12 szemét 051030'!G95+'7.13 szennyvíz 052080'!G95+'7.14 víz 063080'!G95+'7.15 közvil 064010'!G95+'7.16 zöldterület 066010'!G95+'7.17 város 066020'!G95+'7.18 háziorvos 072111'!G95+'7.19 ügyelet 072112'!G95+'7.20 fülészet 072210'!G95+'7.21 védőnők 074031'!G95+'7.22 isk eü 074032'!G95+'7.23 sportcsépület 081030'!G95+'7.24 sport tám 081041'!G95+'7.25 diáksport 081043'!G95+'7.26 közműv 082091'!G95+'7.27 közműv 082092'!G95+'7.28  óvoda 091140'!G95+'7.29 intézmkiv gyétk 104037'!G95+'7.30 szoc étk 107051'!G95+'7.31 segélyek 107060'!G95+'7.32 adóbev 900020'!G95+'7.33 pályázatok összesen'!G95+'7.6 út építés 045127'!G95</f>
        <v>0</v>
      </c>
      <c r="H95" s="247">
        <f t="shared" si="15"/>
        <v>0</v>
      </c>
      <c r="I95" s="246">
        <f ca="1">'7.1. igazg 011130'!I95+'7.2 temető 013320'!I95+'7.3. vagyon 013350'!I95+'7.4 018010'!I95+'7.5 finansz műveletek 018030'!I95+'7.7 közütak működtetés 045160'!I95+'7.8 parkoló 045170'!I95+'7.9 kábeltv 046020'!I95+'7.10 piac 047120'!I95+'7.11 tdm tám047320'!I95+'7.12 szemét 051030'!I95+'7.13 szennyvíz 052080'!I95+'7.14 víz 063080'!I95+'7.15 közvil 064010'!I95+'7.16 zöldterület 066010'!I95+'7.17 város 066020'!I95+'7.18 háziorvos 072111'!I95+'7.19 ügyelet 072112'!I95+'7.20 fülészet 072210'!I95+'7.21 védőnők 074031'!I95+'7.22 isk eü 074032'!I95+'7.23 sportcsépület 081030'!I95+'7.24 sport tám 081041'!I95+'7.25 diáksport 081043'!I95+'7.26 közműv 082091'!I95+'7.27 közműv 082092'!I95+'7.28  óvoda 091140'!I95+'7.29 intézmkiv gyétk 104037'!I95+'7.30 szoc étk 107051'!I95+'7.31 segélyek 107060'!I95+'7.32 adóbev 900020'!I95+'7.33 pályázatok összesen'!I95+'7.6 út építés 045127'!I95</f>
        <v>0</v>
      </c>
      <c r="J95" s="246">
        <f>'7.1. igazg 011130'!J95+'7.2 temető 013320'!J95+'7.3. vagyon 013350'!J95+'7.4 018010'!J95+'7.5 finansz műveletek 018030'!J95+'7.7 közütak működtetés 045160'!J95+'7.8 parkoló 045170'!J95+'7.9 kábeltv 046020'!J95+'7.10 piac 047120'!J95+'7.11 tdm tám047320'!J95+'7.12 szemét 051030'!J95+'7.13 szennyvíz 052080'!J95+'7.14 víz 063080'!J95+'7.15 közvil 064010'!J95+'7.16 zöldterület 066010'!J95+'7.17 város 066020'!J95+'7.18 háziorvos 072111'!J95+'7.19 ügyelet 072112'!J95+'7.20 fülészet 072210'!J95+'7.21 védőnők 074031'!J95+'7.22 isk eü 074032'!J95+'7.23 sportcsépület 081030'!J95+'7.24 sport tám 081041'!J95+'7.25 diáksport 081043'!J95+'7.26 közműv 082091'!J95+'7.27 közműv 082092'!J95+'7.28  óvoda 091140'!J95+'7.29 intézmkiv gyétk 104037'!J95+'7.30 szoc étk 107051'!J95+'7.31 segélyek 107060'!J95+'7.32 adóbev 900020'!J95+'7.33 pályázatok összesen'!J95+'7.6 út építés 045127'!J95</f>
        <v>0</v>
      </c>
      <c r="K95" s="247">
        <f t="shared" ca="1" si="16"/>
        <v>0</v>
      </c>
      <c r="L95" s="246">
        <f ca="1">'7.1. igazg 011130'!L95+'7.2 temető 013320'!L95+'7.3. vagyon 013350'!L95+'7.4 018010'!L95+'7.5 finansz műveletek 018030'!L95+'7.7 közütak működtetés 045160'!L95+'7.8 parkoló 045170'!L95+'7.9 kábeltv 046020'!L95+'7.10 piac 047120'!L95+'7.11 tdm tám047320'!L95+'7.12 szemét 051030'!L95+'7.13 szennyvíz 052080'!L95+'7.14 víz 063080'!L95+'7.15 közvil 064010'!L95+'7.16 zöldterület 066010'!L95+'7.17 város 066020'!L95+'7.18 háziorvos 072111'!L95+'7.19 ügyelet 072112'!L95+'7.20 fülészet 072210'!L95+'7.21 védőnők 074031'!L95+'7.22 isk eü 074032'!L95+'7.23 sportcsépület 081030'!L95+'7.24 sport tám 081041'!L95+'7.25 diáksport 081043'!L95+'7.26 közműv 082091'!L95+'7.27 közműv 082092'!L95+'7.28  óvoda 091140'!L95+'7.29 intézmkiv gyétk 104037'!L95+'7.30 szoc étk 107051'!L95+'7.31 segélyek 107060'!L95+'7.32 adóbev 900020'!L95+'7.33 pályázatok összesen'!L95+'7.6 út építés 045127'!L95</f>
        <v>0</v>
      </c>
      <c r="M95" s="246">
        <f>'7.1. igazg 011130'!M95+'7.2 temető 013320'!M95+'7.3. vagyon 013350'!M95+'7.4 018010'!M95+'7.5 finansz műveletek 018030'!M95+'7.7 közütak működtetés 045160'!M95+'7.8 parkoló 045170'!M95+'7.9 kábeltv 046020'!M95+'7.10 piac 047120'!M95+'7.11 tdm tám047320'!M95+'7.12 szemét 051030'!M95+'7.13 szennyvíz 052080'!M95+'7.14 víz 063080'!M95+'7.15 közvil 064010'!M95+'7.16 zöldterület 066010'!M95+'7.17 város 066020'!M95+'7.18 háziorvos 072111'!M95+'7.19 ügyelet 072112'!M95+'7.20 fülészet 072210'!M95+'7.21 védőnők 074031'!M95+'7.22 isk eü 074032'!M95+'7.23 sportcsépület 081030'!M95+'7.24 sport tám 081041'!M95+'7.25 diáksport 081043'!M95+'7.26 közműv 082091'!M95+'7.27 közműv 082092'!M95+'7.28  óvoda 091140'!M95+'7.29 intézmkiv gyétk 104037'!M95+'7.30 szoc étk 107051'!M95+'7.31 segélyek 107060'!M95+'7.32 adóbev 900020'!M95+'7.33 pályázatok összesen'!M95+'7.6 út építés 045127'!M95</f>
        <v>0</v>
      </c>
      <c r="N95" s="247">
        <f t="shared" ca="1" si="14"/>
        <v>0</v>
      </c>
    </row>
    <row r="96" spans="1:18" x14ac:dyDescent="0.25">
      <c r="A96" s="61" t="s">
        <v>173</v>
      </c>
      <c r="B96" s="62" t="s">
        <v>174</v>
      </c>
      <c r="C96" s="246">
        <f>'7.1. igazg 011130'!C96+'7.2 temető 013320'!C96+'7.3. vagyon 013350'!C96+'7.4 018010'!C96+'7.5 finansz műveletek 018030'!C96+'7.7 közütak működtetés 045160'!C96+'7.8 parkoló 045170'!C96+'7.9 kábeltv 046020'!C96+'7.10 piac 047120'!C96+'7.11 tdm tám047320'!C96+'7.12 szemét 051030'!C96+'7.13 szennyvíz 052080'!C96+'7.14 víz 063080'!C96+'7.15 közvil 064010'!C96+'7.16 zöldterület 066010'!C96+'7.17 város 066020'!C96+'7.18 háziorvos 072111'!C96+'7.19 ügyelet 072112'!C96+'7.20 fülészet 072210'!C96+'7.21 védőnők 074031'!C96+'7.22 isk eü 074032'!C96+'7.23 sportcsépület 081030'!C96+'7.24 sport tám 081041'!C96+'7.25 diáksport 081043'!C96+'7.26 közműv 082091'!C96+'7.27 közműv 082092'!C96+'7.28  óvoda 091140'!C96+'7.29 intézmkiv gyétk 104037'!C96+'7.30 szoc étk 107051'!C96+'7.31 segélyek 107060'!C96+'7.32 adóbev 900020'!C96+'7.33 pályázatok összesen'!C96+'7.6 út építés 045127'!C96</f>
        <v>2310000</v>
      </c>
      <c r="D96" s="246">
        <f>'7.1. igazg 011130'!D96+'7.2 temető 013320'!D96+'7.3. vagyon 013350'!D96+'7.4 018010'!D96+'7.5 finansz műveletek 018030'!D96+'7.7 közütak működtetés 045160'!D96+'7.8 parkoló 045170'!D96+'7.9 kábeltv 046020'!D96+'7.10 piac 047120'!D96+'7.11 tdm tám047320'!D96+'7.12 szemét 051030'!D96+'7.13 szennyvíz 052080'!D96+'7.14 víz 063080'!D96+'7.15 közvil 064010'!D96+'7.16 zöldterület 066010'!D96+'7.17 város 066020'!D96+'7.18 háziorvos 072111'!D96+'7.19 ügyelet 072112'!D96+'7.20 fülészet 072210'!D96+'7.21 védőnők 074031'!D96+'7.22 isk eü 074032'!D96+'7.23 sportcsépület 081030'!D96+'7.24 sport tám 081041'!D96+'7.25 diáksport 081043'!D96+'7.26 közműv 082091'!D96+'7.27 közműv 082092'!D96+'7.28  óvoda 091140'!D96+'7.29 intézmkiv gyétk 104037'!D96+'7.30 szoc étk 107051'!D96+'7.31 segélyek 107060'!D96+'7.32 adóbev 900020'!D96+'7.33 pályázatok összesen'!D96+'7.6 út építés 045127'!D96</f>
        <v>0</v>
      </c>
      <c r="E96" s="247">
        <f t="shared" si="11"/>
        <v>2310000</v>
      </c>
      <c r="F96" s="246">
        <f>'7.1. igazg 011130'!F96+'7.2 temető 013320'!F96+'7.3. vagyon 013350'!F96+'7.4 018010'!F96+'7.5 finansz műveletek 018030'!F96+'7.7 közütak működtetés 045160'!F96+'7.8 parkoló 045170'!F96+'7.9 kábeltv 046020'!F96+'7.10 piac 047120'!F96+'7.11 tdm tám047320'!F96+'7.12 szemét 051030'!F96+'7.13 szennyvíz 052080'!F96+'7.14 víz 063080'!F96+'7.15 közvil 064010'!F96+'7.16 zöldterület 066010'!F96+'7.17 város 066020'!F96+'7.18 háziorvos 072111'!F96+'7.19 ügyelet 072112'!F96+'7.20 fülészet 072210'!F96+'7.21 védőnők 074031'!F96+'7.22 isk eü 074032'!F96+'7.23 sportcsépület 081030'!F96+'7.24 sport tám 081041'!F96+'7.25 diáksport 081043'!F96+'7.26 közműv 082091'!F96+'7.27 közműv 082092'!F96+'7.28  óvoda 091140'!F96+'7.29 intézmkiv gyétk 104037'!F96+'7.30 szoc étk 107051'!F96+'7.31 segélyek 107060'!F96+'7.32 adóbev 900020'!F96+'7.33 pályázatok összesen'!F96+'7.6 út építés 045127'!F96</f>
        <v>2310000</v>
      </c>
      <c r="G96" s="246">
        <f>'7.1. igazg 011130'!G96+'7.2 temető 013320'!G96+'7.3. vagyon 013350'!G96+'7.4 018010'!G96+'7.5 finansz műveletek 018030'!G96+'7.7 közütak működtetés 045160'!G96+'7.8 parkoló 045170'!G96+'7.9 kábeltv 046020'!G96+'7.10 piac 047120'!G96+'7.11 tdm tám047320'!G96+'7.12 szemét 051030'!G96+'7.13 szennyvíz 052080'!G96+'7.14 víz 063080'!G96+'7.15 közvil 064010'!G96+'7.16 zöldterület 066010'!G96+'7.17 város 066020'!G96+'7.18 háziorvos 072111'!G96+'7.19 ügyelet 072112'!G96+'7.20 fülészet 072210'!G96+'7.21 védőnők 074031'!G96+'7.22 isk eü 074032'!G96+'7.23 sportcsépület 081030'!G96+'7.24 sport tám 081041'!G96+'7.25 diáksport 081043'!G96+'7.26 közműv 082091'!G96+'7.27 közműv 082092'!G96+'7.28  óvoda 091140'!G96+'7.29 intézmkiv gyétk 104037'!G96+'7.30 szoc étk 107051'!G96+'7.31 segélyek 107060'!G96+'7.32 adóbev 900020'!G96+'7.33 pályázatok összesen'!G96+'7.6 út építés 045127'!G96</f>
        <v>0</v>
      </c>
      <c r="H96" s="247">
        <f t="shared" si="15"/>
        <v>2310000</v>
      </c>
      <c r="I96" s="246">
        <f ca="1">'7.1. igazg 011130'!I96+'7.2 temető 013320'!I96+'7.3. vagyon 013350'!I96+'7.4 018010'!I96+'7.5 finansz műveletek 018030'!I96+'7.7 közütak működtetés 045160'!I96+'7.8 parkoló 045170'!I96+'7.9 kábeltv 046020'!I96+'7.10 piac 047120'!I96+'7.11 tdm tám047320'!I96+'7.12 szemét 051030'!I96+'7.13 szennyvíz 052080'!I96+'7.14 víz 063080'!I96+'7.15 közvil 064010'!I96+'7.16 zöldterület 066010'!I96+'7.17 város 066020'!I96+'7.18 háziorvos 072111'!I96+'7.19 ügyelet 072112'!I96+'7.20 fülészet 072210'!I96+'7.21 védőnők 074031'!I96+'7.22 isk eü 074032'!I96+'7.23 sportcsépület 081030'!I96+'7.24 sport tám 081041'!I96+'7.25 diáksport 081043'!I96+'7.26 közműv 082091'!I96+'7.27 közműv 082092'!I96+'7.28  óvoda 091140'!I96+'7.29 intézmkiv gyétk 104037'!I96+'7.30 szoc étk 107051'!I96+'7.31 segélyek 107060'!I96+'7.32 adóbev 900020'!I96+'7.33 pályázatok összesen'!I96+'7.6 út építés 045127'!I96</f>
        <v>2310000</v>
      </c>
      <c r="J96" s="246">
        <f>'7.1. igazg 011130'!J96+'7.2 temető 013320'!J96+'7.3. vagyon 013350'!J96+'7.4 018010'!J96+'7.5 finansz műveletek 018030'!J96+'7.7 közütak működtetés 045160'!J96+'7.8 parkoló 045170'!J96+'7.9 kábeltv 046020'!J96+'7.10 piac 047120'!J96+'7.11 tdm tám047320'!J96+'7.12 szemét 051030'!J96+'7.13 szennyvíz 052080'!J96+'7.14 víz 063080'!J96+'7.15 közvil 064010'!J96+'7.16 zöldterület 066010'!J96+'7.17 város 066020'!J96+'7.18 háziorvos 072111'!J96+'7.19 ügyelet 072112'!J96+'7.20 fülészet 072210'!J96+'7.21 védőnők 074031'!J96+'7.22 isk eü 074032'!J96+'7.23 sportcsépület 081030'!J96+'7.24 sport tám 081041'!J96+'7.25 diáksport 081043'!J96+'7.26 közműv 082091'!J96+'7.27 közműv 082092'!J96+'7.28  óvoda 091140'!J96+'7.29 intézmkiv gyétk 104037'!J96+'7.30 szoc étk 107051'!J96+'7.31 segélyek 107060'!J96+'7.32 adóbev 900020'!J96+'7.33 pályázatok összesen'!J96+'7.6 út építés 045127'!J96</f>
        <v>0</v>
      </c>
      <c r="K96" s="247">
        <f t="shared" ca="1" si="16"/>
        <v>2310000</v>
      </c>
      <c r="L96" s="246">
        <f ca="1">'7.1. igazg 011130'!L96+'7.2 temető 013320'!L96+'7.3. vagyon 013350'!L96+'7.4 018010'!L96+'7.5 finansz műveletek 018030'!L96+'7.7 közütak működtetés 045160'!L96+'7.8 parkoló 045170'!L96+'7.9 kábeltv 046020'!L96+'7.10 piac 047120'!L96+'7.11 tdm tám047320'!L96+'7.12 szemét 051030'!L96+'7.13 szennyvíz 052080'!L96+'7.14 víz 063080'!L96+'7.15 közvil 064010'!L96+'7.16 zöldterület 066010'!L96+'7.17 város 066020'!L96+'7.18 háziorvos 072111'!L96+'7.19 ügyelet 072112'!L96+'7.20 fülészet 072210'!L96+'7.21 védőnők 074031'!L96+'7.22 isk eü 074032'!L96+'7.23 sportcsépület 081030'!L96+'7.24 sport tám 081041'!L96+'7.25 diáksport 081043'!L96+'7.26 közműv 082091'!L96+'7.27 közműv 082092'!L96+'7.28  óvoda 091140'!L96+'7.29 intézmkiv gyétk 104037'!L96+'7.30 szoc étk 107051'!L96+'7.31 segélyek 107060'!L96+'7.32 adóbev 900020'!L96+'7.33 pályázatok összesen'!L96+'7.6 út építés 045127'!L96</f>
        <v>2181242</v>
      </c>
      <c r="M96" s="246">
        <f>'7.1. igazg 011130'!M96+'7.2 temető 013320'!M96+'7.3. vagyon 013350'!M96+'7.4 018010'!M96+'7.5 finansz műveletek 018030'!M96+'7.7 közütak működtetés 045160'!M96+'7.8 parkoló 045170'!M96+'7.9 kábeltv 046020'!M96+'7.10 piac 047120'!M96+'7.11 tdm tám047320'!M96+'7.12 szemét 051030'!M96+'7.13 szennyvíz 052080'!M96+'7.14 víz 063080'!M96+'7.15 közvil 064010'!M96+'7.16 zöldterület 066010'!M96+'7.17 város 066020'!M96+'7.18 háziorvos 072111'!M96+'7.19 ügyelet 072112'!M96+'7.20 fülészet 072210'!M96+'7.21 védőnők 074031'!M96+'7.22 isk eü 074032'!M96+'7.23 sportcsépület 081030'!M96+'7.24 sport tám 081041'!M96+'7.25 diáksport 081043'!M96+'7.26 közműv 082091'!M96+'7.27 közműv 082092'!M96+'7.28  óvoda 091140'!M96+'7.29 intézmkiv gyétk 104037'!M96+'7.30 szoc étk 107051'!M96+'7.31 segélyek 107060'!M96+'7.32 adóbev 900020'!M96+'7.33 pályázatok összesen'!M96+'7.6 út építés 045127'!M96</f>
        <v>0</v>
      </c>
      <c r="N96" s="247">
        <f t="shared" ca="1" si="14"/>
        <v>2181242</v>
      </c>
    </row>
    <row r="97" spans="1:14" x14ac:dyDescent="0.25">
      <c r="A97" s="61" t="s">
        <v>175</v>
      </c>
      <c r="B97" s="62" t="s">
        <v>176</v>
      </c>
      <c r="C97" s="246">
        <f>'7.1. igazg 011130'!C97+'7.2 temető 013320'!C97+'7.3. vagyon 013350'!C97+'7.4 018010'!C97+'7.5 finansz műveletek 018030'!C97+'7.7 közütak működtetés 045160'!C97+'7.8 parkoló 045170'!C97+'7.9 kábeltv 046020'!C97+'7.10 piac 047120'!C97+'7.11 tdm tám047320'!C97+'7.12 szemét 051030'!C97+'7.13 szennyvíz 052080'!C97+'7.14 víz 063080'!C97+'7.15 közvil 064010'!C97+'7.16 zöldterület 066010'!C97+'7.17 város 066020'!C97+'7.18 háziorvos 072111'!C97+'7.19 ügyelet 072112'!C97+'7.20 fülészet 072210'!C97+'7.21 védőnők 074031'!C97+'7.22 isk eü 074032'!C97+'7.23 sportcsépület 081030'!C97+'7.24 sport tám 081041'!C97+'7.25 diáksport 081043'!C97+'7.26 közműv 082091'!C97+'7.27 közműv 082092'!C97+'7.28  óvoda 091140'!C97+'7.29 intézmkiv gyétk 104037'!C97+'7.30 szoc étk 107051'!C97+'7.31 segélyek 107060'!C97+'7.32 adóbev 900020'!C97+'7.33 pályázatok összesen'!C97+'7.6 út építés 045127'!C97</f>
        <v>1329630</v>
      </c>
      <c r="D97" s="246">
        <f>'7.1. igazg 011130'!D97+'7.2 temető 013320'!D97+'7.3. vagyon 013350'!D97+'7.4 018010'!D97+'7.5 finansz műveletek 018030'!D97+'7.7 közütak működtetés 045160'!D97+'7.8 parkoló 045170'!D97+'7.9 kábeltv 046020'!D97+'7.10 piac 047120'!D97+'7.11 tdm tám047320'!D97+'7.12 szemét 051030'!D97+'7.13 szennyvíz 052080'!D97+'7.14 víz 063080'!D97+'7.15 közvil 064010'!D97+'7.16 zöldterület 066010'!D97+'7.17 város 066020'!D97+'7.18 háziorvos 072111'!D97+'7.19 ügyelet 072112'!D97+'7.20 fülészet 072210'!D97+'7.21 védőnők 074031'!D97+'7.22 isk eü 074032'!D97+'7.23 sportcsépület 081030'!D97+'7.24 sport tám 081041'!D97+'7.25 diáksport 081043'!D97+'7.26 közműv 082091'!D97+'7.27 közműv 082092'!D97+'7.28  óvoda 091140'!D97+'7.29 intézmkiv gyétk 104037'!D97+'7.30 szoc étk 107051'!D97+'7.31 segélyek 107060'!D97+'7.32 adóbev 900020'!D97+'7.33 pályázatok összesen'!D97+'7.6 út építés 045127'!D97</f>
        <v>0</v>
      </c>
      <c r="E97" s="247">
        <f t="shared" si="11"/>
        <v>1329630</v>
      </c>
      <c r="F97" s="246">
        <f>'7.1. igazg 011130'!F97+'7.2 temető 013320'!F97+'7.3. vagyon 013350'!F97+'7.4 018010'!F97+'7.5 finansz műveletek 018030'!F97+'7.7 közütak működtetés 045160'!F97+'7.8 parkoló 045170'!F97+'7.9 kábeltv 046020'!F97+'7.10 piac 047120'!F97+'7.11 tdm tám047320'!F97+'7.12 szemét 051030'!F97+'7.13 szennyvíz 052080'!F97+'7.14 víz 063080'!F97+'7.15 közvil 064010'!F97+'7.16 zöldterület 066010'!F97+'7.17 város 066020'!F97+'7.18 háziorvos 072111'!F97+'7.19 ügyelet 072112'!F97+'7.20 fülészet 072210'!F97+'7.21 védőnők 074031'!F97+'7.22 isk eü 074032'!F97+'7.23 sportcsépület 081030'!F97+'7.24 sport tám 081041'!F97+'7.25 diáksport 081043'!F97+'7.26 közműv 082091'!F97+'7.27 közműv 082092'!F97+'7.28  óvoda 091140'!F97+'7.29 intézmkiv gyétk 104037'!F97+'7.30 szoc étk 107051'!F97+'7.31 segélyek 107060'!F97+'7.32 adóbev 900020'!F97+'7.33 pályázatok összesen'!F97+'7.6 út építés 045127'!F97</f>
        <v>1329630</v>
      </c>
      <c r="G97" s="246">
        <f>'7.1. igazg 011130'!G97+'7.2 temető 013320'!G97+'7.3. vagyon 013350'!G97+'7.4 018010'!G97+'7.5 finansz műveletek 018030'!G97+'7.7 közütak működtetés 045160'!G97+'7.8 parkoló 045170'!G97+'7.9 kábeltv 046020'!G97+'7.10 piac 047120'!G97+'7.11 tdm tám047320'!G97+'7.12 szemét 051030'!G97+'7.13 szennyvíz 052080'!G97+'7.14 víz 063080'!G97+'7.15 közvil 064010'!G97+'7.16 zöldterület 066010'!G97+'7.17 város 066020'!G97+'7.18 háziorvos 072111'!G97+'7.19 ügyelet 072112'!G97+'7.20 fülészet 072210'!G97+'7.21 védőnők 074031'!G97+'7.22 isk eü 074032'!G97+'7.23 sportcsépület 081030'!G97+'7.24 sport tám 081041'!G97+'7.25 diáksport 081043'!G97+'7.26 közműv 082091'!G97+'7.27 közműv 082092'!G97+'7.28  óvoda 091140'!G97+'7.29 intézmkiv gyétk 104037'!G97+'7.30 szoc étk 107051'!G97+'7.31 segélyek 107060'!G97+'7.32 adóbev 900020'!G97+'7.33 pályázatok összesen'!G97+'7.6 út építés 045127'!G97</f>
        <v>0</v>
      </c>
      <c r="H97" s="247">
        <f t="shared" si="15"/>
        <v>1329630</v>
      </c>
      <c r="I97" s="246">
        <f ca="1">'7.1. igazg 011130'!I97+'7.2 temető 013320'!I97+'7.3. vagyon 013350'!I97+'7.4 018010'!I97+'7.5 finansz műveletek 018030'!I97+'7.7 közütak működtetés 045160'!I97+'7.8 parkoló 045170'!I97+'7.9 kábeltv 046020'!I97+'7.10 piac 047120'!I97+'7.11 tdm tám047320'!I97+'7.12 szemét 051030'!I97+'7.13 szennyvíz 052080'!I97+'7.14 víz 063080'!I97+'7.15 közvil 064010'!I97+'7.16 zöldterület 066010'!I97+'7.17 város 066020'!I97+'7.18 háziorvos 072111'!I97+'7.19 ügyelet 072112'!I97+'7.20 fülészet 072210'!I97+'7.21 védőnők 074031'!I97+'7.22 isk eü 074032'!I97+'7.23 sportcsépület 081030'!I97+'7.24 sport tám 081041'!I97+'7.25 diáksport 081043'!I97+'7.26 közműv 082091'!I97+'7.27 közműv 082092'!I97+'7.28  óvoda 091140'!I97+'7.29 intézmkiv gyétk 104037'!I97+'7.30 szoc étk 107051'!I97+'7.31 segélyek 107060'!I97+'7.32 adóbev 900020'!I97+'7.33 pályázatok összesen'!I97+'7.6 út építés 045127'!I97</f>
        <v>1159630</v>
      </c>
      <c r="J97" s="246">
        <f>'7.1. igazg 011130'!J97+'7.2 temető 013320'!J97+'7.3. vagyon 013350'!J97+'7.4 018010'!J97+'7.5 finansz műveletek 018030'!J97+'7.7 közütak működtetés 045160'!J97+'7.8 parkoló 045170'!J97+'7.9 kábeltv 046020'!J97+'7.10 piac 047120'!J97+'7.11 tdm tám047320'!J97+'7.12 szemét 051030'!J97+'7.13 szennyvíz 052080'!J97+'7.14 víz 063080'!J97+'7.15 közvil 064010'!J97+'7.16 zöldterület 066010'!J97+'7.17 város 066020'!J97+'7.18 háziorvos 072111'!J97+'7.19 ügyelet 072112'!J97+'7.20 fülészet 072210'!J97+'7.21 védőnők 074031'!J97+'7.22 isk eü 074032'!J97+'7.23 sportcsépület 081030'!J97+'7.24 sport tám 081041'!J97+'7.25 diáksport 081043'!J97+'7.26 közműv 082091'!J97+'7.27 közműv 082092'!J97+'7.28  óvoda 091140'!J97+'7.29 intézmkiv gyétk 104037'!J97+'7.30 szoc étk 107051'!J97+'7.31 segélyek 107060'!J97+'7.32 adóbev 900020'!J97+'7.33 pályázatok összesen'!J97+'7.6 út építés 045127'!J97</f>
        <v>0</v>
      </c>
      <c r="K97" s="247">
        <f t="shared" ca="1" si="16"/>
        <v>1159630</v>
      </c>
      <c r="L97" s="246">
        <f ca="1">'7.1. igazg 011130'!L97+'7.2 temető 013320'!L97+'7.3. vagyon 013350'!L97+'7.4 018010'!L97+'7.5 finansz műveletek 018030'!L97+'7.7 közütak működtetés 045160'!L97+'7.8 parkoló 045170'!L97+'7.9 kábeltv 046020'!L97+'7.10 piac 047120'!L97+'7.11 tdm tám047320'!L97+'7.12 szemét 051030'!L97+'7.13 szennyvíz 052080'!L97+'7.14 víz 063080'!L97+'7.15 közvil 064010'!L97+'7.16 zöldterület 066010'!L97+'7.17 város 066020'!L97+'7.18 háziorvos 072111'!L97+'7.19 ügyelet 072112'!L97+'7.20 fülészet 072210'!L97+'7.21 védőnők 074031'!L97+'7.22 isk eü 074032'!L97+'7.23 sportcsépület 081030'!L97+'7.24 sport tám 081041'!L97+'7.25 diáksport 081043'!L97+'7.26 közműv 082091'!L97+'7.27 közműv 082092'!L97+'7.28  óvoda 091140'!L97+'7.29 intézmkiv gyétk 104037'!L97+'7.30 szoc étk 107051'!L97+'7.31 segélyek 107060'!L97+'7.32 adóbev 900020'!L97+'7.33 pályázatok összesen'!L97+'7.6 út építés 045127'!L97</f>
        <v>886680</v>
      </c>
      <c r="M97" s="246">
        <f>'7.1. igazg 011130'!M97+'7.2 temető 013320'!M97+'7.3. vagyon 013350'!M97+'7.4 018010'!M97+'7.5 finansz műveletek 018030'!M97+'7.7 közütak működtetés 045160'!M97+'7.8 parkoló 045170'!M97+'7.9 kábeltv 046020'!M97+'7.10 piac 047120'!M97+'7.11 tdm tám047320'!M97+'7.12 szemét 051030'!M97+'7.13 szennyvíz 052080'!M97+'7.14 víz 063080'!M97+'7.15 közvil 064010'!M97+'7.16 zöldterület 066010'!M97+'7.17 város 066020'!M97+'7.18 háziorvos 072111'!M97+'7.19 ügyelet 072112'!M97+'7.20 fülészet 072210'!M97+'7.21 védőnők 074031'!M97+'7.22 isk eü 074032'!M97+'7.23 sportcsépület 081030'!M97+'7.24 sport tám 081041'!M97+'7.25 diáksport 081043'!M97+'7.26 közműv 082091'!M97+'7.27 közműv 082092'!M97+'7.28  óvoda 091140'!M97+'7.29 intézmkiv gyétk 104037'!M97+'7.30 szoc étk 107051'!M97+'7.31 segélyek 107060'!M97+'7.32 adóbev 900020'!M97+'7.33 pályázatok összesen'!M97+'7.6 út építés 045127'!M97</f>
        <v>0</v>
      </c>
      <c r="N97" s="247">
        <f t="shared" ca="1" si="14"/>
        <v>886680</v>
      </c>
    </row>
    <row r="98" spans="1:14" x14ac:dyDescent="0.25">
      <c r="A98" s="61" t="s">
        <v>177</v>
      </c>
      <c r="B98" s="62" t="s">
        <v>178</v>
      </c>
      <c r="C98" s="246">
        <f>'7.1. igazg 011130'!C98+'7.2 temető 013320'!C98+'7.3. vagyon 013350'!C98+'7.4 018010'!C98+'7.5 finansz műveletek 018030'!C98+'7.7 közütak működtetés 045160'!C98+'7.8 parkoló 045170'!C98+'7.9 kábeltv 046020'!C98+'7.10 piac 047120'!C98+'7.11 tdm tám047320'!C98+'7.12 szemét 051030'!C98+'7.13 szennyvíz 052080'!C98+'7.14 víz 063080'!C98+'7.15 közvil 064010'!C98+'7.16 zöldterület 066010'!C98+'7.17 város 066020'!C98+'7.18 háziorvos 072111'!C98+'7.19 ügyelet 072112'!C98+'7.20 fülészet 072210'!C98+'7.21 védőnők 074031'!C98+'7.22 isk eü 074032'!C98+'7.23 sportcsépület 081030'!C98+'7.24 sport tám 081041'!C98+'7.25 diáksport 081043'!C98+'7.26 közműv 082091'!C98+'7.27 közműv 082092'!C98+'7.28  óvoda 091140'!C98+'7.29 intézmkiv gyétk 104037'!C98+'7.30 szoc étk 107051'!C98+'7.31 segélyek 107060'!C98+'7.32 adóbev 900020'!C98+'7.33 pályázatok összesen'!C98+'7.6 út építés 045127'!C98</f>
        <v>60000</v>
      </c>
      <c r="D98" s="246">
        <f>'7.1. igazg 011130'!D98+'7.2 temető 013320'!D98+'7.3. vagyon 013350'!D98+'7.4 018010'!D98+'7.5 finansz műveletek 018030'!D98+'7.7 közütak működtetés 045160'!D98+'7.8 parkoló 045170'!D98+'7.9 kábeltv 046020'!D98+'7.10 piac 047120'!D98+'7.11 tdm tám047320'!D98+'7.12 szemét 051030'!D98+'7.13 szennyvíz 052080'!D98+'7.14 víz 063080'!D98+'7.15 közvil 064010'!D98+'7.16 zöldterület 066010'!D98+'7.17 város 066020'!D98+'7.18 háziorvos 072111'!D98+'7.19 ügyelet 072112'!D98+'7.20 fülészet 072210'!D98+'7.21 védőnők 074031'!D98+'7.22 isk eü 074032'!D98+'7.23 sportcsépület 081030'!D98+'7.24 sport tám 081041'!D98+'7.25 diáksport 081043'!D98+'7.26 közműv 082091'!D98+'7.27 közműv 082092'!D98+'7.28  óvoda 091140'!D98+'7.29 intézmkiv gyétk 104037'!D98+'7.30 szoc étk 107051'!D98+'7.31 segélyek 107060'!D98+'7.32 adóbev 900020'!D98+'7.33 pályázatok összesen'!D98+'7.6 út építés 045127'!D98</f>
        <v>0</v>
      </c>
      <c r="E98" s="247">
        <f t="shared" si="11"/>
        <v>60000</v>
      </c>
      <c r="F98" s="246">
        <f>'7.1. igazg 011130'!F98+'7.2 temető 013320'!F98+'7.3. vagyon 013350'!F98+'7.4 018010'!F98+'7.5 finansz műveletek 018030'!F98+'7.7 közütak működtetés 045160'!F98+'7.8 parkoló 045170'!F98+'7.9 kábeltv 046020'!F98+'7.10 piac 047120'!F98+'7.11 tdm tám047320'!F98+'7.12 szemét 051030'!F98+'7.13 szennyvíz 052080'!F98+'7.14 víz 063080'!F98+'7.15 közvil 064010'!F98+'7.16 zöldterület 066010'!F98+'7.17 város 066020'!F98+'7.18 háziorvos 072111'!F98+'7.19 ügyelet 072112'!F98+'7.20 fülészet 072210'!F98+'7.21 védőnők 074031'!F98+'7.22 isk eü 074032'!F98+'7.23 sportcsépület 081030'!F98+'7.24 sport tám 081041'!F98+'7.25 diáksport 081043'!F98+'7.26 közműv 082091'!F98+'7.27 közműv 082092'!F98+'7.28  óvoda 091140'!F98+'7.29 intézmkiv gyétk 104037'!F98+'7.30 szoc étk 107051'!F98+'7.31 segélyek 107060'!F98+'7.32 adóbev 900020'!F98+'7.33 pályázatok összesen'!F98+'7.6 út építés 045127'!F98</f>
        <v>60000</v>
      </c>
      <c r="G98" s="246">
        <f>'7.1. igazg 011130'!G98+'7.2 temető 013320'!G98+'7.3. vagyon 013350'!G98+'7.4 018010'!G98+'7.5 finansz műveletek 018030'!G98+'7.7 közütak működtetés 045160'!G98+'7.8 parkoló 045170'!G98+'7.9 kábeltv 046020'!G98+'7.10 piac 047120'!G98+'7.11 tdm tám047320'!G98+'7.12 szemét 051030'!G98+'7.13 szennyvíz 052080'!G98+'7.14 víz 063080'!G98+'7.15 közvil 064010'!G98+'7.16 zöldterület 066010'!G98+'7.17 város 066020'!G98+'7.18 háziorvos 072111'!G98+'7.19 ügyelet 072112'!G98+'7.20 fülészet 072210'!G98+'7.21 védőnők 074031'!G98+'7.22 isk eü 074032'!G98+'7.23 sportcsépület 081030'!G98+'7.24 sport tám 081041'!G98+'7.25 diáksport 081043'!G98+'7.26 közműv 082091'!G98+'7.27 közműv 082092'!G98+'7.28  óvoda 091140'!G98+'7.29 intézmkiv gyétk 104037'!G98+'7.30 szoc étk 107051'!G98+'7.31 segélyek 107060'!G98+'7.32 adóbev 900020'!G98+'7.33 pályázatok összesen'!G98+'7.6 út építés 045127'!G98</f>
        <v>0</v>
      </c>
      <c r="H98" s="247">
        <f t="shared" si="15"/>
        <v>60000</v>
      </c>
      <c r="I98" s="246">
        <f ca="1">'7.1. igazg 011130'!I98+'7.2 temető 013320'!I98+'7.3. vagyon 013350'!I98+'7.4 018010'!I98+'7.5 finansz műveletek 018030'!I98+'7.7 közütak működtetés 045160'!I98+'7.8 parkoló 045170'!I98+'7.9 kábeltv 046020'!I98+'7.10 piac 047120'!I98+'7.11 tdm tám047320'!I98+'7.12 szemét 051030'!I98+'7.13 szennyvíz 052080'!I98+'7.14 víz 063080'!I98+'7.15 közvil 064010'!I98+'7.16 zöldterület 066010'!I98+'7.17 város 066020'!I98+'7.18 háziorvos 072111'!I98+'7.19 ügyelet 072112'!I98+'7.20 fülészet 072210'!I98+'7.21 védőnők 074031'!I98+'7.22 isk eü 074032'!I98+'7.23 sportcsépület 081030'!I98+'7.24 sport tám 081041'!I98+'7.25 diáksport 081043'!I98+'7.26 közműv 082091'!I98+'7.27 közműv 082092'!I98+'7.28  óvoda 091140'!I98+'7.29 intézmkiv gyétk 104037'!I98+'7.30 szoc étk 107051'!I98+'7.31 segélyek 107060'!I98+'7.32 adóbev 900020'!I98+'7.33 pályázatok összesen'!I98+'7.6 út építés 045127'!I98</f>
        <v>60000</v>
      </c>
      <c r="J98" s="246">
        <f>'7.1. igazg 011130'!J98+'7.2 temető 013320'!J98+'7.3. vagyon 013350'!J98+'7.4 018010'!J98+'7.5 finansz műveletek 018030'!J98+'7.7 közütak működtetés 045160'!J98+'7.8 parkoló 045170'!J98+'7.9 kábeltv 046020'!J98+'7.10 piac 047120'!J98+'7.11 tdm tám047320'!J98+'7.12 szemét 051030'!J98+'7.13 szennyvíz 052080'!J98+'7.14 víz 063080'!J98+'7.15 közvil 064010'!J98+'7.16 zöldterület 066010'!J98+'7.17 város 066020'!J98+'7.18 háziorvos 072111'!J98+'7.19 ügyelet 072112'!J98+'7.20 fülészet 072210'!J98+'7.21 védőnők 074031'!J98+'7.22 isk eü 074032'!J98+'7.23 sportcsépület 081030'!J98+'7.24 sport tám 081041'!J98+'7.25 diáksport 081043'!J98+'7.26 közműv 082091'!J98+'7.27 közműv 082092'!J98+'7.28  óvoda 091140'!J98+'7.29 intézmkiv gyétk 104037'!J98+'7.30 szoc étk 107051'!J98+'7.31 segélyek 107060'!J98+'7.32 adóbev 900020'!J98+'7.33 pályázatok összesen'!J98+'7.6 út építés 045127'!J98</f>
        <v>0</v>
      </c>
      <c r="K98" s="247">
        <f t="shared" ca="1" si="16"/>
        <v>60000</v>
      </c>
      <c r="L98" s="246">
        <f ca="1">'7.1. igazg 011130'!L98+'7.2 temető 013320'!L98+'7.3. vagyon 013350'!L98+'7.4 018010'!L98+'7.5 finansz műveletek 018030'!L98+'7.7 közütak működtetés 045160'!L98+'7.8 parkoló 045170'!L98+'7.9 kábeltv 046020'!L98+'7.10 piac 047120'!L98+'7.11 tdm tám047320'!L98+'7.12 szemét 051030'!L98+'7.13 szennyvíz 052080'!L98+'7.14 víz 063080'!L98+'7.15 közvil 064010'!L98+'7.16 zöldterület 066010'!L98+'7.17 város 066020'!L98+'7.18 háziorvos 072111'!L98+'7.19 ügyelet 072112'!L98+'7.20 fülészet 072210'!L98+'7.21 védőnők 074031'!L98+'7.22 isk eü 074032'!L98+'7.23 sportcsépület 081030'!L98+'7.24 sport tám 081041'!L98+'7.25 diáksport 081043'!L98+'7.26 közműv 082091'!L98+'7.27 közműv 082092'!L98+'7.28  óvoda 091140'!L98+'7.29 intézmkiv gyétk 104037'!L98+'7.30 szoc étk 107051'!L98+'7.31 segélyek 107060'!L98+'7.32 adóbev 900020'!L98+'7.33 pályázatok összesen'!L98+'7.6 út építés 045127'!L98</f>
        <v>0</v>
      </c>
      <c r="M98" s="246">
        <f>'7.1. igazg 011130'!M98+'7.2 temető 013320'!M98+'7.3. vagyon 013350'!M98+'7.4 018010'!M98+'7.5 finansz műveletek 018030'!M98+'7.7 közütak működtetés 045160'!M98+'7.8 parkoló 045170'!M98+'7.9 kábeltv 046020'!M98+'7.10 piac 047120'!M98+'7.11 tdm tám047320'!M98+'7.12 szemét 051030'!M98+'7.13 szennyvíz 052080'!M98+'7.14 víz 063080'!M98+'7.15 közvil 064010'!M98+'7.16 zöldterület 066010'!M98+'7.17 város 066020'!M98+'7.18 háziorvos 072111'!M98+'7.19 ügyelet 072112'!M98+'7.20 fülészet 072210'!M98+'7.21 védőnők 074031'!M98+'7.22 isk eü 074032'!M98+'7.23 sportcsépület 081030'!M98+'7.24 sport tám 081041'!M98+'7.25 diáksport 081043'!M98+'7.26 közműv 082091'!M98+'7.27 közműv 082092'!M98+'7.28  óvoda 091140'!M98+'7.29 intézmkiv gyétk 104037'!M98+'7.30 szoc étk 107051'!M98+'7.31 segélyek 107060'!M98+'7.32 adóbev 900020'!M98+'7.33 pályázatok összesen'!M98+'7.6 út építés 045127'!M98</f>
        <v>0</v>
      </c>
      <c r="N98" s="247">
        <f t="shared" ca="1" si="14"/>
        <v>0</v>
      </c>
    </row>
    <row r="99" spans="1:14" x14ac:dyDescent="0.25">
      <c r="A99" s="61" t="s">
        <v>179</v>
      </c>
      <c r="B99" s="62" t="s">
        <v>180</v>
      </c>
      <c r="C99" s="246">
        <f>'7.1. igazg 011130'!C99+'7.2 temető 013320'!C99+'7.3. vagyon 013350'!C99+'7.4 018010'!C99+'7.5 finansz műveletek 018030'!C99+'7.7 közütak működtetés 045160'!C99+'7.8 parkoló 045170'!C99+'7.9 kábeltv 046020'!C99+'7.10 piac 047120'!C99+'7.11 tdm tám047320'!C99+'7.12 szemét 051030'!C99+'7.13 szennyvíz 052080'!C99+'7.14 víz 063080'!C99+'7.15 közvil 064010'!C99+'7.16 zöldterület 066010'!C99+'7.17 város 066020'!C99+'7.18 háziorvos 072111'!C99+'7.19 ügyelet 072112'!C99+'7.20 fülészet 072210'!C99+'7.21 védőnők 074031'!C99+'7.22 isk eü 074032'!C99+'7.23 sportcsépület 081030'!C99+'7.24 sport tám 081041'!C99+'7.25 diáksport 081043'!C99+'7.26 közműv 082091'!C99+'7.27 közműv 082092'!C99+'7.28  óvoda 091140'!C99+'7.29 intézmkiv gyétk 104037'!C99+'7.30 szoc étk 107051'!C99+'7.31 segélyek 107060'!C99+'7.32 adóbev 900020'!C99+'7.33 pályázatok összesen'!C99+'7.6 út építés 045127'!C99</f>
        <v>0</v>
      </c>
      <c r="D99" s="246">
        <f>'7.1. igazg 011130'!D99+'7.2 temető 013320'!D99+'7.3. vagyon 013350'!D99+'7.4 018010'!D99+'7.5 finansz műveletek 018030'!D99+'7.7 közütak működtetés 045160'!D99+'7.8 parkoló 045170'!D99+'7.9 kábeltv 046020'!D99+'7.10 piac 047120'!D99+'7.11 tdm tám047320'!D99+'7.12 szemét 051030'!D99+'7.13 szennyvíz 052080'!D99+'7.14 víz 063080'!D99+'7.15 közvil 064010'!D99+'7.16 zöldterület 066010'!D99+'7.17 város 066020'!D99+'7.18 háziorvos 072111'!D99+'7.19 ügyelet 072112'!D99+'7.20 fülészet 072210'!D99+'7.21 védőnők 074031'!D99+'7.22 isk eü 074032'!D99+'7.23 sportcsépület 081030'!D99+'7.24 sport tám 081041'!D99+'7.25 diáksport 081043'!D99+'7.26 közműv 082091'!D99+'7.27 közműv 082092'!D99+'7.28  óvoda 091140'!D99+'7.29 intézmkiv gyétk 104037'!D99+'7.30 szoc étk 107051'!D99+'7.31 segélyek 107060'!D99+'7.32 adóbev 900020'!D99+'7.33 pályázatok összesen'!D99+'7.6 út építés 045127'!D99</f>
        <v>0</v>
      </c>
      <c r="E99" s="247">
        <f t="shared" si="11"/>
        <v>0</v>
      </c>
      <c r="F99" s="246">
        <f>'7.1. igazg 011130'!F99+'7.2 temető 013320'!F99+'7.3. vagyon 013350'!F99+'7.4 018010'!F99+'7.5 finansz műveletek 018030'!F99+'7.7 közütak működtetés 045160'!F99+'7.8 parkoló 045170'!F99+'7.9 kábeltv 046020'!F99+'7.10 piac 047120'!F99+'7.11 tdm tám047320'!F99+'7.12 szemét 051030'!F99+'7.13 szennyvíz 052080'!F99+'7.14 víz 063080'!F99+'7.15 közvil 064010'!F99+'7.16 zöldterület 066010'!F99+'7.17 város 066020'!F99+'7.18 háziorvos 072111'!F99+'7.19 ügyelet 072112'!F99+'7.20 fülészet 072210'!F99+'7.21 védőnők 074031'!F99+'7.22 isk eü 074032'!F99+'7.23 sportcsépület 081030'!F99+'7.24 sport tám 081041'!F99+'7.25 diáksport 081043'!F99+'7.26 közműv 082091'!F99+'7.27 közműv 082092'!F99+'7.28  óvoda 091140'!F99+'7.29 intézmkiv gyétk 104037'!F99+'7.30 szoc étk 107051'!F99+'7.31 segélyek 107060'!F99+'7.32 adóbev 900020'!F99+'7.33 pályázatok összesen'!F99+'7.6 út építés 045127'!F99</f>
        <v>0</v>
      </c>
      <c r="G99" s="246">
        <f>'7.1. igazg 011130'!G99+'7.2 temető 013320'!G99+'7.3. vagyon 013350'!G99+'7.4 018010'!G99+'7.5 finansz műveletek 018030'!G99+'7.7 közütak működtetés 045160'!G99+'7.8 parkoló 045170'!G99+'7.9 kábeltv 046020'!G99+'7.10 piac 047120'!G99+'7.11 tdm tám047320'!G99+'7.12 szemét 051030'!G99+'7.13 szennyvíz 052080'!G99+'7.14 víz 063080'!G99+'7.15 közvil 064010'!G99+'7.16 zöldterület 066010'!G99+'7.17 város 066020'!G99+'7.18 háziorvos 072111'!G99+'7.19 ügyelet 072112'!G99+'7.20 fülészet 072210'!G99+'7.21 védőnők 074031'!G99+'7.22 isk eü 074032'!G99+'7.23 sportcsépület 081030'!G99+'7.24 sport tám 081041'!G99+'7.25 diáksport 081043'!G99+'7.26 közműv 082091'!G99+'7.27 közműv 082092'!G99+'7.28  óvoda 091140'!G99+'7.29 intézmkiv gyétk 104037'!G99+'7.30 szoc étk 107051'!G99+'7.31 segélyek 107060'!G99+'7.32 adóbev 900020'!G99+'7.33 pályázatok összesen'!G99+'7.6 út építés 045127'!G99</f>
        <v>0</v>
      </c>
      <c r="H99" s="247">
        <f t="shared" si="15"/>
        <v>0</v>
      </c>
      <c r="I99" s="246">
        <f ca="1">'7.1. igazg 011130'!I99+'7.2 temető 013320'!I99+'7.3. vagyon 013350'!I99+'7.4 018010'!I99+'7.5 finansz műveletek 018030'!I99+'7.7 közütak működtetés 045160'!I99+'7.8 parkoló 045170'!I99+'7.9 kábeltv 046020'!I99+'7.10 piac 047120'!I99+'7.11 tdm tám047320'!I99+'7.12 szemét 051030'!I99+'7.13 szennyvíz 052080'!I99+'7.14 víz 063080'!I99+'7.15 közvil 064010'!I99+'7.16 zöldterület 066010'!I99+'7.17 város 066020'!I99+'7.18 háziorvos 072111'!I99+'7.19 ügyelet 072112'!I99+'7.20 fülészet 072210'!I99+'7.21 védőnők 074031'!I99+'7.22 isk eü 074032'!I99+'7.23 sportcsépület 081030'!I99+'7.24 sport tám 081041'!I99+'7.25 diáksport 081043'!I99+'7.26 közműv 082091'!I99+'7.27 közműv 082092'!I99+'7.28  óvoda 091140'!I99+'7.29 intézmkiv gyétk 104037'!I99+'7.30 szoc étk 107051'!I99+'7.31 segélyek 107060'!I99+'7.32 adóbev 900020'!I99+'7.33 pályázatok összesen'!I99+'7.6 út építés 045127'!I99</f>
        <v>0</v>
      </c>
      <c r="J99" s="246">
        <f>'7.1. igazg 011130'!J99+'7.2 temető 013320'!J99+'7.3. vagyon 013350'!J99+'7.4 018010'!J99+'7.5 finansz műveletek 018030'!J99+'7.7 közütak működtetés 045160'!J99+'7.8 parkoló 045170'!J99+'7.9 kábeltv 046020'!J99+'7.10 piac 047120'!J99+'7.11 tdm tám047320'!J99+'7.12 szemét 051030'!J99+'7.13 szennyvíz 052080'!J99+'7.14 víz 063080'!J99+'7.15 közvil 064010'!J99+'7.16 zöldterület 066010'!J99+'7.17 város 066020'!J99+'7.18 háziorvos 072111'!J99+'7.19 ügyelet 072112'!J99+'7.20 fülészet 072210'!J99+'7.21 védőnők 074031'!J99+'7.22 isk eü 074032'!J99+'7.23 sportcsépület 081030'!J99+'7.24 sport tám 081041'!J99+'7.25 diáksport 081043'!J99+'7.26 közműv 082091'!J99+'7.27 közműv 082092'!J99+'7.28  óvoda 091140'!J99+'7.29 intézmkiv gyétk 104037'!J99+'7.30 szoc étk 107051'!J99+'7.31 segélyek 107060'!J99+'7.32 adóbev 900020'!J99+'7.33 pályázatok összesen'!J99+'7.6 út építés 045127'!J99</f>
        <v>0</v>
      </c>
      <c r="K99" s="247">
        <f t="shared" ca="1" si="16"/>
        <v>0</v>
      </c>
      <c r="L99" s="246">
        <f ca="1">'7.1. igazg 011130'!L99+'7.2 temető 013320'!L99+'7.3. vagyon 013350'!L99+'7.4 018010'!L99+'7.5 finansz műveletek 018030'!L99+'7.7 közütak működtetés 045160'!L99+'7.8 parkoló 045170'!L99+'7.9 kábeltv 046020'!L99+'7.10 piac 047120'!L99+'7.11 tdm tám047320'!L99+'7.12 szemét 051030'!L99+'7.13 szennyvíz 052080'!L99+'7.14 víz 063080'!L99+'7.15 közvil 064010'!L99+'7.16 zöldterület 066010'!L99+'7.17 város 066020'!L99+'7.18 háziorvos 072111'!L99+'7.19 ügyelet 072112'!L99+'7.20 fülészet 072210'!L99+'7.21 védőnők 074031'!L99+'7.22 isk eü 074032'!L99+'7.23 sportcsépület 081030'!L99+'7.24 sport tám 081041'!L99+'7.25 diáksport 081043'!L99+'7.26 közműv 082091'!L99+'7.27 közműv 082092'!L99+'7.28  óvoda 091140'!L99+'7.29 intézmkiv gyétk 104037'!L99+'7.30 szoc étk 107051'!L99+'7.31 segélyek 107060'!L99+'7.32 adóbev 900020'!L99+'7.33 pályázatok összesen'!L99+'7.6 út építés 045127'!L99</f>
        <v>0</v>
      </c>
      <c r="M99" s="246">
        <f>'7.1. igazg 011130'!M99+'7.2 temető 013320'!M99+'7.3. vagyon 013350'!M99+'7.4 018010'!M99+'7.5 finansz műveletek 018030'!M99+'7.7 közütak működtetés 045160'!M99+'7.8 parkoló 045170'!M99+'7.9 kábeltv 046020'!M99+'7.10 piac 047120'!M99+'7.11 tdm tám047320'!M99+'7.12 szemét 051030'!M99+'7.13 szennyvíz 052080'!M99+'7.14 víz 063080'!M99+'7.15 közvil 064010'!M99+'7.16 zöldterület 066010'!M99+'7.17 város 066020'!M99+'7.18 háziorvos 072111'!M99+'7.19 ügyelet 072112'!M99+'7.20 fülészet 072210'!M99+'7.21 védőnők 074031'!M99+'7.22 isk eü 074032'!M99+'7.23 sportcsépület 081030'!M99+'7.24 sport tám 081041'!M99+'7.25 diáksport 081043'!M99+'7.26 közműv 082091'!M99+'7.27 közműv 082092'!M99+'7.28  óvoda 091140'!M99+'7.29 intézmkiv gyétk 104037'!M99+'7.30 szoc étk 107051'!M99+'7.31 segélyek 107060'!M99+'7.32 adóbev 900020'!M99+'7.33 pályázatok összesen'!M99+'7.6 út építés 045127'!M99</f>
        <v>0</v>
      </c>
      <c r="N99" s="247">
        <f t="shared" ca="1" si="14"/>
        <v>0</v>
      </c>
    </row>
    <row r="100" spans="1:14" x14ac:dyDescent="0.25">
      <c r="A100" s="61" t="s">
        <v>181</v>
      </c>
      <c r="B100" s="62" t="s">
        <v>182</v>
      </c>
      <c r="C100" s="246">
        <f>'7.1. igazg 011130'!C100+'7.2 temető 013320'!C100+'7.3. vagyon 013350'!C100+'7.4 018010'!C100+'7.5 finansz műveletek 018030'!C100+'7.7 közütak működtetés 045160'!C100+'7.8 parkoló 045170'!C100+'7.9 kábeltv 046020'!C100+'7.10 piac 047120'!C100+'7.11 tdm tám047320'!C100+'7.12 szemét 051030'!C100+'7.13 szennyvíz 052080'!C100+'7.14 víz 063080'!C100+'7.15 közvil 064010'!C100+'7.16 zöldterület 066010'!C100+'7.17 város 066020'!C100+'7.18 háziorvos 072111'!C100+'7.19 ügyelet 072112'!C100+'7.20 fülészet 072210'!C100+'7.21 védőnők 074031'!C100+'7.22 isk eü 074032'!C100+'7.23 sportcsépület 081030'!C100+'7.24 sport tám 081041'!C100+'7.25 diáksport 081043'!C100+'7.26 közműv 082091'!C100+'7.27 közműv 082092'!C100+'7.28  óvoda 091140'!C100+'7.29 intézmkiv gyétk 104037'!C100+'7.30 szoc étk 107051'!C100+'7.31 segélyek 107060'!C100+'7.32 adóbev 900020'!C100+'7.33 pályázatok összesen'!C100+'7.6 út építés 045127'!C100</f>
        <v>4160000</v>
      </c>
      <c r="D100" s="246">
        <f>'7.1. igazg 011130'!D100+'7.2 temető 013320'!D100+'7.3. vagyon 013350'!D100+'7.4 018010'!D100+'7.5 finansz műveletek 018030'!D100+'7.7 közütak működtetés 045160'!D100+'7.8 parkoló 045170'!D100+'7.9 kábeltv 046020'!D100+'7.10 piac 047120'!D100+'7.11 tdm tám047320'!D100+'7.12 szemét 051030'!D100+'7.13 szennyvíz 052080'!D100+'7.14 víz 063080'!D100+'7.15 közvil 064010'!D100+'7.16 zöldterület 066010'!D100+'7.17 város 066020'!D100+'7.18 háziorvos 072111'!D100+'7.19 ügyelet 072112'!D100+'7.20 fülészet 072210'!D100+'7.21 védőnők 074031'!D100+'7.22 isk eü 074032'!D100+'7.23 sportcsépület 081030'!D100+'7.24 sport tám 081041'!D100+'7.25 diáksport 081043'!D100+'7.26 közműv 082091'!D100+'7.27 közműv 082092'!D100+'7.28  óvoda 091140'!D100+'7.29 intézmkiv gyétk 104037'!D100+'7.30 szoc étk 107051'!D100+'7.31 segélyek 107060'!D100+'7.32 adóbev 900020'!D100+'7.33 pályázatok összesen'!D100+'7.6 út építés 045127'!D100</f>
        <v>0</v>
      </c>
      <c r="E100" s="247">
        <f t="shared" si="11"/>
        <v>4160000</v>
      </c>
      <c r="F100" s="246">
        <f>'7.1. igazg 011130'!F100+'7.2 temető 013320'!F100+'7.3. vagyon 013350'!F100+'7.4 018010'!F100+'7.5 finansz műveletek 018030'!F100+'7.7 közütak működtetés 045160'!F100+'7.8 parkoló 045170'!F100+'7.9 kábeltv 046020'!F100+'7.10 piac 047120'!F100+'7.11 tdm tám047320'!F100+'7.12 szemét 051030'!F100+'7.13 szennyvíz 052080'!F100+'7.14 víz 063080'!F100+'7.15 közvil 064010'!F100+'7.16 zöldterület 066010'!F100+'7.17 város 066020'!F100+'7.18 háziorvos 072111'!F100+'7.19 ügyelet 072112'!F100+'7.20 fülészet 072210'!F100+'7.21 védőnők 074031'!F100+'7.22 isk eü 074032'!F100+'7.23 sportcsépület 081030'!F100+'7.24 sport tám 081041'!F100+'7.25 diáksport 081043'!F100+'7.26 közműv 082091'!F100+'7.27 közműv 082092'!F100+'7.28  óvoda 091140'!F100+'7.29 intézmkiv gyétk 104037'!F100+'7.30 szoc étk 107051'!F100+'7.31 segélyek 107060'!F100+'7.32 adóbev 900020'!F100+'7.33 pályázatok összesen'!F100+'7.6 út építés 045127'!F100</f>
        <v>6926000</v>
      </c>
      <c r="G100" s="246">
        <f>'7.1. igazg 011130'!G100+'7.2 temető 013320'!G100+'7.3. vagyon 013350'!G100+'7.4 018010'!G100+'7.5 finansz műveletek 018030'!G100+'7.7 közütak működtetés 045160'!G100+'7.8 parkoló 045170'!G100+'7.9 kábeltv 046020'!G100+'7.10 piac 047120'!G100+'7.11 tdm tám047320'!G100+'7.12 szemét 051030'!G100+'7.13 szennyvíz 052080'!G100+'7.14 víz 063080'!G100+'7.15 közvil 064010'!G100+'7.16 zöldterület 066010'!G100+'7.17 város 066020'!G100+'7.18 háziorvos 072111'!G100+'7.19 ügyelet 072112'!G100+'7.20 fülészet 072210'!G100+'7.21 védőnők 074031'!G100+'7.22 isk eü 074032'!G100+'7.23 sportcsépület 081030'!G100+'7.24 sport tám 081041'!G100+'7.25 diáksport 081043'!G100+'7.26 közműv 082091'!G100+'7.27 közműv 082092'!G100+'7.28  óvoda 091140'!G100+'7.29 intézmkiv gyétk 104037'!G100+'7.30 szoc étk 107051'!G100+'7.31 segélyek 107060'!G100+'7.32 adóbev 900020'!G100+'7.33 pályázatok összesen'!G100+'7.6 út építés 045127'!G100</f>
        <v>0</v>
      </c>
      <c r="H100" s="247">
        <f t="shared" si="15"/>
        <v>6926000</v>
      </c>
      <c r="I100" s="246">
        <f ca="1">'7.1. igazg 011130'!I100+'7.2 temető 013320'!I100+'7.3. vagyon 013350'!I100+'7.4 018010'!I100+'7.5 finansz műveletek 018030'!I100+'7.7 közütak működtetés 045160'!I100+'7.8 parkoló 045170'!I100+'7.9 kábeltv 046020'!I100+'7.10 piac 047120'!I100+'7.11 tdm tám047320'!I100+'7.12 szemét 051030'!I100+'7.13 szennyvíz 052080'!I100+'7.14 víz 063080'!I100+'7.15 közvil 064010'!I100+'7.16 zöldterület 066010'!I100+'7.17 város 066020'!I100+'7.18 háziorvos 072111'!I100+'7.19 ügyelet 072112'!I100+'7.20 fülészet 072210'!I100+'7.21 védőnők 074031'!I100+'7.22 isk eü 074032'!I100+'7.23 sportcsépület 081030'!I100+'7.24 sport tám 081041'!I100+'7.25 diáksport 081043'!I100+'7.26 közműv 082091'!I100+'7.27 közműv 082092'!I100+'7.28  óvoda 091140'!I100+'7.29 intézmkiv gyétk 104037'!I100+'7.30 szoc étk 107051'!I100+'7.31 segélyek 107060'!I100+'7.32 adóbev 900020'!I100+'7.33 pályázatok összesen'!I100+'7.6 út építés 045127'!I100</f>
        <v>8727142</v>
      </c>
      <c r="J100" s="246">
        <f>'7.1. igazg 011130'!J100+'7.2 temető 013320'!J100+'7.3. vagyon 013350'!J100+'7.4 018010'!J100+'7.5 finansz műveletek 018030'!J100+'7.7 közütak működtetés 045160'!J100+'7.8 parkoló 045170'!J100+'7.9 kábeltv 046020'!J100+'7.10 piac 047120'!J100+'7.11 tdm tám047320'!J100+'7.12 szemét 051030'!J100+'7.13 szennyvíz 052080'!J100+'7.14 víz 063080'!J100+'7.15 közvil 064010'!J100+'7.16 zöldterület 066010'!J100+'7.17 város 066020'!J100+'7.18 háziorvos 072111'!J100+'7.19 ügyelet 072112'!J100+'7.20 fülészet 072210'!J100+'7.21 védőnők 074031'!J100+'7.22 isk eü 074032'!J100+'7.23 sportcsépület 081030'!J100+'7.24 sport tám 081041'!J100+'7.25 diáksport 081043'!J100+'7.26 közműv 082091'!J100+'7.27 közműv 082092'!J100+'7.28  óvoda 091140'!J100+'7.29 intézmkiv gyétk 104037'!J100+'7.30 szoc étk 107051'!J100+'7.31 segélyek 107060'!J100+'7.32 adóbev 900020'!J100+'7.33 pályázatok összesen'!J100+'7.6 út építés 045127'!J100</f>
        <v>0</v>
      </c>
      <c r="K100" s="247">
        <f t="shared" ca="1" si="16"/>
        <v>8727142</v>
      </c>
      <c r="L100" s="246">
        <f ca="1">'7.1. igazg 011130'!L100+'7.2 temető 013320'!L100+'7.3. vagyon 013350'!L100+'7.4 018010'!L100+'7.5 finansz műveletek 018030'!L100+'7.7 közütak működtetés 045160'!L100+'7.8 parkoló 045170'!L100+'7.9 kábeltv 046020'!L100+'7.10 piac 047120'!L100+'7.11 tdm tám047320'!L100+'7.12 szemét 051030'!L100+'7.13 szennyvíz 052080'!L100+'7.14 víz 063080'!L100+'7.15 közvil 064010'!L100+'7.16 zöldterület 066010'!L100+'7.17 város 066020'!L100+'7.18 háziorvos 072111'!L100+'7.19 ügyelet 072112'!L100+'7.20 fülészet 072210'!L100+'7.21 védőnők 074031'!L100+'7.22 isk eü 074032'!L100+'7.23 sportcsépület 081030'!L100+'7.24 sport tám 081041'!L100+'7.25 diáksport 081043'!L100+'7.26 közműv 082091'!L100+'7.27 közműv 082092'!L100+'7.28  óvoda 091140'!L100+'7.29 intézmkiv gyétk 104037'!L100+'7.30 szoc étk 107051'!L100+'7.31 segélyek 107060'!L100+'7.32 adóbev 900020'!L100+'7.33 pályázatok összesen'!L100+'7.6 út építés 045127'!L100</f>
        <v>8725615</v>
      </c>
      <c r="M100" s="246">
        <f>'7.1. igazg 011130'!M100+'7.2 temető 013320'!M100+'7.3. vagyon 013350'!M100+'7.4 018010'!M100+'7.5 finansz műveletek 018030'!M100+'7.7 közütak működtetés 045160'!M100+'7.8 parkoló 045170'!M100+'7.9 kábeltv 046020'!M100+'7.10 piac 047120'!M100+'7.11 tdm tám047320'!M100+'7.12 szemét 051030'!M100+'7.13 szennyvíz 052080'!M100+'7.14 víz 063080'!M100+'7.15 közvil 064010'!M100+'7.16 zöldterület 066010'!M100+'7.17 város 066020'!M100+'7.18 háziorvos 072111'!M100+'7.19 ügyelet 072112'!M100+'7.20 fülészet 072210'!M100+'7.21 védőnők 074031'!M100+'7.22 isk eü 074032'!M100+'7.23 sportcsépület 081030'!M100+'7.24 sport tám 081041'!M100+'7.25 diáksport 081043'!M100+'7.26 közműv 082091'!M100+'7.27 közműv 082092'!M100+'7.28  óvoda 091140'!M100+'7.29 intézmkiv gyétk 104037'!M100+'7.30 szoc étk 107051'!M100+'7.31 segélyek 107060'!M100+'7.32 adóbev 900020'!M100+'7.33 pályázatok összesen'!M100+'7.6 út építés 045127'!M100</f>
        <v>0</v>
      </c>
      <c r="N100" s="247">
        <f t="shared" ca="1" si="14"/>
        <v>8725615</v>
      </c>
    </row>
    <row r="101" spans="1:14" x14ac:dyDescent="0.25">
      <c r="A101" s="61" t="s">
        <v>183</v>
      </c>
      <c r="B101" s="62" t="s">
        <v>184</v>
      </c>
      <c r="C101" s="246">
        <f>'7.1. igazg 011130'!C101+'7.2 temető 013320'!C101+'7.3. vagyon 013350'!C101+'7.4 018010'!C101+'7.5 finansz műveletek 018030'!C101+'7.7 közütak működtetés 045160'!C101+'7.8 parkoló 045170'!C101+'7.9 kábeltv 046020'!C101+'7.10 piac 047120'!C101+'7.11 tdm tám047320'!C101+'7.12 szemét 051030'!C101+'7.13 szennyvíz 052080'!C101+'7.14 víz 063080'!C101+'7.15 közvil 064010'!C101+'7.16 zöldterület 066010'!C101+'7.17 város 066020'!C101+'7.18 háziorvos 072111'!C101+'7.19 ügyelet 072112'!C101+'7.20 fülészet 072210'!C101+'7.21 védőnők 074031'!C101+'7.22 isk eü 074032'!C101+'7.23 sportcsépület 081030'!C101+'7.24 sport tám 081041'!C101+'7.25 diáksport 081043'!C101+'7.26 közműv 082091'!C101+'7.27 közműv 082092'!C101+'7.28  óvoda 091140'!C101+'7.29 intézmkiv gyétk 104037'!C101+'7.30 szoc étk 107051'!C101+'7.31 segélyek 107060'!C101+'7.32 adóbev 900020'!C101+'7.33 pályázatok összesen'!C101+'7.6 út építés 045127'!C101</f>
        <v>41498729</v>
      </c>
      <c r="D101" s="246">
        <f>'7.1. igazg 011130'!D101+'7.2 temető 013320'!D101+'7.3. vagyon 013350'!D101+'7.4 018010'!D101+'7.5 finansz műveletek 018030'!D101+'7.7 közütak működtetés 045160'!D101+'7.8 parkoló 045170'!D101+'7.9 kábeltv 046020'!D101+'7.10 piac 047120'!D101+'7.11 tdm tám047320'!D101+'7.12 szemét 051030'!D101+'7.13 szennyvíz 052080'!D101+'7.14 víz 063080'!D101+'7.15 közvil 064010'!D101+'7.16 zöldterület 066010'!D101+'7.17 város 066020'!D101+'7.18 háziorvos 072111'!D101+'7.19 ügyelet 072112'!D101+'7.20 fülészet 072210'!D101+'7.21 védőnők 074031'!D101+'7.22 isk eü 074032'!D101+'7.23 sportcsépület 081030'!D101+'7.24 sport tám 081041'!D101+'7.25 diáksport 081043'!D101+'7.26 közműv 082091'!D101+'7.27 közműv 082092'!D101+'7.28  óvoda 091140'!D101+'7.29 intézmkiv gyétk 104037'!D101+'7.30 szoc étk 107051'!D101+'7.31 segélyek 107060'!D101+'7.32 adóbev 900020'!D101+'7.33 pályázatok összesen'!D101+'7.6 út építés 045127'!D101</f>
        <v>0</v>
      </c>
      <c r="E101" s="247">
        <f t="shared" si="11"/>
        <v>41498729</v>
      </c>
      <c r="F101" s="246">
        <f>'7.1. igazg 011130'!F101+'7.2 temető 013320'!F101+'7.3. vagyon 013350'!F101+'7.4 018010'!F101+'7.5 finansz műveletek 018030'!F101+'7.7 közütak működtetés 045160'!F101+'7.8 parkoló 045170'!F101+'7.9 kábeltv 046020'!F101+'7.10 piac 047120'!F101+'7.11 tdm tám047320'!F101+'7.12 szemét 051030'!F101+'7.13 szennyvíz 052080'!F101+'7.14 víz 063080'!F101+'7.15 közvil 064010'!F101+'7.16 zöldterület 066010'!F101+'7.17 város 066020'!F101+'7.18 háziorvos 072111'!F101+'7.19 ügyelet 072112'!F101+'7.20 fülészet 072210'!F101+'7.21 védőnők 074031'!F101+'7.22 isk eü 074032'!F101+'7.23 sportcsépület 081030'!F101+'7.24 sport tám 081041'!F101+'7.25 diáksport 081043'!F101+'7.26 közműv 082091'!F101+'7.27 közműv 082092'!F101+'7.28  óvoda 091140'!F101+'7.29 intézmkiv gyétk 104037'!F101+'7.30 szoc étk 107051'!F101+'7.31 segélyek 107060'!F101+'7.32 adóbev 900020'!F101+'7.33 pályázatok összesen'!F101+'7.6 út építés 045127'!F101</f>
        <v>39886279</v>
      </c>
      <c r="G101" s="246">
        <f>'7.1. igazg 011130'!G101+'7.2 temető 013320'!G101+'7.3. vagyon 013350'!G101+'7.4 018010'!G101+'7.5 finansz műveletek 018030'!G101+'7.7 közütak működtetés 045160'!G101+'7.8 parkoló 045170'!G101+'7.9 kábeltv 046020'!G101+'7.10 piac 047120'!G101+'7.11 tdm tám047320'!G101+'7.12 szemét 051030'!G101+'7.13 szennyvíz 052080'!G101+'7.14 víz 063080'!G101+'7.15 közvil 064010'!G101+'7.16 zöldterület 066010'!G101+'7.17 város 066020'!G101+'7.18 háziorvos 072111'!G101+'7.19 ügyelet 072112'!G101+'7.20 fülészet 072210'!G101+'7.21 védőnők 074031'!G101+'7.22 isk eü 074032'!G101+'7.23 sportcsépület 081030'!G101+'7.24 sport tám 081041'!G101+'7.25 diáksport 081043'!G101+'7.26 közműv 082091'!G101+'7.27 közműv 082092'!G101+'7.28  óvoda 091140'!G101+'7.29 intézmkiv gyétk 104037'!G101+'7.30 szoc étk 107051'!G101+'7.31 segélyek 107060'!G101+'7.32 adóbev 900020'!G101+'7.33 pályázatok összesen'!G101+'7.6 út építés 045127'!G101</f>
        <v>0</v>
      </c>
      <c r="H101" s="247">
        <f t="shared" si="15"/>
        <v>39886279</v>
      </c>
      <c r="I101" s="246">
        <f ca="1">'7.1. igazg 011130'!I101+'7.2 temető 013320'!I101+'7.3. vagyon 013350'!I101+'7.4 018010'!I101+'7.5 finansz műveletek 018030'!I101+'7.7 közütak működtetés 045160'!I101+'7.8 parkoló 045170'!I101+'7.9 kábeltv 046020'!I101+'7.10 piac 047120'!I101+'7.11 tdm tám047320'!I101+'7.12 szemét 051030'!I101+'7.13 szennyvíz 052080'!I101+'7.14 víz 063080'!I101+'7.15 közvil 064010'!I101+'7.16 zöldterület 066010'!I101+'7.17 város 066020'!I101+'7.18 háziorvos 072111'!I101+'7.19 ügyelet 072112'!I101+'7.20 fülészet 072210'!I101+'7.21 védőnők 074031'!I101+'7.22 isk eü 074032'!I101+'7.23 sportcsépület 081030'!I101+'7.24 sport tám 081041'!I101+'7.25 diáksport 081043'!I101+'7.26 közműv 082091'!I101+'7.27 közműv 082092'!I101+'7.28  óvoda 091140'!I101+'7.29 intézmkiv gyétk 104037'!I101+'7.30 szoc étk 107051'!I101+'7.31 segélyek 107060'!I101+'7.32 adóbev 900020'!I101+'7.33 pályázatok összesen'!I101+'7.6 út építés 045127'!I101</f>
        <v>45240721</v>
      </c>
      <c r="J101" s="246">
        <f>'7.1. igazg 011130'!J101+'7.2 temető 013320'!J101+'7.3. vagyon 013350'!J101+'7.4 018010'!J101+'7.5 finansz műveletek 018030'!J101+'7.7 közütak működtetés 045160'!J101+'7.8 parkoló 045170'!J101+'7.9 kábeltv 046020'!J101+'7.10 piac 047120'!J101+'7.11 tdm tám047320'!J101+'7.12 szemét 051030'!J101+'7.13 szennyvíz 052080'!J101+'7.14 víz 063080'!J101+'7.15 közvil 064010'!J101+'7.16 zöldterület 066010'!J101+'7.17 város 066020'!J101+'7.18 háziorvos 072111'!J101+'7.19 ügyelet 072112'!J101+'7.20 fülészet 072210'!J101+'7.21 védőnők 074031'!J101+'7.22 isk eü 074032'!J101+'7.23 sportcsépület 081030'!J101+'7.24 sport tám 081041'!J101+'7.25 diáksport 081043'!J101+'7.26 közműv 082091'!J101+'7.27 közműv 082092'!J101+'7.28  óvoda 091140'!J101+'7.29 intézmkiv gyétk 104037'!J101+'7.30 szoc étk 107051'!J101+'7.31 segélyek 107060'!J101+'7.32 adóbev 900020'!J101+'7.33 pályázatok összesen'!J101+'7.6 út építés 045127'!J101</f>
        <v>6750</v>
      </c>
      <c r="K101" s="247">
        <f t="shared" ca="1" si="16"/>
        <v>45247471</v>
      </c>
      <c r="L101" s="246">
        <f ca="1">'7.1. igazg 011130'!L101+'7.2 temető 013320'!L101+'7.3. vagyon 013350'!L101+'7.4 018010'!L101+'7.5 finansz műveletek 018030'!L101+'7.7 közütak működtetés 045160'!L101+'7.8 parkoló 045170'!L101+'7.9 kábeltv 046020'!L101+'7.10 piac 047120'!L101+'7.11 tdm tám047320'!L101+'7.12 szemét 051030'!L101+'7.13 szennyvíz 052080'!L101+'7.14 víz 063080'!L101+'7.15 közvil 064010'!L101+'7.16 zöldterület 066010'!L101+'7.17 város 066020'!L101+'7.18 háziorvos 072111'!L101+'7.19 ügyelet 072112'!L101+'7.20 fülészet 072210'!L101+'7.21 védőnők 074031'!L101+'7.22 isk eü 074032'!L101+'7.23 sportcsépület 081030'!L101+'7.24 sport tám 081041'!L101+'7.25 diáksport 081043'!L101+'7.26 közműv 082091'!L101+'7.27 közműv 082092'!L101+'7.28  óvoda 091140'!L101+'7.29 intézmkiv gyétk 104037'!L101+'7.30 szoc étk 107051'!L101+'7.31 segélyek 107060'!L101+'7.32 adóbev 900020'!L101+'7.33 pályázatok összesen'!L101+'7.6 út építés 045127'!L101</f>
        <v>44944937</v>
      </c>
      <c r="M101" s="246">
        <f>'7.1. igazg 011130'!M101+'7.2 temető 013320'!M101+'7.3. vagyon 013350'!M101+'7.4 018010'!M101+'7.5 finansz műveletek 018030'!M101+'7.7 közütak működtetés 045160'!M101+'7.8 parkoló 045170'!M101+'7.9 kábeltv 046020'!M101+'7.10 piac 047120'!M101+'7.11 tdm tám047320'!M101+'7.12 szemét 051030'!M101+'7.13 szennyvíz 052080'!M101+'7.14 víz 063080'!M101+'7.15 közvil 064010'!M101+'7.16 zöldterület 066010'!M101+'7.17 város 066020'!M101+'7.18 háziorvos 072111'!M101+'7.19 ügyelet 072112'!M101+'7.20 fülészet 072210'!M101+'7.21 védőnők 074031'!M101+'7.22 isk eü 074032'!M101+'7.23 sportcsépület 081030'!M101+'7.24 sport tám 081041'!M101+'7.25 diáksport 081043'!M101+'7.26 közműv 082091'!M101+'7.27 közműv 082092'!M101+'7.28  óvoda 091140'!M101+'7.29 intézmkiv gyétk 104037'!M101+'7.30 szoc étk 107051'!M101+'7.31 segélyek 107060'!M101+'7.32 adóbev 900020'!M101+'7.33 pályázatok összesen'!M101+'7.6 út építés 045127'!M101</f>
        <v>6750</v>
      </c>
      <c r="N101" s="247">
        <f t="shared" ca="1" si="14"/>
        <v>44951687</v>
      </c>
    </row>
    <row r="102" spans="1:14" x14ac:dyDescent="0.25">
      <c r="A102" s="61" t="s">
        <v>185</v>
      </c>
      <c r="B102" s="62" t="s">
        <v>186</v>
      </c>
      <c r="C102" s="246">
        <f>'7.1. igazg 011130'!C102+'7.2 temető 013320'!C102+'7.3. vagyon 013350'!C102+'7.4 018010'!C102+'7.5 finansz műveletek 018030'!C102+'7.7 közütak működtetés 045160'!C102+'7.8 parkoló 045170'!C102+'7.9 kábeltv 046020'!C102+'7.10 piac 047120'!C102+'7.11 tdm tám047320'!C102+'7.12 szemét 051030'!C102+'7.13 szennyvíz 052080'!C102+'7.14 víz 063080'!C102+'7.15 közvil 064010'!C102+'7.16 zöldterület 066010'!C102+'7.17 város 066020'!C102+'7.18 háziorvos 072111'!C102+'7.19 ügyelet 072112'!C102+'7.20 fülészet 072210'!C102+'7.21 védőnők 074031'!C102+'7.22 isk eü 074032'!C102+'7.23 sportcsépület 081030'!C102+'7.24 sport tám 081041'!C102+'7.25 diáksport 081043'!C102+'7.26 közműv 082091'!C102+'7.27 közműv 082092'!C102+'7.28  óvoda 091140'!C102+'7.29 intézmkiv gyétk 104037'!C102+'7.30 szoc étk 107051'!C102+'7.31 segélyek 107060'!C102+'7.32 adóbev 900020'!C102+'7.33 pályázatok összesen'!C102+'7.6 út építés 045127'!C102</f>
        <v>19595680</v>
      </c>
      <c r="D102" s="246">
        <f>'7.1. igazg 011130'!D102+'7.2 temető 013320'!D102+'7.3. vagyon 013350'!D102+'7.4 018010'!D102+'7.5 finansz műveletek 018030'!D102+'7.7 közütak működtetés 045160'!D102+'7.8 parkoló 045170'!D102+'7.9 kábeltv 046020'!D102+'7.10 piac 047120'!D102+'7.11 tdm tám047320'!D102+'7.12 szemét 051030'!D102+'7.13 szennyvíz 052080'!D102+'7.14 víz 063080'!D102+'7.15 közvil 064010'!D102+'7.16 zöldterület 066010'!D102+'7.17 város 066020'!D102+'7.18 háziorvos 072111'!D102+'7.19 ügyelet 072112'!D102+'7.20 fülészet 072210'!D102+'7.21 védőnők 074031'!D102+'7.22 isk eü 074032'!D102+'7.23 sportcsépület 081030'!D102+'7.24 sport tám 081041'!D102+'7.25 diáksport 081043'!D102+'7.26 közműv 082091'!D102+'7.27 közműv 082092'!D102+'7.28  óvoda 091140'!D102+'7.29 intézmkiv gyétk 104037'!D102+'7.30 szoc étk 107051'!D102+'7.31 segélyek 107060'!D102+'7.32 adóbev 900020'!D102+'7.33 pályázatok összesen'!D102+'7.6 út építés 045127'!D102</f>
        <v>0</v>
      </c>
      <c r="E102" s="247">
        <f t="shared" si="11"/>
        <v>19595680</v>
      </c>
      <c r="F102" s="246">
        <f>'7.1. igazg 011130'!F102+'7.2 temető 013320'!F102+'7.3. vagyon 013350'!F102+'7.4 018010'!F102+'7.5 finansz műveletek 018030'!F102+'7.7 közütak működtetés 045160'!F102+'7.8 parkoló 045170'!F102+'7.9 kábeltv 046020'!F102+'7.10 piac 047120'!F102+'7.11 tdm tám047320'!F102+'7.12 szemét 051030'!F102+'7.13 szennyvíz 052080'!F102+'7.14 víz 063080'!F102+'7.15 közvil 064010'!F102+'7.16 zöldterület 066010'!F102+'7.17 város 066020'!F102+'7.18 háziorvos 072111'!F102+'7.19 ügyelet 072112'!F102+'7.20 fülészet 072210'!F102+'7.21 védőnők 074031'!F102+'7.22 isk eü 074032'!F102+'7.23 sportcsépület 081030'!F102+'7.24 sport tám 081041'!F102+'7.25 diáksport 081043'!F102+'7.26 közműv 082091'!F102+'7.27 közműv 082092'!F102+'7.28  óvoda 091140'!F102+'7.29 intézmkiv gyétk 104037'!F102+'7.30 szoc étk 107051'!F102+'7.31 segélyek 107060'!F102+'7.32 adóbev 900020'!F102+'7.33 pályázatok összesen'!F102+'7.6 út építés 045127'!F102</f>
        <v>19595680</v>
      </c>
      <c r="G102" s="246">
        <f>'7.1. igazg 011130'!G102+'7.2 temető 013320'!G102+'7.3. vagyon 013350'!G102+'7.4 018010'!G102+'7.5 finansz műveletek 018030'!G102+'7.7 közütak működtetés 045160'!G102+'7.8 parkoló 045170'!G102+'7.9 kábeltv 046020'!G102+'7.10 piac 047120'!G102+'7.11 tdm tám047320'!G102+'7.12 szemét 051030'!G102+'7.13 szennyvíz 052080'!G102+'7.14 víz 063080'!G102+'7.15 közvil 064010'!G102+'7.16 zöldterület 066010'!G102+'7.17 város 066020'!G102+'7.18 háziorvos 072111'!G102+'7.19 ügyelet 072112'!G102+'7.20 fülészet 072210'!G102+'7.21 védőnők 074031'!G102+'7.22 isk eü 074032'!G102+'7.23 sportcsépület 081030'!G102+'7.24 sport tám 081041'!G102+'7.25 diáksport 081043'!G102+'7.26 közműv 082091'!G102+'7.27 közműv 082092'!G102+'7.28  óvoda 091140'!G102+'7.29 intézmkiv gyétk 104037'!G102+'7.30 szoc étk 107051'!G102+'7.31 segélyek 107060'!G102+'7.32 adóbev 900020'!G102+'7.33 pályázatok összesen'!G102+'7.6 út építés 045127'!G102</f>
        <v>0</v>
      </c>
      <c r="H102" s="247">
        <f t="shared" si="15"/>
        <v>19595680</v>
      </c>
      <c r="I102" s="246">
        <f ca="1">'7.1. igazg 011130'!I102+'7.2 temető 013320'!I102+'7.3. vagyon 013350'!I102+'7.4 018010'!I102+'7.5 finansz műveletek 018030'!I102+'7.7 közütak működtetés 045160'!I102+'7.8 parkoló 045170'!I102+'7.9 kábeltv 046020'!I102+'7.10 piac 047120'!I102+'7.11 tdm tám047320'!I102+'7.12 szemét 051030'!I102+'7.13 szennyvíz 052080'!I102+'7.14 víz 063080'!I102+'7.15 közvil 064010'!I102+'7.16 zöldterület 066010'!I102+'7.17 város 066020'!I102+'7.18 háziorvos 072111'!I102+'7.19 ügyelet 072112'!I102+'7.20 fülészet 072210'!I102+'7.21 védőnők 074031'!I102+'7.22 isk eü 074032'!I102+'7.23 sportcsépület 081030'!I102+'7.24 sport tám 081041'!I102+'7.25 diáksport 081043'!I102+'7.26 közműv 082091'!I102+'7.27 közműv 082092'!I102+'7.28  óvoda 091140'!I102+'7.29 intézmkiv gyétk 104037'!I102+'7.30 szoc étk 107051'!I102+'7.31 segélyek 107060'!I102+'7.32 adóbev 900020'!I102+'7.33 pályázatok összesen'!I102+'7.6 út építés 045127'!I102</f>
        <v>19595680</v>
      </c>
      <c r="J102" s="246">
        <f>'7.1. igazg 011130'!J102+'7.2 temető 013320'!J102+'7.3. vagyon 013350'!J102+'7.4 018010'!J102+'7.5 finansz műveletek 018030'!J102+'7.7 közütak működtetés 045160'!J102+'7.8 parkoló 045170'!J102+'7.9 kábeltv 046020'!J102+'7.10 piac 047120'!J102+'7.11 tdm tám047320'!J102+'7.12 szemét 051030'!J102+'7.13 szennyvíz 052080'!J102+'7.14 víz 063080'!J102+'7.15 közvil 064010'!J102+'7.16 zöldterület 066010'!J102+'7.17 város 066020'!J102+'7.18 háziorvos 072111'!J102+'7.19 ügyelet 072112'!J102+'7.20 fülészet 072210'!J102+'7.21 védőnők 074031'!J102+'7.22 isk eü 074032'!J102+'7.23 sportcsépület 081030'!J102+'7.24 sport tám 081041'!J102+'7.25 diáksport 081043'!J102+'7.26 közműv 082091'!J102+'7.27 közműv 082092'!J102+'7.28  óvoda 091140'!J102+'7.29 intézmkiv gyétk 104037'!J102+'7.30 szoc étk 107051'!J102+'7.31 segélyek 107060'!J102+'7.32 adóbev 900020'!J102+'7.33 pályázatok összesen'!J102+'7.6 út építés 045127'!J102</f>
        <v>0</v>
      </c>
      <c r="K102" s="247">
        <f t="shared" ca="1" si="16"/>
        <v>19595680</v>
      </c>
      <c r="L102" s="246">
        <f ca="1">'7.1. igazg 011130'!L102+'7.2 temető 013320'!L102+'7.3. vagyon 013350'!L102+'7.4 018010'!L102+'7.5 finansz műveletek 018030'!L102+'7.7 közütak működtetés 045160'!L102+'7.8 parkoló 045170'!L102+'7.9 kábeltv 046020'!L102+'7.10 piac 047120'!L102+'7.11 tdm tám047320'!L102+'7.12 szemét 051030'!L102+'7.13 szennyvíz 052080'!L102+'7.14 víz 063080'!L102+'7.15 közvil 064010'!L102+'7.16 zöldterület 066010'!L102+'7.17 város 066020'!L102+'7.18 háziorvos 072111'!L102+'7.19 ügyelet 072112'!L102+'7.20 fülészet 072210'!L102+'7.21 védőnők 074031'!L102+'7.22 isk eü 074032'!L102+'7.23 sportcsépület 081030'!L102+'7.24 sport tám 081041'!L102+'7.25 diáksport 081043'!L102+'7.26 közműv 082091'!L102+'7.27 közműv 082092'!L102+'7.28  óvoda 091140'!L102+'7.29 intézmkiv gyétk 104037'!L102+'7.30 szoc étk 107051'!L102+'7.31 segélyek 107060'!L102+'7.32 adóbev 900020'!L102+'7.33 pályázatok összesen'!L102+'7.6 út építés 045127'!L102</f>
        <v>19353286</v>
      </c>
      <c r="M102" s="246">
        <f>'7.1. igazg 011130'!M102+'7.2 temető 013320'!M102+'7.3. vagyon 013350'!M102+'7.4 018010'!M102+'7.5 finansz műveletek 018030'!M102+'7.7 közütak működtetés 045160'!M102+'7.8 parkoló 045170'!M102+'7.9 kábeltv 046020'!M102+'7.10 piac 047120'!M102+'7.11 tdm tám047320'!M102+'7.12 szemét 051030'!M102+'7.13 szennyvíz 052080'!M102+'7.14 víz 063080'!M102+'7.15 közvil 064010'!M102+'7.16 zöldterület 066010'!M102+'7.17 város 066020'!M102+'7.18 háziorvos 072111'!M102+'7.19 ügyelet 072112'!M102+'7.20 fülészet 072210'!M102+'7.21 védőnők 074031'!M102+'7.22 isk eü 074032'!M102+'7.23 sportcsépület 081030'!M102+'7.24 sport tám 081041'!M102+'7.25 diáksport 081043'!M102+'7.26 közműv 082091'!M102+'7.27 közműv 082092'!M102+'7.28  óvoda 091140'!M102+'7.29 intézmkiv gyétk 104037'!M102+'7.30 szoc étk 107051'!M102+'7.31 segélyek 107060'!M102+'7.32 adóbev 900020'!M102+'7.33 pályázatok összesen'!M102+'7.6 út építés 045127'!M102</f>
        <v>0</v>
      </c>
      <c r="N102" s="247">
        <f t="shared" ca="1" si="14"/>
        <v>19353286</v>
      </c>
    </row>
    <row r="103" spans="1:14" x14ac:dyDescent="0.25">
      <c r="A103" s="61" t="s">
        <v>187</v>
      </c>
      <c r="B103" s="62" t="s">
        <v>188</v>
      </c>
      <c r="C103" s="246">
        <f>'7.1. igazg 011130'!C103+'7.2 temető 013320'!C103+'7.3. vagyon 013350'!C103+'7.4 018010'!C103+'7.5 finansz műveletek 018030'!C103+'7.7 közütak működtetés 045160'!C103+'7.8 parkoló 045170'!C103+'7.9 kábeltv 046020'!C103+'7.10 piac 047120'!C103+'7.11 tdm tám047320'!C103+'7.12 szemét 051030'!C103+'7.13 szennyvíz 052080'!C103+'7.14 víz 063080'!C103+'7.15 közvil 064010'!C103+'7.16 zöldterület 066010'!C103+'7.17 város 066020'!C103+'7.18 háziorvos 072111'!C103+'7.19 ügyelet 072112'!C103+'7.20 fülészet 072210'!C103+'7.21 védőnők 074031'!C103+'7.22 isk eü 074032'!C103+'7.23 sportcsépület 081030'!C103+'7.24 sport tám 081041'!C103+'7.25 diáksport 081043'!C103+'7.26 közműv 082091'!C103+'7.27 közműv 082092'!C103+'7.28  óvoda 091140'!C103+'7.29 intézmkiv gyétk 104037'!C103+'7.30 szoc étk 107051'!C103+'7.31 segélyek 107060'!C103+'7.32 adóbev 900020'!C103+'7.33 pályázatok összesen'!C103+'7.6 út építés 045127'!C103</f>
        <v>16903049</v>
      </c>
      <c r="D103" s="246">
        <f>'7.1. igazg 011130'!D103+'7.2 temető 013320'!D103+'7.3. vagyon 013350'!D103+'7.4 018010'!D103+'7.5 finansz műveletek 018030'!D103+'7.7 közütak működtetés 045160'!D103+'7.8 parkoló 045170'!D103+'7.9 kábeltv 046020'!D103+'7.10 piac 047120'!D103+'7.11 tdm tám047320'!D103+'7.12 szemét 051030'!D103+'7.13 szennyvíz 052080'!D103+'7.14 víz 063080'!D103+'7.15 közvil 064010'!D103+'7.16 zöldterület 066010'!D103+'7.17 város 066020'!D103+'7.18 háziorvos 072111'!D103+'7.19 ügyelet 072112'!D103+'7.20 fülészet 072210'!D103+'7.21 védőnők 074031'!D103+'7.22 isk eü 074032'!D103+'7.23 sportcsépület 081030'!D103+'7.24 sport tám 081041'!D103+'7.25 diáksport 081043'!D103+'7.26 közműv 082091'!D103+'7.27 közműv 082092'!D103+'7.28  óvoda 091140'!D103+'7.29 intézmkiv gyétk 104037'!D103+'7.30 szoc étk 107051'!D103+'7.31 segélyek 107060'!D103+'7.32 adóbev 900020'!D103+'7.33 pályázatok összesen'!D103+'7.6 út építés 045127'!D103</f>
        <v>0</v>
      </c>
      <c r="E103" s="247">
        <f t="shared" si="11"/>
        <v>16903049</v>
      </c>
      <c r="F103" s="246">
        <f>'7.1. igazg 011130'!F103+'7.2 temető 013320'!F103+'7.3. vagyon 013350'!F103+'7.4 018010'!F103+'7.5 finansz műveletek 018030'!F103+'7.7 közütak működtetés 045160'!F103+'7.8 parkoló 045170'!F103+'7.9 kábeltv 046020'!F103+'7.10 piac 047120'!F103+'7.11 tdm tám047320'!F103+'7.12 szemét 051030'!F103+'7.13 szennyvíz 052080'!F103+'7.14 víz 063080'!F103+'7.15 közvil 064010'!F103+'7.16 zöldterület 066010'!F103+'7.17 város 066020'!F103+'7.18 háziorvos 072111'!F103+'7.19 ügyelet 072112'!F103+'7.20 fülészet 072210'!F103+'7.21 védőnők 074031'!F103+'7.22 isk eü 074032'!F103+'7.23 sportcsépület 081030'!F103+'7.24 sport tám 081041'!F103+'7.25 diáksport 081043'!F103+'7.26 közműv 082091'!F103+'7.27 közműv 082092'!F103+'7.28  óvoda 091140'!F103+'7.29 intézmkiv gyétk 104037'!F103+'7.30 szoc étk 107051'!F103+'7.31 segélyek 107060'!F103+'7.32 adóbev 900020'!F103+'7.33 pályázatok összesen'!F103+'7.6 út építés 045127'!F103</f>
        <v>14267049</v>
      </c>
      <c r="G103" s="246">
        <f>'7.1. igazg 011130'!G103+'7.2 temető 013320'!G103+'7.3. vagyon 013350'!G103+'7.4 018010'!G103+'7.5 finansz műveletek 018030'!G103+'7.7 közütak működtetés 045160'!G103+'7.8 parkoló 045170'!G103+'7.9 kábeltv 046020'!G103+'7.10 piac 047120'!G103+'7.11 tdm tám047320'!G103+'7.12 szemét 051030'!G103+'7.13 szennyvíz 052080'!G103+'7.14 víz 063080'!G103+'7.15 közvil 064010'!G103+'7.16 zöldterület 066010'!G103+'7.17 város 066020'!G103+'7.18 háziorvos 072111'!G103+'7.19 ügyelet 072112'!G103+'7.20 fülészet 072210'!G103+'7.21 védőnők 074031'!G103+'7.22 isk eü 074032'!G103+'7.23 sportcsépület 081030'!G103+'7.24 sport tám 081041'!G103+'7.25 diáksport 081043'!G103+'7.26 közműv 082091'!G103+'7.27 közműv 082092'!G103+'7.28  óvoda 091140'!G103+'7.29 intézmkiv gyétk 104037'!G103+'7.30 szoc étk 107051'!G103+'7.31 segélyek 107060'!G103+'7.32 adóbev 900020'!G103+'7.33 pályázatok összesen'!G103+'7.6 út építés 045127'!G103</f>
        <v>0</v>
      </c>
      <c r="H103" s="247">
        <f t="shared" si="15"/>
        <v>14267049</v>
      </c>
      <c r="I103" s="246">
        <f ca="1">'7.1. igazg 011130'!I103+'7.2 temető 013320'!I103+'7.3. vagyon 013350'!I103+'7.4 018010'!I103+'7.5 finansz műveletek 018030'!I103+'7.7 közütak működtetés 045160'!I103+'7.8 parkoló 045170'!I103+'7.9 kábeltv 046020'!I103+'7.10 piac 047120'!I103+'7.11 tdm tám047320'!I103+'7.12 szemét 051030'!I103+'7.13 szennyvíz 052080'!I103+'7.14 víz 063080'!I103+'7.15 közvil 064010'!I103+'7.16 zöldterület 066010'!I103+'7.17 város 066020'!I103+'7.18 háziorvos 072111'!I103+'7.19 ügyelet 072112'!I103+'7.20 fülészet 072210'!I103+'7.21 védőnők 074031'!I103+'7.22 isk eü 074032'!I103+'7.23 sportcsépület 081030'!I103+'7.24 sport tám 081041'!I103+'7.25 diáksport 081043'!I103+'7.26 közműv 082091'!I103+'7.27 közműv 082092'!I103+'7.28  óvoda 091140'!I103+'7.29 intézmkiv gyétk 104037'!I103+'7.30 szoc étk 107051'!I103+'7.31 segélyek 107060'!I103+'7.32 adóbev 900020'!I103+'7.33 pályázatok összesen'!I103+'7.6 út építés 045127'!I103</f>
        <v>16688241</v>
      </c>
      <c r="J103" s="246">
        <f>'7.1. igazg 011130'!J103+'7.2 temető 013320'!J103+'7.3. vagyon 013350'!J103+'7.4 018010'!J103+'7.5 finansz műveletek 018030'!J103+'7.7 közütak működtetés 045160'!J103+'7.8 parkoló 045170'!J103+'7.9 kábeltv 046020'!J103+'7.10 piac 047120'!J103+'7.11 tdm tám047320'!J103+'7.12 szemét 051030'!J103+'7.13 szennyvíz 052080'!J103+'7.14 víz 063080'!J103+'7.15 közvil 064010'!J103+'7.16 zöldterület 066010'!J103+'7.17 város 066020'!J103+'7.18 háziorvos 072111'!J103+'7.19 ügyelet 072112'!J103+'7.20 fülészet 072210'!J103+'7.21 védőnők 074031'!J103+'7.22 isk eü 074032'!J103+'7.23 sportcsépület 081030'!J103+'7.24 sport tám 081041'!J103+'7.25 diáksport 081043'!J103+'7.26 közműv 082091'!J103+'7.27 közműv 082092'!J103+'7.28  óvoda 091140'!J103+'7.29 intézmkiv gyétk 104037'!J103+'7.30 szoc étk 107051'!J103+'7.31 segélyek 107060'!J103+'7.32 adóbev 900020'!J103+'7.33 pályázatok összesen'!J103+'7.6 út építés 045127'!J103</f>
        <v>0</v>
      </c>
      <c r="K103" s="247">
        <f t="shared" ca="1" si="16"/>
        <v>16688241</v>
      </c>
      <c r="L103" s="246">
        <f ca="1">'7.1. igazg 011130'!L103+'7.2 temető 013320'!L103+'7.3. vagyon 013350'!L103+'7.4 018010'!L103+'7.5 finansz műveletek 018030'!L103+'7.7 közütak működtetés 045160'!L103+'7.8 parkoló 045170'!L103+'7.9 kábeltv 046020'!L103+'7.10 piac 047120'!L103+'7.11 tdm tám047320'!L103+'7.12 szemét 051030'!L103+'7.13 szennyvíz 052080'!L103+'7.14 víz 063080'!L103+'7.15 közvil 064010'!L103+'7.16 zöldterület 066010'!L103+'7.17 város 066020'!L103+'7.18 háziorvos 072111'!L103+'7.19 ügyelet 072112'!L103+'7.20 fülészet 072210'!L103+'7.21 védőnők 074031'!L103+'7.22 isk eü 074032'!L103+'7.23 sportcsépület 081030'!L103+'7.24 sport tám 081041'!L103+'7.25 diáksport 081043'!L103+'7.26 közműv 082091'!L103+'7.27 közműv 082092'!L103+'7.28  óvoda 091140'!L103+'7.29 intézmkiv gyétk 104037'!L103+'7.30 szoc étk 107051'!L103+'7.31 segélyek 107060'!L103+'7.32 adóbev 900020'!L103+'7.33 pályázatok összesen'!L103+'7.6 út építés 045127'!L103</f>
        <v>16669201</v>
      </c>
      <c r="M103" s="246">
        <f>'7.1. igazg 011130'!M103+'7.2 temető 013320'!M103+'7.3. vagyon 013350'!M103+'7.4 018010'!M103+'7.5 finansz műveletek 018030'!M103+'7.7 közütak működtetés 045160'!M103+'7.8 parkoló 045170'!M103+'7.9 kábeltv 046020'!M103+'7.10 piac 047120'!M103+'7.11 tdm tám047320'!M103+'7.12 szemét 051030'!M103+'7.13 szennyvíz 052080'!M103+'7.14 víz 063080'!M103+'7.15 közvil 064010'!M103+'7.16 zöldterület 066010'!M103+'7.17 város 066020'!M103+'7.18 háziorvos 072111'!M103+'7.19 ügyelet 072112'!M103+'7.20 fülészet 072210'!M103+'7.21 védőnők 074031'!M103+'7.22 isk eü 074032'!M103+'7.23 sportcsépület 081030'!M103+'7.24 sport tám 081041'!M103+'7.25 diáksport 081043'!M103+'7.26 közműv 082091'!M103+'7.27 közműv 082092'!M103+'7.28  óvoda 091140'!M103+'7.29 intézmkiv gyétk 104037'!M103+'7.30 szoc étk 107051'!M103+'7.31 segélyek 107060'!M103+'7.32 adóbev 900020'!M103+'7.33 pályázatok összesen'!M103+'7.6 út építés 045127'!M103</f>
        <v>0</v>
      </c>
      <c r="N103" s="247">
        <f t="shared" ca="1" si="14"/>
        <v>16669201</v>
      </c>
    </row>
    <row r="104" spans="1:14" ht="15.75" thickBot="1" x14ac:dyDescent="0.3">
      <c r="A104" s="63" t="s">
        <v>189</v>
      </c>
      <c r="B104" s="64" t="s">
        <v>190</v>
      </c>
      <c r="C104" s="248">
        <f>'7.1. igazg 011130'!C104+'7.2 temető 013320'!C104+'7.3. vagyon 013350'!C104+'7.4 018010'!C104+'7.5 finansz műveletek 018030'!C104+'7.7 közütak működtetés 045160'!C104+'7.8 parkoló 045170'!C104+'7.9 kábeltv 046020'!C104+'7.10 piac 047120'!C104+'7.11 tdm tám047320'!C104+'7.12 szemét 051030'!C104+'7.13 szennyvíz 052080'!C104+'7.14 víz 063080'!C104+'7.15 közvil 064010'!C104+'7.16 zöldterület 066010'!C104+'7.17 város 066020'!C104+'7.18 háziorvos 072111'!C104+'7.19 ügyelet 072112'!C104+'7.20 fülészet 072210'!C104+'7.21 védőnők 074031'!C104+'7.22 isk eü 074032'!C104+'7.23 sportcsépület 081030'!C104+'7.24 sport tám 081041'!C104+'7.25 diáksport 081043'!C104+'7.26 közműv 082091'!C104+'7.27 közműv 082092'!C104+'7.28  óvoda 091140'!C104+'7.29 intézmkiv gyétk 104037'!C104+'7.30 szoc étk 107051'!C104+'7.31 segélyek 107060'!C104+'7.32 adóbev 900020'!C104+'7.33 pályázatok összesen'!C104+'7.6 út építés 045127'!C104</f>
        <v>5000000</v>
      </c>
      <c r="D104" s="248">
        <f>'7.1. igazg 011130'!D104+'7.2 temető 013320'!D104+'7.3. vagyon 013350'!D104+'7.4 018010'!D104+'7.5 finansz műveletek 018030'!D104+'7.7 közütak működtetés 045160'!D104+'7.8 parkoló 045170'!D104+'7.9 kábeltv 046020'!D104+'7.10 piac 047120'!D104+'7.11 tdm tám047320'!D104+'7.12 szemét 051030'!D104+'7.13 szennyvíz 052080'!D104+'7.14 víz 063080'!D104+'7.15 közvil 064010'!D104+'7.16 zöldterület 066010'!D104+'7.17 város 066020'!D104+'7.18 háziorvos 072111'!D104+'7.19 ügyelet 072112'!D104+'7.20 fülészet 072210'!D104+'7.21 védőnők 074031'!D104+'7.22 isk eü 074032'!D104+'7.23 sportcsépület 081030'!D104+'7.24 sport tám 081041'!D104+'7.25 diáksport 081043'!D104+'7.26 közműv 082091'!D104+'7.27 közműv 082092'!D104+'7.28  óvoda 091140'!D104+'7.29 intézmkiv gyétk 104037'!D104+'7.30 szoc étk 107051'!D104+'7.31 segélyek 107060'!D104+'7.32 adóbev 900020'!D104+'7.33 pályázatok összesen'!D104+'7.6 út építés 045127'!D104</f>
        <v>0</v>
      </c>
      <c r="E104" s="249">
        <f t="shared" si="11"/>
        <v>5000000</v>
      </c>
      <c r="F104" s="248">
        <f>'7.1. igazg 011130'!F104+'7.2 temető 013320'!F104+'7.3. vagyon 013350'!F104+'7.4 018010'!F104+'7.5 finansz műveletek 018030'!F104+'7.7 közütak működtetés 045160'!F104+'7.8 parkoló 045170'!F104+'7.9 kábeltv 046020'!F104+'7.10 piac 047120'!F104+'7.11 tdm tám047320'!F104+'7.12 szemét 051030'!F104+'7.13 szennyvíz 052080'!F104+'7.14 víz 063080'!F104+'7.15 közvil 064010'!F104+'7.16 zöldterület 066010'!F104+'7.17 város 066020'!F104+'7.18 háziorvos 072111'!F104+'7.19 ügyelet 072112'!F104+'7.20 fülészet 072210'!F104+'7.21 védőnők 074031'!F104+'7.22 isk eü 074032'!F104+'7.23 sportcsépület 081030'!F104+'7.24 sport tám 081041'!F104+'7.25 diáksport 081043'!F104+'7.26 közműv 082091'!F104+'7.27 közműv 082092'!F104+'7.28  óvoda 091140'!F104+'7.29 intézmkiv gyétk 104037'!F104+'7.30 szoc étk 107051'!F104+'7.31 segélyek 107060'!F104+'7.32 adóbev 900020'!F104+'7.33 pályázatok összesen'!F104+'7.6 út építés 045127'!F104</f>
        <v>6023550</v>
      </c>
      <c r="G104" s="248">
        <f>'7.1. igazg 011130'!G104+'7.2 temető 013320'!G104+'7.3. vagyon 013350'!G104+'7.4 018010'!G104+'7.5 finansz műveletek 018030'!G104+'7.7 közütak működtetés 045160'!G104+'7.8 parkoló 045170'!G104+'7.9 kábeltv 046020'!G104+'7.10 piac 047120'!G104+'7.11 tdm tám047320'!G104+'7.12 szemét 051030'!G104+'7.13 szennyvíz 052080'!G104+'7.14 víz 063080'!G104+'7.15 közvil 064010'!G104+'7.16 zöldterület 066010'!G104+'7.17 város 066020'!G104+'7.18 háziorvos 072111'!G104+'7.19 ügyelet 072112'!G104+'7.20 fülészet 072210'!G104+'7.21 védőnők 074031'!G104+'7.22 isk eü 074032'!G104+'7.23 sportcsépület 081030'!G104+'7.24 sport tám 081041'!G104+'7.25 diáksport 081043'!G104+'7.26 közműv 082091'!G104+'7.27 közműv 082092'!G104+'7.28  óvoda 091140'!G104+'7.29 intézmkiv gyétk 104037'!G104+'7.30 szoc étk 107051'!G104+'7.31 segélyek 107060'!G104+'7.32 adóbev 900020'!G104+'7.33 pályázatok összesen'!G104+'7.6 út építés 045127'!G104</f>
        <v>0</v>
      </c>
      <c r="H104" s="249">
        <f t="shared" si="15"/>
        <v>6023550</v>
      </c>
      <c r="I104" s="248">
        <f ca="1">'7.1. igazg 011130'!I104+'7.2 temető 013320'!I104+'7.3. vagyon 013350'!I104+'7.4 018010'!I104+'7.5 finansz műveletek 018030'!I104+'7.7 közütak működtetés 045160'!I104+'7.8 parkoló 045170'!I104+'7.9 kábeltv 046020'!I104+'7.10 piac 047120'!I104+'7.11 tdm tám047320'!I104+'7.12 szemét 051030'!I104+'7.13 szennyvíz 052080'!I104+'7.14 víz 063080'!I104+'7.15 közvil 064010'!I104+'7.16 zöldterület 066010'!I104+'7.17 város 066020'!I104+'7.18 háziorvos 072111'!I104+'7.19 ügyelet 072112'!I104+'7.20 fülészet 072210'!I104+'7.21 védőnők 074031'!I104+'7.22 isk eü 074032'!I104+'7.23 sportcsépület 081030'!I104+'7.24 sport tám 081041'!I104+'7.25 diáksport 081043'!I104+'7.26 közműv 082091'!I104+'7.27 közműv 082092'!I104+'7.28  óvoda 091140'!I104+'7.29 intézmkiv gyétk 104037'!I104+'7.30 szoc étk 107051'!I104+'7.31 segélyek 107060'!I104+'7.32 adóbev 900020'!I104+'7.33 pályázatok összesen'!I104+'7.6 út építés 045127'!I104</f>
        <v>8956800</v>
      </c>
      <c r="J104" s="248">
        <f>'7.1. igazg 011130'!J104+'7.2 temető 013320'!J104+'7.3. vagyon 013350'!J104+'7.4 018010'!J104+'7.5 finansz műveletek 018030'!J104+'7.7 közütak működtetés 045160'!J104+'7.8 parkoló 045170'!J104+'7.9 kábeltv 046020'!J104+'7.10 piac 047120'!J104+'7.11 tdm tám047320'!J104+'7.12 szemét 051030'!J104+'7.13 szennyvíz 052080'!J104+'7.14 víz 063080'!J104+'7.15 közvil 064010'!J104+'7.16 zöldterület 066010'!J104+'7.17 város 066020'!J104+'7.18 háziorvos 072111'!J104+'7.19 ügyelet 072112'!J104+'7.20 fülészet 072210'!J104+'7.21 védőnők 074031'!J104+'7.22 isk eü 074032'!J104+'7.23 sportcsépület 081030'!J104+'7.24 sport tám 081041'!J104+'7.25 diáksport 081043'!J104+'7.26 közműv 082091'!J104+'7.27 közműv 082092'!J104+'7.28  óvoda 091140'!J104+'7.29 intézmkiv gyétk 104037'!J104+'7.30 szoc étk 107051'!J104+'7.31 segélyek 107060'!J104+'7.32 adóbev 900020'!J104+'7.33 pályázatok összesen'!J104+'7.6 út építés 045127'!J104</f>
        <v>6750</v>
      </c>
      <c r="K104" s="249">
        <f t="shared" ca="1" si="16"/>
        <v>8963550</v>
      </c>
      <c r="L104" s="248">
        <f ca="1">'7.1. igazg 011130'!L104+'7.2 temető 013320'!L104+'7.3. vagyon 013350'!L104+'7.4 018010'!L104+'7.5 finansz műveletek 018030'!L104+'7.7 közütak működtetés 045160'!L104+'7.8 parkoló 045170'!L104+'7.9 kábeltv 046020'!L104+'7.10 piac 047120'!L104+'7.11 tdm tám047320'!L104+'7.12 szemét 051030'!L104+'7.13 szennyvíz 052080'!L104+'7.14 víz 063080'!L104+'7.15 közvil 064010'!L104+'7.16 zöldterület 066010'!L104+'7.17 város 066020'!L104+'7.18 háziorvos 072111'!L104+'7.19 ügyelet 072112'!L104+'7.20 fülészet 072210'!L104+'7.21 védőnők 074031'!L104+'7.22 isk eü 074032'!L104+'7.23 sportcsépület 081030'!L104+'7.24 sport tám 081041'!L104+'7.25 diáksport 081043'!L104+'7.26 közműv 082091'!L104+'7.27 közműv 082092'!L104+'7.28  óvoda 091140'!L104+'7.29 intézmkiv gyétk 104037'!L104+'7.30 szoc étk 107051'!L104+'7.31 segélyek 107060'!L104+'7.32 adóbev 900020'!L104+'7.33 pályázatok összesen'!L104+'7.6 út építés 045127'!L104</f>
        <v>8922450</v>
      </c>
      <c r="M104" s="248">
        <f>'7.1. igazg 011130'!M104+'7.2 temető 013320'!M104+'7.3. vagyon 013350'!M104+'7.4 018010'!M104+'7.5 finansz műveletek 018030'!M104+'7.7 közütak működtetés 045160'!M104+'7.8 parkoló 045170'!M104+'7.9 kábeltv 046020'!M104+'7.10 piac 047120'!M104+'7.11 tdm tám047320'!M104+'7.12 szemét 051030'!M104+'7.13 szennyvíz 052080'!M104+'7.14 víz 063080'!M104+'7.15 közvil 064010'!M104+'7.16 zöldterület 066010'!M104+'7.17 város 066020'!M104+'7.18 háziorvos 072111'!M104+'7.19 ügyelet 072112'!M104+'7.20 fülészet 072210'!M104+'7.21 védőnők 074031'!M104+'7.22 isk eü 074032'!M104+'7.23 sportcsépület 081030'!M104+'7.24 sport tám 081041'!M104+'7.25 diáksport 081043'!M104+'7.26 közműv 082091'!M104+'7.27 közműv 082092'!M104+'7.28  óvoda 091140'!M104+'7.29 intézmkiv gyétk 104037'!M104+'7.30 szoc étk 107051'!M104+'7.31 segélyek 107060'!M104+'7.32 adóbev 900020'!M104+'7.33 pályázatok összesen'!M104+'7.6 út építés 045127'!M104</f>
        <v>6750</v>
      </c>
      <c r="N104" s="249">
        <f t="shared" ca="1" si="14"/>
        <v>8929200</v>
      </c>
    </row>
    <row r="105" spans="1:14" x14ac:dyDescent="0.25">
      <c r="A105" s="60" t="s">
        <v>191</v>
      </c>
      <c r="B105" s="48" t="s">
        <v>192</v>
      </c>
      <c r="C105" s="244">
        <f>'7.1. igazg 011130'!C105+'7.2 temető 013320'!C105+'7.3. vagyon 013350'!C105+'7.4 018010'!C105+'7.5 finansz műveletek 018030'!C105+'7.7 közütak működtetés 045160'!C105+'7.8 parkoló 045170'!C105+'7.9 kábeltv 046020'!C105+'7.10 piac 047120'!C105+'7.11 tdm tám047320'!C105+'7.12 szemét 051030'!C105+'7.13 szennyvíz 052080'!C105+'7.14 víz 063080'!C105+'7.15 közvil 064010'!C105+'7.16 zöldterület 066010'!C105+'7.17 város 066020'!C105+'7.18 háziorvos 072111'!C105+'7.19 ügyelet 072112'!C105+'7.20 fülészet 072210'!C105+'7.21 védőnők 074031'!C105+'7.22 isk eü 074032'!C105+'7.23 sportcsépület 081030'!C105+'7.24 sport tám 081041'!C105+'7.25 diáksport 081043'!C105+'7.26 közműv 082091'!C105+'7.27 közműv 082092'!C105+'7.28  óvoda 091140'!C105+'7.29 intézmkiv gyétk 104037'!C105+'7.30 szoc étk 107051'!C105+'7.31 segélyek 107060'!C105+'7.32 adóbev 900020'!C105+'7.33 pályázatok összesen'!C105+'7.6 út építés 045127'!C105</f>
        <v>43295712</v>
      </c>
      <c r="D105" s="244">
        <f>'7.1. igazg 011130'!D105+'7.2 temető 013320'!D105+'7.3. vagyon 013350'!D105+'7.4 018010'!D105+'7.5 finansz műveletek 018030'!D105+'7.7 közütak működtetés 045160'!D105+'7.8 parkoló 045170'!D105+'7.9 kábeltv 046020'!D105+'7.10 piac 047120'!D105+'7.11 tdm tám047320'!D105+'7.12 szemét 051030'!D105+'7.13 szennyvíz 052080'!D105+'7.14 víz 063080'!D105+'7.15 közvil 064010'!D105+'7.16 zöldterület 066010'!D105+'7.17 város 066020'!D105+'7.18 háziorvos 072111'!D105+'7.19 ügyelet 072112'!D105+'7.20 fülészet 072210'!D105+'7.21 védőnők 074031'!D105+'7.22 isk eü 074032'!D105+'7.23 sportcsépület 081030'!D105+'7.24 sport tám 081041'!D105+'7.25 diáksport 081043'!D105+'7.26 közműv 082091'!D105+'7.27 közműv 082092'!D105+'7.28  óvoda 091140'!D105+'7.29 intézmkiv gyétk 104037'!D105+'7.30 szoc étk 107051'!D105+'7.31 segélyek 107060'!D105+'7.32 adóbev 900020'!D105+'7.33 pályázatok összesen'!D105+'7.6 út építés 045127'!D105</f>
        <v>0</v>
      </c>
      <c r="E105" s="245">
        <f t="shared" si="11"/>
        <v>43295712</v>
      </c>
      <c r="F105" s="244">
        <f>'7.1. igazg 011130'!F105+'7.2 temető 013320'!F105+'7.3. vagyon 013350'!F105+'7.4 018010'!F105+'7.5 finansz műveletek 018030'!F105+'7.7 közütak működtetés 045160'!F105+'7.8 parkoló 045170'!F105+'7.9 kábeltv 046020'!F105+'7.10 piac 047120'!F105+'7.11 tdm tám047320'!F105+'7.12 szemét 051030'!F105+'7.13 szennyvíz 052080'!F105+'7.14 víz 063080'!F105+'7.15 közvil 064010'!F105+'7.16 zöldterület 066010'!F105+'7.17 város 066020'!F105+'7.18 háziorvos 072111'!F105+'7.19 ügyelet 072112'!F105+'7.20 fülészet 072210'!F105+'7.21 védőnők 074031'!F105+'7.22 isk eü 074032'!F105+'7.23 sportcsépület 081030'!F105+'7.24 sport tám 081041'!F105+'7.25 diáksport 081043'!F105+'7.26 közműv 082091'!F105+'7.27 közműv 082092'!F105+'7.28  óvoda 091140'!F105+'7.29 intézmkiv gyétk 104037'!F105+'7.30 szoc étk 107051'!F105+'7.31 segélyek 107060'!F105+'7.32 adóbev 900020'!F105+'7.33 pályázatok összesen'!F105+'7.6 út építés 045127'!F105</f>
        <v>43517255</v>
      </c>
      <c r="G105" s="244">
        <f>'7.1. igazg 011130'!G105+'7.2 temető 013320'!G105+'7.3. vagyon 013350'!G105+'7.4 018010'!G105+'7.5 finansz műveletek 018030'!G105+'7.7 közütak működtetés 045160'!G105+'7.8 parkoló 045170'!G105+'7.9 kábeltv 046020'!G105+'7.10 piac 047120'!G105+'7.11 tdm tám047320'!G105+'7.12 szemét 051030'!G105+'7.13 szennyvíz 052080'!G105+'7.14 víz 063080'!G105+'7.15 közvil 064010'!G105+'7.16 zöldterület 066010'!G105+'7.17 város 066020'!G105+'7.18 háziorvos 072111'!G105+'7.19 ügyelet 072112'!G105+'7.20 fülészet 072210'!G105+'7.21 védőnők 074031'!G105+'7.22 isk eü 074032'!G105+'7.23 sportcsépület 081030'!G105+'7.24 sport tám 081041'!G105+'7.25 diáksport 081043'!G105+'7.26 közműv 082091'!G105+'7.27 közműv 082092'!G105+'7.28  óvoda 091140'!G105+'7.29 intézmkiv gyétk 104037'!G105+'7.30 szoc étk 107051'!G105+'7.31 segélyek 107060'!G105+'7.32 adóbev 900020'!G105+'7.33 pályázatok összesen'!G105+'7.6 út építés 045127'!G105</f>
        <v>0</v>
      </c>
      <c r="H105" s="245">
        <f t="shared" si="15"/>
        <v>43517255</v>
      </c>
      <c r="I105" s="244">
        <f ca="1">'7.1. igazg 011130'!I105+'7.2 temető 013320'!I105+'7.3. vagyon 013350'!I105+'7.4 018010'!I105+'7.5 finansz műveletek 018030'!I105+'7.7 közütak működtetés 045160'!I105+'7.8 parkoló 045170'!I105+'7.9 kábeltv 046020'!I105+'7.10 piac 047120'!I105+'7.11 tdm tám047320'!I105+'7.12 szemét 051030'!I105+'7.13 szennyvíz 052080'!I105+'7.14 víz 063080'!I105+'7.15 közvil 064010'!I105+'7.16 zöldterület 066010'!I105+'7.17 város 066020'!I105+'7.18 háziorvos 072111'!I105+'7.19 ügyelet 072112'!I105+'7.20 fülészet 072210'!I105+'7.21 védőnők 074031'!I105+'7.22 isk eü 074032'!I105+'7.23 sportcsépület 081030'!I105+'7.24 sport tám 081041'!I105+'7.25 diáksport 081043'!I105+'7.26 közműv 082091'!I105+'7.27 közműv 082092'!I105+'7.28  óvoda 091140'!I105+'7.29 intézmkiv gyétk 104037'!I105+'7.30 szoc étk 107051'!I105+'7.31 segélyek 107060'!I105+'7.32 adóbev 900020'!I105+'7.33 pályázatok összesen'!I105+'7.6 út építés 045127'!I105</f>
        <v>43053255</v>
      </c>
      <c r="J105" s="244">
        <f>'7.1. igazg 011130'!J105+'7.2 temető 013320'!J105+'7.3. vagyon 013350'!J105+'7.4 018010'!J105+'7.5 finansz műveletek 018030'!J105+'7.7 közütak működtetés 045160'!J105+'7.8 parkoló 045170'!J105+'7.9 kábeltv 046020'!J105+'7.10 piac 047120'!J105+'7.11 tdm tám047320'!J105+'7.12 szemét 051030'!J105+'7.13 szennyvíz 052080'!J105+'7.14 víz 063080'!J105+'7.15 közvil 064010'!J105+'7.16 zöldterület 066010'!J105+'7.17 város 066020'!J105+'7.18 háziorvos 072111'!J105+'7.19 ügyelet 072112'!J105+'7.20 fülészet 072210'!J105+'7.21 védőnők 074031'!J105+'7.22 isk eü 074032'!J105+'7.23 sportcsépület 081030'!J105+'7.24 sport tám 081041'!J105+'7.25 diáksport 081043'!J105+'7.26 közműv 082091'!J105+'7.27 közműv 082092'!J105+'7.28  óvoda 091140'!J105+'7.29 intézmkiv gyétk 104037'!J105+'7.30 szoc étk 107051'!J105+'7.31 segélyek 107060'!J105+'7.32 adóbev 900020'!J105+'7.33 pályázatok összesen'!J105+'7.6 út építés 045127'!J105</f>
        <v>0</v>
      </c>
      <c r="K105" s="245">
        <f t="shared" ca="1" si="16"/>
        <v>43053255</v>
      </c>
      <c r="L105" s="244">
        <f ca="1">'7.1. igazg 011130'!L105+'7.2 temető 013320'!L105+'7.3. vagyon 013350'!L105+'7.4 018010'!L105+'7.5 finansz műveletek 018030'!L105+'7.7 közütak működtetés 045160'!L105+'7.8 parkoló 045170'!L105+'7.9 kábeltv 046020'!L105+'7.10 piac 047120'!L105+'7.11 tdm tám047320'!L105+'7.12 szemét 051030'!L105+'7.13 szennyvíz 052080'!L105+'7.14 víz 063080'!L105+'7.15 közvil 064010'!L105+'7.16 zöldterület 066010'!L105+'7.17 város 066020'!L105+'7.18 háziorvos 072111'!L105+'7.19 ügyelet 072112'!L105+'7.20 fülészet 072210'!L105+'7.21 védőnők 074031'!L105+'7.22 isk eü 074032'!L105+'7.23 sportcsépület 081030'!L105+'7.24 sport tám 081041'!L105+'7.25 diáksport 081043'!L105+'7.26 közműv 082091'!L105+'7.27 közműv 082092'!L105+'7.28  óvoda 091140'!L105+'7.29 intézmkiv gyétk 104037'!L105+'7.30 szoc étk 107051'!L105+'7.31 segélyek 107060'!L105+'7.32 adóbev 900020'!L105+'7.33 pályázatok összesen'!L105+'7.6 út építés 045127'!L105</f>
        <v>42979826</v>
      </c>
      <c r="M105" s="244">
        <f>'7.1. igazg 011130'!M105+'7.2 temető 013320'!M105+'7.3. vagyon 013350'!M105+'7.4 018010'!M105+'7.5 finansz műveletek 018030'!M105+'7.7 közütak működtetés 045160'!M105+'7.8 parkoló 045170'!M105+'7.9 kábeltv 046020'!M105+'7.10 piac 047120'!M105+'7.11 tdm tám047320'!M105+'7.12 szemét 051030'!M105+'7.13 szennyvíz 052080'!M105+'7.14 víz 063080'!M105+'7.15 közvil 064010'!M105+'7.16 zöldterület 066010'!M105+'7.17 város 066020'!M105+'7.18 háziorvos 072111'!M105+'7.19 ügyelet 072112'!M105+'7.20 fülészet 072210'!M105+'7.21 védőnők 074031'!M105+'7.22 isk eü 074032'!M105+'7.23 sportcsépület 081030'!M105+'7.24 sport tám 081041'!M105+'7.25 diáksport 081043'!M105+'7.26 közműv 082091'!M105+'7.27 közműv 082092'!M105+'7.28  óvoda 091140'!M105+'7.29 intézmkiv gyétk 104037'!M105+'7.30 szoc étk 107051'!M105+'7.31 segélyek 107060'!M105+'7.32 adóbev 900020'!M105+'7.33 pályázatok összesen'!M105+'7.6 út építés 045127'!M105</f>
        <v>0</v>
      </c>
      <c r="N105" s="245">
        <f t="shared" ca="1" si="14"/>
        <v>42979826</v>
      </c>
    </row>
    <row r="106" spans="1:14" x14ac:dyDescent="0.25">
      <c r="A106" s="61"/>
      <c r="B106" s="62" t="s">
        <v>193</v>
      </c>
      <c r="C106" s="246">
        <f>'7.1. igazg 011130'!C106+'7.2 temető 013320'!C106+'7.3. vagyon 013350'!C106+'7.4 018010'!C106+'7.5 finansz műveletek 018030'!C106+'7.7 közütak működtetés 045160'!C106+'7.8 parkoló 045170'!C106+'7.9 kábeltv 046020'!C106+'7.10 piac 047120'!C106+'7.11 tdm tám047320'!C106+'7.12 szemét 051030'!C106+'7.13 szennyvíz 052080'!C106+'7.14 víz 063080'!C106+'7.15 közvil 064010'!C106+'7.16 zöldterület 066010'!C106+'7.17 város 066020'!C106+'7.18 háziorvos 072111'!C106+'7.19 ügyelet 072112'!C106+'7.20 fülészet 072210'!C106+'7.21 védőnők 074031'!C106+'7.22 isk eü 074032'!C106+'7.23 sportcsépület 081030'!C106+'7.24 sport tám 081041'!C106+'7.25 diáksport 081043'!C106+'7.26 közműv 082091'!C106+'7.27 közműv 082092'!C106+'7.28  óvoda 091140'!C106+'7.29 intézmkiv gyétk 104037'!C106+'7.30 szoc étk 107051'!C106+'7.31 segélyek 107060'!C106+'7.32 adóbev 900020'!C106+'7.33 pályázatok összesen'!C106+'7.6 út építés 045127'!C106</f>
        <v>35008243</v>
      </c>
      <c r="D106" s="246">
        <f>'7.1. igazg 011130'!D106+'7.2 temető 013320'!D106+'7.3. vagyon 013350'!D106+'7.4 018010'!D106+'7.5 finansz műveletek 018030'!D106+'7.7 közütak működtetés 045160'!D106+'7.8 parkoló 045170'!D106+'7.9 kábeltv 046020'!D106+'7.10 piac 047120'!D106+'7.11 tdm tám047320'!D106+'7.12 szemét 051030'!D106+'7.13 szennyvíz 052080'!D106+'7.14 víz 063080'!D106+'7.15 közvil 064010'!D106+'7.16 zöldterület 066010'!D106+'7.17 város 066020'!D106+'7.18 háziorvos 072111'!D106+'7.19 ügyelet 072112'!D106+'7.20 fülészet 072210'!D106+'7.21 védőnők 074031'!D106+'7.22 isk eü 074032'!D106+'7.23 sportcsépület 081030'!D106+'7.24 sport tám 081041'!D106+'7.25 diáksport 081043'!D106+'7.26 közműv 082091'!D106+'7.27 közműv 082092'!D106+'7.28  óvoda 091140'!D106+'7.29 intézmkiv gyétk 104037'!D106+'7.30 szoc étk 107051'!D106+'7.31 segélyek 107060'!D106+'7.32 adóbev 900020'!D106+'7.33 pályázatok összesen'!D106+'7.6 út építés 045127'!D106</f>
        <v>0</v>
      </c>
      <c r="E106" s="247">
        <f t="shared" si="11"/>
        <v>35008243</v>
      </c>
      <c r="F106" s="246">
        <f>'7.1. igazg 011130'!F106+'7.2 temető 013320'!F106+'7.3. vagyon 013350'!F106+'7.4 018010'!F106+'7.5 finansz műveletek 018030'!F106+'7.7 közütak működtetés 045160'!F106+'7.8 parkoló 045170'!F106+'7.9 kábeltv 046020'!F106+'7.10 piac 047120'!F106+'7.11 tdm tám047320'!F106+'7.12 szemét 051030'!F106+'7.13 szennyvíz 052080'!F106+'7.14 víz 063080'!F106+'7.15 közvil 064010'!F106+'7.16 zöldterület 066010'!F106+'7.17 város 066020'!F106+'7.18 háziorvos 072111'!F106+'7.19 ügyelet 072112'!F106+'7.20 fülészet 072210'!F106+'7.21 védőnők 074031'!F106+'7.22 isk eü 074032'!F106+'7.23 sportcsépület 081030'!F106+'7.24 sport tám 081041'!F106+'7.25 diáksport 081043'!F106+'7.26 közműv 082091'!F106+'7.27 közműv 082092'!F106+'7.28  óvoda 091140'!F106+'7.29 intézmkiv gyétk 104037'!F106+'7.30 szoc étk 107051'!F106+'7.31 segélyek 107060'!F106+'7.32 adóbev 900020'!F106+'7.33 pályázatok összesen'!F106+'7.6 út építés 045127'!F106</f>
        <v>35229786</v>
      </c>
      <c r="G106" s="246">
        <f>'7.1. igazg 011130'!G106+'7.2 temető 013320'!G106+'7.3. vagyon 013350'!G106+'7.4 018010'!G106+'7.5 finansz műveletek 018030'!G106+'7.7 közütak működtetés 045160'!G106+'7.8 parkoló 045170'!G106+'7.9 kábeltv 046020'!G106+'7.10 piac 047120'!G106+'7.11 tdm tám047320'!G106+'7.12 szemét 051030'!G106+'7.13 szennyvíz 052080'!G106+'7.14 víz 063080'!G106+'7.15 közvil 064010'!G106+'7.16 zöldterület 066010'!G106+'7.17 város 066020'!G106+'7.18 háziorvos 072111'!G106+'7.19 ügyelet 072112'!G106+'7.20 fülészet 072210'!G106+'7.21 védőnők 074031'!G106+'7.22 isk eü 074032'!G106+'7.23 sportcsépület 081030'!G106+'7.24 sport tám 081041'!G106+'7.25 diáksport 081043'!G106+'7.26 közműv 082091'!G106+'7.27 közműv 082092'!G106+'7.28  óvoda 091140'!G106+'7.29 intézmkiv gyétk 104037'!G106+'7.30 szoc étk 107051'!G106+'7.31 segélyek 107060'!G106+'7.32 adóbev 900020'!G106+'7.33 pályázatok összesen'!G106+'7.6 út építés 045127'!G106</f>
        <v>0</v>
      </c>
      <c r="H106" s="247">
        <f t="shared" si="15"/>
        <v>35229786</v>
      </c>
      <c r="I106" s="246">
        <f ca="1">'7.1. igazg 011130'!I106+'7.2 temető 013320'!I106+'7.3. vagyon 013350'!I106+'7.4 018010'!I106+'7.5 finansz műveletek 018030'!I106+'7.7 közütak működtetés 045160'!I106+'7.8 parkoló 045170'!I106+'7.9 kábeltv 046020'!I106+'7.10 piac 047120'!I106+'7.11 tdm tám047320'!I106+'7.12 szemét 051030'!I106+'7.13 szennyvíz 052080'!I106+'7.14 víz 063080'!I106+'7.15 közvil 064010'!I106+'7.16 zöldterület 066010'!I106+'7.17 város 066020'!I106+'7.18 háziorvos 072111'!I106+'7.19 ügyelet 072112'!I106+'7.20 fülészet 072210'!I106+'7.21 védőnők 074031'!I106+'7.22 isk eü 074032'!I106+'7.23 sportcsépület 081030'!I106+'7.24 sport tám 081041'!I106+'7.25 diáksport 081043'!I106+'7.26 közműv 082091'!I106+'7.27 közműv 082092'!I106+'7.28  óvoda 091140'!I106+'7.29 intézmkiv gyétk 104037'!I106+'7.30 szoc étk 107051'!I106+'7.31 segélyek 107060'!I106+'7.32 adóbev 900020'!I106+'7.33 pályázatok összesen'!I106+'7.6 út építés 045127'!I106</f>
        <v>37891006</v>
      </c>
      <c r="J106" s="246">
        <f>'7.1. igazg 011130'!J106+'7.2 temető 013320'!J106+'7.3. vagyon 013350'!J106+'7.4 018010'!J106+'7.5 finansz műveletek 018030'!J106+'7.7 közütak működtetés 045160'!J106+'7.8 parkoló 045170'!J106+'7.9 kábeltv 046020'!J106+'7.10 piac 047120'!J106+'7.11 tdm tám047320'!J106+'7.12 szemét 051030'!J106+'7.13 szennyvíz 052080'!J106+'7.14 víz 063080'!J106+'7.15 közvil 064010'!J106+'7.16 zöldterület 066010'!J106+'7.17 város 066020'!J106+'7.18 háziorvos 072111'!J106+'7.19 ügyelet 072112'!J106+'7.20 fülészet 072210'!J106+'7.21 védőnők 074031'!J106+'7.22 isk eü 074032'!J106+'7.23 sportcsépület 081030'!J106+'7.24 sport tám 081041'!J106+'7.25 diáksport 081043'!J106+'7.26 közműv 082091'!J106+'7.27 közműv 082092'!J106+'7.28  óvoda 091140'!J106+'7.29 intézmkiv gyétk 104037'!J106+'7.30 szoc étk 107051'!J106+'7.31 segélyek 107060'!J106+'7.32 adóbev 900020'!J106+'7.33 pályázatok összesen'!J106+'7.6 út építés 045127'!J106</f>
        <v>0</v>
      </c>
      <c r="K106" s="247">
        <f t="shared" ca="1" si="16"/>
        <v>37891006</v>
      </c>
      <c r="L106" s="246">
        <f ca="1">'7.1. igazg 011130'!L106+'7.2 temető 013320'!L106+'7.3. vagyon 013350'!L106+'7.4 018010'!L106+'7.5 finansz műveletek 018030'!L106+'7.7 közütak működtetés 045160'!L106+'7.8 parkoló 045170'!L106+'7.9 kábeltv 046020'!L106+'7.10 piac 047120'!L106+'7.11 tdm tám047320'!L106+'7.12 szemét 051030'!L106+'7.13 szennyvíz 052080'!L106+'7.14 víz 063080'!L106+'7.15 közvil 064010'!L106+'7.16 zöldterület 066010'!L106+'7.17 város 066020'!L106+'7.18 háziorvos 072111'!L106+'7.19 ügyelet 072112'!L106+'7.20 fülészet 072210'!L106+'7.21 védőnők 074031'!L106+'7.22 isk eü 074032'!L106+'7.23 sportcsépület 081030'!L106+'7.24 sport tám 081041'!L106+'7.25 diáksport 081043'!L106+'7.26 közműv 082091'!L106+'7.27 közműv 082092'!L106+'7.28  óvoda 091140'!L106+'7.29 intézmkiv gyétk 104037'!L106+'7.30 szoc étk 107051'!L106+'7.31 segélyek 107060'!L106+'7.32 adóbev 900020'!L106+'7.33 pályázatok összesen'!L106+'7.6 út építés 045127'!L106</f>
        <v>37817577</v>
      </c>
      <c r="M106" s="246">
        <f>'7.1. igazg 011130'!M106+'7.2 temető 013320'!M106+'7.3. vagyon 013350'!M106+'7.4 018010'!M106+'7.5 finansz műveletek 018030'!M106+'7.7 közütak működtetés 045160'!M106+'7.8 parkoló 045170'!M106+'7.9 kábeltv 046020'!M106+'7.10 piac 047120'!M106+'7.11 tdm tám047320'!M106+'7.12 szemét 051030'!M106+'7.13 szennyvíz 052080'!M106+'7.14 víz 063080'!M106+'7.15 közvil 064010'!M106+'7.16 zöldterület 066010'!M106+'7.17 város 066020'!M106+'7.18 háziorvos 072111'!M106+'7.19 ügyelet 072112'!M106+'7.20 fülészet 072210'!M106+'7.21 védőnők 074031'!M106+'7.22 isk eü 074032'!M106+'7.23 sportcsépület 081030'!M106+'7.24 sport tám 081041'!M106+'7.25 diáksport 081043'!M106+'7.26 közműv 082091'!M106+'7.27 közműv 082092'!M106+'7.28  óvoda 091140'!M106+'7.29 intézmkiv gyétk 104037'!M106+'7.30 szoc étk 107051'!M106+'7.31 segélyek 107060'!M106+'7.32 adóbev 900020'!M106+'7.33 pályázatok összesen'!M106+'7.6 út építés 045127'!M106</f>
        <v>0</v>
      </c>
      <c r="N106" s="247">
        <f t="shared" ca="1" si="14"/>
        <v>37817577</v>
      </c>
    </row>
    <row r="107" spans="1:14" x14ac:dyDescent="0.25">
      <c r="A107" s="61"/>
      <c r="B107" s="62" t="s">
        <v>194</v>
      </c>
      <c r="C107" s="246">
        <f>'7.1. igazg 011130'!C107+'7.2 temető 013320'!C107+'7.3. vagyon 013350'!C107+'7.4 018010'!C107+'7.5 finansz műveletek 018030'!C107+'7.7 közütak működtetés 045160'!C107+'7.8 parkoló 045170'!C107+'7.9 kábeltv 046020'!C107+'7.10 piac 047120'!C107+'7.11 tdm tám047320'!C107+'7.12 szemét 051030'!C107+'7.13 szennyvíz 052080'!C107+'7.14 víz 063080'!C107+'7.15 közvil 064010'!C107+'7.16 zöldterület 066010'!C107+'7.17 város 066020'!C107+'7.18 háziorvos 072111'!C107+'7.19 ügyelet 072112'!C107+'7.20 fülészet 072210'!C107+'7.21 védőnők 074031'!C107+'7.22 isk eü 074032'!C107+'7.23 sportcsépület 081030'!C107+'7.24 sport tám 081041'!C107+'7.25 diáksport 081043'!C107+'7.26 közműv 082091'!C107+'7.27 közműv 082092'!C107+'7.28  óvoda 091140'!C107+'7.29 intézmkiv gyétk 104037'!C107+'7.30 szoc étk 107051'!C107+'7.31 segélyek 107060'!C107+'7.32 adóbev 900020'!C107+'7.33 pályázatok összesen'!C107+'7.6 út építés 045127'!C107</f>
        <v>2413800</v>
      </c>
      <c r="D107" s="246">
        <f>'7.1. igazg 011130'!D107+'7.2 temető 013320'!D107+'7.3. vagyon 013350'!D107+'7.4 018010'!D107+'7.5 finansz műveletek 018030'!D107+'7.7 közütak működtetés 045160'!D107+'7.8 parkoló 045170'!D107+'7.9 kábeltv 046020'!D107+'7.10 piac 047120'!D107+'7.11 tdm tám047320'!D107+'7.12 szemét 051030'!D107+'7.13 szennyvíz 052080'!D107+'7.14 víz 063080'!D107+'7.15 közvil 064010'!D107+'7.16 zöldterület 066010'!D107+'7.17 város 066020'!D107+'7.18 háziorvos 072111'!D107+'7.19 ügyelet 072112'!D107+'7.20 fülészet 072210'!D107+'7.21 védőnők 074031'!D107+'7.22 isk eü 074032'!D107+'7.23 sportcsépület 081030'!D107+'7.24 sport tám 081041'!D107+'7.25 diáksport 081043'!D107+'7.26 közműv 082091'!D107+'7.27 közműv 082092'!D107+'7.28  óvoda 091140'!D107+'7.29 intézmkiv gyétk 104037'!D107+'7.30 szoc étk 107051'!D107+'7.31 segélyek 107060'!D107+'7.32 adóbev 900020'!D107+'7.33 pályázatok összesen'!D107+'7.6 út építés 045127'!D107</f>
        <v>0</v>
      </c>
      <c r="E107" s="247">
        <f t="shared" si="11"/>
        <v>2413800</v>
      </c>
      <c r="F107" s="246">
        <f>'7.1. igazg 011130'!F107+'7.2 temető 013320'!F107+'7.3. vagyon 013350'!F107+'7.4 018010'!F107+'7.5 finansz műveletek 018030'!F107+'7.7 közütak működtetés 045160'!F107+'7.8 parkoló 045170'!F107+'7.9 kábeltv 046020'!F107+'7.10 piac 047120'!F107+'7.11 tdm tám047320'!F107+'7.12 szemét 051030'!F107+'7.13 szennyvíz 052080'!F107+'7.14 víz 063080'!F107+'7.15 közvil 064010'!F107+'7.16 zöldterület 066010'!F107+'7.17 város 066020'!F107+'7.18 háziorvos 072111'!F107+'7.19 ügyelet 072112'!F107+'7.20 fülészet 072210'!F107+'7.21 védőnők 074031'!F107+'7.22 isk eü 074032'!F107+'7.23 sportcsépület 081030'!F107+'7.24 sport tám 081041'!F107+'7.25 diáksport 081043'!F107+'7.26 közműv 082091'!F107+'7.27 közműv 082092'!F107+'7.28  óvoda 091140'!F107+'7.29 intézmkiv gyétk 104037'!F107+'7.30 szoc étk 107051'!F107+'7.31 segélyek 107060'!F107+'7.32 adóbev 900020'!F107+'7.33 pályázatok összesen'!F107+'7.6 út építés 045127'!F107</f>
        <v>2413800</v>
      </c>
      <c r="G107" s="246">
        <f>'7.1. igazg 011130'!G107+'7.2 temető 013320'!G107+'7.3. vagyon 013350'!G107+'7.4 018010'!G107+'7.5 finansz műveletek 018030'!G107+'7.7 közütak működtetés 045160'!G107+'7.8 parkoló 045170'!G107+'7.9 kábeltv 046020'!G107+'7.10 piac 047120'!G107+'7.11 tdm tám047320'!G107+'7.12 szemét 051030'!G107+'7.13 szennyvíz 052080'!G107+'7.14 víz 063080'!G107+'7.15 közvil 064010'!G107+'7.16 zöldterület 066010'!G107+'7.17 város 066020'!G107+'7.18 háziorvos 072111'!G107+'7.19 ügyelet 072112'!G107+'7.20 fülészet 072210'!G107+'7.21 védőnők 074031'!G107+'7.22 isk eü 074032'!G107+'7.23 sportcsépület 081030'!G107+'7.24 sport tám 081041'!G107+'7.25 diáksport 081043'!G107+'7.26 közműv 082091'!G107+'7.27 közműv 082092'!G107+'7.28  óvoda 091140'!G107+'7.29 intézmkiv gyétk 104037'!G107+'7.30 szoc étk 107051'!G107+'7.31 segélyek 107060'!G107+'7.32 adóbev 900020'!G107+'7.33 pályázatok összesen'!G107+'7.6 út építés 045127'!G107</f>
        <v>0</v>
      </c>
      <c r="H107" s="247">
        <f t="shared" si="15"/>
        <v>2413800</v>
      </c>
      <c r="I107" s="246">
        <f ca="1">'7.1. igazg 011130'!I107+'7.2 temető 013320'!I107+'7.3. vagyon 013350'!I107+'7.4 018010'!I107+'7.5 finansz műveletek 018030'!I107+'7.7 közütak működtetés 045160'!I107+'7.8 parkoló 045170'!I107+'7.9 kábeltv 046020'!I107+'7.10 piac 047120'!I107+'7.11 tdm tám047320'!I107+'7.12 szemét 051030'!I107+'7.13 szennyvíz 052080'!I107+'7.14 víz 063080'!I107+'7.15 közvil 064010'!I107+'7.16 zöldterület 066010'!I107+'7.17 város 066020'!I107+'7.18 háziorvos 072111'!I107+'7.19 ügyelet 072112'!I107+'7.20 fülészet 072210'!I107+'7.21 védőnők 074031'!I107+'7.22 isk eü 074032'!I107+'7.23 sportcsépület 081030'!I107+'7.24 sport tám 081041'!I107+'7.25 diáksport 081043'!I107+'7.26 közműv 082091'!I107+'7.27 közműv 082092'!I107+'7.28  óvoda 091140'!I107+'7.29 intézmkiv gyétk 104037'!I107+'7.30 szoc étk 107051'!I107+'7.31 segélyek 107060'!I107+'7.32 adóbev 900020'!I107+'7.33 pályázatok összesen'!I107+'7.6 út építés 045127'!I107</f>
        <v>2355000</v>
      </c>
      <c r="J107" s="246">
        <f>'7.1. igazg 011130'!J107+'7.2 temető 013320'!J107+'7.3. vagyon 013350'!J107+'7.4 018010'!J107+'7.5 finansz műveletek 018030'!J107+'7.7 közütak működtetés 045160'!J107+'7.8 parkoló 045170'!J107+'7.9 kábeltv 046020'!J107+'7.10 piac 047120'!J107+'7.11 tdm tám047320'!J107+'7.12 szemét 051030'!J107+'7.13 szennyvíz 052080'!J107+'7.14 víz 063080'!J107+'7.15 közvil 064010'!J107+'7.16 zöldterület 066010'!J107+'7.17 város 066020'!J107+'7.18 háziorvos 072111'!J107+'7.19 ügyelet 072112'!J107+'7.20 fülészet 072210'!J107+'7.21 védőnők 074031'!J107+'7.22 isk eü 074032'!J107+'7.23 sportcsépület 081030'!J107+'7.24 sport tám 081041'!J107+'7.25 diáksport 081043'!J107+'7.26 közműv 082091'!J107+'7.27 közműv 082092'!J107+'7.28  óvoda 091140'!J107+'7.29 intézmkiv gyétk 104037'!J107+'7.30 szoc étk 107051'!J107+'7.31 segélyek 107060'!J107+'7.32 adóbev 900020'!J107+'7.33 pályázatok összesen'!J107+'7.6 út építés 045127'!J107</f>
        <v>0</v>
      </c>
      <c r="K107" s="247">
        <f t="shared" ca="1" si="16"/>
        <v>2355000</v>
      </c>
      <c r="L107" s="246">
        <f ca="1">'7.1. igazg 011130'!L107+'7.2 temető 013320'!L107+'7.3. vagyon 013350'!L107+'7.4 018010'!L107+'7.5 finansz műveletek 018030'!L107+'7.7 közütak működtetés 045160'!L107+'7.8 parkoló 045170'!L107+'7.9 kábeltv 046020'!L107+'7.10 piac 047120'!L107+'7.11 tdm tám047320'!L107+'7.12 szemét 051030'!L107+'7.13 szennyvíz 052080'!L107+'7.14 víz 063080'!L107+'7.15 közvil 064010'!L107+'7.16 zöldterület 066010'!L107+'7.17 város 066020'!L107+'7.18 háziorvos 072111'!L107+'7.19 ügyelet 072112'!L107+'7.20 fülészet 072210'!L107+'7.21 védőnők 074031'!L107+'7.22 isk eü 074032'!L107+'7.23 sportcsépület 081030'!L107+'7.24 sport tám 081041'!L107+'7.25 diáksport 081043'!L107+'7.26 közműv 082091'!L107+'7.27 közműv 082092'!L107+'7.28  óvoda 091140'!L107+'7.29 intézmkiv gyétk 104037'!L107+'7.30 szoc étk 107051'!L107+'7.31 segélyek 107060'!L107+'7.32 adóbev 900020'!L107+'7.33 pályázatok összesen'!L107+'7.6 út építés 045127'!L107</f>
        <v>2355000</v>
      </c>
      <c r="M107" s="246">
        <f>'7.1. igazg 011130'!M107+'7.2 temető 013320'!M107+'7.3. vagyon 013350'!M107+'7.4 018010'!M107+'7.5 finansz műveletek 018030'!M107+'7.7 közütak működtetés 045160'!M107+'7.8 parkoló 045170'!M107+'7.9 kábeltv 046020'!M107+'7.10 piac 047120'!M107+'7.11 tdm tám047320'!M107+'7.12 szemét 051030'!M107+'7.13 szennyvíz 052080'!M107+'7.14 víz 063080'!M107+'7.15 közvil 064010'!M107+'7.16 zöldterület 066010'!M107+'7.17 város 066020'!M107+'7.18 háziorvos 072111'!M107+'7.19 ügyelet 072112'!M107+'7.20 fülészet 072210'!M107+'7.21 védőnők 074031'!M107+'7.22 isk eü 074032'!M107+'7.23 sportcsépület 081030'!M107+'7.24 sport tám 081041'!M107+'7.25 diáksport 081043'!M107+'7.26 közműv 082091'!M107+'7.27 közműv 082092'!M107+'7.28  óvoda 091140'!M107+'7.29 intézmkiv gyétk 104037'!M107+'7.30 szoc étk 107051'!M107+'7.31 segélyek 107060'!M107+'7.32 adóbev 900020'!M107+'7.33 pályázatok összesen'!M107+'7.6 út építés 045127'!M107</f>
        <v>0</v>
      </c>
      <c r="N107" s="247">
        <f t="shared" ca="1" si="14"/>
        <v>2355000</v>
      </c>
    </row>
    <row r="108" spans="1:14" x14ac:dyDescent="0.25">
      <c r="A108" s="63"/>
      <c r="B108" s="64" t="s">
        <v>195</v>
      </c>
      <c r="C108" s="246">
        <f>'7.1. igazg 011130'!C108+'7.2 temető 013320'!C108+'7.3. vagyon 013350'!C108+'7.4 018010'!C108+'7.5 finansz műveletek 018030'!C108+'7.7 közütak működtetés 045160'!C108+'7.8 parkoló 045170'!C108+'7.9 kábeltv 046020'!C108+'7.10 piac 047120'!C108+'7.11 tdm tám047320'!C108+'7.12 szemét 051030'!C108+'7.13 szennyvíz 052080'!C108+'7.14 víz 063080'!C108+'7.15 közvil 064010'!C108+'7.16 zöldterület 066010'!C108+'7.17 város 066020'!C108+'7.18 háziorvos 072111'!C108+'7.19 ügyelet 072112'!C108+'7.20 fülészet 072210'!C108+'7.21 védőnők 074031'!C108+'7.22 isk eü 074032'!C108+'7.23 sportcsépület 081030'!C108+'7.24 sport tám 081041'!C108+'7.25 diáksport 081043'!C108+'7.26 közműv 082091'!C108+'7.27 közműv 082092'!C108+'7.28  óvoda 091140'!C108+'7.29 intézmkiv gyétk 104037'!C108+'7.30 szoc étk 107051'!C108+'7.31 segélyek 107060'!C108+'7.32 adóbev 900020'!C108+'7.33 pályázatok összesen'!C108+'7.6 út építés 045127'!C108</f>
        <v>3319070</v>
      </c>
      <c r="D108" s="246">
        <f>'7.1. igazg 011130'!D108+'7.2 temető 013320'!D108+'7.3. vagyon 013350'!D108+'7.4 018010'!D108+'7.5 finansz műveletek 018030'!D108+'7.7 közütak működtetés 045160'!D108+'7.8 parkoló 045170'!D108+'7.9 kábeltv 046020'!D108+'7.10 piac 047120'!D108+'7.11 tdm tám047320'!D108+'7.12 szemét 051030'!D108+'7.13 szennyvíz 052080'!D108+'7.14 víz 063080'!D108+'7.15 közvil 064010'!D108+'7.16 zöldterület 066010'!D108+'7.17 város 066020'!D108+'7.18 háziorvos 072111'!D108+'7.19 ügyelet 072112'!D108+'7.20 fülészet 072210'!D108+'7.21 védőnők 074031'!D108+'7.22 isk eü 074032'!D108+'7.23 sportcsépület 081030'!D108+'7.24 sport tám 081041'!D108+'7.25 diáksport 081043'!D108+'7.26 közműv 082091'!D108+'7.27 közműv 082092'!D108+'7.28  óvoda 091140'!D108+'7.29 intézmkiv gyétk 104037'!D108+'7.30 szoc étk 107051'!D108+'7.31 segélyek 107060'!D108+'7.32 adóbev 900020'!D108+'7.33 pályázatok összesen'!D108+'7.6 út építés 045127'!D108</f>
        <v>0</v>
      </c>
      <c r="E108" s="247">
        <f t="shared" si="11"/>
        <v>3319070</v>
      </c>
      <c r="F108" s="246">
        <f>'7.1. igazg 011130'!F108+'7.2 temető 013320'!F108+'7.3. vagyon 013350'!F108+'7.4 018010'!F108+'7.5 finansz műveletek 018030'!F108+'7.7 közütak működtetés 045160'!F108+'7.8 parkoló 045170'!F108+'7.9 kábeltv 046020'!F108+'7.10 piac 047120'!F108+'7.11 tdm tám047320'!F108+'7.12 szemét 051030'!F108+'7.13 szennyvíz 052080'!F108+'7.14 víz 063080'!F108+'7.15 közvil 064010'!F108+'7.16 zöldterület 066010'!F108+'7.17 város 066020'!F108+'7.18 háziorvos 072111'!F108+'7.19 ügyelet 072112'!F108+'7.20 fülészet 072210'!F108+'7.21 védőnők 074031'!F108+'7.22 isk eü 074032'!F108+'7.23 sportcsépület 081030'!F108+'7.24 sport tám 081041'!F108+'7.25 diáksport 081043'!F108+'7.26 közműv 082091'!F108+'7.27 közműv 082092'!F108+'7.28  óvoda 091140'!F108+'7.29 intézmkiv gyétk 104037'!F108+'7.30 szoc étk 107051'!F108+'7.31 segélyek 107060'!F108+'7.32 adóbev 900020'!F108+'7.33 pályázatok összesen'!F108+'7.6 út építés 045127'!F108</f>
        <v>3319070</v>
      </c>
      <c r="G108" s="246">
        <f>'7.1. igazg 011130'!G108+'7.2 temető 013320'!G108+'7.3. vagyon 013350'!G108+'7.4 018010'!G108+'7.5 finansz műveletek 018030'!G108+'7.7 közütak működtetés 045160'!G108+'7.8 parkoló 045170'!G108+'7.9 kábeltv 046020'!G108+'7.10 piac 047120'!G108+'7.11 tdm tám047320'!G108+'7.12 szemét 051030'!G108+'7.13 szennyvíz 052080'!G108+'7.14 víz 063080'!G108+'7.15 közvil 064010'!G108+'7.16 zöldterület 066010'!G108+'7.17 város 066020'!G108+'7.18 háziorvos 072111'!G108+'7.19 ügyelet 072112'!G108+'7.20 fülészet 072210'!G108+'7.21 védőnők 074031'!G108+'7.22 isk eü 074032'!G108+'7.23 sportcsépület 081030'!G108+'7.24 sport tám 081041'!G108+'7.25 diáksport 081043'!G108+'7.26 közműv 082091'!G108+'7.27 közműv 082092'!G108+'7.28  óvoda 091140'!G108+'7.29 intézmkiv gyétk 104037'!G108+'7.30 szoc étk 107051'!G108+'7.31 segélyek 107060'!G108+'7.32 adóbev 900020'!G108+'7.33 pályázatok összesen'!G108+'7.6 út építés 045127'!G108</f>
        <v>0</v>
      </c>
      <c r="H108" s="247">
        <f t="shared" si="15"/>
        <v>3319070</v>
      </c>
      <c r="I108" s="246">
        <f ca="1">'7.1. igazg 011130'!I108+'7.2 temető 013320'!I108+'7.3. vagyon 013350'!I108+'7.4 018010'!I108+'7.5 finansz műveletek 018030'!I108+'7.7 közütak működtetés 045160'!I108+'7.8 parkoló 045170'!I108+'7.9 kábeltv 046020'!I108+'7.10 piac 047120'!I108+'7.11 tdm tám047320'!I108+'7.12 szemét 051030'!I108+'7.13 szennyvíz 052080'!I108+'7.14 víz 063080'!I108+'7.15 közvil 064010'!I108+'7.16 zöldterület 066010'!I108+'7.17 város 066020'!I108+'7.18 háziorvos 072111'!I108+'7.19 ügyelet 072112'!I108+'7.20 fülészet 072210'!I108+'7.21 védőnők 074031'!I108+'7.22 isk eü 074032'!I108+'7.23 sportcsépület 081030'!I108+'7.24 sport tám 081041'!I108+'7.25 diáksport 081043'!I108+'7.26 közműv 082091'!I108+'7.27 közműv 082092'!I108+'7.28  óvoda 091140'!I108+'7.29 intézmkiv gyétk 104037'!I108+'7.30 szoc étk 107051'!I108+'7.31 segélyek 107060'!I108+'7.32 adóbev 900020'!I108+'7.33 pályázatok összesen'!I108+'7.6 út építés 045127'!I108</f>
        <v>159560</v>
      </c>
      <c r="J108" s="246">
        <f>'7.1. igazg 011130'!J108+'7.2 temető 013320'!J108+'7.3. vagyon 013350'!J108+'7.4 018010'!J108+'7.5 finansz műveletek 018030'!J108+'7.7 közütak működtetés 045160'!J108+'7.8 parkoló 045170'!J108+'7.9 kábeltv 046020'!J108+'7.10 piac 047120'!J108+'7.11 tdm tám047320'!J108+'7.12 szemét 051030'!J108+'7.13 szennyvíz 052080'!J108+'7.14 víz 063080'!J108+'7.15 közvil 064010'!J108+'7.16 zöldterület 066010'!J108+'7.17 város 066020'!J108+'7.18 háziorvos 072111'!J108+'7.19 ügyelet 072112'!J108+'7.20 fülészet 072210'!J108+'7.21 védőnők 074031'!J108+'7.22 isk eü 074032'!J108+'7.23 sportcsépület 081030'!J108+'7.24 sport tám 081041'!J108+'7.25 diáksport 081043'!J108+'7.26 közműv 082091'!J108+'7.27 közműv 082092'!J108+'7.28  óvoda 091140'!J108+'7.29 intézmkiv gyétk 104037'!J108+'7.30 szoc étk 107051'!J108+'7.31 segélyek 107060'!J108+'7.32 adóbev 900020'!J108+'7.33 pályázatok összesen'!J108+'7.6 út építés 045127'!J108</f>
        <v>0</v>
      </c>
      <c r="K108" s="247">
        <f t="shared" ca="1" si="16"/>
        <v>159560</v>
      </c>
      <c r="L108" s="246">
        <f ca="1">'7.1. igazg 011130'!L108+'7.2 temető 013320'!L108+'7.3. vagyon 013350'!L108+'7.4 018010'!L108+'7.5 finansz műveletek 018030'!L108+'7.7 közütak működtetés 045160'!L108+'7.8 parkoló 045170'!L108+'7.9 kábeltv 046020'!L108+'7.10 piac 047120'!L108+'7.11 tdm tám047320'!L108+'7.12 szemét 051030'!L108+'7.13 szennyvíz 052080'!L108+'7.14 víz 063080'!L108+'7.15 közvil 064010'!L108+'7.16 zöldterület 066010'!L108+'7.17 város 066020'!L108+'7.18 háziorvos 072111'!L108+'7.19 ügyelet 072112'!L108+'7.20 fülészet 072210'!L108+'7.21 védőnők 074031'!L108+'7.22 isk eü 074032'!L108+'7.23 sportcsépület 081030'!L108+'7.24 sport tám 081041'!L108+'7.25 diáksport 081043'!L108+'7.26 közműv 082091'!L108+'7.27 közműv 082092'!L108+'7.28  óvoda 091140'!L108+'7.29 intézmkiv gyétk 104037'!L108+'7.30 szoc étk 107051'!L108+'7.31 segélyek 107060'!L108+'7.32 adóbev 900020'!L108+'7.33 pályázatok összesen'!L108+'7.6 út építés 045127'!L108</f>
        <v>159560</v>
      </c>
      <c r="M108" s="246">
        <f>'7.1. igazg 011130'!M108+'7.2 temető 013320'!M108+'7.3. vagyon 013350'!M108+'7.4 018010'!M108+'7.5 finansz műveletek 018030'!M108+'7.7 közütak működtetés 045160'!M108+'7.8 parkoló 045170'!M108+'7.9 kábeltv 046020'!M108+'7.10 piac 047120'!M108+'7.11 tdm tám047320'!M108+'7.12 szemét 051030'!M108+'7.13 szennyvíz 052080'!M108+'7.14 víz 063080'!M108+'7.15 közvil 064010'!M108+'7.16 zöldterület 066010'!M108+'7.17 város 066020'!M108+'7.18 háziorvos 072111'!M108+'7.19 ügyelet 072112'!M108+'7.20 fülészet 072210'!M108+'7.21 védőnők 074031'!M108+'7.22 isk eü 074032'!M108+'7.23 sportcsépület 081030'!M108+'7.24 sport tám 081041'!M108+'7.25 diáksport 081043'!M108+'7.26 közműv 082091'!M108+'7.27 közműv 082092'!M108+'7.28  óvoda 091140'!M108+'7.29 intézmkiv gyétk 104037'!M108+'7.30 szoc étk 107051'!M108+'7.31 segélyek 107060'!M108+'7.32 adóbev 900020'!M108+'7.33 pályázatok összesen'!M108+'7.6 út építés 045127'!M108</f>
        <v>0</v>
      </c>
      <c r="N108" s="247">
        <f t="shared" ca="1" si="14"/>
        <v>159560</v>
      </c>
    </row>
    <row r="109" spans="1:14" x14ac:dyDescent="0.25">
      <c r="A109" s="63"/>
      <c r="B109" s="64" t="s">
        <v>196</v>
      </c>
      <c r="C109" s="246">
        <f>'7.1. igazg 011130'!C109+'7.2 temető 013320'!C109+'7.3. vagyon 013350'!C109+'7.4 018010'!C109+'7.5 finansz műveletek 018030'!C109+'7.7 közütak működtetés 045160'!C109+'7.8 parkoló 045170'!C109+'7.9 kábeltv 046020'!C109+'7.10 piac 047120'!C109+'7.11 tdm tám047320'!C109+'7.12 szemét 051030'!C109+'7.13 szennyvíz 052080'!C109+'7.14 víz 063080'!C109+'7.15 közvil 064010'!C109+'7.16 zöldterület 066010'!C109+'7.17 város 066020'!C109+'7.18 háziorvos 072111'!C109+'7.19 ügyelet 072112'!C109+'7.20 fülészet 072210'!C109+'7.21 védőnők 074031'!C109+'7.22 isk eü 074032'!C109+'7.23 sportcsépület 081030'!C109+'7.24 sport tám 081041'!C109+'7.25 diáksport 081043'!C109+'7.26 közműv 082091'!C109+'7.27 közműv 082092'!C109+'7.28  óvoda 091140'!C109+'7.29 intézmkiv gyétk 104037'!C109+'7.30 szoc étk 107051'!C109+'7.31 segélyek 107060'!C109+'7.32 adóbev 900020'!C109+'7.33 pályázatok összesen'!C109+'7.6 út építés 045127'!C109</f>
        <v>0</v>
      </c>
      <c r="D109" s="246">
        <f>'7.1. igazg 011130'!D109+'7.2 temető 013320'!D109+'7.3. vagyon 013350'!D109+'7.4 018010'!D109+'7.5 finansz műveletek 018030'!D109+'7.7 közütak működtetés 045160'!D109+'7.8 parkoló 045170'!D109+'7.9 kábeltv 046020'!D109+'7.10 piac 047120'!D109+'7.11 tdm tám047320'!D109+'7.12 szemét 051030'!D109+'7.13 szennyvíz 052080'!D109+'7.14 víz 063080'!D109+'7.15 közvil 064010'!D109+'7.16 zöldterület 066010'!D109+'7.17 város 066020'!D109+'7.18 háziorvos 072111'!D109+'7.19 ügyelet 072112'!D109+'7.20 fülészet 072210'!D109+'7.21 védőnők 074031'!D109+'7.22 isk eü 074032'!D109+'7.23 sportcsépület 081030'!D109+'7.24 sport tám 081041'!D109+'7.25 diáksport 081043'!D109+'7.26 közműv 082091'!D109+'7.27 közműv 082092'!D109+'7.28  óvoda 091140'!D109+'7.29 intézmkiv gyétk 104037'!D109+'7.30 szoc étk 107051'!D109+'7.31 segélyek 107060'!D109+'7.32 adóbev 900020'!D109+'7.33 pályázatok összesen'!D109+'7.6 út építés 045127'!D109</f>
        <v>0</v>
      </c>
      <c r="E109" s="247">
        <f t="shared" si="11"/>
        <v>0</v>
      </c>
      <c r="F109" s="246">
        <f>'7.1. igazg 011130'!F109+'7.2 temető 013320'!F109+'7.3. vagyon 013350'!F109+'7.4 018010'!F109+'7.5 finansz műveletek 018030'!F109+'7.7 közütak működtetés 045160'!F109+'7.8 parkoló 045170'!F109+'7.9 kábeltv 046020'!F109+'7.10 piac 047120'!F109+'7.11 tdm tám047320'!F109+'7.12 szemét 051030'!F109+'7.13 szennyvíz 052080'!F109+'7.14 víz 063080'!F109+'7.15 közvil 064010'!F109+'7.16 zöldterület 066010'!F109+'7.17 város 066020'!F109+'7.18 háziorvos 072111'!F109+'7.19 ügyelet 072112'!F109+'7.20 fülészet 072210'!F109+'7.21 védőnők 074031'!F109+'7.22 isk eü 074032'!F109+'7.23 sportcsépület 081030'!F109+'7.24 sport tám 081041'!F109+'7.25 diáksport 081043'!F109+'7.26 közműv 082091'!F109+'7.27 közműv 082092'!F109+'7.28  óvoda 091140'!F109+'7.29 intézmkiv gyétk 104037'!F109+'7.30 szoc étk 107051'!F109+'7.31 segélyek 107060'!F109+'7.32 adóbev 900020'!F109+'7.33 pályázatok összesen'!F109+'7.6 út építés 045127'!F109</f>
        <v>0</v>
      </c>
      <c r="G109" s="246">
        <f>'7.1. igazg 011130'!G109+'7.2 temető 013320'!G109+'7.3. vagyon 013350'!G109+'7.4 018010'!G109+'7.5 finansz műveletek 018030'!G109+'7.7 közütak működtetés 045160'!G109+'7.8 parkoló 045170'!G109+'7.9 kábeltv 046020'!G109+'7.10 piac 047120'!G109+'7.11 tdm tám047320'!G109+'7.12 szemét 051030'!G109+'7.13 szennyvíz 052080'!G109+'7.14 víz 063080'!G109+'7.15 közvil 064010'!G109+'7.16 zöldterület 066010'!G109+'7.17 város 066020'!G109+'7.18 háziorvos 072111'!G109+'7.19 ügyelet 072112'!G109+'7.20 fülészet 072210'!G109+'7.21 védőnők 074031'!G109+'7.22 isk eü 074032'!G109+'7.23 sportcsépület 081030'!G109+'7.24 sport tám 081041'!G109+'7.25 diáksport 081043'!G109+'7.26 közműv 082091'!G109+'7.27 közműv 082092'!G109+'7.28  óvoda 091140'!G109+'7.29 intézmkiv gyétk 104037'!G109+'7.30 szoc étk 107051'!G109+'7.31 segélyek 107060'!G109+'7.32 adóbev 900020'!G109+'7.33 pályázatok összesen'!G109+'7.6 út építés 045127'!G109</f>
        <v>0</v>
      </c>
      <c r="H109" s="247">
        <f t="shared" si="15"/>
        <v>0</v>
      </c>
      <c r="I109" s="246">
        <f ca="1">'7.1. igazg 011130'!I109+'7.2 temető 013320'!I109+'7.3. vagyon 013350'!I109+'7.4 018010'!I109+'7.5 finansz műveletek 018030'!I109+'7.7 közütak működtetés 045160'!I109+'7.8 parkoló 045170'!I109+'7.9 kábeltv 046020'!I109+'7.10 piac 047120'!I109+'7.11 tdm tám047320'!I109+'7.12 szemét 051030'!I109+'7.13 szennyvíz 052080'!I109+'7.14 víz 063080'!I109+'7.15 közvil 064010'!I109+'7.16 zöldterület 066010'!I109+'7.17 város 066020'!I109+'7.18 háziorvos 072111'!I109+'7.19 ügyelet 072112'!I109+'7.20 fülészet 072210'!I109+'7.21 védőnők 074031'!I109+'7.22 isk eü 074032'!I109+'7.23 sportcsépület 081030'!I109+'7.24 sport tám 081041'!I109+'7.25 diáksport 081043'!I109+'7.26 közműv 082091'!I109+'7.27 közműv 082092'!I109+'7.28  óvoda 091140'!I109+'7.29 intézmkiv gyétk 104037'!I109+'7.30 szoc étk 107051'!I109+'7.31 segélyek 107060'!I109+'7.32 adóbev 900020'!I109+'7.33 pályázatok összesen'!I109+'7.6 út építés 045127'!I109</f>
        <v>398875</v>
      </c>
      <c r="J109" s="246">
        <f>'7.1. igazg 011130'!J109+'7.2 temető 013320'!J109+'7.3. vagyon 013350'!J109+'7.4 018010'!J109+'7.5 finansz műveletek 018030'!J109+'7.7 közütak működtetés 045160'!J109+'7.8 parkoló 045170'!J109+'7.9 kábeltv 046020'!J109+'7.10 piac 047120'!J109+'7.11 tdm tám047320'!J109+'7.12 szemét 051030'!J109+'7.13 szennyvíz 052080'!J109+'7.14 víz 063080'!J109+'7.15 közvil 064010'!J109+'7.16 zöldterület 066010'!J109+'7.17 város 066020'!J109+'7.18 háziorvos 072111'!J109+'7.19 ügyelet 072112'!J109+'7.20 fülészet 072210'!J109+'7.21 védőnők 074031'!J109+'7.22 isk eü 074032'!J109+'7.23 sportcsépület 081030'!J109+'7.24 sport tám 081041'!J109+'7.25 diáksport 081043'!J109+'7.26 közműv 082091'!J109+'7.27 közműv 082092'!J109+'7.28  óvoda 091140'!J109+'7.29 intézmkiv gyétk 104037'!J109+'7.30 szoc étk 107051'!J109+'7.31 segélyek 107060'!J109+'7.32 adóbev 900020'!J109+'7.33 pályázatok összesen'!J109+'7.6 út építés 045127'!J109</f>
        <v>0</v>
      </c>
      <c r="K109" s="247">
        <f t="shared" ca="1" si="16"/>
        <v>398875</v>
      </c>
      <c r="L109" s="246">
        <f ca="1">'7.1. igazg 011130'!L109+'7.2 temető 013320'!L109+'7.3. vagyon 013350'!L109+'7.4 018010'!L109+'7.5 finansz műveletek 018030'!L109+'7.7 közütak működtetés 045160'!L109+'7.8 parkoló 045170'!L109+'7.9 kábeltv 046020'!L109+'7.10 piac 047120'!L109+'7.11 tdm tám047320'!L109+'7.12 szemét 051030'!L109+'7.13 szennyvíz 052080'!L109+'7.14 víz 063080'!L109+'7.15 közvil 064010'!L109+'7.16 zöldterület 066010'!L109+'7.17 város 066020'!L109+'7.18 háziorvos 072111'!L109+'7.19 ügyelet 072112'!L109+'7.20 fülészet 072210'!L109+'7.21 védőnők 074031'!L109+'7.22 isk eü 074032'!L109+'7.23 sportcsépület 081030'!L109+'7.24 sport tám 081041'!L109+'7.25 diáksport 081043'!L109+'7.26 közműv 082091'!L109+'7.27 közműv 082092'!L109+'7.28  óvoda 091140'!L109+'7.29 intézmkiv gyétk 104037'!L109+'7.30 szoc étk 107051'!L109+'7.31 segélyek 107060'!L109+'7.32 adóbev 900020'!L109+'7.33 pályázatok összesen'!L109+'7.6 út építés 045127'!L109</f>
        <v>398875</v>
      </c>
      <c r="M109" s="246">
        <f>'7.1. igazg 011130'!M109+'7.2 temető 013320'!M109+'7.3. vagyon 013350'!M109+'7.4 018010'!M109+'7.5 finansz műveletek 018030'!M109+'7.7 közütak működtetés 045160'!M109+'7.8 parkoló 045170'!M109+'7.9 kábeltv 046020'!M109+'7.10 piac 047120'!M109+'7.11 tdm tám047320'!M109+'7.12 szemét 051030'!M109+'7.13 szennyvíz 052080'!M109+'7.14 víz 063080'!M109+'7.15 közvil 064010'!M109+'7.16 zöldterület 066010'!M109+'7.17 város 066020'!M109+'7.18 háziorvos 072111'!M109+'7.19 ügyelet 072112'!M109+'7.20 fülészet 072210'!M109+'7.21 védőnők 074031'!M109+'7.22 isk eü 074032'!M109+'7.23 sportcsépület 081030'!M109+'7.24 sport tám 081041'!M109+'7.25 diáksport 081043'!M109+'7.26 közműv 082091'!M109+'7.27 közműv 082092'!M109+'7.28  óvoda 091140'!M109+'7.29 intézmkiv gyétk 104037'!M109+'7.30 szoc étk 107051'!M109+'7.31 segélyek 107060'!M109+'7.32 adóbev 900020'!M109+'7.33 pályázatok összesen'!M109+'7.6 út építés 045127'!M109</f>
        <v>0</v>
      </c>
      <c r="N109" s="247">
        <f t="shared" ca="1" si="14"/>
        <v>398875</v>
      </c>
    </row>
    <row r="110" spans="1:14" ht="15.75" thickBot="1" x14ac:dyDescent="0.3">
      <c r="A110" s="63"/>
      <c r="B110" s="64" t="s">
        <v>197</v>
      </c>
      <c r="C110" s="248">
        <f>'7.1. igazg 011130'!C110+'7.2 temető 013320'!C110+'7.3. vagyon 013350'!C110+'7.4 018010'!C110+'7.5 finansz műveletek 018030'!C110+'7.7 közütak működtetés 045160'!C110+'7.8 parkoló 045170'!C110+'7.9 kábeltv 046020'!C110+'7.10 piac 047120'!C110+'7.11 tdm tám047320'!C110+'7.12 szemét 051030'!C110+'7.13 szennyvíz 052080'!C110+'7.14 víz 063080'!C110+'7.15 közvil 064010'!C110+'7.16 zöldterület 066010'!C110+'7.17 város 066020'!C110+'7.18 háziorvos 072111'!C110+'7.19 ügyelet 072112'!C110+'7.20 fülészet 072210'!C110+'7.21 védőnők 074031'!C110+'7.22 isk eü 074032'!C110+'7.23 sportcsépület 081030'!C110+'7.24 sport tám 081041'!C110+'7.25 diáksport 081043'!C110+'7.26 közműv 082091'!C110+'7.27 közműv 082092'!C110+'7.28  óvoda 091140'!C110+'7.29 intézmkiv gyétk 104037'!C110+'7.30 szoc étk 107051'!C110+'7.31 segélyek 107060'!C110+'7.32 adóbev 900020'!C110+'7.33 pályázatok összesen'!C110+'7.6 út építés 045127'!C110</f>
        <v>2554599</v>
      </c>
      <c r="D110" s="248">
        <f>'7.1. igazg 011130'!D110+'7.2 temető 013320'!D110+'7.3. vagyon 013350'!D110+'7.4 018010'!D110+'7.5 finansz műveletek 018030'!D110+'7.7 közütak működtetés 045160'!D110+'7.8 parkoló 045170'!D110+'7.9 kábeltv 046020'!D110+'7.10 piac 047120'!D110+'7.11 tdm tám047320'!D110+'7.12 szemét 051030'!D110+'7.13 szennyvíz 052080'!D110+'7.14 víz 063080'!D110+'7.15 közvil 064010'!D110+'7.16 zöldterület 066010'!D110+'7.17 város 066020'!D110+'7.18 háziorvos 072111'!D110+'7.19 ügyelet 072112'!D110+'7.20 fülészet 072210'!D110+'7.21 védőnők 074031'!D110+'7.22 isk eü 074032'!D110+'7.23 sportcsépület 081030'!D110+'7.24 sport tám 081041'!D110+'7.25 diáksport 081043'!D110+'7.26 közműv 082091'!D110+'7.27 közműv 082092'!D110+'7.28  óvoda 091140'!D110+'7.29 intézmkiv gyétk 104037'!D110+'7.30 szoc étk 107051'!D110+'7.31 segélyek 107060'!D110+'7.32 adóbev 900020'!D110+'7.33 pályázatok összesen'!D110+'7.6 út építés 045127'!D110</f>
        <v>0</v>
      </c>
      <c r="E110" s="249">
        <f t="shared" si="11"/>
        <v>2554599</v>
      </c>
      <c r="F110" s="248">
        <f>'7.1. igazg 011130'!F110+'7.2 temető 013320'!F110+'7.3. vagyon 013350'!F110+'7.4 018010'!F110+'7.5 finansz műveletek 018030'!F110+'7.7 közütak működtetés 045160'!F110+'7.8 parkoló 045170'!F110+'7.9 kábeltv 046020'!F110+'7.10 piac 047120'!F110+'7.11 tdm tám047320'!F110+'7.12 szemét 051030'!F110+'7.13 szennyvíz 052080'!F110+'7.14 víz 063080'!F110+'7.15 közvil 064010'!F110+'7.16 zöldterület 066010'!F110+'7.17 város 066020'!F110+'7.18 háziorvos 072111'!F110+'7.19 ügyelet 072112'!F110+'7.20 fülészet 072210'!F110+'7.21 védőnők 074031'!F110+'7.22 isk eü 074032'!F110+'7.23 sportcsépület 081030'!F110+'7.24 sport tám 081041'!F110+'7.25 diáksport 081043'!F110+'7.26 közműv 082091'!F110+'7.27 közműv 082092'!F110+'7.28  óvoda 091140'!F110+'7.29 intézmkiv gyétk 104037'!F110+'7.30 szoc étk 107051'!F110+'7.31 segélyek 107060'!F110+'7.32 adóbev 900020'!F110+'7.33 pályázatok összesen'!F110+'7.6 út építés 045127'!F110</f>
        <v>2554599</v>
      </c>
      <c r="G110" s="248">
        <f>'7.1. igazg 011130'!G110+'7.2 temető 013320'!G110+'7.3. vagyon 013350'!G110+'7.4 018010'!G110+'7.5 finansz műveletek 018030'!G110+'7.7 közütak működtetés 045160'!G110+'7.8 parkoló 045170'!G110+'7.9 kábeltv 046020'!G110+'7.10 piac 047120'!G110+'7.11 tdm tám047320'!G110+'7.12 szemét 051030'!G110+'7.13 szennyvíz 052080'!G110+'7.14 víz 063080'!G110+'7.15 közvil 064010'!G110+'7.16 zöldterület 066010'!G110+'7.17 város 066020'!G110+'7.18 háziorvos 072111'!G110+'7.19 ügyelet 072112'!G110+'7.20 fülészet 072210'!G110+'7.21 védőnők 074031'!G110+'7.22 isk eü 074032'!G110+'7.23 sportcsépület 081030'!G110+'7.24 sport tám 081041'!G110+'7.25 diáksport 081043'!G110+'7.26 közműv 082091'!G110+'7.27 közműv 082092'!G110+'7.28  óvoda 091140'!G110+'7.29 intézmkiv gyétk 104037'!G110+'7.30 szoc étk 107051'!G110+'7.31 segélyek 107060'!G110+'7.32 adóbev 900020'!G110+'7.33 pályázatok összesen'!G110+'7.6 út építés 045127'!G110</f>
        <v>0</v>
      </c>
      <c r="H110" s="249">
        <f t="shared" si="15"/>
        <v>2554599</v>
      </c>
      <c r="I110" s="248">
        <f ca="1">'7.1. igazg 011130'!I110+'7.2 temető 013320'!I110+'7.3. vagyon 013350'!I110+'7.4 018010'!I110+'7.5 finansz műveletek 018030'!I110+'7.7 közütak működtetés 045160'!I110+'7.8 parkoló 045170'!I110+'7.9 kábeltv 046020'!I110+'7.10 piac 047120'!I110+'7.11 tdm tám047320'!I110+'7.12 szemét 051030'!I110+'7.13 szennyvíz 052080'!I110+'7.14 víz 063080'!I110+'7.15 közvil 064010'!I110+'7.16 zöldterület 066010'!I110+'7.17 város 066020'!I110+'7.18 háziorvos 072111'!I110+'7.19 ügyelet 072112'!I110+'7.20 fülészet 072210'!I110+'7.21 védőnők 074031'!I110+'7.22 isk eü 074032'!I110+'7.23 sportcsépület 081030'!I110+'7.24 sport tám 081041'!I110+'7.25 diáksport 081043'!I110+'7.26 közműv 082091'!I110+'7.27 közműv 082092'!I110+'7.28  óvoda 091140'!I110+'7.29 intézmkiv gyétk 104037'!I110+'7.30 szoc étk 107051'!I110+'7.31 segélyek 107060'!I110+'7.32 adóbev 900020'!I110+'7.33 pályázatok összesen'!I110+'7.6 út építés 045127'!I110</f>
        <v>2248814</v>
      </c>
      <c r="J110" s="248">
        <f>'7.1. igazg 011130'!J110+'7.2 temető 013320'!J110+'7.3. vagyon 013350'!J110+'7.4 018010'!J110+'7.5 finansz műveletek 018030'!J110+'7.7 közütak működtetés 045160'!J110+'7.8 parkoló 045170'!J110+'7.9 kábeltv 046020'!J110+'7.10 piac 047120'!J110+'7.11 tdm tám047320'!J110+'7.12 szemét 051030'!J110+'7.13 szennyvíz 052080'!J110+'7.14 víz 063080'!J110+'7.15 közvil 064010'!J110+'7.16 zöldterület 066010'!J110+'7.17 város 066020'!J110+'7.18 háziorvos 072111'!J110+'7.19 ügyelet 072112'!J110+'7.20 fülészet 072210'!J110+'7.21 védőnők 074031'!J110+'7.22 isk eü 074032'!J110+'7.23 sportcsépület 081030'!J110+'7.24 sport tám 081041'!J110+'7.25 diáksport 081043'!J110+'7.26 közműv 082091'!J110+'7.27 közműv 082092'!J110+'7.28  óvoda 091140'!J110+'7.29 intézmkiv gyétk 104037'!J110+'7.30 szoc étk 107051'!J110+'7.31 segélyek 107060'!J110+'7.32 adóbev 900020'!J110+'7.33 pályázatok összesen'!J110+'7.6 út építés 045127'!J110</f>
        <v>0</v>
      </c>
      <c r="K110" s="249">
        <f t="shared" ca="1" si="16"/>
        <v>2248814</v>
      </c>
      <c r="L110" s="248">
        <f ca="1">'7.1. igazg 011130'!L110+'7.2 temető 013320'!L110+'7.3. vagyon 013350'!L110+'7.4 018010'!L110+'7.5 finansz műveletek 018030'!L110+'7.7 közütak működtetés 045160'!L110+'7.8 parkoló 045170'!L110+'7.9 kábeltv 046020'!L110+'7.10 piac 047120'!L110+'7.11 tdm tám047320'!L110+'7.12 szemét 051030'!L110+'7.13 szennyvíz 052080'!L110+'7.14 víz 063080'!L110+'7.15 közvil 064010'!L110+'7.16 zöldterület 066010'!L110+'7.17 város 066020'!L110+'7.18 háziorvos 072111'!L110+'7.19 ügyelet 072112'!L110+'7.20 fülészet 072210'!L110+'7.21 védőnők 074031'!L110+'7.22 isk eü 074032'!L110+'7.23 sportcsépület 081030'!L110+'7.24 sport tám 081041'!L110+'7.25 diáksport 081043'!L110+'7.26 közműv 082091'!L110+'7.27 közműv 082092'!L110+'7.28  óvoda 091140'!L110+'7.29 intézmkiv gyétk 104037'!L110+'7.30 szoc étk 107051'!L110+'7.31 segélyek 107060'!L110+'7.32 adóbev 900020'!L110+'7.33 pályázatok összesen'!L110+'7.6 út építés 045127'!L110</f>
        <v>2248814</v>
      </c>
      <c r="M110" s="248">
        <f>'7.1. igazg 011130'!M110+'7.2 temető 013320'!M110+'7.3. vagyon 013350'!M110+'7.4 018010'!M110+'7.5 finansz műveletek 018030'!M110+'7.7 közütak működtetés 045160'!M110+'7.8 parkoló 045170'!M110+'7.9 kábeltv 046020'!M110+'7.10 piac 047120'!M110+'7.11 tdm tám047320'!M110+'7.12 szemét 051030'!M110+'7.13 szennyvíz 052080'!M110+'7.14 víz 063080'!M110+'7.15 közvil 064010'!M110+'7.16 zöldterület 066010'!M110+'7.17 város 066020'!M110+'7.18 háziorvos 072111'!M110+'7.19 ügyelet 072112'!M110+'7.20 fülészet 072210'!M110+'7.21 védőnők 074031'!M110+'7.22 isk eü 074032'!M110+'7.23 sportcsépület 081030'!M110+'7.24 sport tám 081041'!M110+'7.25 diáksport 081043'!M110+'7.26 közműv 082091'!M110+'7.27 közműv 082092'!M110+'7.28  óvoda 091140'!M110+'7.29 intézmkiv gyétk 104037'!M110+'7.30 szoc étk 107051'!M110+'7.31 segélyek 107060'!M110+'7.32 adóbev 900020'!M110+'7.33 pályázatok összesen'!M110+'7.6 út építés 045127'!M110</f>
        <v>0</v>
      </c>
      <c r="N110" s="249">
        <f t="shared" ca="1" si="14"/>
        <v>2248814</v>
      </c>
    </row>
    <row r="111" spans="1:14" x14ac:dyDescent="0.25">
      <c r="A111" s="60" t="s">
        <v>198</v>
      </c>
      <c r="B111" s="48" t="s">
        <v>35</v>
      </c>
      <c r="C111" s="244">
        <f>'7.1. igazg 011130'!C111+'7.2 temető 013320'!C111+'7.3. vagyon 013350'!C111+'7.4 018010'!C111+'7.5 finansz műveletek 018030'!C111+'7.7 közütak működtetés 045160'!C111+'7.8 parkoló 045170'!C111+'7.9 kábeltv 046020'!C111+'7.10 piac 047120'!C111+'7.11 tdm tám047320'!C111+'7.12 szemét 051030'!C111+'7.13 szennyvíz 052080'!C111+'7.14 víz 063080'!C111+'7.15 közvil 064010'!C111+'7.16 zöldterület 066010'!C111+'7.17 város 066020'!C111+'7.18 háziorvos 072111'!C111+'7.19 ügyelet 072112'!C111+'7.20 fülészet 072210'!C111+'7.21 védőnők 074031'!C111+'7.22 isk eü 074032'!C111+'7.23 sportcsépület 081030'!C111+'7.24 sport tám 081041'!C111+'7.25 diáksport 081043'!C111+'7.26 közműv 082091'!C111+'7.27 közműv 082092'!C111+'7.28  óvoda 091140'!C111+'7.29 intézmkiv gyétk 104037'!C111+'7.30 szoc étk 107051'!C111+'7.31 segélyek 107060'!C111+'7.32 adóbev 900020'!C111+'7.33 pályázatok összesen'!C111+'7.6 út építés 045127'!C111</f>
        <v>791605981</v>
      </c>
      <c r="D111" s="244">
        <f>'7.1. igazg 011130'!D111+'7.2 temető 013320'!D111+'7.3. vagyon 013350'!D111+'7.4 018010'!D111+'7.5 finansz műveletek 018030'!D111+'7.7 közütak működtetés 045160'!D111+'7.8 parkoló 045170'!D111+'7.9 kábeltv 046020'!D111+'7.10 piac 047120'!D111+'7.11 tdm tám047320'!D111+'7.12 szemét 051030'!D111+'7.13 szennyvíz 052080'!D111+'7.14 víz 063080'!D111+'7.15 közvil 064010'!D111+'7.16 zöldterület 066010'!D111+'7.17 város 066020'!D111+'7.18 háziorvos 072111'!D111+'7.19 ügyelet 072112'!D111+'7.20 fülészet 072210'!D111+'7.21 védőnők 074031'!D111+'7.22 isk eü 074032'!D111+'7.23 sportcsépület 081030'!D111+'7.24 sport tám 081041'!D111+'7.25 diáksport 081043'!D111+'7.26 közműv 082091'!D111+'7.27 közműv 082092'!D111+'7.28  óvoda 091140'!D111+'7.29 intézmkiv gyétk 104037'!D111+'7.30 szoc étk 107051'!D111+'7.31 segélyek 107060'!D111+'7.32 adóbev 900020'!D111+'7.33 pályázatok összesen'!D111+'7.6 út építés 045127'!D111</f>
        <v>1250000</v>
      </c>
      <c r="E111" s="245">
        <f t="shared" si="11"/>
        <v>792855981</v>
      </c>
      <c r="F111" s="244">
        <f>'7.1. igazg 011130'!F111+'7.2 temető 013320'!F111+'7.3. vagyon 013350'!F111+'7.4 018010'!F111+'7.5 finansz műveletek 018030'!F111+'7.7 közütak működtetés 045160'!F111+'7.8 parkoló 045170'!F111+'7.9 kábeltv 046020'!F111+'7.10 piac 047120'!F111+'7.11 tdm tám047320'!F111+'7.12 szemét 051030'!F111+'7.13 szennyvíz 052080'!F111+'7.14 víz 063080'!F111+'7.15 közvil 064010'!F111+'7.16 zöldterület 066010'!F111+'7.17 város 066020'!F111+'7.18 háziorvos 072111'!F111+'7.19 ügyelet 072112'!F111+'7.20 fülészet 072210'!F111+'7.21 védőnők 074031'!F111+'7.22 isk eü 074032'!F111+'7.23 sportcsépület 081030'!F111+'7.24 sport tám 081041'!F111+'7.25 diáksport 081043'!F111+'7.26 közműv 082091'!F111+'7.27 közműv 082092'!F111+'7.28  óvoda 091140'!F111+'7.29 intézmkiv gyétk 104037'!F111+'7.30 szoc étk 107051'!F111+'7.31 segélyek 107060'!F111+'7.32 adóbev 900020'!F111+'7.33 pályázatok összesen'!F111+'7.6 út építés 045127'!F111</f>
        <v>762289536</v>
      </c>
      <c r="G111" s="244">
        <f>'7.1. igazg 011130'!G111+'7.2 temető 013320'!G111+'7.3. vagyon 013350'!G111+'7.4 018010'!G111+'7.5 finansz műveletek 018030'!G111+'7.7 közütak működtetés 045160'!G111+'7.8 parkoló 045170'!G111+'7.9 kábeltv 046020'!G111+'7.10 piac 047120'!G111+'7.11 tdm tám047320'!G111+'7.12 szemét 051030'!G111+'7.13 szennyvíz 052080'!G111+'7.14 víz 063080'!G111+'7.15 közvil 064010'!G111+'7.16 zöldterület 066010'!G111+'7.17 város 066020'!G111+'7.18 háziorvos 072111'!G111+'7.19 ügyelet 072112'!G111+'7.20 fülészet 072210'!G111+'7.21 védőnők 074031'!G111+'7.22 isk eü 074032'!G111+'7.23 sportcsépület 081030'!G111+'7.24 sport tám 081041'!G111+'7.25 diáksport 081043'!G111+'7.26 közműv 082091'!G111+'7.27 közműv 082092'!G111+'7.28  óvoda 091140'!G111+'7.29 intézmkiv gyétk 104037'!G111+'7.30 szoc étk 107051'!G111+'7.31 segélyek 107060'!G111+'7.32 adóbev 900020'!G111+'7.33 pályázatok összesen'!G111+'7.6 út építés 045127'!G111</f>
        <v>1250000</v>
      </c>
      <c r="H111" s="245">
        <f t="shared" si="15"/>
        <v>763539536</v>
      </c>
      <c r="I111" s="244">
        <f ca="1">'7.1. igazg 011130'!I111+'7.2 temető 013320'!I111+'7.3. vagyon 013350'!I111+'7.4 018010'!I111+'7.5 finansz műveletek 018030'!I111+'7.7 közütak működtetés 045160'!I111+'7.8 parkoló 045170'!I111+'7.9 kábeltv 046020'!I111+'7.10 piac 047120'!I111+'7.11 tdm tám047320'!I111+'7.12 szemét 051030'!I111+'7.13 szennyvíz 052080'!I111+'7.14 víz 063080'!I111+'7.15 közvil 064010'!I111+'7.16 zöldterület 066010'!I111+'7.17 város 066020'!I111+'7.18 háziorvos 072111'!I111+'7.19 ügyelet 072112'!I111+'7.20 fülészet 072210'!I111+'7.21 védőnők 074031'!I111+'7.22 isk eü 074032'!I111+'7.23 sportcsépület 081030'!I111+'7.24 sport tám 081041'!I111+'7.25 diáksport 081043'!I111+'7.26 közműv 082091'!I111+'7.27 közműv 082092'!I111+'7.28  óvoda 091140'!I111+'7.29 intézmkiv gyétk 104037'!I111+'7.30 szoc étk 107051'!I111+'7.31 segélyek 107060'!I111+'7.32 adóbev 900020'!I111+'7.33 pályázatok összesen'!I111+'7.6 út építés 045127'!I111</f>
        <v>778500252</v>
      </c>
      <c r="J111" s="244">
        <f>'7.1. igazg 011130'!J111+'7.2 temető 013320'!J111+'7.3. vagyon 013350'!J111+'7.4 018010'!J111+'7.5 finansz műveletek 018030'!J111+'7.7 közütak működtetés 045160'!J111+'7.8 parkoló 045170'!J111+'7.9 kábeltv 046020'!J111+'7.10 piac 047120'!J111+'7.11 tdm tám047320'!J111+'7.12 szemét 051030'!J111+'7.13 szennyvíz 052080'!J111+'7.14 víz 063080'!J111+'7.15 közvil 064010'!J111+'7.16 zöldterület 066010'!J111+'7.17 város 066020'!J111+'7.18 háziorvos 072111'!J111+'7.19 ügyelet 072112'!J111+'7.20 fülészet 072210'!J111+'7.21 védőnők 074031'!J111+'7.22 isk eü 074032'!J111+'7.23 sportcsépület 081030'!J111+'7.24 sport tám 081041'!J111+'7.25 diáksport 081043'!J111+'7.26 közműv 082091'!J111+'7.27 közműv 082092'!J111+'7.28  óvoda 091140'!J111+'7.29 intézmkiv gyétk 104037'!J111+'7.30 szoc étk 107051'!J111+'7.31 segélyek 107060'!J111+'7.32 adóbev 900020'!J111+'7.33 pályázatok összesen'!J111+'7.6 út építés 045127'!J111</f>
        <v>1265000</v>
      </c>
      <c r="K111" s="245">
        <f t="shared" ca="1" si="16"/>
        <v>779765252</v>
      </c>
      <c r="L111" s="244">
        <f ca="1">'7.1. igazg 011130'!L111+'7.2 temető 013320'!L111+'7.3. vagyon 013350'!L111+'7.4 018010'!L111+'7.5 finansz műveletek 018030'!L111+'7.7 közütak működtetés 045160'!L111+'7.8 parkoló 045170'!L111+'7.9 kábeltv 046020'!L111+'7.10 piac 047120'!L111+'7.11 tdm tám047320'!L111+'7.12 szemét 051030'!L111+'7.13 szennyvíz 052080'!L111+'7.14 víz 063080'!L111+'7.15 közvil 064010'!L111+'7.16 zöldterület 066010'!L111+'7.17 város 066020'!L111+'7.18 háziorvos 072111'!L111+'7.19 ügyelet 072112'!L111+'7.20 fülészet 072210'!L111+'7.21 védőnők 074031'!L111+'7.22 isk eü 074032'!L111+'7.23 sportcsépület 081030'!L111+'7.24 sport tám 081041'!L111+'7.25 diáksport 081043'!L111+'7.26 közműv 082091'!L111+'7.27 közműv 082092'!L111+'7.28  óvoda 091140'!L111+'7.29 intézmkiv gyétk 104037'!L111+'7.30 szoc étk 107051'!L111+'7.31 segélyek 107060'!L111+'7.32 adóbev 900020'!L111+'7.33 pályázatok összesen'!L111+'7.6 út építés 045127'!L111</f>
        <v>530435557</v>
      </c>
      <c r="M111" s="244">
        <f>'7.1. igazg 011130'!M111+'7.2 temető 013320'!M111+'7.3. vagyon 013350'!M111+'7.4 018010'!M111+'7.5 finansz műveletek 018030'!M111+'7.7 közütak működtetés 045160'!M111+'7.8 parkoló 045170'!M111+'7.9 kábeltv 046020'!M111+'7.10 piac 047120'!M111+'7.11 tdm tám047320'!M111+'7.12 szemét 051030'!M111+'7.13 szennyvíz 052080'!M111+'7.14 víz 063080'!M111+'7.15 közvil 064010'!M111+'7.16 zöldterület 066010'!M111+'7.17 város 066020'!M111+'7.18 háziorvos 072111'!M111+'7.19 ügyelet 072112'!M111+'7.20 fülészet 072210'!M111+'7.21 védőnők 074031'!M111+'7.22 isk eü 074032'!M111+'7.23 sportcsépület 081030'!M111+'7.24 sport tám 081041'!M111+'7.25 diáksport 081043'!M111+'7.26 közműv 082091'!M111+'7.27 közműv 082092'!M111+'7.28  óvoda 091140'!M111+'7.29 intézmkiv gyétk 104037'!M111+'7.30 szoc étk 107051'!M111+'7.31 segélyek 107060'!M111+'7.32 adóbev 900020'!M111+'7.33 pályázatok összesen'!M111+'7.6 út építés 045127'!M111</f>
        <v>1227546</v>
      </c>
      <c r="N111" s="245">
        <f t="shared" ca="1" si="14"/>
        <v>531663103</v>
      </c>
    </row>
    <row r="112" spans="1:14" x14ac:dyDescent="0.25">
      <c r="A112" s="61" t="s">
        <v>199</v>
      </c>
      <c r="B112" s="62" t="s">
        <v>200</v>
      </c>
      <c r="C112" s="246">
        <f>'7.1. igazg 011130'!C112+'7.2 temető 013320'!C112+'7.3. vagyon 013350'!C112+'7.4 018010'!C112+'7.5 finansz műveletek 018030'!C112+'7.7 közütak működtetés 045160'!C112+'7.8 parkoló 045170'!C112+'7.9 kábeltv 046020'!C112+'7.10 piac 047120'!C112+'7.11 tdm tám047320'!C112+'7.12 szemét 051030'!C112+'7.13 szennyvíz 052080'!C112+'7.14 víz 063080'!C112+'7.15 közvil 064010'!C112+'7.16 zöldterület 066010'!C112+'7.17 város 066020'!C112+'7.18 háziorvos 072111'!C112+'7.19 ügyelet 072112'!C112+'7.20 fülészet 072210'!C112+'7.21 védőnők 074031'!C112+'7.22 isk eü 074032'!C112+'7.23 sportcsépület 081030'!C112+'7.24 sport tám 081041'!C112+'7.25 diáksport 081043'!C112+'7.26 közműv 082091'!C112+'7.27 közműv 082092'!C112+'7.28  óvoda 091140'!C112+'7.29 intézmkiv gyétk 104037'!C112+'7.30 szoc étk 107051'!C112+'7.31 segélyek 107060'!C112+'7.32 adóbev 900020'!C112+'7.33 pályázatok összesen'!C112+'7.6 út építés 045127'!C112</f>
        <v>19479526</v>
      </c>
      <c r="D112" s="246">
        <f>'7.1. igazg 011130'!D112+'7.2 temető 013320'!D112+'7.3. vagyon 013350'!D112+'7.4 018010'!D112+'7.5 finansz műveletek 018030'!D112+'7.7 közütak működtetés 045160'!D112+'7.8 parkoló 045170'!D112+'7.9 kábeltv 046020'!D112+'7.10 piac 047120'!D112+'7.11 tdm tám047320'!D112+'7.12 szemét 051030'!D112+'7.13 szennyvíz 052080'!D112+'7.14 víz 063080'!D112+'7.15 közvil 064010'!D112+'7.16 zöldterület 066010'!D112+'7.17 város 066020'!D112+'7.18 háziorvos 072111'!D112+'7.19 ügyelet 072112'!D112+'7.20 fülészet 072210'!D112+'7.21 védőnők 074031'!D112+'7.22 isk eü 074032'!D112+'7.23 sportcsépület 081030'!D112+'7.24 sport tám 081041'!D112+'7.25 diáksport 081043'!D112+'7.26 közműv 082091'!D112+'7.27 közműv 082092'!D112+'7.28  óvoda 091140'!D112+'7.29 intézmkiv gyétk 104037'!D112+'7.30 szoc étk 107051'!D112+'7.31 segélyek 107060'!D112+'7.32 adóbev 900020'!D112+'7.33 pályázatok összesen'!D112+'7.6 út építés 045127'!D112</f>
        <v>0</v>
      </c>
      <c r="E112" s="247">
        <f t="shared" si="11"/>
        <v>19479526</v>
      </c>
      <c r="F112" s="246">
        <f>'7.1. igazg 011130'!F112+'7.2 temető 013320'!F112+'7.3. vagyon 013350'!F112+'7.4 018010'!F112+'7.5 finansz műveletek 018030'!F112+'7.7 közütak működtetés 045160'!F112+'7.8 parkoló 045170'!F112+'7.9 kábeltv 046020'!F112+'7.10 piac 047120'!F112+'7.11 tdm tám047320'!F112+'7.12 szemét 051030'!F112+'7.13 szennyvíz 052080'!F112+'7.14 víz 063080'!F112+'7.15 közvil 064010'!F112+'7.16 zöldterület 066010'!F112+'7.17 város 066020'!F112+'7.18 háziorvos 072111'!F112+'7.19 ügyelet 072112'!F112+'7.20 fülészet 072210'!F112+'7.21 védőnők 074031'!F112+'7.22 isk eü 074032'!F112+'7.23 sportcsépület 081030'!F112+'7.24 sport tám 081041'!F112+'7.25 diáksport 081043'!F112+'7.26 közműv 082091'!F112+'7.27 közműv 082092'!F112+'7.28  óvoda 091140'!F112+'7.29 intézmkiv gyétk 104037'!F112+'7.30 szoc étk 107051'!F112+'7.31 segélyek 107060'!F112+'7.32 adóbev 900020'!F112+'7.33 pályázatok összesen'!F112+'7.6 út építés 045127'!F112</f>
        <v>21565652</v>
      </c>
      <c r="G112" s="246">
        <f>'7.1. igazg 011130'!G112+'7.2 temető 013320'!G112+'7.3. vagyon 013350'!G112+'7.4 018010'!G112+'7.5 finansz műveletek 018030'!G112+'7.7 közütak működtetés 045160'!G112+'7.8 parkoló 045170'!G112+'7.9 kábeltv 046020'!G112+'7.10 piac 047120'!G112+'7.11 tdm tám047320'!G112+'7.12 szemét 051030'!G112+'7.13 szennyvíz 052080'!G112+'7.14 víz 063080'!G112+'7.15 közvil 064010'!G112+'7.16 zöldterület 066010'!G112+'7.17 város 066020'!G112+'7.18 háziorvos 072111'!G112+'7.19 ügyelet 072112'!G112+'7.20 fülészet 072210'!G112+'7.21 védőnők 074031'!G112+'7.22 isk eü 074032'!G112+'7.23 sportcsépület 081030'!G112+'7.24 sport tám 081041'!G112+'7.25 diáksport 081043'!G112+'7.26 közműv 082091'!G112+'7.27 közműv 082092'!G112+'7.28  óvoda 091140'!G112+'7.29 intézmkiv gyétk 104037'!G112+'7.30 szoc étk 107051'!G112+'7.31 segélyek 107060'!G112+'7.32 adóbev 900020'!G112+'7.33 pályázatok összesen'!G112+'7.6 út építés 045127'!G112</f>
        <v>0</v>
      </c>
      <c r="H112" s="247">
        <f t="shared" si="15"/>
        <v>21565652</v>
      </c>
      <c r="I112" s="246">
        <f ca="1">'7.1. igazg 011130'!I112+'7.2 temető 013320'!I112+'7.3. vagyon 013350'!I112+'7.4 018010'!I112+'7.5 finansz műveletek 018030'!I112+'7.7 közütak működtetés 045160'!I112+'7.8 parkoló 045170'!I112+'7.9 kábeltv 046020'!I112+'7.10 piac 047120'!I112+'7.11 tdm tám047320'!I112+'7.12 szemét 051030'!I112+'7.13 szennyvíz 052080'!I112+'7.14 víz 063080'!I112+'7.15 közvil 064010'!I112+'7.16 zöldterület 066010'!I112+'7.17 város 066020'!I112+'7.18 háziorvos 072111'!I112+'7.19 ügyelet 072112'!I112+'7.20 fülészet 072210'!I112+'7.21 védőnők 074031'!I112+'7.22 isk eü 074032'!I112+'7.23 sportcsépület 081030'!I112+'7.24 sport tám 081041'!I112+'7.25 diáksport 081043'!I112+'7.26 közműv 082091'!I112+'7.27 közműv 082092'!I112+'7.28  óvoda 091140'!I112+'7.29 intézmkiv gyétk 104037'!I112+'7.30 szoc étk 107051'!I112+'7.31 segélyek 107060'!I112+'7.32 adóbev 900020'!I112+'7.33 pályázatok összesen'!I112+'7.6 út építés 045127'!I112</f>
        <v>23500652</v>
      </c>
      <c r="J112" s="246">
        <f>'7.1. igazg 011130'!J112+'7.2 temető 013320'!J112+'7.3. vagyon 013350'!J112+'7.4 018010'!J112+'7.5 finansz műveletek 018030'!J112+'7.7 közütak működtetés 045160'!J112+'7.8 parkoló 045170'!J112+'7.9 kábeltv 046020'!J112+'7.10 piac 047120'!J112+'7.11 tdm tám047320'!J112+'7.12 szemét 051030'!J112+'7.13 szennyvíz 052080'!J112+'7.14 víz 063080'!J112+'7.15 közvil 064010'!J112+'7.16 zöldterület 066010'!J112+'7.17 város 066020'!J112+'7.18 háziorvos 072111'!J112+'7.19 ügyelet 072112'!J112+'7.20 fülészet 072210'!J112+'7.21 védőnők 074031'!J112+'7.22 isk eü 074032'!J112+'7.23 sportcsépület 081030'!J112+'7.24 sport tám 081041'!J112+'7.25 diáksport 081043'!J112+'7.26 közműv 082091'!J112+'7.27 közműv 082092'!J112+'7.28  óvoda 091140'!J112+'7.29 intézmkiv gyétk 104037'!J112+'7.30 szoc étk 107051'!J112+'7.31 segélyek 107060'!J112+'7.32 adóbev 900020'!J112+'7.33 pályázatok összesen'!J112+'7.6 út építés 045127'!J112</f>
        <v>15000</v>
      </c>
      <c r="K112" s="247">
        <f t="shared" ca="1" si="16"/>
        <v>23515652</v>
      </c>
      <c r="L112" s="246">
        <f ca="1">'7.1. igazg 011130'!L112+'7.2 temető 013320'!L112+'7.3. vagyon 013350'!L112+'7.4 018010'!L112+'7.5 finansz műveletek 018030'!L112+'7.7 közütak működtetés 045160'!L112+'7.8 parkoló 045170'!L112+'7.9 kábeltv 046020'!L112+'7.10 piac 047120'!L112+'7.11 tdm tám047320'!L112+'7.12 szemét 051030'!L112+'7.13 szennyvíz 052080'!L112+'7.14 víz 063080'!L112+'7.15 közvil 064010'!L112+'7.16 zöldterület 066010'!L112+'7.17 város 066020'!L112+'7.18 háziorvos 072111'!L112+'7.19 ügyelet 072112'!L112+'7.20 fülészet 072210'!L112+'7.21 védőnők 074031'!L112+'7.22 isk eü 074032'!L112+'7.23 sportcsépület 081030'!L112+'7.24 sport tám 081041'!L112+'7.25 diáksport 081043'!L112+'7.26 közműv 082091'!L112+'7.27 közműv 082092'!L112+'7.28  óvoda 091140'!L112+'7.29 intézmkiv gyétk 104037'!L112+'7.30 szoc étk 107051'!L112+'7.31 segélyek 107060'!L112+'7.32 adóbev 900020'!L112+'7.33 pályázatok összesen'!L112+'7.6 út építés 045127'!L112</f>
        <v>20911338</v>
      </c>
      <c r="M112" s="246">
        <f>'7.1. igazg 011130'!M112+'7.2 temető 013320'!M112+'7.3. vagyon 013350'!M112+'7.4 018010'!M112+'7.5 finansz műveletek 018030'!M112+'7.7 közütak működtetés 045160'!M112+'7.8 parkoló 045170'!M112+'7.9 kábeltv 046020'!M112+'7.10 piac 047120'!M112+'7.11 tdm tám047320'!M112+'7.12 szemét 051030'!M112+'7.13 szennyvíz 052080'!M112+'7.14 víz 063080'!M112+'7.15 közvil 064010'!M112+'7.16 zöldterület 066010'!M112+'7.17 város 066020'!M112+'7.18 háziorvos 072111'!M112+'7.19 ügyelet 072112'!M112+'7.20 fülészet 072210'!M112+'7.21 védőnők 074031'!M112+'7.22 isk eü 074032'!M112+'7.23 sportcsépület 081030'!M112+'7.24 sport tám 081041'!M112+'7.25 diáksport 081043'!M112+'7.26 közműv 082091'!M112+'7.27 közműv 082092'!M112+'7.28  óvoda 091140'!M112+'7.29 intézmkiv gyétk 104037'!M112+'7.30 szoc étk 107051'!M112+'7.31 segélyek 107060'!M112+'7.32 adóbev 900020'!M112+'7.33 pályázatok összesen'!M112+'7.6 út építés 045127'!M112</f>
        <v>14769</v>
      </c>
      <c r="N112" s="247">
        <f t="shared" ca="1" si="14"/>
        <v>20926107</v>
      </c>
    </row>
    <row r="113" spans="1:14" x14ac:dyDescent="0.25">
      <c r="A113" s="61" t="s">
        <v>201</v>
      </c>
      <c r="B113" s="62" t="s">
        <v>202</v>
      </c>
      <c r="C113" s="246">
        <f>'7.1. igazg 011130'!C113+'7.2 temető 013320'!C113+'7.3. vagyon 013350'!C113+'7.4 018010'!C113+'7.5 finansz műveletek 018030'!C113+'7.7 közütak működtetés 045160'!C113+'7.8 parkoló 045170'!C113+'7.9 kábeltv 046020'!C113+'7.10 piac 047120'!C113+'7.11 tdm tám047320'!C113+'7.12 szemét 051030'!C113+'7.13 szennyvíz 052080'!C113+'7.14 víz 063080'!C113+'7.15 közvil 064010'!C113+'7.16 zöldterület 066010'!C113+'7.17 város 066020'!C113+'7.18 háziorvos 072111'!C113+'7.19 ügyelet 072112'!C113+'7.20 fülészet 072210'!C113+'7.21 védőnők 074031'!C113+'7.22 isk eü 074032'!C113+'7.23 sportcsépület 081030'!C113+'7.24 sport tám 081041'!C113+'7.25 diáksport 081043'!C113+'7.26 közműv 082091'!C113+'7.27 közműv 082092'!C113+'7.28  óvoda 091140'!C113+'7.29 intézmkiv gyétk 104037'!C113+'7.30 szoc étk 107051'!C113+'7.31 segélyek 107060'!C113+'7.32 adóbev 900020'!C113+'7.33 pályázatok összesen'!C113+'7.6 út építés 045127'!C113</f>
        <v>1735000</v>
      </c>
      <c r="D113" s="246">
        <f>'7.1. igazg 011130'!D113+'7.2 temető 013320'!D113+'7.3. vagyon 013350'!D113+'7.4 018010'!D113+'7.5 finansz műveletek 018030'!D113+'7.7 közütak működtetés 045160'!D113+'7.8 parkoló 045170'!D113+'7.9 kábeltv 046020'!D113+'7.10 piac 047120'!D113+'7.11 tdm tám047320'!D113+'7.12 szemét 051030'!D113+'7.13 szennyvíz 052080'!D113+'7.14 víz 063080'!D113+'7.15 közvil 064010'!D113+'7.16 zöldterület 066010'!D113+'7.17 város 066020'!D113+'7.18 háziorvos 072111'!D113+'7.19 ügyelet 072112'!D113+'7.20 fülészet 072210'!D113+'7.21 védőnők 074031'!D113+'7.22 isk eü 074032'!D113+'7.23 sportcsépület 081030'!D113+'7.24 sport tám 081041'!D113+'7.25 diáksport 081043'!D113+'7.26 közműv 082091'!D113+'7.27 közműv 082092'!D113+'7.28  óvoda 091140'!D113+'7.29 intézmkiv gyétk 104037'!D113+'7.30 szoc étk 107051'!D113+'7.31 segélyek 107060'!D113+'7.32 adóbev 900020'!D113+'7.33 pályázatok összesen'!D113+'7.6 út építés 045127'!D113</f>
        <v>0</v>
      </c>
      <c r="E113" s="247">
        <f t="shared" si="11"/>
        <v>1735000</v>
      </c>
      <c r="F113" s="246">
        <f>'7.1. igazg 011130'!F113+'7.2 temető 013320'!F113+'7.3. vagyon 013350'!F113+'7.4 018010'!F113+'7.5 finansz műveletek 018030'!F113+'7.7 közütak működtetés 045160'!F113+'7.8 parkoló 045170'!F113+'7.9 kábeltv 046020'!F113+'7.10 piac 047120'!F113+'7.11 tdm tám047320'!F113+'7.12 szemét 051030'!F113+'7.13 szennyvíz 052080'!F113+'7.14 víz 063080'!F113+'7.15 közvil 064010'!F113+'7.16 zöldterület 066010'!F113+'7.17 város 066020'!F113+'7.18 háziorvos 072111'!F113+'7.19 ügyelet 072112'!F113+'7.20 fülészet 072210'!F113+'7.21 védőnők 074031'!F113+'7.22 isk eü 074032'!F113+'7.23 sportcsépület 081030'!F113+'7.24 sport tám 081041'!F113+'7.25 diáksport 081043'!F113+'7.26 közműv 082091'!F113+'7.27 közműv 082092'!F113+'7.28  óvoda 091140'!F113+'7.29 intézmkiv gyétk 104037'!F113+'7.30 szoc étk 107051'!F113+'7.31 segélyek 107060'!F113+'7.32 adóbev 900020'!F113+'7.33 pályázatok összesen'!F113+'7.6 út építés 045127'!F113</f>
        <v>1735000</v>
      </c>
      <c r="G113" s="246">
        <f>'7.1. igazg 011130'!G113+'7.2 temető 013320'!G113+'7.3. vagyon 013350'!G113+'7.4 018010'!G113+'7.5 finansz műveletek 018030'!G113+'7.7 közütak működtetés 045160'!G113+'7.8 parkoló 045170'!G113+'7.9 kábeltv 046020'!G113+'7.10 piac 047120'!G113+'7.11 tdm tám047320'!G113+'7.12 szemét 051030'!G113+'7.13 szennyvíz 052080'!G113+'7.14 víz 063080'!G113+'7.15 közvil 064010'!G113+'7.16 zöldterület 066010'!G113+'7.17 város 066020'!G113+'7.18 háziorvos 072111'!G113+'7.19 ügyelet 072112'!G113+'7.20 fülészet 072210'!G113+'7.21 védőnők 074031'!G113+'7.22 isk eü 074032'!G113+'7.23 sportcsépület 081030'!G113+'7.24 sport tám 081041'!G113+'7.25 diáksport 081043'!G113+'7.26 közműv 082091'!G113+'7.27 közműv 082092'!G113+'7.28  óvoda 091140'!G113+'7.29 intézmkiv gyétk 104037'!G113+'7.30 szoc étk 107051'!G113+'7.31 segélyek 107060'!G113+'7.32 adóbev 900020'!G113+'7.33 pályázatok összesen'!G113+'7.6 út építés 045127'!G113</f>
        <v>0</v>
      </c>
      <c r="H113" s="247">
        <f t="shared" si="15"/>
        <v>1735000</v>
      </c>
      <c r="I113" s="246">
        <f ca="1">'7.1. igazg 011130'!I113+'7.2 temető 013320'!I113+'7.3. vagyon 013350'!I113+'7.4 018010'!I113+'7.5 finansz műveletek 018030'!I113+'7.7 közütak működtetés 045160'!I113+'7.8 parkoló 045170'!I113+'7.9 kábeltv 046020'!I113+'7.10 piac 047120'!I113+'7.11 tdm tám047320'!I113+'7.12 szemét 051030'!I113+'7.13 szennyvíz 052080'!I113+'7.14 víz 063080'!I113+'7.15 közvil 064010'!I113+'7.16 zöldterület 066010'!I113+'7.17 város 066020'!I113+'7.18 háziorvos 072111'!I113+'7.19 ügyelet 072112'!I113+'7.20 fülészet 072210'!I113+'7.21 védőnők 074031'!I113+'7.22 isk eü 074032'!I113+'7.23 sportcsépület 081030'!I113+'7.24 sport tám 081041'!I113+'7.25 diáksport 081043'!I113+'7.26 közműv 082091'!I113+'7.27 közműv 082092'!I113+'7.28  óvoda 091140'!I113+'7.29 intézmkiv gyétk 104037'!I113+'7.30 szoc étk 107051'!I113+'7.31 segélyek 107060'!I113+'7.32 adóbev 900020'!I113+'7.33 pályázatok összesen'!I113+'7.6 út építés 045127'!I113</f>
        <v>1855000</v>
      </c>
      <c r="J113" s="246">
        <f>'7.1. igazg 011130'!J113+'7.2 temető 013320'!J113+'7.3. vagyon 013350'!J113+'7.4 018010'!J113+'7.5 finansz műveletek 018030'!J113+'7.7 közütak működtetés 045160'!J113+'7.8 parkoló 045170'!J113+'7.9 kábeltv 046020'!J113+'7.10 piac 047120'!J113+'7.11 tdm tám047320'!J113+'7.12 szemét 051030'!J113+'7.13 szennyvíz 052080'!J113+'7.14 víz 063080'!J113+'7.15 közvil 064010'!J113+'7.16 zöldterület 066010'!J113+'7.17 város 066020'!J113+'7.18 háziorvos 072111'!J113+'7.19 ügyelet 072112'!J113+'7.20 fülészet 072210'!J113+'7.21 védőnők 074031'!J113+'7.22 isk eü 074032'!J113+'7.23 sportcsépület 081030'!J113+'7.24 sport tám 081041'!J113+'7.25 diáksport 081043'!J113+'7.26 közműv 082091'!J113+'7.27 közműv 082092'!J113+'7.28  óvoda 091140'!J113+'7.29 intézmkiv gyétk 104037'!J113+'7.30 szoc étk 107051'!J113+'7.31 segélyek 107060'!J113+'7.32 adóbev 900020'!J113+'7.33 pályázatok összesen'!J113+'7.6 út építés 045127'!J113</f>
        <v>0</v>
      </c>
      <c r="K113" s="247">
        <f t="shared" ca="1" si="16"/>
        <v>1855000</v>
      </c>
      <c r="L113" s="246">
        <f ca="1">'7.1. igazg 011130'!L113+'7.2 temető 013320'!L113+'7.3. vagyon 013350'!L113+'7.4 018010'!L113+'7.5 finansz műveletek 018030'!L113+'7.7 közütak működtetés 045160'!L113+'7.8 parkoló 045170'!L113+'7.9 kábeltv 046020'!L113+'7.10 piac 047120'!L113+'7.11 tdm tám047320'!L113+'7.12 szemét 051030'!L113+'7.13 szennyvíz 052080'!L113+'7.14 víz 063080'!L113+'7.15 közvil 064010'!L113+'7.16 zöldterület 066010'!L113+'7.17 város 066020'!L113+'7.18 háziorvos 072111'!L113+'7.19 ügyelet 072112'!L113+'7.20 fülészet 072210'!L113+'7.21 védőnők 074031'!L113+'7.22 isk eü 074032'!L113+'7.23 sportcsépület 081030'!L113+'7.24 sport tám 081041'!L113+'7.25 diáksport 081043'!L113+'7.26 közműv 082091'!L113+'7.27 közműv 082092'!L113+'7.28  óvoda 091140'!L113+'7.29 intézmkiv gyétk 104037'!L113+'7.30 szoc étk 107051'!L113+'7.31 segélyek 107060'!L113+'7.32 adóbev 900020'!L113+'7.33 pályázatok összesen'!L113+'7.6 út építés 045127'!L113</f>
        <v>1734952</v>
      </c>
      <c r="M113" s="246">
        <f>'7.1. igazg 011130'!M113+'7.2 temető 013320'!M113+'7.3. vagyon 013350'!M113+'7.4 018010'!M113+'7.5 finansz műveletek 018030'!M113+'7.7 közütak működtetés 045160'!M113+'7.8 parkoló 045170'!M113+'7.9 kábeltv 046020'!M113+'7.10 piac 047120'!M113+'7.11 tdm tám047320'!M113+'7.12 szemét 051030'!M113+'7.13 szennyvíz 052080'!M113+'7.14 víz 063080'!M113+'7.15 közvil 064010'!M113+'7.16 zöldterület 066010'!M113+'7.17 város 066020'!M113+'7.18 háziorvos 072111'!M113+'7.19 ügyelet 072112'!M113+'7.20 fülészet 072210'!M113+'7.21 védőnők 074031'!M113+'7.22 isk eü 074032'!M113+'7.23 sportcsépület 081030'!M113+'7.24 sport tám 081041'!M113+'7.25 diáksport 081043'!M113+'7.26 közműv 082091'!M113+'7.27 közműv 082092'!M113+'7.28  óvoda 091140'!M113+'7.29 intézmkiv gyétk 104037'!M113+'7.30 szoc étk 107051'!M113+'7.31 segélyek 107060'!M113+'7.32 adóbev 900020'!M113+'7.33 pályázatok összesen'!M113+'7.6 út építés 045127'!M113</f>
        <v>0</v>
      </c>
      <c r="N113" s="247">
        <f t="shared" ca="1" si="14"/>
        <v>1734952</v>
      </c>
    </row>
    <row r="114" spans="1:14" x14ac:dyDescent="0.25">
      <c r="A114" s="61" t="s">
        <v>203</v>
      </c>
      <c r="B114" s="62" t="s">
        <v>204</v>
      </c>
      <c r="C114" s="246">
        <f>'7.1. igazg 011130'!C114+'7.2 temető 013320'!C114+'7.3. vagyon 013350'!C114+'7.4 018010'!C114+'7.5 finansz műveletek 018030'!C114+'7.7 közütak működtetés 045160'!C114+'7.8 parkoló 045170'!C114+'7.9 kábeltv 046020'!C114+'7.10 piac 047120'!C114+'7.11 tdm tám047320'!C114+'7.12 szemét 051030'!C114+'7.13 szennyvíz 052080'!C114+'7.14 víz 063080'!C114+'7.15 közvil 064010'!C114+'7.16 zöldterület 066010'!C114+'7.17 város 066020'!C114+'7.18 háziorvos 072111'!C114+'7.19 ügyelet 072112'!C114+'7.20 fülészet 072210'!C114+'7.21 védőnők 074031'!C114+'7.22 isk eü 074032'!C114+'7.23 sportcsépület 081030'!C114+'7.24 sport tám 081041'!C114+'7.25 diáksport 081043'!C114+'7.26 közműv 082091'!C114+'7.27 közműv 082092'!C114+'7.28  óvoda 091140'!C114+'7.29 intézmkiv gyétk 104037'!C114+'7.30 szoc étk 107051'!C114+'7.31 segélyek 107060'!C114+'7.32 adóbev 900020'!C114+'7.33 pályázatok összesen'!C114+'7.6 út építés 045127'!C114</f>
        <v>295778646</v>
      </c>
      <c r="D114" s="246">
        <f>'7.1. igazg 011130'!D114+'7.2 temető 013320'!D114+'7.3. vagyon 013350'!D114+'7.4 018010'!D114+'7.5 finansz műveletek 018030'!D114+'7.7 közütak működtetés 045160'!D114+'7.8 parkoló 045170'!D114+'7.9 kábeltv 046020'!D114+'7.10 piac 047120'!D114+'7.11 tdm tám047320'!D114+'7.12 szemét 051030'!D114+'7.13 szennyvíz 052080'!D114+'7.14 víz 063080'!D114+'7.15 közvil 064010'!D114+'7.16 zöldterület 066010'!D114+'7.17 város 066020'!D114+'7.18 háziorvos 072111'!D114+'7.19 ügyelet 072112'!D114+'7.20 fülészet 072210'!D114+'7.21 védőnők 074031'!D114+'7.22 isk eü 074032'!D114+'7.23 sportcsépület 081030'!D114+'7.24 sport tám 081041'!D114+'7.25 diáksport 081043'!D114+'7.26 közműv 082091'!D114+'7.27 közműv 082092'!D114+'7.28  óvoda 091140'!D114+'7.29 intézmkiv gyétk 104037'!D114+'7.30 szoc étk 107051'!D114+'7.31 segélyek 107060'!D114+'7.32 adóbev 900020'!D114+'7.33 pályázatok összesen'!D114+'7.6 út építés 045127'!D114</f>
        <v>1239370</v>
      </c>
      <c r="E114" s="247">
        <f t="shared" si="11"/>
        <v>297018016</v>
      </c>
      <c r="F114" s="246">
        <f>'7.1. igazg 011130'!F114+'7.2 temető 013320'!F114+'7.3. vagyon 013350'!F114+'7.4 018010'!F114+'7.5 finansz műveletek 018030'!F114+'7.7 közütak működtetés 045160'!F114+'7.8 parkoló 045170'!F114+'7.9 kábeltv 046020'!F114+'7.10 piac 047120'!F114+'7.11 tdm tám047320'!F114+'7.12 szemét 051030'!F114+'7.13 szennyvíz 052080'!F114+'7.14 víz 063080'!F114+'7.15 közvil 064010'!F114+'7.16 zöldterület 066010'!F114+'7.17 város 066020'!F114+'7.18 háziorvos 072111'!F114+'7.19 ügyelet 072112'!F114+'7.20 fülészet 072210'!F114+'7.21 védőnők 074031'!F114+'7.22 isk eü 074032'!F114+'7.23 sportcsépület 081030'!F114+'7.24 sport tám 081041'!F114+'7.25 diáksport 081043'!F114+'7.26 közműv 082091'!F114+'7.27 közműv 082092'!F114+'7.28  óvoda 091140'!F114+'7.29 intézmkiv gyétk 104037'!F114+'7.30 szoc étk 107051'!F114+'7.31 segélyek 107060'!F114+'7.32 adóbev 900020'!F114+'7.33 pályázatok összesen'!F114+'7.6 út építés 045127'!F114</f>
        <v>315520391</v>
      </c>
      <c r="G114" s="246">
        <f>'7.1. igazg 011130'!G114+'7.2 temető 013320'!G114+'7.3. vagyon 013350'!G114+'7.4 018010'!G114+'7.5 finansz műveletek 018030'!G114+'7.7 közütak működtetés 045160'!G114+'7.8 parkoló 045170'!G114+'7.9 kábeltv 046020'!G114+'7.10 piac 047120'!G114+'7.11 tdm tám047320'!G114+'7.12 szemét 051030'!G114+'7.13 szennyvíz 052080'!G114+'7.14 víz 063080'!G114+'7.15 közvil 064010'!G114+'7.16 zöldterület 066010'!G114+'7.17 város 066020'!G114+'7.18 háziorvos 072111'!G114+'7.19 ügyelet 072112'!G114+'7.20 fülészet 072210'!G114+'7.21 védőnők 074031'!G114+'7.22 isk eü 074032'!G114+'7.23 sportcsépület 081030'!G114+'7.24 sport tám 081041'!G114+'7.25 diáksport 081043'!G114+'7.26 közműv 082091'!G114+'7.27 közműv 082092'!G114+'7.28  óvoda 091140'!G114+'7.29 intézmkiv gyétk 104037'!G114+'7.30 szoc étk 107051'!G114+'7.31 segélyek 107060'!G114+'7.32 adóbev 900020'!G114+'7.33 pályázatok összesen'!G114+'7.6 út építés 045127'!G114</f>
        <v>1239370</v>
      </c>
      <c r="H114" s="247">
        <f t="shared" si="15"/>
        <v>316759761</v>
      </c>
      <c r="I114" s="246">
        <f ca="1">'7.1. igazg 011130'!I114+'7.2 temető 013320'!I114+'7.3. vagyon 013350'!I114+'7.4 018010'!I114+'7.5 finansz műveletek 018030'!I114+'7.7 közütak működtetés 045160'!I114+'7.8 parkoló 045170'!I114+'7.9 kábeltv 046020'!I114+'7.10 piac 047120'!I114+'7.11 tdm tám047320'!I114+'7.12 szemét 051030'!I114+'7.13 szennyvíz 052080'!I114+'7.14 víz 063080'!I114+'7.15 közvil 064010'!I114+'7.16 zöldterület 066010'!I114+'7.17 város 066020'!I114+'7.18 háziorvos 072111'!I114+'7.19 ügyelet 072112'!I114+'7.20 fülészet 072210'!I114+'7.21 védőnők 074031'!I114+'7.22 isk eü 074032'!I114+'7.23 sportcsépület 081030'!I114+'7.24 sport tám 081041'!I114+'7.25 diáksport 081043'!I114+'7.26 közműv 082091'!I114+'7.27 közműv 082092'!I114+'7.28  óvoda 091140'!I114+'7.29 intézmkiv gyétk 104037'!I114+'7.30 szoc étk 107051'!I114+'7.31 segélyek 107060'!I114+'7.32 adóbev 900020'!I114+'7.33 pályázatok összesen'!I114+'7.6 út építés 045127'!I114</f>
        <v>328075554</v>
      </c>
      <c r="J114" s="246">
        <f>'7.1. igazg 011130'!J114+'7.2 temető 013320'!J114+'7.3. vagyon 013350'!J114+'7.4 018010'!J114+'7.5 finansz műveletek 018030'!J114+'7.7 közütak működtetés 045160'!J114+'7.8 parkoló 045170'!J114+'7.9 kábeltv 046020'!J114+'7.10 piac 047120'!J114+'7.11 tdm tám047320'!J114+'7.12 szemét 051030'!J114+'7.13 szennyvíz 052080'!J114+'7.14 víz 063080'!J114+'7.15 közvil 064010'!J114+'7.16 zöldterület 066010'!J114+'7.17 város 066020'!J114+'7.18 háziorvos 072111'!J114+'7.19 ügyelet 072112'!J114+'7.20 fülészet 072210'!J114+'7.21 védőnők 074031'!J114+'7.22 isk eü 074032'!J114+'7.23 sportcsépület 081030'!J114+'7.24 sport tám 081041'!J114+'7.25 diáksport 081043'!J114+'7.26 közműv 082091'!J114+'7.27 közműv 082092'!J114+'7.28  óvoda 091140'!J114+'7.29 intézmkiv gyétk 104037'!J114+'7.30 szoc étk 107051'!J114+'7.31 segélyek 107060'!J114+'7.32 adóbev 900020'!J114+'7.33 pályázatok összesen'!J114+'7.6 út építés 045127'!J114</f>
        <v>1239370</v>
      </c>
      <c r="K114" s="247">
        <f t="shared" ca="1" si="16"/>
        <v>329314924</v>
      </c>
      <c r="L114" s="246">
        <f ca="1">'7.1. igazg 011130'!L114+'7.2 temető 013320'!L114+'7.3. vagyon 013350'!L114+'7.4 018010'!L114+'7.5 finansz műveletek 018030'!L114+'7.7 közütak működtetés 045160'!L114+'7.8 parkoló 045170'!L114+'7.9 kábeltv 046020'!L114+'7.10 piac 047120'!L114+'7.11 tdm tám047320'!L114+'7.12 szemét 051030'!L114+'7.13 szennyvíz 052080'!L114+'7.14 víz 063080'!L114+'7.15 közvil 064010'!L114+'7.16 zöldterület 066010'!L114+'7.17 város 066020'!L114+'7.18 háziorvos 072111'!L114+'7.19 ügyelet 072112'!L114+'7.20 fülészet 072210'!L114+'7.21 védőnők 074031'!L114+'7.22 isk eü 074032'!L114+'7.23 sportcsépület 081030'!L114+'7.24 sport tám 081041'!L114+'7.25 diáksport 081043'!L114+'7.26 közműv 082091'!L114+'7.27 közműv 082092'!L114+'7.28  óvoda 091140'!L114+'7.29 intézmkiv gyétk 104037'!L114+'7.30 szoc étk 107051'!L114+'7.31 segélyek 107060'!L114+'7.32 adóbev 900020'!L114+'7.33 pályázatok összesen'!L114+'7.6 út építés 045127'!L114</f>
        <v>228354730</v>
      </c>
      <c r="M114" s="246">
        <f>'7.1. igazg 011130'!M114+'7.2 temető 013320'!M114+'7.3. vagyon 013350'!M114+'7.4 018010'!M114+'7.5 finansz műveletek 018030'!M114+'7.7 közütak működtetés 045160'!M114+'7.8 parkoló 045170'!M114+'7.9 kábeltv 046020'!M114+'7.10 piac 047120'!M114+'7.11 tdm tám047320'!M114+'7.12 szemét 051030'!M114+'7.13 szennyvíz 052080'!M114+'7.14 víz 063080'!M114+'7.15 közvil 064010'!M114+'7.16 zöldterület 066010'!M114+'7.17 város 066020'!M114+'7.18 háziorvos 072111'!M114+'7.19 ügyelet 072112'!M114+'7.20 fülészet 072210'!M114+'7.21 védőnők 074031'!M114+'7.22 isk eü 074032'!M114+'7.23 sportcsépület 081030'!M114+'7.24 sport tám 081041'!M114+'7.25 diáksport 081043'!M114+'7.26 közműv 082091'!M114+'7.27 közműv 082092'!M114+'7.28  óvoda 091140'!M114+'7.29 intézmkiv gyétk 104037'!M114+'7.30 szoc étk 107051'!M114+'7.31 segélyek 107060'!M114+'7.32 adóbev 900020'!M114+'7.33 pályázatok összesen'!M114+'7.6 út építés 045127'!M114</f>
        <v>1207323</v>
      </c>
      <c r="N114" s="247">
        <f t="shared" ca="1" si="14"/>
        <v>229562053</v>
      </c>
    </row>
    <row r="115" spans="1:14" x14ac:dyDescent="0.25">
      <c r="A115" s="61" t="s">
        <v>205</v>
      </c>
      <c r="B115" s="62" t="s">
        <v>206</v>
      </c>
      <c r="C115" s="246">
        <f>'7.1. igazg 011130'!C115+'7.2 temető 013320'!C115+'7.3. vagyon 013350'!C115+'7.4 018010'!C115+'7.5 finansz műveletek 018030'!C115+'7.7 közütak működtetés 045160'!C115+'7.8 parkoló 045170'!C115+'7.9 kábeltv 046020'!C115+'7.10 piac 047120'!C115+'7.11 tdm tám047320'!C115+'7.12 szemét 051030'!C115+'7.13 szennyvíz 052080'!C115+'7.14 víz 063080'!C115+'7.15 közvil 064010'!C115+'7.16 zöldterület 066010'!C115+'7.17 város 066020'!C115+'7.18 háziorvos 072111'!C115+'7.19 ügyelet 072112'!C115+'7.20 fülészet 072210'!C115+'7.21 védőnők 074031'!C115+'7.22 isk eü 074032'!C115+'7.23 sportcsépület 081030'!C115+'7.24 sport tám 081041'!C115+'7.25 diáksport 081043'!C115+'7.26 közműv 082091'!C115+'7.27 közműv 082092'!C115+'7.28  óvoda 091140'!C115+'7.29 intézmkiv gyétk 104037'!C115+'7.30 szoc étk 107051'!C115+'7.31 segélyek 107060'!C115+'7.32 adóbev 900020'!C115+'7.33 pályázatok összesen'!C115+'7.6 út építés 045127'!C115</f>
        <v>18978829</v>
      </c>
      <c r="D115" s="246">
        <f>'7.1. igazg 011130'!D115+'7.2 temető 013320'!D115+'7.3. vagyon 013350'!D115+'7.4 018010'!D115+'7.5 finansz műveletek 018030'!D115+'7.7 közütak működtetés 045160'!D115+'7.8 parkoló 045170'!D115+'7.9 kábeltv 046020'!D115+'7.10 piac 047120'!D115+'7.11 tdm tám047320'!D115+'7.12 szemét 051030'!D115+'7.13 szennyvíz 052080'!D115+'7.14 víz 063080'!D115+'7.15 közvil 064010'!D115+'7.16 zöldterület 066010'!D115+'7.17 város 066020'!D115+'7.18 háziorvos 072111'!D115+'7.19 ügyelet 072112'!D115+'7.20 fülészet 072210'!D115+'7.21 védőnők 074031'!D115+'7.22 isk eü 074032'!D115+'7.23 sportcsépület 081030'!D115+'7.24 sport tám 081041'!D115+'7.25 diáksport 081043'!D115+'7.26 közműv 082091'!D115+'7.27 közműv 082092'!D115+'7.28  óvoda 091140'!D115+'7.29 intézmkiv gyétk 104037'!D115+'7.30 szoc étk 107051'!D115+'7.31 segélyek 107060'!D115+'7.32 adóbev 900020'!D115+'7.33 pályázatok összesen'!D115+'7.6 út építés 045127'!D115</f>
        <v>0</v>
      </c>
      <c r="E115" s="247">
        <f t="shared" si="11"/>
        <v>18978829</v>
      </c>
      <c r="F115" s="246">
        <f>'7.1. igazg 011130'!F115+'7.2 temető 013320'!F115+'7.3. vagyon 013350'!F115+'7.4 018010'!F115+'7.5 finansz műveletek 018030'!F115+'7.7 közütak működtetés 045160'!F115+'7.8 parkoló 045170'!F115+'7.9 kábeltv 046020'!F115+'7.10 piac 047120'!F115+'7.11 tdm tám047320'!F115+'7.12 szemét 051030'!F115+'7.13 szennyvíz 052080'!F115+'7.14 víz 063080'!F115+'7.15 közvil 064010'!F115+'7.16 zöldterület 066010'!F115+'7.17 város 066020'!F115+'7.18 háziorvos 072111'!F115+'7.19 ügyelet 072112'!F115+'7.20 fülészet 072210'!F115+'7.21 védőnők 074031'!F115+'7.22 isk eü 074032'!F115+'7.23 sportcsépület 081030'!F115+'7.24 sport tám 081041'!F115+'7.25 diáksport 081043'!F115+'7.26 közműv 082091'!F115+'7.27 közműv 082092'!F115+'7.28  óvoda 091140'!F115+'7.29 intézmkiv gyétk 104037'!F115+'7.30 szoc étk 107051'!F115+'7.31 segélyek 107060'!F115+'7.32 adóbev 900020'!F115+'7.33 pályázatok összesen'!F115+'7.6 út építés 045127'!F115</f>
        <v>18978829</v>
      </c>
      <c r="G115" s="246">
        <f>'7.1. igazg 011130'!G115+'7.2 temető 013320'!G115+'7.3. vagyon 013350'!G115+'7.4 018010'!G115+'7.5 finansz műveletek 018030'!G115+'7.7 közütak működtetés 045160'!G115+'7.8 parkoló 045170'!G115+'7.9 kábeltv 046020'!G115+'7.10 piac 047120'!G115+'7.11 tdm tám047320'!G115+'7.12 szemét 051030'!G115+'7.13 szennyvíz 052080'!G115+'7.14 víz 063080'!G115+'7.15 közvil 064010'!G115+'7.16 zöldterület 066010'!G115+'7.17 város 066020'!G115+'7.18 háziorvos 072111'!G115+'7.19 ügyelet 072112'!G115+'7.20 fülészet 072210'!G115+'7.21 védőnők 074031'!G115+'7.22 isk eü 074032'!G115+'7.23 sportcsépület 081030'!G115+'7.24 sport tám 081041'!G115+'7.25 diáksport 081043'!G115+'7.26 közműv 082091'!G115+'7.27 közműv 082092'!G115+'7.28  óvoda 091140'!G115+'7.29 intézmkiv gyétk 104037'!G115+'7.30 szoc étk 107051'!G115+'7.31 segélyek 107060'!G115+'7.32 adóbev 900020'!G115+'7.33 pályázatok összesen'!G115+'7.6 út építés 045127'!G115</f>
        <v>0</v>
      </c>
      <c r="H115" s="247">
        <f t="shared" si="15"/>
        <v>18978829</v>
      </c>
      <c r="I115" s="246">
        <f ca="1">'7.1. igazg 011130'!I115+'7.2 temető 013320'!I115+'7.3. vagyon 013350'!I115+'7.4 018010'!I115+'7.5 finansz műveletek 018030'!I115+'7.7 közütak működtetés 045160'!I115+'7.8 parkoló 045170'!I115+'7.9 kábeltv 046020'!I115+'7.10 piac 047120'!I115+'7.11 tdm tám047320'!I115+'7.12 szemét 051030'!I115+'7.13 szennyvíz 052080'!I115+'7.14 víz 063080'!I115+'7.15 közvil 064010'!I115+'7.16 zöldterület 066010'!I115+'7.17 város 066020'!I115+'7.18 háziorvos 072111'!I115+'7.19 ügyelet 072112'!I115+'7.20 fülészet 072210'!I115+'7.21 védőnők 074031'!I115+'7.22 isk eü 074032'!I115+'7.23 sportcsépület 081030'!I115+'7.24 sport tám 081041'!I115+'7.25 diáksport 081043'!I115+'7.26 közműv 082091'!I115+'7.27 közműv 082092'!I115+'7.28  óvoda 091140'!I115+'7.29 intézmkiv gyétk 104037'!I115+'7.30 szoc étk 107051'!I115+'7.31 segélyek 107060'!I115+'7.32 adóbev 900020'!I115+'7.33 pályázatok összesen'!I115+'7.6 út építés 045127'!I115</f>
        <v>24791975</v>
      </c>
      <c r="J115" s="246">
        <f>'7.1. igazg 011130'!J115+'7.2 temető 013320'!J115+'7.3. vagyon 013350'!J115+'7.4 018010'!J115+'7.5 finansz műveletek 018030'!J115+'7.7 közütak működtetés 045160'!J115+'7.8 parkoló 045170'!J115+'7.9 kábeltv 046020'!J115+'7.10 piac 047120'!J115+'7.11 tdm tám047320'!J115+'7.12 szemét 051030'!J115+'7.13 szennyvíz 052080'!J115+'7.14 víz 063080'!J115+'7.15 közvil 064010'!J115+'7.16 zöldterület 066010'!J115+'7.17 város 066020'!J115+'7.18 háziorvos 072111'!J115+'7.19 ügyelet 072112'!J115+'7.20 fülészet 072210'!J115+'7.21 védőnők 074031'!J115+'7.22 isk eü 074032'!J115+'7.23 sportcsépület 081030'!J115+'7.24 sport tám 081041'!J115+'7.25 diáksport 081043'!J115+'7.26 közműv 082091'!J115+'7.27 közműv 082092'!J115+'7.28  óvoda 091140'!J115+'7.29 intézmkiv gyétk 104037'!J115+'7.30 szoc étk 107051'!J115+'7.31 segélyek 107060'!J115+'7.32 adóbev 900020'!J115+'7.33 pályázatok összesen'!J115+'7.6 út építés 045127'!J115</f>
        <v>0</v>
      </c>
      <c r="K115" s="247">
        <f t="shared" ca="1" si="16"/>
        <v>24791975</v>
      </c>
      <c r="L115" s="246">
        <f ca="1">'7.1. igazg 011130'!L115+'7.2 temető 013320'!L115+'7.3. vagyon 013350'!L115+'7.4 018010'!L115+'7.5 finansz műveletek 018030'!L115+'7.7 közütak működtetés 045160'!L115+'7.8 parkoló 045170'!L115+'7.9 kábeltv 046020'!L115+'7.10 piac 047120'!L115+'7.11 tdm tám047320'!L115+'7.12 szemét 051030'!L115+'7.13 szennyvíz 052080'!L115+'7.14 víz 063080'!L115+'7.15 közvil 064010'!L115+'7.16 zöldterület 066010'!L115+'7.17 város 066020'!L115+'7.18 háziorvos 072111'!L115+'7.19 ügyelet 072112'!L115+'7.20 fülészet 072210'!L115+'7.21 védőnők 074031'!L115+'7.22 isk eü 074032'!L115+'7.23 sportcsépület 081030'!L115+'7.24 sport tám 081041'!L115+'7.25 diáksport 081043'!L115+'7.26 közműv 082091'!L115+'7.27 közműv 082092'!L115+'7.28  óvoda 091140'!L115+'7.29 intézmkiv gyétk 104037'!L115+'7.30 szoc étk 107051'!L115+'7.31 segélyek 107060'!L115+'7.32 adóbev 900020'!L115+'7.33 pályázatok összesen'!L115+'7.6 út építés 045127'!L115</f>
        <v>19457145</v>
      </c>
      <c r="M115" s="246">
        <f>'7.1. igazg 011130'!M115+'7.2 temető 013320'!M115+'7.3. vagyon 013350'!M115+'7.4 018010'!M115+'7.5 finansz műveletek 018030'!M115+'7.7 közütak működtetés 045160'!M115+'7.8 parkoló 045170'!M115+'7.9 kábeltv 046020'!M115+'7.10 piac 047120'!M115+'7.11 tdm tám047320'!M115+'7.12 szemét 051030'!M115+'7.13 szennyvíz 052080'!M115+'7.14 víz 063080'!M115+'7.15 közvil 064010'!M115+'7.16 zöldterület 066010'!M115+'7.17 város 066020'!M115+'7.18 háziorvos 072111'!M115+'7.19 ügyelet 072112'!M115+'7.20 fülészet 072210'!M115+'7.21 védőnők 074031'!M115+'7.22 isk eü 074032'!M115+'7.23 sportcsépület 081030'!M115+'7.24 sport tám 081041'!M115+'7.25 diáksport 081043'!M115+'7.26 közműv 082091'!M115+'7.27 közműv 082092'!M115+'7.28  óvoda 091140'!M115+'7.29 intézmkiv gyétk 104037'!M115+'7.30 szoc étk 107051'!M115+'7.31 segélyek 107060'!M115+'7.32 adóbev 900020'!M115+'7.33 pályázatok összesen'!M115+'7.6 út építés 045127'!M115</f>
        <v>0</v>
      </c>
      <c r="N115" s="247">
        <f t="shared" ca="1" si="14"/>
        <v>19457145</v>
      </c>
    </row>
    <row r="116" spans="1:14" x14ac:dyDescent="0.25">
      <c r="A116" s="61" t="s">
        <v>207</v>
      </c>
      <c r="B116" s="62" t="s">
        <v>208</v>
      </c>
      <c r="C116" s="246">
        <f>'7.1. igazg 011130'!C116+'7.2 temető 013320'!C116+'7.3. vagyon 013350'!C116+'7.4 018010'!C116+'7.5 finansz műveletek 018030'!C116+'7.7 közütak működtetés 045160'!C116+'7.8 parkoló 045170'!C116+'7.9 kábeltv 046020'!C116+'7.10 piac 047120'!C116+'7.11 tdm tám047320'!C116+'7.12 szemét 051030'!C116+'7.13 szennyvíz 052080'!C116+'7.14 víz 063080'!C116+'7.15 közvil 064010'!C116+'7.16 zöldterület 066010'!C116+'7.17 város 066020'!C116+'7.18 háziorvos 072111'!C116+'7.19 ügyelet 072112'!C116+'7.20 fülészet 072210'!C116+'7.21 védőnők 074031'!C116+'7.22 isk eü 074032'!C116+'7.23 sportcsépület 081030'!C116+'7.24 sport tám 081041'!C116+'7.25 diáksport 081043'!C116+'7.26 közműv 082091'!C116+'7.27 közműv 082092'!C116+'7.28  óvoda 091140'!C116+'7.29 intézmkiv gyétk 104037'!C116+'7.30 szoc étk 107051'!C116+'7.31 segélyek 107060'!C116+'7.32 adóbev 900020'!C116+'7.33 pályázatok összesen'!C116+'7.6 út építés 045127'!C116</f>
        <v>9270000</v>
      </c>
      <c r="D116" s="246">
        <f>'7.1. igazg 011130'!D116+'7.2 temető 013320'!D116+'7.3. vagyon 013350'!D116+'7.4 018010'!D116+'7.5 finansz műveletek 018030'!D116+'7.7 közütak működtetés 045160'!D116+'7.8 parkoló 045170'!D116+'7.9 kábeltv 046020'!D116+'7.10 piac 047120'!D116+'7.11 tdm tám047320'!D116+'7.12 szemét 051030'!D116+'7.13 szennyvíz 052080'!D116+'7.14 víz 063080'!D116+'7.15 közvil 064010'!D116+'7.16 zöldterület 066010'!D116+'7.17 város 066020'!D116+'7.18 háziorvos 072111'!D116+'7.19 ügyelet 072112'!D116+'7.20 fülészet 072210'!D116+'7.21 védőnők 074031'!D116+'7.22 isk eü 074032'!D116+'7.23 sportcsépület 081030'!D116+'7.24 sport tám 081041'!D116+'7.25 diáksport 081043'!D116+'7.26 közműv 082091'!D116+'7.27 közműv 082092'!D116+'7.28  óvoda 091140'!D116+'7.29 intézmkiv gyétk 104037'!D116+'7.30 szoc étk 107051'!D116+'7.31 segélyek 107060'!D116+'7.32 adóbev 900020'!D116+'7.33 pályázatok összesen'!D116+'7.6 út építés 045127'!D116</f>
        <v>0</v>
      </c>
      <c r="E116" s="247">
        <f t="shared" si="11"/>
        <v>9270000</v>
      </c>
      <c r="F116" s="246">
        <f>'7.1. igazg 011130'!F116+'7.2 temető 013320'!F116+'7.3. vagyon 013350'!F116+'7.4 018010'!F116+'7.5 finansz műveletek 018030'!F116+'7.7 közütak működtetés 045160'!F116+'7.8 parkoló 045170'!F116+'7.9 kábeltv 046020'!F116+'7.10 piac 047120'!F116+'7.11 tdm tám047320'!F116+'7.12 szemét 051030'!F116+'7.13 szennyvíz 052080'!F116+'7.14 víz 063080'!F116+'7.15 közvil 064010'!F116+'7.16 zöldterület 066010'!F116+'7.17 város 066020'!F116+'7.18 háziorvos 072111'!F116+'7.19 ügyelet 072112'!F116+'7.20 fülészet 072210'!F116+'7.21 védőnők 074031'!F116+'7.22 isk eü 074032'!F116+'7.23 sportcsépület 081030'!F116+'7.24 sport tám 081041'!F116+'7.25 diáksport 081043'!F116+'7.26 közműv 082091'!F116+'7.27 közműv 082092'!F116+'7.28  óvoda 091140'!F116+'7.29 intézmkiv gyétk 104037'!F116+'7.30 szoc étk 107051'!F116+'7.31 segélyek 107060'!F116+'7.32 adóbev 900020'!F116+'7.33 pályázatok összesen'!F116+'7.6 út építés 045127'!F116</f>
        <v>14004000</v>
      </c>
      <c r="G116" s="246">
        <f>'7.1. igazg 011130'!G116+'7.2 temető 013320'!G116+'7.3. vagyon 013350'!G116+'7.4 018010'!G116+'7.5 finansz műveletek 018030'!G116+'7.7 közütak működtetés 045160'!G116+'7.8 parkoló 045170'!G116+'7.9 kábeltv 046020'!G116+'7.10 piac 047120'!G116+'7.11 tdm tám047320'!G116+'7.12 szemét 051030'!G116+'7.13 szennyvíz 052080'!G116+'7.14 víz 063080'!G116+'7.15 közvil 064010'!G116+'7.16 zöldterület 066010'!G116+'7.17 város 066020'!G116+'7.18 háziorvos 072111'!G116+'7.19 ügyelet 072112'!G116+'7.20 fülészet 072210'!G116+'7.21 védőnők 074031'!G116+'7.22 isk eü 074032'!G116+'7.23 sportcsépület 081030'!G116+'7.24 sport tám 081041'!G116+'7.25 diáksport 081043'!G116+'7.26 közműv 082091'!G116+'7.27 közműv 082092'!G116+'7.28  óvoda 091140'!G116+'7.29 intézmkiv gyétk 104037'!G116+'7.30 szoc étk 107051'!G116+'7.31 segélyek 107060'!G116+'7.32 adóbev 900020'!G116+'7.33 pályázatok összesen'!G116+'7.6 út építés 045127'!G116</f>
        <v>0</v>
      </c>
      <c r="H116" s="247">
        <f t="shared" si="15"/>
        <v>14004000</v>
      </c>
      <c r="I116" s="246">
        <f ca="1">'7.1. igazg 011130'!I116+'7.2 temető 013320'!I116+'7.3. vagyon 013350'!I116+'7.4 018010'!I116+'7.5 finansz műveletek 018030'!I116+'7.7 közütak működtetés 045160'!I116+'7.8 parkoló 045170'!I116+'7.9 kábeltv 046020'!I116+'7.10 piac 047120'!I116+'7.11 tdm tám047320'!I116+'7.12 szemét 051030'!I116+'7.13 szennyvíz 052080'!I116+'7.14 víz 063080'!I116+'7.15 közvil 064010'!I116+'7.16 zöldterület 066010'!I116+'7.17 város 066020'!I116+'7.18 háziorvos 072111'!I116+'7.19 ügyelet 072112'!I116+'7.20 fülészet 072210'!I116+'7.21 védőnők 074031'!I116+'7.22 isk eü 074032'!I116+'7.23 sportcsépület 081030'!I116+'7.24 sport tám 081041'!I116+'7.25 diáksport 081043'!I116+'7.26 közműv 082091'!I116+'7.27 közműv 082092'!I116+'7.28  óvoda 091140'!I116+'7.29 intézmkiv gyétk 104037'!I116+'7.30 szoc étk 107051'!I116+'7.31 segélyek 107060'!I116+'7.32 adóbev 900020'!I116+'7.33 pályázatok összesen'!I116+'7.6 út építés 045127'!I116</f>
        <v>15304000</v>
      </c>
      <c r="J116" s="246">
        <f>'7.1. igazg 011130'!J116+'7.2 temető 013320'!J116+'7.3. vagyon 013350'!J116+'7.4 018010'!J116+'7.5 finansz műveletek 018030'!J116+'7.7 közütak működtetés 045160'!J116+'7.8 parkoló 045170'!J116+'7.9 kábeltv 046020'!J116+'7.10 piac 047120'!J116+'7.11 tdm tám047320'!J116+'7.12 szemét 051030'!J116+'7.13 szennyvíz 052080'!J116+'7.14 víz 063080'!J116+'7.15 közvil 064010'!J116+'7.16 zöldterület 066010'!J116+'7.17 város 066020'!J116+'7.18 háziorvos 072111'!J116+'7.19 ügyelet 072112'!J116+'7.20 fülészet 072210'!J116+'7.21 védőnők 074031'!J116+'7.22 isk eü 074032'!J116+'7.23 sportcsépület 081030'!J116+'7.24 sport tám 081041'!J116+'7.25 diáksport 081043'!J116+'7.26 közműv 082091'!J116+'7.27 közműv 082092'!J116+'7.28  óvoda 091140'!J116+'7.29 intézmkiv gyétk 104037'!J116+'7.30 szoc étk 107051'!J116+'7.31 segélyek 107060'!J116+'7.32 adóbev 900020'!J116+'7.33 pályázatok összesen'!J116+'7.6 út építés 045127'!J116</f>
        <v>0</v>
      </c>
      <c r="K116" s="247">
        <f t="shared" ca="1" si="16"/>
        <v>15304000</v>
      </c>
      <c r="L116" s="246">
        <f ca="1">'7.1. igazg 011130'!L116+'7.2 temető 013320'!L116+'7.3. vagyon 013350'!L116+'7.4 018010'!L116+'7.5 finansz műveletek 018030'!L116+'7.7 közütak működtetés 045160'!L116+'7.8 parkoló 045170'!L116+'7.9 kábeltv 046020'!L116+'7.10 piac 047120'!L116+'7.11 tdm tám047320'!L116+'7.12 szemét 051030'!L116+'7.13 szennyvíz 052080'!L116+'7.14 víz 063080'!L116+'7.15 közvil 064010'!L116+'7.16 zöldterület 066010'!L116+'7.17 város 066020'!L116+'7.18 háziorvos 072111'!L116+'7.19 ügyelet 072112'!L116+'7.20 fülészet 072210'!L116+'7.21 védőnők 074031'!L116+'7.22 isk eü 074032'!L116+'7.23 sportcsépület 081030'!L116+'7.24 sport tám 081041'!L116+'7.25 diáksport 081043'!L116+'7.26 közműv 082091'!L116+'7.27 közműv 082092'!L116+'7.28  óvoda 091140'!L116+'7.29 intézmkiv gyétk 104037'!L116+'7.30 szoc étk 107051'!L116+'7.31 segélyek 107060'!L116+'7.32 adóbev 900020'!L116+'7.33 pályázatok összesen'!L116+'7.6 út építés 045127'!L116</f>
        <v>13454698</v>
      </c>
      <c r="M116" s="246">
        <f>'7.1. igazg 011130'!M116+'7.2 temető 013320'!M116+'7.3. vagyon 013350'!M116+'7.4 018010'!M116+'7.5 finansz műveletek 018030'!M116+'7.7 közütak működtetés 045160'!M116+'7.8 parkoló 045170'!M116+'7.9 kábeltv 046020'!M116+'7.10 piac 047120'!M116+'7.11 tdm tám047320'!M116+'7.12 szemét 051030'!M116+'7.13 szennyvíz 052080'!M116+'7.14 víz 063080'!M116+'7.15 közvil 064010'!M116+'7.16 zöldterület 066010'!M116+'7.17 város 066020'!M116+'7.18 háziorvos 072111'!M116+'7.19 ügyelet 072112'!M116+'7.20 fülészet 072210'!M116+'7.21 védőnők 074031'!M116+'7.22 isk eü 074032'!M116+'7.23 sportcsépület 081030'!M116+'7.24 sport tám 081041'!M116+'7.25 diáksport 081043'!M116+'7.26 közműv 082091'!M116+'7.27 közműv 082092'!M116+'7.28  óvoda 091140'!M116+'7.29 intézmkiv gyétk 104037'!M116+'7.30 szoc étk 107051'!M116+'7.31 segélyek 107060'!M116+'7.32 adóbev 900020'!M116+'7.33 pályázatok összesen'!M116+'7.6 út építés 045127'!M116</f>
        <v>0</v>
      </c>
      <c r="N116" s="247">
        <f t="shared" ca="1" si="14"/>
        <v>13454698</v>
      </c>
    </row>
    <row r="117" spans="1:14" x14ac:dyDescent="0.25">
      <c r="A117" s="61" t="s">
        <v>209</v>
      </c>
      <c r="B117" s="62" t="s">
        <v>210</v>
      </c>
      <c r="C117" s="246">
        <f>'7.1. igazg 011130'!C117+'7.2 temető 013320'!C117+'7.3. vagyon 013350'!C117+'7.4 018010'!C117+'7.5 finansz műveletek 018030'!C117+'7.7 közütak működtetés 045160'!C117+'7.8 parkoló 045170'!C117+'7.9 kábeltv 046020'!C117+'7.10 piac 047120'!C117+'7.11 tdm tám047320'!C117+'7.12 szemét 051030'!C117+'7.13 szennyvíz 052080'!C117+'7.14 víz 063080'!C117+'7.15 közvil 064010'!C117+'7.16 zöldterület 066010'!C117+'7.17 város 066020'!C117+'7.18 háziorvos 072111'!C117+'7.19 ügyelet 072112'!C117+'7.20 fülészet 072210'!C117+'7.21 védőnők 074031'!C117+'7.22 isk eü 074032'!C117+'7.23 sportcsépület 081030'!C117+'7.24 sport tám 081041'!C117+'7.25 diáksport 081043'!C117+'7.26 közműv 082091'!C117+'7.27 közműv 082092'!C117+'7.28  óvoda 091140'!C117+'7.29 intézmkiv gyétk 104037'!C117+'7.30 szoc étk 107051'!C117+'7.31 segélyek 107060'!C117+'7.32 adóbev 900020'!C117+'7.33 pályázatok összesen'!C117+'7.6 út építés 045127'!C117</f>
        <v>11360000</v>
      </c>
      <c r="D117" s="246">
        <f>'7.1. igazg 011130'!D117+'7.2 temető 013320'!D117+'7.3. vagyon 013350'!D117+'7.4 018010'!D117+'7.5 finansz műveletek 018030'!D117+'7.7 közütak működtetés 045160'!D117+'7.8 parkoló 045170'!D117+'7.9 kábeltv 046020'!D117+'7.10 piac 047120'!D117+'7.11 tdm tám047320'!D117+'7.12 szemét 051030'!D117+'7.13 szennyvíz 052080'!D117+'7.14 víz 063080'!D117+'7.15 közvil 064010'!D117+'7.16 zöldterület 066010'!D117+'7.17 város 066020'!D117+'7.18 háziorvos 072111'!D117+'7.19 ügyelet 072112'!D117+'7.20 fülészet 072210'!D117+'7.21 védőnők 074031'!D117+'7.22 isk eü 074032'!D117+'7.23 sportcsépület 081030'!D117+'7.24 sport tám 081041'!D117+'7.25 diáksport 081043'!D117+'7.26 közműv 082091'!D117+'7.27 közműv 082092'!D117+'7.28  óvoda 091140'!D117+'7.29 intézmkiv gyétk 104037'!D117+'7.30 szoc étk 107051'!D117+'7.31 segélyek 107060'!D117+'7.32 adóbev 900020'!D117+'7.33 pályázatok összesen'!D117+'7.6 út építés 045127'!D117</f>
        <v>0</v>
      </c>
      <c r="E117" s="247">
        <f t="shared" si="11"/>
        <v>11360000</v>
      </c>
      <c r="F117" s="246">
        <f>'7.1. igazg 011130'!F117+'7.2 temető 013320'!F117+'7.3. vagyon 013350'!F117+'7.4 018010'!F117+'7.5 finansz műveletek 018030'!F117+'7.7 közütak működtetés 045160'!F117+'7.8 parkoló 045170'!F117+'7.9 kábeltv 046020'!F117+'7.10 piac 047120'!F117+'7.11 tdm tám047320'!F117+'7.12 szemét 051030'!F117+'7.13 szennyvíz 052080'!F117+'7.14 víz 063080'!F117+'7.15 közvil 064010'!F117+'7.16 zöldterület 066010'!F117+'7.17 város 066020'!F117+'7.18 háziorvos 072111'!F117+'7.19 ügyelet 072112'!F117+'7.20 fülészet 072210'!F117+'7.21 védőnők 074031'!F117+'7.22 isk eü 074032'!F117+'7.23 sportcsépület 081030'!F117+'7.24 sport tám 081041'!F117+'7.25 diáksport 081043'!F117+'7.26 közműv 082091'!F117+'7.27 közműv 082092'!F117+'7.28  óvoda 091140'!F117+'7.29 intézmkiv gyétk 104037'!F117+'7.30 szoc étk 107051'!F117+'7.31 segélyek 107060'!F117+'7.32 adóbev 900020'!F117+'7.33 pályázatok összesen'!F117+'7.6 út építés 045127'!F117</f>
        <v>11360000</v>
      </c>
      <c r="G117" s="246">
        <f>'7.1. igazg 011130'!G117+'7.2 temető 013320'!G117+'7.3. vagyon 013350'!G117+'7.4 018010'!G117+'7.5 finansz műveletek 018030'!G117+'7.7 közütak működtetés 045160'!G117+'7.8 parkoló 045170'!G117+'7.9 kábeltv 046020'!G117+'7.10 piac 047120'!G117+'7.11 tdm tám047320'!G117+'7.12 szemét 051030'!G117+'7.13 szennyvíz 052080'!G117+'7.14 víz 063080'!G117+'7.15 közvil 064010'!G117+'7.16 zöldterület 066010'!G117+'7.17 város 066020'!G117+'7.18 háziorvos 072111'!G117+'7.19 ügyelet 072112'!G117+'7.20 fülészet 072210'!G117+'7.21 védőnők 074031'!G117+'7.22 isk eü 074032'!G117+'7.23 sportcsépület 081030'!G117+'7.24 sport tám 081041'!G117+'7.25 diáksport 081043'!G117+'7.26 közműv 082091'!G117+'7.27 közműv 082092'!G117+'7.28  óvoda 091140'!G117+'7.29 intézmkiv gyétk 104037'!G117+'7.30 szoc étk 107051'!G117+'7.31 segélyek 107060'!G117+'7.32 adóbev 900020'!G117+'7.33 pályázatok összesen'!G117+'7.6 út építés 045127'!G117</f>
        <v>0</v>
      </c>
      <c r="H117" s="247">
        <f t="shared" si="15"/>
        <v>11360000</v>
      </c>
      <c r="I117" s="246">
        <f ca="1">'7.1. igazg 011130'!I117+'7.2 temető 013320'!I117+'7.3. vagyon 013350'!I117+'7.4 018010'!I117+'7.5 finansz műveletek 018030'!I117+'7.7 közütak működtetés 045160'!I117+'7.8 parkoló 045170'!I117+'7.9 kábeltv 046020'!I117+'7.10 piac 047120'!I117+'7.11 tdm tám047320'!I117+'7.12 szemét 051030'!I117+'7.13 szennyvíz 052080'!I117+'7.14 víz 063080'!I117+'7.15 közvil 064010'!I117+'7.16 zöldterület 066010'!I117+'7.17 város 066020'!I117+'7.18 háziorvos 072111'!I117+'7.19 ügyelet 072112'!I117+'7.20 fülészet 072210'!I117+'7.21 védőnők 074031'!I117+'7.22 isk eü 074032'!I117+'7.23 sportcsépület 081030'!I117+'7.24 sport tám 081041'!I117+'7.25 diáksport 081043'!I117+'7.26 közműv 082091'!I117+'7.27 közműv 082092'!I117+'7.28  óvoda 091140'!I117+'7.29 intézmkiv gyétk 104037'!I117+'7.30 szoc étk 107051'!I117+'7.31 segélyek 107060'!I117+'7.32 adóbev 900020'!I117+'7.33 pályázatok összesen'!I117+'7.6 út építés 045127'!I117</f>
        <v>14392000</v>
      </c>
      <c r="J117" s="246">
        <f>'7.1. igazg 011130'!J117+'7.2 temető 013320'!J117+'7.3. vagyon 013350'!J117+'7.4 018010'!J117+'7.5 finansz műveletek 018030'!J117+'7.7 közütak működtetés 045160'!J117+'7.8 parkoló 045170'!J117+'7.9 kábeltv 046020'!J117+'7.10 piac 047120'!J117+'7.11 tdm tám047320'!J117+'7.12 szemét 051030'!J117+'7.13 szennyvíz 052080'!J117+'7.14 víz 063080'!J117+'7.15 közvil 064010'!J117+'7.16 zöldterület 066010'!J117+'7.17 város 066020'!J117+'7.18 háziorvos 072111'!J117+'7.19 ügyelet 072112'!J117+'7.20 fülészet 072210'!J117+'7.21 védőnők 074031'!J117+'7.22 isk eü 074032'!J117+'7.23 sportcsépület 081030'!J117+'7.24 sport tám 081041'!J117+'7.25 diáksport 081043'!J117+'7.26 közműv 082091'!J117+'7.27 közműv 082092'!J117+'7.28  óvoda 091140'!J117+'7.29 intézmkiv gyétk 104037'!J117+'7.30 szoc étk 107051'!J117+'7.31 segélyek 107060'!J117+'7.32 adóbev 900020'!J117+'7.33 pályázatok összesen'!J117+'7.6 út építés 045127'!J117</f>
        <v>0</v>
      </c>
      <c r="K117" s="247">
        <f t="shared" ca="1" si="16"/>
        <v>14392000</v>
      </c>
      <c r="L117" s="246">
        <f ca="1">'7.1. igazg 011130'!L117+'7.2 temető 013320'!L117+'7.3. vagyon 013350'!L117+'7.4 018010'!L117+'7.5 finansz műveletek 018030'!L117+'7.7 közütak működtetés 045160'!L117+'7.8 parkoló 045170'!L117+'7.9 kábeltv 046020'!L117+'7.10 piac 047120'!L117+'7.11 tdm tám047320'!L117+'7.12 szemét 051030'!L117+'7.13 szennyvíz 052080'!L117+'7.14 víz 063080'!L117+'7.15 közvil 064010'!L117+'7.16 zöldterület 066010'!L117+'7.17 város 066020'!L117+'7.18 háziorvos 072111'!L117+'7.19 ügyelet 072112'!L117+'7.20 fülészet 072210'!L117+'7.21 védőnők 074031'!L117+'7.22 isk eü 074032'!L117+'7.23 sportcsépület 081030'!L117+'7.24 sport tám 081041'!L117+'7.25 diáksport 081043'!L117+'7.26 közműv 082091'!L117+'7.27 közműv 082092'!L117+'7.28  óvoda 091140'!L117+'7.29 intézmkiv gyétk 104037'!L117+'7.30 szoc étk 107051'!L117+'7.31 segélyek 107060'!L117+'7.32 adóbev 900020'!L117+'7.33 pályázatok összesen'!L117+'7.6 út építés 045127'!L117</f>
        <v>13056675</v>
      </c>
      <c r="M117" s="246">
        <f>'7.1. igazg 011130'!M117+'7.2 temető 013320'!M117+'7.3. vagyon 013350'!M117+'7.4 018010'!M117+'7.5 finansz műveletek 018030'!M117+'7.7 közütak működtetés 045160'!M117+'7.8 parkoló 045170'!M117+'7.9 kábeltv 046020'!M117+'7.10 piac 047120'!M117+'7.11 tdm tám047320'!M117+'7.12 szemét 051030'!M117+'7.13 szennyvíz 052080'!M117+'7.14 víz 063080'!M117+'7.15 közvil 064010'!M117+'7.16 zöldterület 066010'!M117+'7.17 város 066020'!M117+'7.18 háziorvos 072111'!M117+'7.19 ügyelet 072112'!M117+'7.20 fülészet 072210'!M117+'7.21 védőnők 074031'!M117+'7.22 isk eü 074032'!M117+'7.23 sportcsépület 081030'!M117+'7.24 sport tám 081041'!M117+'7.25 diáksport 081043'!M117+'7.26 közműv 082091'!M117+'7.27 közműv 082092'!M117+'7.28  óvoda 091140'!M117+'7.29 intézmkiv gyétk 104037'!M117+'7.30 szoc étk 107051'!M117+'7.31 segélyek 107060'!M117+'7.32 adóbev 900020'!M117+'7.33 pályázatok összesen'!M117+'7.6 út építés 045127'!M117</f>
        <v>0</v>
      </c>
      <c r="N117" s="247">
        <f t="shared" ca="1" si="14"/>
        <v>13056675</v>
      </c>
    </row>
    <row r="118" spans="1:14" x14ac:dyDescent="0.25">
      <c r="A118" s="61" t="s">
        <v>211</v>
      </c>
      <c r="B118" s="62" t="s">
        <v>212</v>
      </c>
      <c r="C118" s="246">
        <f>'7.1. igazg 011130'!C118+'7.2 temető 013320'!C118+'7.3. vagyon 013350'!C118+'7.4 018010'!C118+'7.5 finansz műveletek 018030'!C118+'7.7 közütak működtetés 045160'!C118+'7.8 parkoló 045170'!C118+'7.9 kábeltv 046020'!C118+'7.10 piac 047120'!C118+'7.11 tdm tám047320'!C118+'7.12 szemét 051030'!C118+'7.13 szennyvíz 052080'!C118+'7.14 víz 063080'!C118+'7.15 közvil 064010'!C118+'7.16 zöldterület 066010'!C118+'7.17 város 066020'!C118+'7.18 háziorvos 072111'!C118+'7.19 ügyelet 072112'!C118+'7.20 fülészet 072210'!C118+'7.21 védőnők 074031'!C118+'7.22 isk eü 074032'!C118+'7.23 sportcsépület 081030'!C118+'7.24 sport tám 081041'!C118+'7.25 diáksport 081043'!C118+'7.26 közműv 082091'!C118+'7.27 közműv 082092'!C118+'7.28  óvoda 091140'!C118+'7.29 intézmkiv gyétk 104037'!C118+'7.30 szoc étk 107051'!C118+'7.31 segélyek 107060'!C118+'7.32 adóbev 900020'!C118+'7.33 pályázatok összesen'!C118+'7.6 út építés 045127'!C118</f>
        <v>8663701</v>
      </c>
      <c r="D118" s="246">
        <f>'7.1. igazg 011130'!D118+'7.2 temető 013320'!D118+'7.3. vagyon 013350'!D118+'7.4 018010'!D118+'7.5 finansz műveletek 018030'!D118+'7.7 közütak működtetés 045160'!D118+'7.8 parkoló 045170'!D118+'7.9 kábeltv 046020'!D118+'7.10 piac 047120'!D118+'7.11 tdm tám047320'!D118+'7.12 szemét 051030'!D118+'7.13 szennyvíz 052080'!D118+'7.14 víz 063080'!D118+'7.15 közvil 064010'!D118+'7.16 zöldterület 066010'!D118+'7.17 város 066020'!D118+'7.18 háziorvos 072111'!D118+'7.19 ügyelet 072112'!D118+'7.20 fülészet 072210'!D118+'7.21 védőnők 074031'!D118+'7.22 isk eü 074032'!D118+'7.23 sportcsépület 081030'!D118+'7.24 sport tám 081041'!D118+'7.25 diáksport 081043'!D118+'7.26 közműv 082091'!D118+'7.27 közműv 082092'!D118+'7.28  óvoda 091140'!D118+'7.29 intézmkiv gyétk 104037'!D118+'7.30 szoc étk 107051'!D118+'7.31 segélyek 107060'!D118+'7.32 adóbev 900020'!D118+'7.33 pályázatok összesen'!D118+'7.6 út építés 045127'!D118</f>
        <v>0</v>
      </c>
      <c r="E118" s="247">
        <f t="shared" si="11"/>
        <v>8663701</v>
      </c>
      <c r="F118" s="246">
        <f>'7.1. igazg 011130'!F118+'7.2 temető 013320'!F118+'7.3. vagyon 013350'!F118+'7.4 018010'!F118+'7.5 finansz műveletek 018030'!F118+'7.7 közütak működtetés 045160'!F118+'7.8 parkoló 045170'!F118+'7.9 kábeltv 046020'!F118+'7.10 piac 047120'!F118+'7.11 tdm tám047320'!F118+'7.12 szemét 051030'!F118+'7.13 szennyvíz 052080'!F118+'7.14 víz 063080'!F118+'7.15 közvil 064010'!F118+'7.16 zöldterület 066010'!F118+'7.17 város 066020'!F118+'7.18 háziorvos 072111'!F118+'7.19 ügyelet 072112'!F118+'7.20 fülészet 072210'!F118+'7.21 védőnők 074031'!F118+'7.22 isk eü 074032'!F118+'7.23 sportcsépület 081030'!F118+'7.24 sport tám 081041'!F118+'7.25 diáksport 081043'!F118+'7.26 közműv 082091'!F118+'7.27 közműv 082092'!F118+'7.28  óvoda 091140'!F118+'7.29 intézmkiv gyétk 104037'!F118+'7.30 szoc étk 107051'!F118+'7.31 segélyek 107060'!F118+'7.32 adóbev 900020'!F118+'7.33 pályázatok összesen'!F118+'7.6 út építés 045127'!F118</f>
        <v>11663701</v>
      </c>
      <c r="G118" s="246">
        <f>'7.1. igazg 011130'!G118+'7.2 temető 013320'!G118+'7.3. vagyon 013350'!G118+'7.4 018010'!G118+'7.5 finansz műveletek 018030'!G118+'7.7 közütak működtetés 045160'!G118+'7.8 parkoló 045170'!G118+'7.9 kábeltv 046020'!G118+'7.10 piac 047120'!G118+'7.11 tdm tám047320'!G118+'7.12 szemét 051030'!G118+'7.13 szennyvíz 052080'!G118+'7.14 víz 063080'!G118+'7.15 közvil 064010'!G118+'7.16 zöldterület 066010'!G118+'7.17 város 066020'!G118+'7.18 háziorvos 072111'!G118+'7.19 ügyelet 072112'!G118+'7.20 fülészet 072210'!G118+'7.21 védőnők 074031'!G118+'7.22 isk eü 074032'!G118+'7.23 sportcsépület 081030'!G118+'7.24 sport tám 081041'!G118+'7.25 diáksport 081043'!G118+'7.26 közműv 082091'!G118+'7.27 közműv 082092'!G118+'7.28  óvoda 091140'!G118+'7.29 intézmkiv gyétk 104037'!G118+'7.30 szoc étk 107051'!G118+'7.31 segélyek 107060'!G118+'7.32 adóbev 900020'!G118+'7.33 pályázatok összesen'!G118+'7.6 út építés 045127'!G118</f>
        <v>0</v>
      </c>
      <c r="H118" s="247">
        <f t="shared" si="15"/>
        <v>11663701</v>
      </c>
      <c r="I118" s="246">
        <f ca="1">'7.1. igazg 011130'!I118+'7.2 temető 013320'!I118+'7.3. vagyon 013350'!I118+'7.4 018010'!I118+'7.5 finansz műveletek 018030'!I118+'7.7 közütak működtetés 045160'!I118+'7.8 parkoló 045170'!I118+'7.9 kábeltv 046020'!I118+'7.10 piac 047120'!I118+'7.11 tdm tám047320'!I118+'7.12 szemét 051030'!I118+'7.13 szennyvíz 052080'!I118+'7.14 víz 063080'!I118+'7.15 közvil 064010'!I118+'7.16 zöldterület 066010'!I118+'7.17 város 066020'!I118+'7.18 háziorvos 072111'!I118+'7.19 ügyelet 072112'!I118+'7.20 fülészet 072210'!I118+'7.21 védőnők 074031'!I118+'7.22 isk eü 074032'!I118+'7.23 sportcsépület 081030'!I118+'7.24 sport tám 081041'!I118+'7.25 diáksport 081043'!I118+'7.26 közműv 082091'!I118+'7.27 közműv 082092'!I118+'7.28  óvoda 091140'!I118+'7.29 intézmkiv gyétk 104037'!I118+'7.30 szoc étk 107051'!I118+'7.31 segélyek 107060'!I118+'7.32 adóbev 900020'!I118+'7.33 pályázatok összesen'!I118+'7.6 út építés 045127'!I118</f>
        <v>19240072</v>
      </c>
      <c r="J118" s="246">
        <f>'7.1. igazg 011130'!J118+'7.2 temető 013320'!J118+'7.3. vagyon 013350'!J118+'7.4 018010'!J118+'7.5 finansz műveletek 018030'!J118+'7.7 közütak működtetés 045160'!J118+'7.8 parkoló 045170'!J118+'7.9 kábeltv 046020'!J118+'7.10 piac 047120'!J118+'7.11 tdm tám047320'!J118+'7.12 szemét 051030'!J118+'7.13 szennyvíz 052080'!J118+'7.14 víz 063080'!J118+'7.15 közvil 064010'!J118+'7.16 zöldterület 066010'!J118+'7.17 város 066020'!J118+'7.18 háziorvos 072111'!J118+'7.19 ügyelet 072112'!J118+'7.20 fülészet 072210'!J118+'7.21 védőnők 074031'!J118+'7.22 isk eü 074032'!J118+'7.23 sportcsépület 081030'!J118+'7.24 sport tám 081041'!J118+'7.25 diáksport 081043'!J118+'7.26 közműv 082091'!J118+'7.27 közműv 082092'!J118+'7.28  óvoda 091140'!J118+'7.29 intézmkiv gyétk 104037'!J118+'7.30 szoc étk 107051'!J118+'7.31 segélyek 107060'!J118+'7.32 adóbev 900020'!J118+'7.33 pályázatok összesen'!J118+'7.6 út építés 045127'!J118</f>
        <v>0</v>
      </c>
      <c r="K118" s="247">
        <f t="shared" ca="1" si="16"/>
        <v>19240072</v>
      </c>
      <c r="L118" s="246">
        <f ca="1">'7.1. igazg 011130'!L118+'7.2 temető 013320'!L118+'7.3. vagyon 013350'!L118+'7.4 018010'!L118+'7.5 finansz műveletek 018030'!L118+'7.7 közütak működtetés 045160'!L118+'7.8 parkoló 045170'!L118+'7.9 kábeltv 046020'!L118+'7.10 piac 047120'!L118+'7.11 tdm tám047320'!L118+'7.12 szemét 051030'!L118+'7.13 szennyvíz 052080'!L118+'7.14 víz 063080'!L118+'7.15 közvil 064010'!L118+'7.16 zöldterület 066010'!L118+'7.17 város 066020'!L118+'7.18 háziorvos 072111'!L118+'7.19 ügyelet 072112'!L118+'7.20 fülészet 072210'!L118+'7.21 védőnők 074031'!L118+'7.22 isk eü 074032'!L118+'7.23 sportcsépület 081030'!L118+'7.24 sport tám 081041'!L118+'7.25 diáksport 081043'!L118+'7.26 közműv 082091'!L118+'7.27 közműv 082092'!L118+'7.28  óvoda 091140'!L118+'7.29 intézmkiv gyétk 104037'!L118+'7.30 szoc étk 107051'!L118+'7.31 segélyek 107060'!L118+'7.32 adóbev 900020'!L118+'7.33 pályázatok összesen'!L118+'7.6 út építés 045127'!L118</f>
        <v>17446199</v>
      </c>
      <c r="M118" s="246">
        <f>'7.1. igazg 011130'!M118+'7.2 temető 013320'!M118+'7.3. vagyon 013350'!M118+'7.4 018010'!M118+'7.5 finansz műveletek 018030'!M118+'7.7 közütak működtetés 045160'!M118+'7.8 parkoló 045170'!M118+'7.9 kábeltv 046020'!M118+'7.10 piac 047120'!M118+'7.11 tdm tám047320'!M118+'7.12 szemét 051030'!M118+'7.13 szennyvíz 052080'!M118+'7.14 víz 063080'!M118+'7.15 közvil 064010'!M118+'7.16 zöldterület 066010'!M118+'7.17 város 066020'!M118+'7.18 háziorvos 072111'!M118+'7.19 ügyelet 072112'!M118+'7.20 fülészet 072210'!M118+'7.21 védőnők 074031'!M118+'7.22 isk eü 074032'!M118+'7.23 sportcsépület 081030'!M118+'7.24 sport tám 081041'!M118+'7.25 diáksport 081043'!M118+'7.26 közműv 082091'!M118+'7.27 közműv 082092'!M118+'7.28  óvoda 091140'!M118+'7.29 intézmkiv gyétk 104037'!M118+'7.30 szoc étk 107051'!M118+'7.31 segélyek 107060'!M118+'7.32 adóbev 900020'!M118+'7.33 pályázatok összesen'!M118+'7.6 út építés 045127'!M118</f>
        <v>0</v>
      </c>
      <c r="N118" s="247">
        <f t="shared" ca="1" si="14"/>
        <v>17446199</v>
      </c>
    </row>
    <row r="119" spans="1:14" x14ac:dyDescent="0.25">
      <c r="A119" s="61" t="s">
        <v>213</v>
      </c>
      <c r="B119" s="62" t="s">
        <v>214</v>
      </c>
      <c r="C119" s="246">
        <f>'7.1. igazg 011130'!C119+'7.2 temető 013320'!C119+'7.3. vagyon 013350'!C119+'7.4 018010'!C119+'7.5 finansz műveletek 018030'!C119+'7.7 közütak működtetés 045160'!C119+'7.8 parkoló 045170'!C119+'7.9 kábeltv 046020'!C119+'7.10 piac 047120'!C119+'7.11 tdm tám047320'!C119+'7.12 szemét 051030'!C119+'7.13 szennyvíz 052080'!C119+'7.14 víz 063080'!C119+'7.15 közvil 064010'!C119+'7.16 zöldterület 066010'!C119+'7.17 város 066020'!C119+'7.18 háziorvos 072111'!C119+'7.19 ügyelet 072112'!C119+'7.20 fülészet 072210'!C119+'7.21 védőnők 074031'!C119+'7.22 isk eü 074032'!C119+'7.23 sportcsépület 081030'!C119+'7.24 sport tám 081041'!C119+'7.25 diáksport 081043'!C119+'7.26 közműv 082091'!C119+'7.27 közműv 082092'!C119+'7.28  óvoda 091140'!C119+'7.29 intézmkiv gyétk 104037'!C119+'7.30 szoc étk 107051'!C119+'7.31 segélyek 107060'!C119+'7.32 adóbev 900020'!C119+'7.33 pályázatok összesen'!C119+'7.6 út építés 045127'!C119</f>
        <v>9485000</v>
      </c>
      <c r="D119" s="246">
        <f>'7.1. igazg 011130'!D119+'7.2 temető 013320'!D119+'7.3. vagyon 013350'!D119+'7.4 018010'!D119+'7.5 finansz műveletek 018030'!D119+'7.7 közütak működtetés 045160'!D119+'7.8 parkoló 045170'!D119+'7.9 kábeltv 046020'!D119+'7.10 piac 047120'!D119+'7.11 tdm tám047320'!D119+'7.12 szemét 051030'!D119+'7.13 szennyvíz 052080'!D119+'7.14 víz 063080'!D119+'7.15 közvil 064010'!D119+'7.16 zöldterület 066010'!D119+'7.17 város 066020'!D119+'7.18 háziorvos 072111'!D119+'7.19 ügyelet 072112'!D119+'7.20 fülészet 072210'!D119+'7.21 védőnők 074031'!D119+'7.22 isk eü 074032'!D119+'7.23 sportcsépület 081030'!D119+'7.24 sport tám 081041'!D119+'7.25 diáksport 081043'!D119+'7.26 közműv 082091'!D119+'7.27 közműv 082092'!D119+'7.28  óvoda 091140'!D119+'7.29 intézmkiv gyétk 104037'!D119+'7.30 szoc étk 107051'!D119+'7.31 segélyek 107060'!D119+'7.32 adóbev 900020'!D119+'7.33 pályázatok összesen'!D119+'7.6 út építés 045127'!D119</f>
        <v>0</v>
      </c>
      <c r="E119" s="247">
        <f t="shared" si="11"/>
        <v>9485000</v>
      </c>
      <c r="F119" s="246">
        <f>'7.1. igazg 011130'!F119+'7.2 temető 013320'!F119+'7.3. vagyon 013350'!F119+'7.4 018010'!F119+'7.5 finansz műveletek 018030'!F119+'7.7 közütak működtetés 045160'!F119+'7.8 parkoló 045170'!F119+'7.9 kábeltv 046020'!F119+'7.10 piac 047120'!F119+'7.11 tdm tám047320'!F119+'7.12 szemét 051030'!F119+'7.13 szennyvíz 052080'!F119+'7.14 víz 063080'!F119+'7.15 közvil 064010'!F119+'7.16 zöldterület 066010'!F119+'7.17 város 066020'!F119+'7.18 háziorvos 072111'!F119+'7.19 ügyelet 072112'!F119+'7.20 fülészet 072210'!F119+'7.21 védőnők 074031'!F119+'7.22 isk eü 074032'!F119+'7.23 sportcsépület 081030'!F119+'7.24 sport tám 081041'!F119+'7.25 diáksport 081043'!F119+'7.26 közműv 082091'!F119+'7.27 közműv 082092'!F119+'7.28  óvoda 091140'!F119+'7.29 intézmkiv gyétk 104037'!F119+'7.30 szoc étk 107051'!F119+'7.31 segélyek 107060'!F119+'7.32 adóbev 900020'!F119+'7.33 pályázatok összesen'!F119+'7.6 út építés 045127'!F119</f>
        <v>885000</v>
      </c>
      <c r="G119" s="246">
        <f>'7.1. igazg 011130'!G119+'7.2 temető 013320'!G119+'7.3. vagyon 013350'!G119+'7.4 018010'!G119+'7.5 finansz műveletek 018030'!G119+'7.7 közütak működtetés 045160'!G119+'7.8 parkoló 045170'!G119+'7.9 kábeltv 046020'!G119+'7.10 piac 047120'!G119+'7.11 tdm tám047320'!G119+'7.12 szemét 051030'!G119+'7.13 szennyvíz 052080'!G119+'7.14 víz 063080'!G119+'7.15 közvil 064010'!G119+'7.16 zöldterület 066010'!G119+'7.17 város 066020'!G119+'7.18 háziorvos 072111'!G119+'7.19 ügyelet 072112'!G119+'7.20 fülészet 072210'!G119+'7.21 védőnők 074031'!G119+'7.22 isk eü 074032'!G119+'7.23 sportcsépület 081030'!G119+'7.24 sport tám 081041'!G119+'7.25 diáksport 081043'!G119+'7.26 közműv 082091'!G119+'7.27 közműv 082092'!G119+'7.28  óvoda 091140'!G119+'7.29 intézmkiv gyétk 104037'!G119+'7.30 szoc étk 107051'!G119+'7.31 segélyek 107060'!G119+'7.32 adóbev 900020'!G119+'7.33 pályázatok összesen'!G119+'7.6 út építés 045127'!G119</f>
        <v>0</v>
      </c>
      <c r="H119" s="247">
        <f t="shared" si="15"/>
        <v>885000</v>
      </c>
      <c r="I119" s="246">
        <f ca="1">'7.1. igazg 011130'!I119+'7.2 temető 013320'!I119+'7.3. vagyon 013350'!I119+'7.4 018010'!I119+'7.5 finansz műveletek 018030'!I119+'7.7 közütak működtetés 045160'!I119+'7.8 parkoló 045170'!I119+'7.9 kábeltv 046020'!I119+'7.10 piac 047120'!I119+'7.11 tdm tám047320'!I119+'7.12 szemét 051030'!I119+'7.13 szennyvíz 052080'!I119+'7.14 víz 063080'!I119+'7.15 közvil 064010'!I119+'7.16 zöldterület 066010'!I119+'7.17 város 066020'!I119+'7.18 háziorvos 072111'!I119+'7.19 ügyelet 072112'!I119+'7.20 fülészet 072210'!I119+'7.21 védőnők 074031'!I119+'7.22 isk eü 074032'!I119+'7.23 sportcsépület 081030'!I119+'7.24 sport tám 081041'!I119+'7.25 diáksport 081043'!I119+'7.26 közműv 082091'!I119+'7.27 közműv 082092'!I119+'7.28  óvoda 091140'!I119+'7.29 intézmkiv gyétk 104037'!I119+'7.30 szoc étk 107051'!I119+'7.31 segélyek 107060'!I119+'7.32 adóbev 900020'!I119+'7.33 pályázatok összesen'!I119+'7.6 út építés 045127'!I119</f>
        <v>3049504</v>
      </c>
      <c r="J119" s="246">
        <f>'7.1. igazg 011130'!J119+'7.2 temető 013320'!J119+'7.3. vagyon 013350'!J119+'7.4 018010'!J119+'7.5 finansz műveletek 018030'!J119+'7.7 közütak működtetés 045160'!J119+'7.8 parkoló 045170'!J119+'7.9 kábeltv 046020'!J119+'7.10 piac 047120'!J119+'7.11 tdm tám047320'!J119+'7.12 szemét 051030'!J119+'7.13 szennyvíz 052080'!J119+'7.14 víz 063080'!J119+'7.15 közvil 064010'!J119+'7.16 zöldterület 066010'!J119+'7.17 város 066020'!J119+'7.18 háziorvos 072111'!J119+'7.19 ügyelet 072112'!J119+'7.20 fülészet 072210'!J119+'7.21 védőnők 074031'!J119+'7.22 isk eü 074032'!J119+'7.23 sportcsépület 081030'!J119+'7.24 sport tám 081041'!J119+'7.25 diáksport 081043'!J119+'7.26 közműv 082091'!J119+'7.27 közműv 082092'!J119+'7.28  óvoda 091140'!J119+'7.29 intézmkiv gyétk 104037'!J119+'7.30 szoc étk 107051'!J119+'7.31 segélyek 107060'!J119+'7.32 adóbev 900020'!J119+'7.33 pályázatok összesen'!J119+'7.6 út építés 045127'!J119</f>
        <v>0</v>
      </c>
      <c r="K119" s="247">
        <f t="shared" ca="1" si="16"/>
        <v>3049504</v>
      </c>
      <c r="L119" s="246">
        <f ca="1">'7.1. igazg 011130'!L119+'7.2 temető 013320'!L119+'7.3. vagyon 013350'!L119+'7.4 018010'!L119+'7.5 finansz műveletek 018030'!L119+'7.7 közütak működtetés 045160'!L119+'7.8 parkoló 045170'!L119+'7.9 kábeltv 046020'!L119+'7.10 piac 047120'!L119+'7.11 tdm tám047320'!L119+'7.12 szemét 051030'!L119+'7.13 szennyvíz 052080'!L119+'7.14 víz 063080'!L119+'7.15 közvil 064010'!L119+'7.16 zöldterület 066010'!L119+'7.17 város 066020'!L119+'7.18 háziorvos 072111'!L119+'7.19 ügyelet 072112'!L119+'7.20 fülészet 072210'!L119+'7.21 védőnők 074031'!L119+'7.22 isk eü 074032'!L119+'7.23 sportcsépület 081030'!L119+'7.24 sport tám 081041'!L119+'7.25 diáksport 081043'!L119+'7.26 közműv 082091'!L119+'7.27 közműv 082092'!L119+'7.28  óvoda 091140'!L119+'7.29 intézmkiv gyétk 104037'!L119+'7.30 szoc étk 107051'!L119+'7.31 segélyek 107060'!L119+'7.32 adóbev 900020'!L119+'7.33 pályázatok összesen'!L119+'7.6 út építés 045127'!L119</f>
        <v>2406905</v>
      </c>
      <c r="M119" s="246">
        <f>'7.1. igazg 011130'!M119+'7.2 temető 013320'!M119+'7.3. vagyon 013350'!M119+'7.4 018010'!M119+'7.5 finansz műveletek 018030'!M119+'7.7 közütak működtetés 045160'!M119+'7.8 parkoló 045170'!M119+'7.9 kábeltv 046020'!M119+'7.10 piac 047120'!M119+'7.11 tdm tám047320'!M119+'7.12 szemét 051030'!M119+'7.13 szennyvíz 052080'!M119+'7.14 víz 063080'!M119+'7.15 közvil 064010'!M119+'7.16 zöldterület 066010'!M119+'7.17 város 066020'!M119+'7.18 háziorvos 072111'!M119+'7.19 ügyelet 072112'!M119+'7.20 fülészet 072210'!M119+'7.21 védőnők 074031'!M119+'7.22 isk eü 074032'!M119+'7.23 sportcsépület 081030'!M119+'7.24 sport tám 081041'!M119+'7.25 diáksport 081043'!M119+'7.26 közműv 082091'!M119+'7.27 közműv 082092'!M119+'7.28  óvoda 091140'!M119+'7.29 intézmkiv gyétk 104037'!M119+'7.30 szoc étk 107051'!M119+'7.31 segélyek 107060'!M119+'7.32 adóbev 900020'!M119+'7.33 pályázatok összesen'!M119+'7.6 út építés 045127'!M119</f>
        <v>0</v>
      </c>
      <c r="N119" s="247">
        <f t="shared" ca="1" si="14"/>
        <v>2406905</v>
      </c>
    </row>
    <row r="120" spans="1:14" x14ac:dyDescent="0.25">
      <c r="A120" s="61" t="s">
        <v>215</v>
      </c>
      <c r="B120" s="62" t="s">
        <v>216</v>
      </c>
      <c r="C120" s="246">
        <f>'7.1. igazg 011130'!C120+'7.2 temető 013320'!C120+'7.3. vagyon 013350'!C120+'7.4 018010'!C120+'7.5 finansz műveletek 018030'!C120+'7.7 közütak működtetés 045160'!C120+'7.8 parkoló 045170'!C120+'7.9 kábeltv 046020'!C120+'7.10 piac 047120'!C120+'7.11 tdm tám047320'!C120+'7.12 szemét 051030'!C120+'7.13 szennyvíz 052080'!C120+'7.14 víz 063080'!C120+'7.15 közvil 064010'!C120+'7.16 zöldterület 066010'!C120+'7.17 város 066020'!C120+'7.18 háziorvos 072111'!C120+'7.19 ügyelet 072112'!C120+'7.20 fülészet 072210'!C120+'7.21 védőnők 074031'!C120+'7.22 isk eü 074032'!C120+'7.23 sportcsépület 081030'!C120+'7.24 sport tám 081041'!C120+'7.25 diáksport 081043'!C120+'7.26 közműv 082091'!C120+'7.27 közműv 082092'!C120+'7.28  óvoda 091140'!C120+'7.29 intézmkiv gyétk 104037'!C120+'7.30 szoc étk 107051'!C120+'7.31 segélyek 107060'!C120+'7.32 adóbev 900020'!C120+'7.33 pályázatok összesen'!C120+'7.6 út építés 045127'!C120</f>
        <v>50972992</v>
      </c>
      <c r="D120" s="246">
        <f>'7.1. igazg 011130'!D120+'7.2 temető 013320'!D120+'7.3. vagyon 013350'!D120+'7.4 018010'!D120+'7.5 finansz műveletek 018030'!D120+'7.7 közütak működtetés 045160'!D120+'7.8 parkoló 045170'!D120+'7.9 kábeltv 046020'!D120+'7.10 piac 047120'!D120+'7.11 tdm tám047320'!D120+'7.12 szemét 051030'!D120+'7.13 szennyvíz 052080'!D120+'7.14 víz 063080'!D120+'7.15 közvil 064010'!D120+'7.16 zöldterület 066010'!D120+'7.17 város 066020'!D120+'7.18 háziorvos 072111'!D120+'7.19 ügyelet 072112'!D120+'7.20 fülészet 072210'!D120+'7.21 védőnők 074031'!D120+'7.22 isk eü 074032'!D120+'7.23 sportcsépület 081030'!D120+'7.24 sport tám 081041'!D120+'7.25 diáksport 081043'!D120+'7.26 közműv 082091'!D120+'7.27 közműv 082092'!D120+'7.28  óvoda 091140'!D120+'7.29 intézmkiv gyétk 104037'!D120+'7.30 szoc étk 107051'!D120+'7.31 segélyek 107060'!D120+'7.32 adóbev 900020'!D120+'7.33 pályázatok összesen'!D120+'7.6 út építés 045127'!D120</f>
        <v>1200000</v>
      </c>
      <c r="E120" s="247">
        <f t="shared" si="11"/>
        <v>52172992</v>
      </c>
      <c r="F120" s="246">
        <f>'7.1. igazg 011130'!F120+'7.2 temető 013320'!F120+'7.3. vagyon 013350'!F120+'7.4 018010'!F120+'7.5 finansz műveletek 018030'!F120+'7.7 közütak működtetés 045160'!F120+'7.8 parkoló 045170'!F120+'7.9 kábeltv 046020'!F120+'7.10 piac 047120'!F120+'7.11 tdm tám047320'!F120+'7.12 szemét 051030'!F120+'7.13 szennyvíz 052080'!F120+'7.14 víz 063080'!F120+'7.15 közvil 064010'!F120+'7.16 zöldterület 066010'!F120+'7.17 város 066020'!F120+'7.18 háziorvos 072111'!F120+'7.19 ügyelet 072112'!F120+'7.20 fülészet 072210'!F120+'7.21 védőnők 074031'!F120+'7.22 isk eü 074032'!F120+'7.23 sportcsépület 081030'!F120+'7.24 sport tám 081041'!F120+'7.25 diáksport 081043'!F120+'7.26 közműv 082091'!F120+'7.27 közműv 082092'!F120+'7.28  óvoda 091140'!F120+'7.29 intézmkiv gyétk 104037'!F120+'7.30 szoc étk 107051'!F120+'7.31 segélyek 107060'!F120+'7.32 adóbev 900020'!F120+'7.33 pályázatok összesen'!F120+'7.6 út építés 045127'!F120</f>
        <v>75915512</v>
      </c>
      <c r="G120" s="246">
        <f>'7.1. igazg 011130'!G120+'7.2 temető 013320'!G120+'7.3. vagyon 013350'!G120+'7.4 018010'!G120+'7.5 finansz műveletek 018030'!G120+'7.7 közütak működtetés 045160'!G120+'7.8 parkoló 045170'!G120+'7.9 kábeltv 046020'!G120+'7.10 piac 047120'!G120+'7.11 tdm tám047320'!G120+'7.12 szemét 051030'!G120+'7.13 szennyvíz 052080'!G120+'7.14 víz 063080'!G120+'7.15 közvil 064010'!G120+'7.16 zöldterület 066010'!G120+'7.17 város 066020'!G120+'7.18 háziorvos 072111'!G120+'7.19 ügyelet 072112'!G120+'7.20 fülészet 072210'!G120+'7.21 védőnők 074031'!G120+'7.22 isk eü 074032'!G120+'7.23 sportcsépület 081030'!G120+'7.24 sport tám 081041'!G120+'7.25 diáksport 081043'!G120+'7.26 közműv 082091'!G120+'7.27 közműv 082092'!G120+'7.28  óvoda 091140'!G120+'7.29 intézmkiv gyétk 104037'!G120+'7.30 szoc étk 107051'!G120+'7.31 segélyek 107060'!G120+'7.32 adóbev 900020'!G120+'7.33 pályázatok összesen'!G120+'7.6 út építés 045127'!G120</f>
        <v>1200000</v>
      </c>
      <c r="H120" s="247">
        <f t="shared" si="15"/>
        <v>77115512</v>
      </c>
      <c r="I120" s="246">
        <f ca="1">'7.1. igazg 011130'!I120+'7.2 temető 013320'!I120+'7.3. vagyon 013350'!I120+'7.4 018010'!I120+'7.5 finansz műveletek 018030'!I120+'7.7 közütak működtetés 045160'!I120+'7.8 parkoló 045170'!I120+'7.9 kábeltv 046020'!I120+'7.10 piac 047120'!I120+'7.11 tdm tám047320'!I120+'7.12 szemét 051030'!I120+'7.13 szennyvíz 052080'!I120+'7.14 víz 063080'!I120+'7.15 közvil 064010'!I120+'7.16 zöldterület 066010'!I120+'7.17 város 066020'!I120+'7.18 háziorvos 072111'!I120+'7.19 ügyelet 072112'!I120+'7.20 fülészet 072210'!I120+'7.21 védőnők 074031'!I120+'7.22 isk eü 074032'!I120+'7.23 sportcsépület 081030'!I120+'7.24 sport tám 081041'!I120+'7.25 diáksport 081043'!I120+'7.26 közműv 082091'!I120+'7.27 közműv 082092'!I120+'7.28  óvoda 091140'!I120+'7.29 intézmkiv gyétk 104037'!I120+'7.30 szoc étk 107051'!I120+'7.31 segélyek 107060'!I120+'7.32 adóbev 900020'!I120+'7.33 pályázatok összesen'!I120+'7.6 út építés 045127'!I120</f>
        <v>87872912</v>
      </c>
      <c r="J120" s="246">
        <f>'7.1. igazg 011130'!J120+'7.2 temető 013320'!J120+'7.3. vagyon 013350'!J120+'7.4 018010'!J120+'7.5 finansz műveletek 018030'!J120+'7.7 közütak működtetés 045160'!J120+'7.8 parkoló 045170'!J120+'7.9 kábeltv 046020'!J120+'7.10 piac 047120'!J120+'7.11 tdm tám047320'!J120+'7.12 szemét 051030'!J120+'7.13 szennyvíz 052080'!J120+'7.14 víz 063080'!J120+'7.15 közvil 064010'!J120+'7.16 zöldterület 066010'!J120+'7.17 város 066020'!J120+'7.18 háziorvos 072111'!J120+'7.19 ügyelet 072112'!J120+'7.20 fülészet 072210'!J120+'7.21 védőnők 074031'!J120+'7.22 isk eü 074032'!J120+'7.23 sportcsépület 081030'!J120+'7.24 sport tám 081041'!J120+'7.25 diáksport 081043'!J120+'7.26 közműv 082091'!J120+'7.27 közműv 082092'!J120+'7.28  óvoda 091140'!J120+'7.29 intézmkiv gyétk 104037'!J120+'7.30 szoc étk 107051'!J120+'7.31 segélyek 107060'!J120+'7.32 adóbev 900020'!J120+'7.33 pályázatok összesen'!J120+'7.6 út építés 045127'!J120</f>
        <v>1200000</v>
      </c>
      <c r="K120" s="247">
        <f t="shared" ref="K120" ca="1" si="17">SUM(I120:J120)</f>
        <v>89072912</v>
      </c>
      <c r="L120" s="246">
        <f ca="1">'7.1. igazg 011130'!L120+'7.2 temető 013320'!L120+'7.3. vagyon 013350'!L120+'7.4 018010'!L120+'7.5 finansz műveletek 018030'!L120+'7.7 közütak működtetés 045160'!L120+'7.8 parkoló 045170'!L120+'7.9 kábeltv 046020'!L120+'7.10 piac 047120'!L120+'7.11 tdm tám047320'!L120+'7.12 szemét 051030'!L120+'7.13 szennyvíz 052080'!L120+'7.14 víz 063080'!L120+'7.15 közvil 064010'!L120+'7.16 zöldterület 066010'!L120+'7.17 város 066020'!L120+'7.18 háziorvos 072111'!L120+'7.19 ügyelet 072112'!L120+'7.20 fülészet 072210'!L120+'7.21 védőnők 074031'!L120+'7.22 isk eü 074032'!L120+'7.23 sportcsépület 081030'!L120+'7.24 sport tám 081041'!L120+'7.25 diáksport 081043'!L120+'7.26 közműv 082091'!L120+'7.27 közműv 082092'!L120+'7.28  óvoda 091140'!L120+'7.29 intézmkiv gyétk 104037'!L120+'7.30 szoc étk 107051'!L120+'7.31 segélyek 107060'!L120+'7.32 adóbev 900020'!L120+'7.33 pályázatok összesen'!L120+'7.6 út építés 045127'!L120</f>
        <v>56194539</v>
      </c>
      <c r="M120" s="246">
        <f>'7.1. igazg 011130'!M120+'7.2 temető 013320'!M120+'7.3. vagyon 013350'!M120+'7.4 018010'!M120+'7.5 finansz műveletek 018030'!M120+'7.7 közütak működtetés 045160'!M120+'7.8 parkoló 045170'!M120+'7.9 kábeltv 046020'!M120+'7.10 piac 047120'!M120+'7.11 tdm tám047320'!M120+'7.12 szemét 051030'!M120+'7.13 szennyvíz 052080'!M120+'7.14 víz 063080'!M120+'7.15 közvil 064010'!M120+'7.16 zöldterület 066010'!M120+'7.17 város 066020'!M120+'7.18 háziorvos 072111'!M120+'7.19 ügyelet 072112'!M120+'7.20 fülészet 072210'!M120+'7.21 védőnők 074031'!M120+'7.22 isk eü 074032'!M120+'7.23 sportcsépület 081030'!M120+'7.24 sport tám 081041'!M120+'7.25 diáksport 081043'!M120+'7.26 közműv 082091'!M120+'7.27 közműv 082092'!M120+'7.28  óvoda 091140'!M120+'7.29 intézmkiv gyétk 104037'!M120+'7.30 szoc étk 107051'!M120+'7.31 segélyek 107060'!M120+'7.32 adóbev 900020'!M120+'7.33 pályázatok összesen'!M120+'7.6 út építés 045127'!M120</f>
        <v>1190000</v>
      </c>
      <c r="N120" s="247">
        <f t="shared" ca="1" si="14"/>
        <v>57384539</v>
      </c>
    </row>
    <row r="121" spans="1:14" x14ac:dyDescent="0.25">
      <c r="A121" s="61" t="s">
        <v>217</v>
      </c>
      <c r="B121" s="62" t="s">
        <v>218</v>
      </c>
      <c r="C121" s="246">
        <f>'7.1. igazg 011130'!C121+'7.2 temető 013320'!C121+'7.3. vagyon 013350'!C121+'7.4 018010'!C121+'7.5 finansz műveletek 018030'!C121+'7.7 közütak működtetés 045160'!C121+'7.8 parkoló 045170'!C121+'7.9 kábeltv 046020'!C121+'7.10 piac 047120'!C121+'7.11 tdm tám047320'!C121+'7.12 szemét 051030'!C121+'7.13 szennyvíz 052080'!C121+'7.14 víz 063080'!C121+'7.15 közvil 064010'!C121+'7.16 zöldterület 066010'!C121+'7.17 város 066020'!C121+'7.18 háziorvos 072111'!C121+'7.19 ügyelet 072112'!C121+'7.20 fülészet 072210'!C121+'7.21 védőnők 074031'!C121+'7.22 isk eü 074032'!C121+'7.23 sportcsépület 081030'!C121+'7.24 sport tám 081041'!C121+'7.25 diáksport 081043'!C121+'7.26 közműv 082091'!C121+'7.27 közműv 082092'!C121+'7.28  óvoda 091140'!C121+'7.29 intézmkiv gyétk 104037'!C121+'7.30 szoc étk 107051'!C121+'7.31 segélyek 107060'!C121+'7.32 adóbev 900020'!C121+'7.33 pályázatok összesen'!C121+'7.6 út építés 045127'!C121</f>
        <v>188248124</v>
      </c>
      <c r="D121" s="246">
        <f>'7.1. igazg 011130'!D121+'7.2 temető 013320'!D121+'7.3. vagyon 013350'!D121+'7.4 018010'!D121+'7.5 finansz műveletek 018030'!D121+'7.7 közütak működtetés 045160'!D121+'7.8 parkoló 045170'!D121+'7.9 kábeltv 046020'!D121+'7.10 piac 047120'!D121+'7.11 tdm tám047320'!D121+'7.12 szemét 051030'!D121+'7.13 szennyvíz 052080'!D121+'7.14 víz 063080'!D121+'7.15 közvil 064010'!D121+'7.16 zöldterület 066010'!D121+'7.17 város 066020'!D121+'7.18 háziorvos 072111'!D121+'7.19 ügyelet 072112'!D121+'7.20 fülészet 072210'!D121+'7.21 védőnők 074031'!D121+'7.22 isk eü 074032'!D121+'7.23 sportcsépület 081030'!D121+'7.24 sport tám 081041'!D121+'7.25 diáksport 081043'!D121+'7.26 közműv 082091'!D121+'7.27 közműv 082092'!D121+'7.28  óvoda 091140'!D121+'7.29 intézmkiv gyétk 104037'!D121+'7.30 szoc étk 107051'!D121+'7.31 segélyek 107060'!D121+'7.32 adóbev 900020'!D121+'7.33 pályázatok összesen'!D121+'7.6 út építés 045127'!D121</f>
        <v>39370</v>
      </c>
      <c r="E121" s="247">
        <f t="shared" si="11"/>
        <v>188287494</v>
      </c>
      <c r="F121" s="246">
        <f>'7.1. igazg 011130'!F121+'7.2 temető 013320'!F121+'7.3. vagyon 013350'!F121+'7.4 018010'!F121+'7.5 finansz műveletek 018030'!F121+'7.7 közütak működtetés 045160'!F121+'7.8 parkoló 045170'!F121+'7.9 kábeltv 046020'!F121+'7.10 piac 047120'!F121+'7.11 tdm tám047320'!F121+'7.12 szemét 051030'!F121+'7.13 szennyvíz 052080'!F121+'7.14 víz 063080'!F121+'7.15 közvil 064010'!F121+'7.16 zöldterület 066010'!F121+'7.17 város 066020'!F121+'7.18 háziorvos 072111'!F121+'7.19 ügyelet 072112'!F121+'7.20 fülészet 072210'!F121+'7.21 védőnők 074031'!F121+'7.22 isk eü 074032'!F121+'7.23 sportcsépület 081030'!F121+'7.24 sport tám 081041'!F121+'7.25 diáksport 081043'!F121+'7.26 közműv 082091'!F121+'7.27 közműv 082092'!F121+'7.28  óvoda 091140'!F121+'7.29 intézmkiv gyétk 104037'!F121+'7.30 szoc étk 107051'!F121+'7.31 segélyek 107060'!F121+'7.32 adóbev 900020'!F121+'7.33 pályázatok összesen'!F121+'7.6 út építés 045127'!F121</f>
        <v>183913349</v>
      </c>
      <c r="G121" s="246">
        <f>'7.1. igazg 011130'!G121+'7.2 temető 013320'!G121+'7.3. vagyon 013350'!G121+'7.4 018010'!G121+'7.5 finansz műveletek 018030'!G121+'7.7 közütak működtetés 045160'!G121+'7.8 parkoló 045170'!G121+'7.9 kábeltv 046020'!G121+'7.10 piac 047120'!G121+'7.11 tdm tám047320'!G121+'7.12 szemét 051030'!G121+'7.13 szennyvíz 052080'!G121+'7.14 víz 063080'!G121+'7.15 közvil 064010'!G121+'7.16 zöldterület 066010'!G121+'7.17 város 066020'!G121+'7.18 háziorvos 072111'!G121+'7.19 ügyelet 072112'!G121+'7.20 fülészet 072210'!G121+'7.21 védőnők 074031'!G121+'7.22 isk eü 074032'!G121+'7.23 sportcsépület 081030'!G121+'7.24 sport tám 081041'!G121+'7.25 diáksport 081043'!G121+'7.26 közműv 082091'!G121+'7.27 közműv 082092'!G121+'7.28  óvoda 091140'!G121+'7.29 intézmkiv gyétk 104037'!G121+'7.30 szoc étk 107051'!G121+'7.31 segélyek 107060'!G121+'7.32 adóbev 900020'!G121+'7.33 pályázatok összesen'!G121+'7.6 út építés 045127'!G121</f>
        <v>39370</v>
      </c>
      <c r="H121" s="247">
        <f t="shared" si="15"/>
        <v>183952719</v>
      </c>
      <c r="I121" s="246">
        <f ca="1">'7.1. igazg 011130'!I121+'7.2 temető 013320'!I121+'7.3. vagyon 013350'!I121+'7.4 018010'!I121+'7.5 finansz műveletek 018030'!I121+'7.7 közütak működtetés 045160'!I121+'7.8 parkoló 045170'!I121+'7.9 kábeltv 046020'!I121+'7.10 piac 047120'!I121+'7.11 tdm tám047320'!I121+'7.12 szemét 051030'!I121+'7.13 szennyvíz 052080'!I121+'7.14 víz 063080'!I121+'7.15 közvil 064010'!I121+'7.16 zöldterület 066010'!I121+'7.17 város 066020'!I121+'7.18 háziorvos 072111'!I121+'7.19 ügyelet 072112'!I121+'7.20 fülészet 072210'!I121+'7.21 védőnők 074031'!I121+'7.22 isk eü 074032'!I121+'7.23 sportcsépület 081030'!I121+'7.24 sport tám 081041'!I121+'7.25 diáksport 081043'!I121+'7.26 közműv 082091'!I121+'7.27 közműv 082092'!I121+'7.28  óvoda 091140'!I121+'7.29 intézmkiv gyétk 104037'!I121+'7.30 szoc étk 107051'!I121+'7.31 segélyek 107060'!I121+'7.32 adóbev 900020'!I121+'7.33 pályázatok összesen'!I121+'7.6 út építés 045127'!I121</f>
        <v>163425091</v>
      </c>
      <c r="J121" s="246">
        <f>'7.1. igazg 011130'!J121+'7.2 temető 013320'!J121+'7.3. vagyon 013350'!J121+'7.4 018010'!J121+'7.5 finansz műveletek 018030'!J121+'7.7 közütak működtetés 045160'!J121+'7.8 parkoló 045170'!J121+'7.9 kábeltv 046020'!J121+'7.10 piac 047120'!J121+'7.11 tdm tám047320'!J121+'7.12 szemét 051030'!J121+'7.13 szennyvíz 052080'!J121+'7.14 víz 063080'!J121+'7.15 közvil 064010'!J121+'7.16 zöldterület 066010'!J121+'7.17 város 066020'!J121+'7.18 háziorvos 072111'!J121+'7.19 ügyelet 072112'!J121+'7.20 fülészet 072210'!J121+'7.21 védőnők 074031'!J121+'7.22 isk eü 074032'!J121+'7.23 sportcsépület 081030'!J121+'7.24 sport tám 081041'!J121+'7.25 diáksport 081043'!J121+'7.26 közműv 082091'!J121+'7.27 közműv 082092'!J121+'7.28  óvoda 091140'!J121+'7.29 intézmkiv gyétk 104037'!J121+'7.30 szoc étk 107051'!J121+'7.31 segélyek 107060'!J121+'7.32 adóbev 900020'!J121+'7.33 pályázatok összesen'!J121+'7.6 út építés 045127'!J121</f>
        <v>39370</v>
      </c>
      <c r="K121" s="247">
        <f t="shared" ca="1" si="16"/>
        <v>163464461</v>
      </c>
      <c r="L121" s="246">
        <f ca="1">'7.1. igazg 011130'!L121+'7.2 temető 013320'!L121+'7.3. vagyon 013350'!L121+'7.4 018010'!L121+'7.5 finansz műveletek 018030'!L121+'7.7 közütak működtetés 045160'!L121+'7.8 parkoló 045170'!L121+'7.9 kábeltv 046020'!L121+'7.10 piac 047120'!L121+'7.11 tdm tám047320'!L121+'7.12 szemét 051030'!L121+'7.13 szennyvíz 052080'!L121+'7.14 víz 063080'!L121+'7.15 közvil 064010'!L121+'7.16 zöldterület 066010'!L121+'7.17 város 066020'!L121+'7.18 háziorvos 072111'!L121+'7.19 ügyelet 072112'!L121+'7.20 fülészet 072210'!L121+'7.21 védőnők 074031'!L121+'7.22 isk eü 074032'!L121+'7.23 sportcsépület 081030'!L121+'7.24 sport tám 081041'!L121+'7.25 diáksport 081043'!L121+'7.26 közműv 082091'!L121+'7.27 közműv 082092'!L121+'7.28  óvoda 091140'!L121+'7.29 intézmkiv gyétk 104037'!L121+'7.30 szoc étk 107051'!L121+'7.31 segélyek 107060'!L121+'7.32 adóbev 900020'!L121+'7.33 pályázatok összesen'!L121+'7.6 út építés 045127'!L121</f>
        <v>106338569</v>
      </c>
      <c r="M121" s="246">
        <f>'7.1. igazg 011130'!M121+'7.2 temető 013320'!M121+'7.3. vagyon 013350'!M121+'7.4 018010'!M121+'7.5 finansz műveletek 018030'!M121+'7.7 közütak működtetés 045160'!M121+'7.8 parkoló 045170'!M121+'7.9 kábeltv 046020'!M121+'7.10 piac 047120'!M121+'7.11 tdm tám047320'!M121+'7.12 szemét 051030'!M121+'7.13 szennyvíz 052080'!M121+'7.14 víz 063080'!M121+'7.15 közvil 064010'!M121+'7.16 zöldterület 066010'!M121+'7.17 város 066020'!M121+'7.18 háziorvos 072111'!M121+'7.19 ügyelet 072112'!M121+'7.20 fülészet 072210'!M121+'7.21 védőnők 074031'!M121+'7.22 isk eü 074032'!M121+'7.23 sportcsépület 081030'!M121+'7.24 sport tám 081041'!M121+'7.25 diáksport 081043'!M121+'7.26 közműv 082091'!M121+'7.27 közműv 082092'!M121+'7.28  óvoda 091140'!M121+'7.29 intézmkiv gyétk 104037'!M121+'7.30 szoc étk 107051'!M121+'7.31 segélyek 107060'!M121+'7.32 adóbev 900020'!M121+'7.33 pályázatok összesen'!M121+'7.6 út építés 045127'!M121</f>
        <v>17323</v>
      </c>
      <c r="N121" s="247">
        <f t="shared" ca="1" si="14"/>
        <v>106355892</v>
      </c>
    </row>
    <row r="122" spans="1:14" x14ac:dyDescent="0.25">
      <c r="A122" s="61" t="s">
        <v>219</v>
      </c>
      <c r="B122" s="62" t="s">
        <v>220</v>
      </c>
      <c r="C122" s="246">
        <f>'7.1. igazg 011130'!C122+'7.2 temető 013320'!C122+'7.3. vagyon 013350'!C122+'7.4 018010'!C122+'7.5 finansz műveletek 018030'!C122+'7.7 közütak működtetés 045160'!C122+'7.8 parkoló 045170'!C122+'7.9 kábeltv 046020'!C122+'7.10 piac 047120'!C122+'7.11 tdm tám047320'!C122+'7.12 szemét 051030'!C122+'7.13 szennyvíz 052080'!C122+'7.14 víz 063080'!C122+'7.15 közvil 064010'!C122+'7.16 zöldterület 066010'!C122+'7.17 város 066020'!C122+'7.18 háziorvos 072111'!C122+'7.19 ügyelet 072112'!C122+'7.20 fülészet 072210'!C122+'7.21 védőnők 074031'!C122+'7.22 isk eü 074032'!C122+'7.23 sportcsépület 081030'!C122+'7.24 sport tám 081041'!C122+'7.25 diáksport 081043'!C122+'7.26 közműv 082091'!C122+'7.27 közműv 082092'!C122+'7.28  óvoda 091140'!C122+'7.29 intézmkiv gyétk 104037'!C122+'7.30 szoc étk 107051'!C122+'7.31 segélyek 107060'!C122+'7.32 adóbev 900020'!C122+'7.33 pályázatok összesen'!C122+'7.6 út építés 045127'!C122</f>
        <v>4562000</v>
      </c>
      <c r="D122" s="246">
        <f>'7.1. igazg 011130'!D122+'7.2 temető 013320'!D122+'7.3. vagyon 013350'!D122+'7.4 018010'!D122+'7.5 finansz műveletek 018030'!D122+'7.7 közütak működtetés 045160'!D122+'7.8 parkoló 045170'!D122+'7.9 kábeltv 046020'!D122+'7.10 piac 047120'!D122+'7.11 tdm tám047320'!D122+'7.12 szemét 051030'!D122+'7.13 szennyvíz 052080'!D122+'7.14 víz 063080'!D122+'7.15 közvil 064010'!D122+'7.16 zöldterület 066010'!D122+'7.17 város 066020'!D122+'7.18 háziorvos 072111'!D122+'7.19 ügyelet 072112'!D122+'7.20 fülészet 072210'!D122+'7.21 védőnők 074031'!D122+'7.22 isk eü 074032'!D122+'7.23 sportcsépület 081030'!D122+'7.24 sport tám 081041'!D122+'7.25 diáksport 081043'!D122+'7.26 közműv 082091'!D122+'7.27 közműv 082092'!D122+'7.28  óvoda 091140'!D122+'7.29 intézmkiv gyétk 104037'!D122+'7.30 szoc étk 107051'!D122+'7.31 segélyek 107060'!D122+'7.32 adóbev 900020'!D122+'7.33 pályázatok összesen'!D122+'7.6 út építés 045127'!D122</f>
        <v>0</v>
      </c>
      <c r="E122" s="247">
        <f t="shared" si="11"/>
        <v>4562000</v>
      </c>
      <c r="F122" s="246">
        <f>'7.1. igazg 011130'!F122+'7.2 temető 013320'!F122+'7.3. vagyon 013350'!F122+'7.4 018010'!F122+'7.5 finansz műveletek 018030'!F122+'7.7 közütak működtetés 045160'!F122+'7.8 parkoló 045170'!F122+'7.9 kábeltv 046020'!F122+'7.10 piac 047120'!F122+'7.11 tdm tám047320'!F122+'7.12 szemét 051030'!F122+'7.13 szennyvíz 052080'!F122+'7.14 víz 063080'!F122+'7.15 közvil 064010'!F122+'7.16 zöldterület 066010'!F122+'7.17 város 066020'!F122+'7.18 háziorvos 072111'!F122+'7.19 ügyelet 072112'!F122+'7.20 fülészet 072210'!F122+'7.21 védőnők 074031'!F122+'7.22 isk eü 074032'!F122+'7.23 sportcsépület 081030'!F122+'7.24 sport tám 081041'!F122+'7.25 diáksport 081043'!F122+'7.26 közműv 082091'!F122+'7.27 közműv 082092'!F122+'7.28  óvoda 091140'!F122+'7.29 intézmkiv gyétk 104037'!F122+'7.30 szoc étk 107051'!F122+'7.31 segélyek 107060'!F122+'7.32 adóbev 900020'!F122+'7.33 pályázatok összesen'!F122+'7.6 út építés 045127'!F122</f>
        <v>4562000</v>
      </c>
      <c r="G122" s="246">
        <f>'7.1. igazg 011130'!G122+'7.2 temető 013320'!G122+'7.3. vagyon 013350'!G122+'7.4 018010'!G122+'7.5 finansz műveletek 018030'!G122+'7.7 közütak működtetés 045160'!G122+'7.8 parkoló 045170'!G122+'7.9 kábeltv 046020'!G122+'7.10 piac 047120'!G122+'7.11 tdm tám047320'!G122+'7.12 szemét 051030'!G122+'7.13 szennyvíz 052080'!G122+'7.14 víz 063080'!G122+'7.15 közvil 064010'!G122+'7.16 zöldterület 066010'!G122+'7.17 város 066020'!G122+'7.18 háziorvos 072111'!G122+'7.19 ügyelet 072112'!G122+'7.20 fülészet 072210'!G122+'7.21 védőnők 074031'!G122+'7.22 isk eü 074032'!G122+'7.23 sportcsépület 081030'!G122+'7.24 sport tám 081041'!G122+'7.25 diáksport 081043'!G122+'7.26 közműv 082091'!G122+'7.27 közműv 082092'!G122+'7.28  óvoda 091140'!G122+'7.29 intézmkiv gyétk 104037'!G122+'7.30 szoc étk 107051'!G122+'7.31 segélyek 107060'!G122+'7.32 adóbev 900020'!G122+'7.33 pályázatok összesen'!G122+'7.6 út építés 045127'!G122</f>
        <v>0</v>
      </c>
      <c r="H122" s="247">
        <f t="shared" si="15"/>
        <v>4562000</v>
      </c>
      <c r="I122" s="246">
        <f ca="1">'7.1. igazg 011130'!I122+'7.2 temető 013320'!I122+'7.3. vagyon 013350'!I122+'7.4 018010'!I122+'7.5 finansz műveletek 018030'!I122+'7.7 közütak működtetés 045160'!I122+'7.8 parkoló 045170'!I122+'7.9 kábeltv 046020'!I122+'7.10 piac 047120'!I122+'7.11 tdm tám047320'!I122+'7.12 szemét 051030'!I122+'7.13 szennyvíz 052080'!I122+'7.14 víz 063080'!I122+'7.15 közvil 064010'!I122+'7.16 zöldterület 066010'!I122+'7.17 város 066020'!I122+'7.18 háziorvos 072111'!I122+'7.19 ügyelet 072112'!I122+'7.20 fülészet 072210'!I122+'7.21 védőnők 074031'!I122+'7.22 isk eü 074032'!I122+'7.23 sportcsépület 081030'!I122+'7.24 sport tám 081041'!I122+'7.25 diáksport 081043'!I122+'7.26 közműv 082091'!I122+'7.27 közműv 082092'!I122+'7.28  óvoda 091140'!I122+'7.29 intézmkiv gyétk 104037'!I122+'7.30 szoc étk 107051'!I122+'7.31 segélyek 107060'!I122+'7.32 adóbev 900020'!I122+'7.33 pályázatok összesen'!I122+'7.6 út építés 045127'!I122</f>
        <v>6958743</v>
      </c>
      <c r="J122" s="246">
        <f>'7.1. igazg 011130'!J122+'7.2 temető 013320'!J122+'7.3. vagyon 013350'!J122+'7.4 018010'!J122+'7.5 finansz műveletek 018030'!J122+'7.7 közütak működtetés 045160'!J122+'7.8 parkoló 045170'!J122+'7.9 kábeltv 046020'!J122+'7.10 piac 047120'!J122+'7.11 tdm tám047320'!J122+'7.12 szemét 051030'!J122+'7.13 szennyvíz 052080'!J122+'7.14 víz 063080'!J122+'7.15 közvil 064010'!J122+'7.16 zöldterület 066010'!J122+'7.17 város 066020'!J122+'7.18 háziorvos 072111'!J122+'7.19 ügyelet 072112'!J122+'7.20 fülészet 072210'!J122+'7.21 védőnők 074031'!J122+'7.22 isk eü 074032'!J122+'7.23 sportcsépület 081030'!J122+'7.24 sport tám 081041'!J122+'7.25 diáksport 081043'!J122+'7.26 közműv 082091'!J122+'7.27 közműv 082092'!J122+'7.28  óvoda 091140'!J122+'7.29 intézmkiv gyétk 104037'!J122+'7.30 szoc étk 107051'!J122+'7.31 segélyek 107060'!J122+'7.32 adóbev 900020'!J122+'7.33 pályázatok összesen'!J122+'7.6 út építés 045127'!J122</f>
        <v>0</v>
      </c>
      <c r="K122" s="247">
        <f t="shared" ca="1" si="16"/>
        <v>6958743</v>
      </c>
      <c r="L122" s="246">
        <f ca="1">'7.1. igazg 011130'!L122+'7.2 temető 013320'!L122+'7.3. vagyon 013350'!L122+'7.4 018010'!L122+'7.5 finansz műveletek 018030'!L122+'7.7 közütak működtetés 045160'!L122+'7.8 parkoló 045170'!L122+'7.9 kábeltv 046020'!L122+'7.10 piac 047120'!L122+'7.11 tdm tám047320'!L122+'7.12 szemét 051030'!L122+'7.13 szennyvíz 052080'!L122+'7.14 víz 063080'!L122+'7.15 közvil 064010'!L122+'7.16 zöldterület 066010'!L122+'7.17 város 066020'!L122+'7.18 háziorvos 072111'!L122+'7.19 ügyelet 072112'!L122+'7.20 fülészet 072210'!L122+'7.21 védőnők 074031'!L122+'7.22 isk eü 074032'!L122+'7.23 sportcsépület 081030'!L122+'7.24 sport tám 081041'!L122+'7.25 diáksport 081043'!L122+'7.26 közműv 082091'!L122+'7.27 közműv 082092'!L122+'7.28  óvoda 091140'!L122+'7.29 intézmkiv gyétk 104037'!L122+'7.30 szoc étk 107051'!L122+'7.31 segélyek 107060'!L122+'7.32 adóbev 900020'!L122+'7.33 pályázatok összesen'!L122+'7.6 út építés 045127'!L122</f>
        <v>5358515</v>
      </c>
      <c r="M122" s="246">
        <f>'7.1. igazg 011130'!M122+'7.2 temető 013320'!M122+'7.3. vagyon 013350'!M122+'7.4 018010'!M122+'7.5 finansz műveletek 018030'!M122+'7.7 közütak működtetés 045160'!M122+'7.8 parkoló 045170'!M122+'7.9 kábeltv 046020'!M122+'7.10 piac 047120'!M122+'7.11 tdm tám047320'!M122+'7.12 szemét 051030'!M122+'7.13 szennyvíz 052080'!M122+'7.14 víz 063080'!M122+'7.15 közvil 064010'!M122+'7.16 zöldterület 066010'!M122+'7.17 város 066020'!M122+'7.18 háziorvos 072111'!M122+'7.19 ügyelet 072112'!M122+'7.20 fülészet 072210'!M122+'7.21 védőnők 074031'!M122+'7.22 isk eü 074032'!M122+'7.23 sportcsépület 081030'!M122+'7.24 sport tám 081041'!M122+'7.25 diáksport 081043'!M122+'7.26 közműv 082091'!M122+'7.27 közműv 082092'!M122+'7.28  óvoda 091140'!M122+'7.29 intézmkiv gyétk 104037'!M122+'7.30 szoc étk 107051'!M122+'7.31 segélyek 107060'!M122+'7.32 adóbev 900020'!M122+'7.33 pályázatok összesen'!M122+'7.6 út építés 045127'!M122</f>
        <v>0</v>
      </c>
      <c r="N122" s="247">
        <f t="shared" ca="1" si="14"/>
        <v>5358515</v>
      </c>
    </row>
    <row r="123" spans="1:14" x14ac:dyDescent="0.25">
      <c r="A123" s="61" t="s">
        <v>221</v>
      </c>
      <c r="B123" s="62" t="s">
        <v>222</v>
      </c>
      <c r="C123" s="246">
        <f>'7.1. igazg 011130'!C123+'7.2 temető 013320'!C123+'7.3. vagyon 013350'!C123+'7.4 018010'!C123+'7.5 finansz műveletek 018030'!C123+'7.7 közütak működtetés 045160'!C123+'7.8 parkoló 045170'!C123+'7.9 kábeltv 046020'!C123+'7.10 piac 047120'!C123+'7.11 tdm tám047320'!C123+'7.12 szemét 051030'!C123+'7.13 szennyvíz 052080'!C123+'7.14 víz 063080'!C123+'7.15 közvil 064010'!C123+'7.16 zöldterület 066010'!C123+'7.17 város 066020'!C123+'7.18 háziorvos 072111'!C123+'7.19 ügyelet 072112'!C123+'7.20 fülészet 072210'!C123+'7.21 védőnők 074031'!C123+'7.22 isk eü 074032'!C123+'7.23 sportcsépület 081030'!C123+'7.24 sport tám 081041'!C123+'7.25 diáksport 081043'!C123+'7.26 közműv 082091'!C123+'7.27 közműv 082092'!C123+'7.28  óvoda 091140'!C123+'7.29 intézmkiv gyétk 104037'!C123+'7.30 szoc étk 107051'!C123+'7.31 segélyek 107060'!C123+'7.32 adóbev 900020'!C123+'7.33 pályázatok összesen'!C123+'7.6 út építés 045127'!C123</f>
        <v>470050809</v>
      </c>
      <c r="D123" s="246">
        <f>'7.1. igazg 011130'!D123+'7.2 temető 013320'!D123+'7.3. vagyon 013350'!D123+'7.4 018010'!D123+'7.5 finansz műveletek 018030'!D123+'7.7 közütak működtetés 045160'!D123+'7.8 parkoló 045170'!D123+'7.9 kábeltv 046020'!D123+'7.10 piac 047120'!D123+'7.11 tdm tám047320'!D123+'7.12 szemét 051030'!D123+'7.13 szennyvíz 052080'!D123+'7.14 víz 063080'!D123+'7.15 közvil 064010'!D123+'7.16 zöldterület 066010'!D123+'7.17 város 066020'!D123+'7.18 háziorvos 072111'!D123+'7.19 ügyelet 072112'!D123+'7.20 fülészet 072210'!D123+'7.21 védőnők 074031'!D123+'7.22 isk eü 074032'!D123+'7.23 sportcsépület 081030'!D123+'7.24 sport tám 081041'!D123+'7.25 diáksport 081043'!D123+'7.26 közműv 082091'!D123+'7.27 közműv 082092'!D123+'7.28  óvoda 091140'!D123+'7.29 intézmkiv gyétk 104037'!D123+'7.30 szoc étk 107051'!D123+'7.31 segélyek 107060'!D123+'7.32 adóbev 900020'!D123+'7.33 pályázatok összesen'!D123+'7.6 út építés 045127'!D123</f>
        <v>10630</v>
      </c>
      <c r="E123" s="247">
        <f t="shared" si="11"/>
        <v>470061439</v>
      </c>
      <c r="F123" s="246">
        <f>'7.1. igazg 011130'!F123+'7.2 temető 013320'!F123+'7.3. vagyon 013350'!F123+'7.4 018010'!F123+'7.5 finansz műveletek 018030'!F123+'7.7 közütak működtetés 045160'!F123+'7.8 parkoló 045170'!F123+'7.9 kábeltv 046020'!F123+'7.10 piac 047120'!F123+'7.11 tdm tám047320'!F123+'7.12 szemét 051030'!F123+'7.13 szennyvíz 052080'!F123+'7.14 víz 063080'!F123+'7.15 közvil 064010'!F123+'7.16 zöldterület 066010'!F123+'7.17 város 066020'!F123+'7.18 háziorvos 072111'!F123+'7.19 ügyelet 072112'!F123+'7.20 fülészet 072210'!F123+'7.21 védőnők 074031'!F123+'7.22 isk eü 074032'!F123+'7.23 sportcsépület 081030'!F123+'7.24 sport tám 081041'!F123+'7.25 diáksport 081043'!F123+'7.26 közműv 082091'!F123+'7.27 közműv 082092'!F123+'7.28  óvoda 091140'!F123+'7.29 intézmkiv gyétk 104037'!F123+'7.30 szoc étk 107051'!F123+'7.31 segélyek 107060'!F123+'7.32 adóbev 900020'!F123+'7.33 pályázatok összesen'!F123+'7.6 út építés 045127'!F123</f>
        <v>418906493</v>
      </c>
      <c r="G123" s="246">
        <f>'7.1. igazg 011130'!G123+'7.2 temető 013320'!G123+'7.3. vagyon 013350'!G123+'7.4 018010'!G123+'7.5 finansz műveletek 018030'!G123+'7.7 közütak működtetés 045160'!G123+'7.8 parkoló 045170'!G123+'7.9 kábeltv 046020'!G123+'7.10 piac 047120'!G123+'7.11 tdm tám047320'!G123+'7.12 szemét 051030'!G123+'7.13 szennyvíz 052080'!G123+'7.14 víz 063080'!G123+'7.15 közvil 064010'!G123+'7.16 zöldterület 066010'!G123+'7.17 város 066020'!G123+'7.18 háziorvos 072111'!G123+'7.19 ügyelet 072112'!G123+'7.20 fülészet 072210'!G123+'7.21 védőnők 074031'!G123+'7.22 isk eü 074032'!G123+'7.23 sportcsépület 081030'!G123+'7.24 sport tám 081041'!G123+'7.25 diáksport 081043'!G123+'7.26 közműv 082091'!G123+'7.27 közműv 082092'!G123+'7.28  óvoda 091140'!G123+'7.29 intézmkiv gyétk 104037'!G123+'7.30 szoc étk 107051'!G123+'7.31 segélyek 107060'!G123+'7.32 adóbev 900020'!G123+'7.33 pályázatok összesen'!G123+'7.6 út építés 045127'!G123</f>
        <v>10630</v>
      </c>
      <c r="H123" s="247">
        <f t="shared" si="15"/>
        <v>418917123</v>
      </c>
      <c r="I123" s="246">
        <f ca="1">'7.1. igazg 011130'!I123+'7.2 temető 013320'!I123+'7.3. vagyon 013350'!I123+'7.4 018010'!I123+'7.5 finansz műveletek 018030'!I123+'7.7 közütak működtetés 045160'!I123+'7.8 parkoló 045170'!I123+'7.9 kábeltv 046020'!I123+'7.10 piac 047120'!I123+'7.11 tdm tám047320'!I123+'7.12 szemét 051030'!I123+'7.13 szennyvíz 052080'!I123+'7.14 víz 063080'!I123+'7.15 közvil 064010'!I123+'7.16 zöldterület 066010'!I123+'7.17 város 066020'!I123+'7.18 háziorvos 072111'!I123+'7.19 ügyelet 072112'!I123+'7.20 fülészet 072210'!I123+'7.21 védőnők 074031'!I123+'7.22 isk eü 074032'!I123+'7.23 sportcsépület 081030'!I123+'7.24 sport tám 081041'!I123+'7.25 diáksport 081043'!I123+'7.26 közműv 082091'!I123+'7.27 közműv 082092'!I123+'7.28  óvoda 091140'!I123+'7.29 intézmkiv gyétk 104037'!I123+'7.30 szoc étk 107051'!I123+'7.31 segélyek 107060'!I123+'7.32 adóbev 900020'!I123+'7.33 pályázatok összesen'!I123+'7.6 út építés 045127'!I123</f>
        <v>418110303</v>
      </c>
      <c r="J123" s="246">
        <f>'7.1. igazg 011130'!J123+'7.2 temető 013320'!J123+'7.3. vagyon 013350'!J123+'7.4 018010'!J123+'7.5 finansz műveletek 018030'!J123+'7.7 közütak működtetés 045160'!J123+'7.8 parkoló 045170'!J123+'7.9 kábeltv 046020'!J123+'7.10 piac 047120'!J123+'7.11 tdm tám047320'!J123+'7.12 szemét 051030'!J123+'7.13 szennyvíz 052080'!J123+'7.14 víz 063080'!J123+'7.15 közvil 064010'!J123+'7.16 zöldterület 066010'!J123+'7.17 város 066020'!J123+'7.18 háziorvos 072111'!J123+'7.19 ügyelet 072112'!J123+'7.20 fülészet 072210'!J123+'7.21 védőnők 074031'!J123+'7.22 isk eü 074032'!J123+'7.23 sportcsépület 081030'!J123+'7.24 sport tám 081041'!J123+'7.25 diáksport 081043'!J123+'7.26 közműv 082091'!J123+'7.27 közműv 082092'!J123+'7.28  óvoda 091140'!J123+'7.29 intézmkiv gyétk 104037'!J123+'7.30 szoc étk 107051'!J123+'7.31 segélyek 107060'!J123+'7.32 adóbev 900020'!J123+'7.33 pályázatok összesen'!J123+'7.6 út építés 045127'!J123</f>
        <v>10630</v>
      </c>
      <c r="K123" s="247">
        <f t="shared" ca="1" si="16"/>
        <v>418120933</v>
      </c>
      <c r="L123" s="246">
        <f ca="1">'7.1. igazg 011130'!L123+'7.2 temető 013320'!L123+'7.3. vagyon 013350'!L123+'7.4 018010'!L123+'7.5 finansz műveletek 018030'!L123+'7.7 közütak működtetés 045160'!L123+'7.8 parkoló 045170'!L123+'7.9 kábeltv 046020'!L123+'7.10 piac 047120'!L123+'7.11 tdm tám047320'!L123+'7.12 szemét 051030'!L123+'7.13 szennyvíz 052080'!L123+'7.14 víz 063080'!L123+'7.15 közvil 064010'!L123+'7.16 zöldterület 066010'!L123+'7.17 város 066020'!L123+'7.18 háziorvos 072111'!L123+'7.19 ügyelet 072112'!L123+'7.20 fülészet 072210'!L123+'7.21 védőnők 074031'!L123+'7.22 isk eü 074032'!L123+'7.23 sportcsépület 081030'!L123+'7.24 sport tám 081041'!L123+'7.25 diáksport 081043'!L123+'7.26 közműv 082091'!L123+'7.27 közműv 082092'!L123+'7.28  óvoda 091140'!L123+'7.29 intézmkiv gyétk 104037'!L123+'7.30 szoc étk 107051'!L123+'7.31 segélyek 107060'!L123+'7.32 adóbev 900020'!L123+'7.33 pályázatok összesen'!L123+'7.6 út építés 045127'!L123</f>
        <v>274076022</v>
      </c>
      <c r="M123" s="246">
        <f>'7.1. igazg 011130'!M123+'7.2 temető 013320'!M123+'7.3. vagyon 013350'!M123+'7.4 018010'!M123+'7.5 finansz műveletek 018030'!M123+'7.7 közütak működtetés 045160'!M123+'7.8 parkoló 045170'!M123+'7.9 kábeltv 046020'!M123+'7.10 piac 047120'!M123+'7.11 tdm tám047320'!M123+'7.12 szemét 051030'!M123+'7.13 szennyvíz 052080'!M123+'7.14 víz 063080'!M123+'7.15 közvil 064010'!M123+'7.16 zöldterület 066010'!M123+'7.17 város 066020'!M123+'7.18 háziorvos 072111'!M123+'7.19 ügyelet 072112'!M123+'7.20 fülészet 072210'!M123+'7.21 védőnők 074031'!M123+'7.22 isk eü 074032'!M123+'7.23 sportcsépület 081030'!M123+'7.24 sport tám 081041'!M123+'7.25 diáksport 081043'!M123+'7.26 közműv 082091'!M123+'7.27 közműv 082092'!M123+'7.28  óvoda 091140'!M123+'7.29 intézmkiv gyétk 104037'!M123+'7.30 szoc étk 107051'!M123+'7.31 segélyek 107060'!M123+'7.32 adóbev 900020'!M123+'7.33 pályázatok összesen'!M123+'7.6 út építés 045127'!M123</f>
        <v>5454</v>
      </c>
      <c r="N123" s="247">
        <f t="shared" ca="1" si="14"/>
        <v>274081476</v>
      </c>
    </row>
    <row r="124" spans="1:14" x14ac:dyDescent="0.25">
      <c r="A124" s="61"/>
      <c r="B124" s="62" t="s">
        <v>223</v>
      </c>
      <c r="C124" s="246">
        <f>'7.1. igazg 011130'!C124+'7.2 temető 013320'!C124+'7.3. vagyon 013350'!C124+'7.4 018010'!C124+'7.5 finansz műveletek 018030'!C124+'7.7 közütak működtetés 045160'!C124+'7.8 parkoló 045170'!C124+'7.9 kábeltv 046020'!C124+'7.10 piac 047120'!C124+'7.11 tdm tám047320'!C124+'7.12 szemét 051030'!C124+'7.13 szennyvíz 052080'!C124+'7.14 víz 063080'!C124+'7.15 közvil 064010'!C124+'7.16 zöldterület 066010'!C124+'7.17 város 066020'!C124+'7.18 háziorvos 072111'!C124+'7.19 ügyelet 072112'!C124+'7.20 fülészet 072210'!C124+'7.21 védőnők 074031'!C124+'7.22 isk eü 074032'!C124+'7.23 sportcsépület 081030'!C124+'7.24 sport tám 081041'!C124+'7.25 diáksport 081043'!C124+'7.26 közműv 082091'!C124+'7.27 közműv 082092'!C124+'7.28  óvoda 091140'!C124+'7.29 intézmkiv gyétk 104037'!C124+'7.30 szoc étk 107051'!C124+'7.31 segélyek 107060'!C124+'7.32 adóbev 900020'!C124+'7.33 pályázatok összesen'!C124+'7.6 út építés 045127'!C124</f>
        <v>464085575</v>
      </c>
      <c r="D124" s="246">
        <f>'7.1. igazg 011130'!D124+'7.2 temető 013320'!D124+'7.3. vagyon 013350'!D124+'7.4 018010'!D124+'7.5 finansz műveletek 018030'!D124+'7.7 közütak működtetés 045160'!D124+'7.8 parkoló 045170'!D124+'7.9 kábeltv 046020'!D124+'7.10 piac 047120'!D124+'7.11 tdm tám047320'!D124+'7.12 szemét 051030'!D124+'7.13 szennyvíz 052080'!D124+'7.14 víz 063080'!D124+'7.15 közvil 064010'!D124+'7.16 zöldterület 066010'!D124+'7.17 város 066020'!D124+'7.18 háziorvos 072111'!D124+'7.19 ügyelet 072112'!D124+'7.20 fülészet 072210'!D124+'7.21 védőnők 074031'!D124+'7.22 isk eü 074032'!D124+'7.23 sportcsépület 081030'!D124+'7.24 sport tám 081041'!D124+'7.25 diáksport 081043'!D124+'7.26 közműv 082091'!D124+'7.27 közműv 082092'!D124+'7.28  óvoda 091140'!D124+'7.29 intézmkiv gyétk 104037'!D124+'7.30 szoc étk 107051'!D124+'7.31 segélyek 107060'!D124+'7.32 adóbev 900020'!D124+'7.33 pályázatok összesen'!D124+'7.6 út építés 045127'!D124</f>
        <v>10630</v>
      </c>
      <c r="E124" s="247">
        <f>SUM(C124:D124)</f>
        <v>464096205</v>
      </c>
      <c r="F124" s="246">
        <f>'7.1. igazg 011130'!F124+'7.2 temető 013320'!F124+'7.3. vagyon 013350'!F124+'7.4 018010'!F124+'7.5 finansz műveletek 018030'!F124+'7.7 közütak működtetés 045160'!F124+'7.8 parkoló 045170'!F124+'7.9 kábeltv 046020'!F124+'7.10 piac 047120'!F124+'7.11 tdm tám047320'!F124+'7.12 szemét 051030'!F124+'7.13 szennyvíz 052080'!F124+'7.14 víz 063080'!F124+'7.15 közvil 064010'!F124+'7.16 zöldterület 066010'!F124+'7.17 város 066020'!F124+'7.18 háziorvos 072111'!F124+'7.19 ügyelet 072112'!F124+'7.20 fülészet 072210'!F124+'7.21 védőnők 074031'!F124+'7.22 isk eü 074032'!F124+'7.23 sportcsépület 081030'!F124+'7.24 sport tám 081041'!F124+'7.25 diáksport 081043'!F124+'7.26 közműv 082091'!F124+'7.27 közműv 082092'!F124+'7.28  óvoda 091140'!F124+'7.29 intézmkiv gyétk 104037'!F124+'7.30 szoc étk 107051'!F124+'7.31 segélyek 107060'!F124+'7.32 adóbev 900020'!F124+'7.33 pályázatok összesen'!F124+'7.6 út építés 045127'!F124</f>
        <v>412622240</v>
      </c>
      <c r="G124" s="246">
        <f>'7.1. igazg 011130'!G124+'7.2 temető 013320'!G124+'7.3. vagyon 013350'!G124+'7.4 018010'!G124+'7.5 finansz műveletek 018030'!G124+'7.7 közütak működtetés 045160'!G124+'7.8 parkoló 045170'!G124+'7.9 kábeltv 046020'!G124+'7.10 piac 047120'!G124+'7.11 tdm tám047320'!G124+'7.12 szemét 051030'!G124+'7.13 szennyvíz 052080'!G124+'7.14 víz 063080'!G124+'7.15 közvil 064010'!G124+'7.16 zöldterület 066010'!G124+'7.17 város 066020'!G124+'7.18 háziorvos 072111'!G124+'7.19 ügyelet 072112'!G124+'7.20 fülészet 072210'!G124+'7.21 védőnők 074031'!G124+'7.22 isk eü 074032'!G124+'7.23 sportcsépület 081030'!G124+'7.24 sport tám 081041'!G124+'7.25 diáksport 081043'!G124+'7.26 közműv 082091'!G124+'7.27 közműv 082092'!G124+'7.28  óvoda 091140'!G124+'7.29 intézmkiv gyétk 104037'!G124+'7.30 szoc étk 107051'!G124+'7.31 segélyek 107060'!G124+'7.32 adóbev 900020'!G124+'7.33 pályázatok összesen'!G124+'7.6 út építés 045127'!G124</f>
        <v>10630</v>
      </c>
      <c r="H124" s="247">
        <f>SUM(F124:G124)</f>
        <v>412632870</v>
      </c>
      <c r="I124" s="246">
        <f ca="1">'7.1. igazg 011130'!I124+'7.2 temető 013320'!I124+'7.3. vagyon 013350'!I124+'7.4 018010'!I124+'7.5 finansz műveletek 018030'!I124+'7.7 közütak működtetés 045160'!I124+'7.8 parkoló 045170'!I124+'7.9 kábeltv 046020'!I124+'7.10 piac 047120'!I124+'7.11 tdm tám047320'!I124+'7.12 szemét 051030'!I124+'7.13 szennyvíz 052080'!I124+'7.14 víz 063080'!I124+'7.15 közvil 064010'!I124+'7.16 zöldterület 066010'!I124+'7.17 város 066020'!I124+'7.18 háziorvos 072111'!I124+'7.19 ügyelet 072112'!I124+'7.20 fülészet 072210'!I124+'7.21 védőnők 074031'!I124+'7.22 isk eü 074032'!I124+'7.23 sportcsépület 081030'!I124+'7.24 sport tám 081041'!I124+'7.25 diáksport 081043'!I124+'7.26 közműv 082091'!I124+'7.27 közműv 082092'!I124+'7.28  óvoda 091140'!I124+'7.29 intézmkiv gyétk 104037'!I124+'7.30 szoc étk 107051'!I124+'7.31 segélyek 107060'!I124+'7.32 adóbev 900020'!I124+'7.33 pályázatok összesen'!I124+'7.6 út építés 045127'!I124</f>
        <v>411821812</v>
      </c>
      <c r="J124" s="246">
        <f>'7.1. igazg 011130'!J124+'7.2 temető 013320'!J124+'7.3. vagyon 013350'!J124+'7.4 018010'!J124+'7.5 finansz műveletek 018030'!J124+'7.7 közütak működtetés 045160'!J124+'7.8 parkoló 045170'!J124+'7.9 kábeltv 046020'!J124+'7.10 piac 047120'!J124+'7.11 tdm tám047320'!J124+'7.12 szemét 051030'!J124+'7.13 szennyvíz 052080'!J124+'7.14 víz 063080'!J124+'7.15 közvil 064010'!J124+'7.16 zöldterület 066010'!J124+'7.17 város 066020'!J124+'7.18 háziorvos 072111'!J124+'7.19 ügyelet 072112'!J124+'7.20 fülészet 072210'!J124+'7.21 védőnők 074031'!J124+'7.22 isk eü 074032'!J124+'7.23 sportcsépület 081030'!J124+'7.24 sport tám 081041'!J124+'7.25 diáksport 081043'!J124+'7.26 közműv 082091'!J124+'7.27 közműv 082092'!J124+'7.28  óvoda 091140'!J124+'7.29 intézmkiv gyétk 104037'!J124+'7.30 szoc étk 107051'!J124+'7.31 segélyek 107060'!J124+'7.32 adóbev 900020'!J124+'7.33 pályázatok összesen'!J124+'7.6 út építés 045127'!J124</f>
        <v>10630</v>
      </c>
      <c r="K124" s="247">
        <f ca="1">SUM(I124:J124)</f>
        <v>411832442</v>
      </c>
      <c r="L124" s="246">
        <f ca="1">'7.1. igazg 011130'!L124+'7.2 temető 013320'!L124+'7.3. vagyon 013350'!L124+'7.4 018010'!L124+'7.5 finansz műveletek 018030'!L124+'7.7 közütak működtetés 045160'!L124+'7.8 parkoló 045170'!L124+'7.9 kábeltv 046020'!L124+'7.10 piac 047120'!L124+'7.11 tdm tám047320'!L124+'7.12 szemét 051030'!L124+'7.13 szennyvíz 052080'!L124+'7.14 víz 063080'!L124+'7.15 közvil 064010'!L124+'7.16 zöldterület 066010'!L124+'7.17 város 066020'!L124+'7.18 háziorvos 072111'!L124+'7.19 ügyelet 072112'!L124+'7.20 fülészet 072210'!L124+'7.21 védőnők 074031'!L124+'7.22 isk eü 074032'!L124+'7.23 sportcsépület 081030'!L124+'7.24 sport tám 081041'!L124+'7.25 diáksport 081043'!L124+'7.26 közműv 082091'!L124+'7.27 közműv 082092'!L124+'7.28  óvoda 091140'!L124+'7.29 intézmkiv gyétk 104037'!L124+'7.30 szoc étk 107051'!L124+'7.31 segélyek 107060'!L124+'7.32 adóbev 900020'!L124+'7.33 pályázatok összesen'!L124+'7.6 út építés 045127'!L124</f>
        <v>268327382</v>
      </c>
      <c r="M124" s="246">
        <f>'7.1. igazg 011130'!M124+'7.2 temető 013320'!M124+'7.3. vagyon 013350'!M124+'7.4 018010'!M124+'7.5 finansz műveletek 018030'!M124+'7.7 közütak működtetés 045160'!M124+'7.8 parkoló 045170'!M124+'7.9 kábeltv 046020'!M124+'7.10 piac 047120'!M124+'7.11 tdm tám047320'!M124+'7.12 szemét 051030'!M124+'7.13 szennyvíz 052080'!M124+'7.14 víz 063080'!M124+'7.15 közvil 064010'!M124+'7.16 zöldterület 066010'!M124+'7.17 város 066020'!M124+'7.18 háziorvos 072111'!M124+'7.19 ügyelet 072112'!M124+'7.20 fülészet 072210'!M124+'7.21 védőnők 074031'!M124+'7.22 isk eü 074032'!M124+'7.23 sportcsépület 081030'!M124+'7.24 sport tám 081041'!M124+'7.25 diáksport 081043'!M124+'7.26 közműv 082091'!M124+'7.27 közműv 082092'!M124+'7.28  óvoda 091140'!M124+'7.29 intézmkiv gyétk 104037'!M124+'7.30 szoc étk 107051'!M124+'7.31 segélyek 107060'!M124+'7.32 adóbev 900020'!M124+'7.33 pályázatok összesen'!M124+'7.6 út építés 045127'!M124</f>
        <v>5454</v>
      </c>
      <c r="N124" s="247">
        <f ca="1">SUM(L124:M124)</f>
        <v>268332836</v>
      </c>
    </row>
    <row r="125" spans="1:14" x14ac:dyDescent="0.25">
      <c r="A125" s="63"/>
      <c r="B125" s="64" t="s">
        <v>224</v>
      </c>
      <c r="C125" s="246">
        <f>'7.1. igazg 011130'!C125+'7.2 temető 013320'!C125+'7.3. vagyon 013350'!C125+'7.4 018010'!C125+'7.5 finansz műveletek 018030'!C125+'7.7 közütak működtetés 045160'!C125+'7.8 parkoló 045170'!C125+'7.9 kábeltv 046020'!C125+'7.10 piac 047120'!C125+'7.11 tdm tám047320'!C125+'7.12 szemét 051030'!C125+'7.13 szennyvíz 052080'!C125+'7.14 víz 063080'!C125+'7.15 közvil 064010'!C125+'7.16 zöldterület 066010'!C125+'7.17 város 066020'!C125+'7.18 háziorvos 072111'!C125+'7.19 ügyelet 072112'!C125+'7.20 fülészet 072210'!C125+'7.21 védőnők 074031'!C125+'7.22 isk eü 074032'!C125+'7.23 sportcsépület 081030'!C125+'7.24 sport tám 081041'!C125+'7.25 diáksport 081043'!C125+'7.26 közműv 082091'!C125+'7.27 közműv 082092'!C125+'7.28  óvoda 091140'!C125+'7.29 intézmkiv gyétk 104037'!C125+'7.30 szoc étk 107051'!C125+'7.31 segélyek 107060'!C125+'7.32 adóbev 900020'!C125+'7.33 pályázatok összesen'!C125+'7.6 út építés 045127'!C125</f>
        <v>0</v>
      </c>
      <c r="D125" s="246">
        <f>'7.1. igazg 011130'!D125+'7.2 temető 013320'!D125+'7.3. vagyon 013350'!D125+'7.4 018010'!D125+'7.5 finansz műveletek 018030'!D125+'7.7 közütak működtetés 045160'!D125+'7.8 parkoló 045170'!D125+'7.9 kábeltv 046020'!D125+'7.10 piac 047120'!D125+'7.11 tdm tám047320'!D125+'7.12 szemét 051030'!D125+'7.13 szennyvíz 052080'!D125+'7.14 víz 063080'!D125+'7.15 közvil 064010'!D125+'7.16 zöldterület 066010'!D125+'7.17 város 066020'!D125+'7.18 háziorvos 072111'!D125+'7.19 ügyelet 072112'!D125+'7.20 fülészet 072210'!D125+'7.21 védőnők 074031'!D125+'7.22 isk eü 074032'!D125+'7.23 sportcsépület 081030'!D125+'7.24 sport tám 081041'!D125+'7.25 diáksport 081043'!D125+'7.26 közműv 082091'!D125+'7.27 közműv 082092'!D125+'7.28  óvoda 091140'!D125+'7.29 intézmkiv gyétk 104037'!D125+'7.30 szoc étk 107051'!D125+'7.31 segélyek 107060'!D125+'7.32 adóbev 900020'!D125+'7.33 pályázatok összesen'!D125+'7.6 út építés 045127'!D125</f>
        <v>0</v>
      </c>
      <c r="E125" s="247">
        <f t="shared" si="11"/>
        <v>0</v>
      </c>
      <c r="F125" s="246">
        <f>'7.1. igazg 011130'!F125+'7.2 temető 013320'!F125+'7.3. vagyon 013350'!F125+'7.4 018010'!F125+'7.5 finansz műveletek 018030'!F125+'7.7 közütak működtetés 045160'!F125+'7.8 parkoló 045170'!F125+'7.9 kábeltv 046020'!F125+'7.10 piac 047120'!F125+'7.11 tdm tám047320'!F125+'7.12 szemét 051030'!F125+'7.13 szennyvíz 052080'!F125+'7.14 víz 063080'!F125+'7.15 közvil 064010'!F125+'7.16 zöldterület 066010'!F125+'7.17 város 066020'!F125+'7.18 háziorvos 072111'!F125+'7.19 ügyelet 072112'!F125+'7.20 fülészet 072210'!F125+'7.21 védőnők 074031'!F125+'7.22 isk eü 074032'!F125+'7.23 sportcsépület 081030'!F125+'7.24 sport tám 081041'!F125+'7.25 diáksport 081043'!F125+'7.26 közműv 082091'!F125+'7.27 közműv 082092'!F125+'7.28  óvoda 091140'!F125+'7.29 intézmkiv gyétk 104037'!F125+'7.30 szoc étk 107051'!F125+'7.31 segélyek 107060'!F125+'7.32 adóbev 900020'!F125+'7.33 pályázatok összesen'!F125+'7.6 út építés 045127'!F125</f>
        <v>0</v>
      </c>
      <c r="G125" s="246">
        <f>'7.1. igazg 011130'!G125+'7.2 temető 013320'!G125+'7.3. vagyon 013350'!G125+'7.4 018010'!G125+'7.5 finansz műveletek 018030'!G125+'7.7 közütak működtetés 045160'!G125+'7.8 parkoló 045170'!G125+'7.9 kábeltv 046020'!G125+'7.10 piac 047120'!G125+'7.11 tdm tám047320'!G125+'7.12 szemét 051030'!G125+'7.13 szennyvíz 052080'!G125+'7.14 víz 063080'!G125+'7.15 közvil 064010'!G125+'7.16 zöldterület 066010'!G125+'7.17 város 066020'!G125+'7.18 háziorvos 072111'!G125+'7.19 ügyelet 072112'!G125+'7.20 fülészet 072210'!G125+'7.21 védőnők 074031'!G125+'7.22 isk eü 074032'!G125+'7.23 sportcsépület 081030'!G125+'7.24 sport tám 081041'!G125+'7.25 diáksport 081043'!G125+'7.26 közműv 082091'!G125+'7.27 közműv 082092'!G125+'7.28  óvoda 091140'!G125+'7.29 intézmkiv gyétk 104037'!G125+'7.30 szoc étk 107051'!G125+'7.31 segélyek 107060'!G125+'7.32 adóbev 900020'!G125+'7.33 pályázatok összesen'!G125+'7.6 út építés 045127'!G125</f>
        <v>0</v>
      </c>
      <c r="H125" s="247">
        <f t="shared" ref="H125:H145" si="18">SUM(F125:G125)</f>
        <v>0</v>
      </c>
      <c r="I125" s="246">
        <f ca="1">'7.1. igazg 011130'!I125+'7.2 temető 013320'!I125+'7.3. vagyon 013350'!I125+'7.4 018010'!I125+'7.5 finansz műveletek 018030'!I125+'7.7 közütak működtetés 045160'!I125+'7.8 parkoló 045170'!I125+'7.9 kábeltv 046020'!I125+'7.10 piac 047120'!I125+'7.11 tdm tám047320'!I125+'7.12 szemét 051030'!I125+'7.13 szennyvíz 052080'!I125+'7.14 víz 063080'!I125+'7.15 közvil 064010'!I125+'7.16 zöldterület 066010'!I125+'7.17 város 066020'!I125+'7.18 háziorvos 072111'!I125+'7.19 ügyelet 072112'!I125+'7.20 fülészet 072210'!I125+'7.21 védőnők 074031'!I125+'7.22 isk eü 074032'!I125+'7.23 sportcsépület 081030'!I125+'7.24 sport tám 081041'!I125+'7.25 diáksport 081043'!I125+'7.26 közműv 082091'!I125+'7.27 közműv 082092'!I125+'7.28  óvoda 091140'!I125+'7.29 intézmkiv gyétk 104037'!I125+'7.30 szoc étk 107051'!I125+'7.31 segélyek 107060'!I125+'7.32 adóbev 900020'!I125+'7.33 pályázatok összesen'!I125+'7.6 út építés 045127'!I125</f>
        <v>4238</v>
      </c>
      <c r="J125" s="246">
        <f>'7.1. igazg 011130'!J125+'7.2 temető 013320'!J125+'7.3. vagyon 013350'!J125+'7.4 018010'!J125+'7.5 finansz műveletek 018030'!J125+'7.7 közütak működtetés 045160'!J125+'7.8 parkoló 045170'!J125+'7.9 kábeltv 046020'!J125+'7.10 piac 047120'!J125+'7.11 tdm tám047320'!J125+'7.12 szemét 051030'!J125+'7.13 szennyvíz 052080'!J125+'7.14 víz 063080'!J125+'7.15 közvil 064010'!J125+'7.16 zöldterület 066010'!J125+'7.17 város 066020'!J125+'7.18 háziorvos 072111'!J125+'7.19 ügyelet 072112'!J125+'7.20 fülészet 072210'!J125+'7.21 védőnők 074031'!J125+'7.22 isk eü 074032'!J125+'7.23 sportcsépület 081030'!J125+'7.24 sport tám 081041'!J125+'7.25 diáksport 081043'!J125+'7.26 közműv 082091'!J125+'7.27 közműv 082092'!J125+'7.28  óvoda 091140'!J125+'7.29 intézmkiv gyétk 104037'!J125+'7.30 szoc étk 107051'!J125+'7.31 segélyek 107060'!J125+'7.32 adóbev 900020'!J125+'7.33 pályázatok összesen'!J125+'7.6 út építés 045127'!J125</f>
        <v>0</v>
      </c>
      <c r="K125" s="247">
        <f t="shared" ref="K125:K146" ca="1" si="19">SUM(I125:J125)</f>
        <v>4238</v>
      </c>
      <c r="L125" s="246">
        <f ca="1">'7.1. igazg 011130'!L125+'7.2 temető 013320'!L125+'7.3. vagyon 013350'!L125+'7.4 018010'!L125+'7.5 finansz műveletek 018030'!L125+'7.7 közütak működtetés 045160'!L125+'7.8 parkoló 045170'!L125+'7.9 kábeltv 046020'!L125+'7.10 piac 047120'!L125+'7.11 tdm tám047320'!L125+'7.12 szemét 051030'!L125+'7.13 szennyvíz 052080'!L125+'7.14 víz 063080'!L125+'7.15 közvil 064010'!L125+'7.16 zöldterület 066010'!L125+'7.17 város 066020'!L125+'7.18 háziorvos 072111'!L125+'7.19 ügyelet 072112'!L125+'7.20 fülészet 072210'!L125+'7.21 védőnők 074031'!L125+'7.22 isk eü 074032'!L125+'7.23 sportcsépület 081030'!L125+'7.24 sport tám 081041'!L125+'7.25 diáksport 081043'!L125+'7.26 közműv 082091'!L125+'7.27 közműv 082092'!L125+'7.28  óvoda 091140'!L125+'7.29 intézmkiv gyétk 104037'!L125+'7.30 szoc étk 107051'!L125+'7.31 segélyek 107060'!L125+'7.32 adóbev 900020'!L125+'7.33 pályázatok összesen'!L125+'7.6 út építés 045127'!L125</f>
        <v>3238</v>
      </c>
      <c r="M125" s="246">
        <f>'7.1. igazg 011130'!M125+'7.2 temető 013320'!M125+'7.3. vagyon 013350'!M125+'7.4 018010'!M125+'7.5 finansz műveletek 018030'!M125+'7.7 közütak működtetés 045160'!M125+'7.8 parkoló 045170'!M125+'7.9 kábeltv 046020'!M125+'7.10 piac 047120'!M125+'7.11 tdm tám047320'!M125+'7.12 szemét 051030'!M125+'7.13 szennyvíz 052080'!M125+'7.14 víz 063080'!M125+'7.15 közvil 064010'!M125+'7.16 zöldterület 066010'!M125+'7.17 város 066020'!M125+'7.18 háziorvos 072111'!M125+'7.19 ügyelet 072112'!M125+'7.20 fülészet 072210'!M125+'7.21 védőnők 074031'!M125+'7.22 isk eü 074032'!M125+'7.23 sportcsépület 081030'!M125+'7.24 sport tám 081041'!M125+'7.25 diáksport 081043'!M125+'7.26 közműv 082091'!M125+'7.27 közműv 082092'!M125+'7.28  óvoda 091140'!M125+'7.29 intézmkiv gyétk 104037'!M125+'7.30 szoc étk 107051'!M125+'7.31 segélyek 107060'!M125+'7.32 adóbev 900020'!M125+'7.33 pályázatok összesen'!M125+'7.6 út építés 045127'!M125</f>
        <v>0</v>
      </c>
      <c r="N125" s="247">
        <f t="shared" ref="N125:N150" ca="1" si="20">SUM(L125:M125)</f>
        <v>3238</v>
      </c>
    </row>
    <row r="126" spans="1:14" ht="15.75" thickBot="1" x14ac:dyDescent="0.3">
      <c r="A126" s="63" t="s">
        <v>225</v>
      </c>
      <c r="B126" s="64" t="s">
        <v>226</v>
      </c>
      <c r="C126" s="248">
        <f>'7.1. igazg 011130'!C126+'7.2 temető 013320'!C126+'7.3. vagyon 013350'!C126+'7.4 018010'!C126+'7.5 finansz műveletek 018030'!C126+'7.7 közütak működtetés 045160'!C126+'7.8 parkoló 045170'!C126+'7.9 kábeltv 046020'!C126+'7.10 piac 047120'!C126+'7.11 tdm tám047320'!C126+'7.12 szemét 051030'!C126+'7.13 szennyvíz 052080'!C126+'7.14 víz 063080'!C126+'7.15 közvil 064010'!C126+'7.16 zöldterület 066010'!C126+'7.17 város 066020'!C126+'7.18 háziorvos 072111'!C126+'7.19 ügyelet 072112'!C126+'7.20 fülészet 072210'!C126+'7.21 védőnők 074031'!C126+'7.22 isk eü 074032'!C126+'7.23 sportcsépület 081030'!C126+'7.24 sport tám 081041'!C126+'7.25 diáksport 081043'!C126+'7.26 közműv 082091'!C126+'7.27 közműv 082092'!C126+'7.28  óvoda 091140'!C126+'7.29 intézmkiv gyétk 104037'!C126+'7.30 szoc étk 107051'!C126+'7.31 segélyek 107060'!C126+'7.32 adóbev 900020'!C126+'7.33 pályázatok összesen'!C126+'7.6 út építés 045127'!C126</f>
        <v>5965234</v>
      </c>
      <c r="D126" s="248">
        <f>'7.1. igazg 011130'!D126+'7.2 temető 013320'!D126+'7.3. vagyon 013350'!D126+'7.4 018010'!D126+'7.5 finansz műveletek 018030'!D126+'7.7 közütak működtetés 045160'!D126+'7.8 parkoló 045170'!D126+'7.9 kábeltv 046020'!D126+'7.10 piac 047120'!D126+'7.11 tdm tám047320'!D126+'7.12 szemét 051030'!D126+'7.13 szennyvíz 052080'!D126+'7.14 víz 063080'!D126+'7.15 közvil 064010'!D126+'7.16 zöldterület 066010'!D126+'7.17 város 066020'!D126+'7.18 háziorvos 072111'!D126+'7.19 ügyelet 072112'!D126+'7.20 fülészet 072210'!D126+'7.21 védőnők 074031'!D126+'7.22 isk eü 074032'!D126+'7.23 sportcsépület 081030'!D126+'7.24 sport tám 081041'!D126+'7.25 diáksport 081043'!D126+'7.26 közműv 082091'!D126+'7.27 közműv 082092'!D126+'7.28  óvoda 091140'!D126+'7.29 intézmkiv gyétk 104037'!D126+'7.30 szoc étk 107051'!D126+'7.31 segélyek 107060'!D126+'7.32 adóbev 900020'!D126+'7.33 pályázatok összesen'!D126+'7.6 út építés 045127'!D126</f>
        <v>0</v>
      </c>
      <c r="E126" s="249">
        <f t="shared" si="11"/>
        <v>5965234</v>
      </c>
      <c r="F126" s="248">
        <f>'7.1. igazg 011130'!F126+'7.2 temető 013320'!F126+'7.3. vagyon 013350'!F126+'7.4 018010'!F126+'7.5 finansz műveletek 018030'!F126+'7.7 közütak működtetés 045160'!F126+'7.8 parkoló 045170'!F126+'7.9 kábeltv 046020'!F126+'7.10 piac 047120'!F126+'7.11 tdm tám047320'!F126+'7.12 szemét 051030'!F126+'7.13 szennyvíz 052080'!F126+'7.14 víz 063080'!F126+'7.15 közvil 064010'!F126+'7.16 zöldterület 066010'!F126+'7.17 város 066020'!F126+'7.18 háziorvos 072111'!F126+'7.19 ügyelet 072112'!F126+'7.20 fülészet 072210'!F126+'7.21 védőnők 074031'!F126+'7.22 isk eü 074032'!F126+'7.23 sportcsépület 081030'!F126+'7.24 sport tám 081041'!F126+'7.25 diáksport 081043'!F126+'7.26 közműv 082091'!F126+'7.27 közműv 082092'!F126+'7.28  óvoda 091140'!F126+'7.29 intézmkiv gyétk 104037'!F126+'7.30 szoc étk 107051'!F126+'7.31 segélyek 107060'!F126+'7.32 adóbev 900020'!F126+'7.33 pályázatok összesen'!F126+'7.6 út építés 045127'!F126</f>
        <v>6284253</v>
      </c>
      <c r="G126" s="248">
        <f>'7.1. igazg 011130'!G126+'7.2 temető 013320'!G126+'7.3. vagyon 013350'!G126+'7.4 018010'!G126+'7.5 finansz műveletek 018030'!G126+'7.7 közütak működtetés 045160'!G126+'7.8 parkoló 045170'!G126+'7.9 kábeltv 046020'!G126+'7.10 piac 047120'!G126+'7.11 tdm tám047320'!G126+'7.12 szemét 051030'!G126+'7.13 szennyvíz 052080'!G126+'7.14 víz 063080'!G126+'7.15 közvil 064010'!G126+'7.16 zöldterület 066010'!G126+'7.17 város 066020'!G126+'7.18 háziorvos 072111'!G126+'7.19 ügyelet 072112'!G126+'7.20 fülészet 072210'!G126+'7.21 védőnők 074031'!G126+'7.22 isk eü 074032'!G126+'7.23 sportcsépület 081030'!G126+'7.24 sport tám 081041'!G126+'7.25 diáksport 081043'!G126+'7.26 közműv 082091'!G126+'7.27 közműv 082092'!G126+'7.28  óvoda 091140'!G126+'7.29 intézmkiv gyétk 104037'!G126+'7.30 szoc étk 107051'!G126+'7.31 segélyek 107060'!G126+'7.32 adóbev 900020'!G126+'7.33 pályázatok összesen'!G126+'7.6 út építés 045127'!G126</f>
        <v>0</v>
      </c>
      <c r="H126" s="249">
        <f t="shared" si="18"/>
        <v>6284253</v>
      </c>
      <c r="I126" s="248">
        <f ca="1">'7.1. igazg 011130'!I126+'7.2 temető 013320'!I126+'7.3. vagyon 013350'!I126+'7.4 018010'!I126+'7.5 finansz műveletek 018030'!I126+'7.7 közütak működtetés 045160'!I126+'7.8 parkoló 045170'!I126+'7.9 kábeltv 046020'!I126+'7.10 piac 047120'!I126+'7.11 tdm tám047320'!I126+'7.12 szemét 051030'!I126+'7.13 szennyvíz 052080'!I126+'7.14 víz 063080'!I126+'7.15 közvil 064010'!I126+'7.16 zöldterület 066010'!I126+'7.17 város 066020'!I126+'7.18 háziorvos 072111'!I126+'7.19 ügyelet 072112'!I126+'7.20 fülészet 072210'!I126+'7.21 védőnők 074031'!I126+'7.22 isk eü 074032'!I126+'7.23 sportcsépület 081030'!I126+'7.24 sport tám 081041'!I126+'7.25 diáksport 081043'!I126+'7.26 közműv 082091'!I126+'7.27 közműv 082092'!I126+'7.28  óvoda 091140'!I126+'7.29 intézmkiv gyétk 104037'!I126+'7.30 szoc étk 107051'!I126+'7.31 segélyek 107060'!I126+'7.32 adóbev 900020'!I126+'7.33 pályázatok összesen'!I126+'7.6 út építés 045127'!I126</f>
        <v>6284253</v>
      </c>
      <c r="J126" s="248">
        <f>'7.1. igazg 011130'!J126+'7.2 temető 013320'!J126+'7.3. vagyon 013350'!J126+'7.4 018010'!J126+'7.5 finansz műveletek 018030'!J126+'7.7 közütak működtetés 045160'!J126+'7.8 parkoló 045170'!J126+'7.9 kábeltv 046020'!J126+'7.10 piac 047120'!J126+'7.11 tdm tám047320'!J126+'7.12 szemét 051030'!J126+'7.13 szennyvíz 052080'!J126+'7.14 víz 063080'!J126+'7.15 közvil 064010'!J126+'7.16 zöldterület 066010'!J126+'7.17 város 066020'!J126+'7.18 háziorvos 072111'!J126+'7.19 ügyelet 072112'!J126+'7.20 fülészet 072210'!J126+'7.21 védőnők 074031'!J126+'7.22 isk eü 074032'!J126+'7.23 sportcsépület 081030'!J126+'7.24 sport tám 081041'!J126+'7.25 diáksport 081043'!J126+'7.26 közműv 082091'!J126+'7.27 közműv 082092'!J126+'7.28  óvoda 091140'!J126+'7.29 intézmkiv gyétk 104037'!J126+'7.30 szoc étk 107051'!J126+'7.31 segélyek 107060'!J126+'7.32 adóbev 900020'!J126+'7.33 pályázatok összesen'!J126+'7.6 út építés 045127'!J126</f>
        <v>0</v>
      </c>
      <c r="K126" s="249">
        <f t="shared" ca="1" si="19"/>
        <v>6284253</v>
      </c>
      <c r="L126" s="248">
        <f ca="1">'7.1. igazg 011130'!L126+'7.2 temető 013320'!L126+'7.3. vagyon 013350'!L126+'7.4 018010'!L126+'7.5 finansz műveletek 018030'!L126+'7.7 közütak működtetés 045160'!L126+'7.8 parkoló 045170'!L126+'7.9 kábeltv 046020'!L126+'7.10 piac 047120'!L126+'7.11 tdm tám047320'!L126+'7.12 szemét 051030'!L126+'7.13 szennyvíz 052080'!L126+'7.14 víz 063080'!L126+'7.15 közvil 064010'!L126+'7.16 zöldterület 066010'!L126+'7.17 város 066020'!L126+'7.18 háziorvos 072111'!L126+'7.19 ügyelet 072112'!L126+'7.20 fülészet 072210'!L126+'7.21 védőnők 074031'!L126+'7.22 isk eü 074032'!L126+'7.23 sportcsépület 081030'!L126+'7.24 sport tám 081041'!L126+'7.25 diáksport 081043'!L126+'7.26 közműv 082091'!L126+'7.27 közműv 082092'!L126+'7.28  óvoda 091140'!L126+'7.29 intézmkiv gyétk 104037'!L126+'7.30 szoc étk 107051'!L126+'7.31 segélyek 107060'!L126+'7.32 adóbev 900020'!L126+'7.33 pályázatok összesen'!L126+'7.6 út építés 045127'!L126</f>
        <v>5745402</v>
      </c>
      <c r="M126" s="248">
        <f>'7.1. igazg 011130'!M126+'7.2 temető 013320'!M126+'7.3. vagyon 013350'!M126+'7.4 018010'!M126+'7.5 finansz műveletek 018030'!M126+'7.7 közütak működtetés 045160'!M126+'7.8 parkoló 045170'!M126+'7.9 kábeltv 046020'!M126+'7.10 piac 047120'!M126+'7.11 tdm tám047320'!M126+'7.12 szemét 051030'!M126+'7.13 szennyvíz 052080'!M126+'7.14 víz 063080'!M126+'7.15 közvil 064010'!M126+'7.16 zöldterület 066010'!M126+'7.17 város 066020'!M126+'7.18 háziorvos 072111'!M126+'7.19 ügyelet 072112'!M126+'7.20 fülészet 072210'!M126+'7.21 védőnők 074031'!M126+'7.22 isk eü 074032'!M126+'7.23 sportcsépület 081030'!M126+'7.24 sport tám 081041'!M126+'7.25 diáksport 081043'!M126+'7.26 közműv 082091'!M126+'7.27 közműv 082092'!M126+'7.28  óvoda 091140'!M126+'7.29 intézmkiv gyétk 104037'!M126+'7.30 szoc étk 107051'!M126+'7.31 segélyek 107060'!M126+'7.32 adóbev 900020'!M126+'7.33 pályázatok összesen'!M126+'7.6 út építés 045127'!M126</f>
        <v>0</v>
      </c>
      <c r="N126" s="249">
        <f t="shared" ca="1" si="20"/>
        <v>5745402</v>
      </c>
    </row>
    <row r="127" spans="1:14" ht="15.75" thickBot="1" x14ac:dyDescent="0.3">
      <c r="A127" s="65" t="s">
        <v>227</v>
      </c>
      <c r="B127" s="47" t="s">
        <v>36</v>
      </c>
      <c r="C127" s="254">
        <f>'7.1. igazg 011130'!C127+'7.2 temető 013320'!C127+'7.3. vagyon 013350'!C127+'7.4 018010'!C127+'7.5 finansz műveletek 018030'!C127+'7.7 közütak működtetés 045160'!C127+'7.8 parkoló 045170'!C127+'7.9 kábeltv 046020'!C127+'7.10 piac 047120'!C127+'7.11 tdm tám047320'!C127+'7.12 szemét 051030'!C127+'7.13 szennyvíz 052080'!C127+'7.14 víz 063080'!C127+'7.15 közvil 064010'!C127+'7.16 zöldterület 066010'!C127+'7.17 város 066020'!C127+'7.18 háziorvos 072111'!C127+'7.19 ügyelet 072112'!C127+'7.20 fülészet 072210'!C127+'7.21 védőnők 074031'!C127+'7.22 isk eü 074032'!C127+'7.23 sportcsépület 081030'!C127+'7.24 sport tám 081041'!C127+'7.25 diáksport 081043'!C127+'7.26 közműv 082091'!C127+'7.27 közműv 082092'!C127+'7.28  óvoda 091140'!C127+'7.29 intézmkiv gyétk 104037'!C127+'7.30 szoc étk 107051'!C127+'7.31 segélyek 107060'!C127+'7.32 adóbev 900020'!C127+'7.33 pályázatok összesen'!C127+'7.6 út építés 045127'!C127</f>
        <v>4000000</v>
      </c>
      <c r="D127" s="254">
        <f>'7.1. igazg 011130'!D127+'7.2 temető 013320'!D127+'7.3. vagyon 013350'!D127+'7.4 018010'!D127+'7.5 finansz műveletek 018030'!D127+'7.7 közütak működtetés 045160'!D127+'7.8 parkoló 045170'!D127+'7.9 kábeltv 046020'!D127+'7.10 piac 047120'!D127+'7.11 tdm tám047320'!D127+'7.12 szemét 051030'!D127+'7.13 szennyvíz 052080'!D127+'7.14 víz 063080'!D127+'7.15 közvil 064010'!D127+'7.16 zöldterület 066010'!D127+'7.17 város 066020'!D127+'7.18 háziorvos 072111'!D127+'7.19 ügyelet 072112'!D127+'7.20 fülészet 072210'!D127+'7.21 védőnők 074031'!D127+'7.22 isk eü 074032'!D127+'7.23 sportcsépület 081030'!D127+'7.24 sport tám 081041'!D127+'7.25 diáksport 081043'!D127+'7.26 közműv 082091'!D127+'7.27 közműv 082092'!D127+'7.28  óvoda 091140'!D127+'7.29 intézmkiv gyétk 104037'!D127+'7.30 szoc étk 107051'!D127+'7.31 segélyek 107060'!D127+'7.32 adóbev 900020'!D127+'7.33 pályázatok összesen'!D127+'7.6 út építés 045127'!D127</f>
        <v>0</v>
      </c>
      <c r="E127" s="251">
        <f t="shared" si="11"/>
        <v>4000000</v>
      </c>
      <c r="F127" s="254">
        <f>'7.1. igazg 011130'!F127+'7.2 temető 013320'!F127+'7.3. vagyon 013350'!F127+'7.4 018010'!F127+'7.5 finansz műveletek 018030'!F127+'7.7 közütak működtetés 045160'!F127+'7.8 parkoló 045170'!F127+'7.9 kábeltv 046020'!F127+'7.10 piac 047120'!F127+'7.11 tdm tám047320'!F127+'7.12 szemét 051030'!F127+'7.13 szennyvíz 052080'!F127+'7.14 víz 063080'!F127+'7.15 közvil 064010'!F127+'7.16 zöldterület 066010'!F127+'7.17 város 066020'!F127+'7.18 háziorvos 072111'!F127+'7.19 ügyelet 072112'!F127+'7.20 fülészet 072210'!F127+'7.21 védőnők 074031'!F127+'7.22 isk eü 074032'!F127+'7.23 sportcsépület 081030'!F127+'7.24 sport tám 081041'!F127+'7.25 diáksport 081043'!F127+'7.26 közműv 082091'!F127+'7.27 közműv 082092'!F127+'7.28  óvoda 091140'!F127+'7.29 intézmkiv gyétk 104037'!F127+'7.30 szoc étk 107051'!F127+'7.31 segélyek 107060'!F127+'7.32 adóbev 900020'!F127+'7.33 pályázatok összesen'!F127+'7.6 út építés 045127'!F127</f>
        <v>4000000</v>
      </c>
      <c r="G127" s="254">
        <f>'7.1. igazg 011130'!G127+'7.2 temető 013320'!G127+'7.3. vagyon 013350'!G127+'7.4 018010'!G127+'7.5 finansz műveletek 018030'!G127+'7.7 közütak működtetés 045160'!G127+'7.8 parkoló 045170'!G127+'7.9 kábeltv 046020'!G127+'7.10 piac 047120'!G127+'7.11 tdm tám047320'!G127+'7.12 szemét 051030'!G127+'7.13 szennyvíz 052080'!G127+'7.14 víz 063080'!G127+'7.15 közvil 064010'!G127+'7.16 zöldterület 066010'!G127+'7.17 város 066020'!G127+'7.18 háziorvos 072111'!G127+'7.19 ügyelet 072112'!G127+'7.20 fülészet 072210'!G127+'7.21 védőnők 074031'!G127+'7.22 isk eü 074032'!G127+'7.23 sportcsépület 081030'!G127+'7.24 sport tám 081041'!G127+'7.25 diáksport 081043'!G127+'7.26 közműv 082091'!G127+'7.27 közműv 082092'!G127+'7.28  óvoda 091140'!G127+'7.29 intézmkiv gyétk 104037'!G127+'7.30 szoc étk 107051'!G127+'7.31 segélyek 107060'!G127+'7.32 adóbev 900020'!G127+'7.33 pályázatok összesen'!G127+'7.6 út építés 045127'!G127</f>
        <v>0</v>
      </c>
      <c r="H127" s="251">
        <f t="shared" si="18"/>
        <v>4000000</v>
      </c>
      <c r="I127" s="254">
        <f ca="1">'7.1. igazg 011130'!I127+'7.2 temető 013320'!I127+'7.3. vagyon 013350'!I127+'7.4 018010'!I127+'7.5 finansz műveletek 018030'!I127+'7.7 közütak működtetés 045160'!I127+'7.8 parkoló 045170'!I127+'7.9 kábeltv 046020'!I127+'7.10 piac 047120'!I127+'7.11 tdm tám047320'!I127+'7.12 szemét 051030'!I127+'7.13 szennyvíz 052080'!I127+'7.14 víz 063080'!I127+'7.15 közvil 064010'!I127+'7.16 zöldterület 066010'!I127+'7.17 város 066020'!I127+'7.18 háziorvos 072111'!I127+'7.19 ügyelet 072112'!I127+'7.20 fülészet 072210'!I127+'7.21 védőnők 074031'!I127+'7.22 isk eü 074032'!I127+'7.23 sportcsépület 081030'!I127+'7.24 sport tám 081041'!I127+'7.25 diáksport 081043'!I127+'7.26 közműv 082091'!I127+'7.27 közműv 082092'!I127+'7.28  óvoda 091140'!I127+'7.29 intézmkiv gyétk 104037'!I127+'7.30 szoc étk 107051'!I127+'7.31 segélyek 107060'!I127+'7.32 adóbev 900020'!I127+'7.33 pályázatok összesen'!I127+'7.6 út építés 045127'!I127</f>
        <v>5388302</v>
      </c>
      <c r="J127" s="254">
        <f>'7.1. igazg 011130'!J127+'7.2 temető 013320'!J127+'7.3. vagyon 013350'!J127+'7.4 018010'!J127+'7.5 finansz műveletek 018030'!J127+'7.7 közütak működtetés 045160'!J127+'7.8 parkoló 045170'!J127+'7.9 kábeltv 046020'!J127+'7.10 piac 047120'!J127+'7.11 tdm tám047320'!J127+'7.12 szemét 051030'!J127+'7.13 szennyvíz 052080'!J127+'7.14 víz 063080'!J127+'7.15 közvil 064010'!J127+'7.16 zöldterület 066010'!J127+'7.17 város 066020'!J127+'7.18 háziorvos 072111'!J127+'7.19 ügyelet 072112'!J127+'7.20 fülészet 072210'!J127+'7.21 védőnők 074031'!J127+'7.22 isk eü 074032'!J127+'7.23 sportcsépület 081030'!J127+'7.24 sport tám 081041'!J127+'7.25 diáksport 081043'!J127+'7.26 közműv 082091'!J127+'7.27 közműv 082092'!J127+'7.28  óvoda 091140'!J127+'7.29 intézmkiv gyétk 104037'!J127+'7.30 szoc étk 107051'!J127+'7.31 segélyek 107060'!J127+'7.32 adóbev 900020'!J127+'7.33 pályázatok összesen'!J127+'7.6 út építés 045127'!J127</f>
        <v>0</v>
      </c>
      <c r="K127" s="251">
        <f t="shared" ca="1" si="19"/>
        <v>5388302</v>
      </c>
      <c r="L127" s="254">
        <f ca="1">'7.1. igazg 011130'!L127+'7.2 temető 013320'!L127+'7.3. vagyon 013350'!L127+'7.4 018010'!L127+'7.5 finansz műveletek 018030'!L127+'7.7 közütak működtetés 045160'!L127+'7.8 parkoló 045170'!L127+'7.9 kábeltv 046020'!L127+'7.10 piac 047120'!L127+'7.11 tdm tám047320'!L127+'7.12 szemét 051030'!L127+'7.13 szennyvíz 052080'!L127+'7.14 víz 063080'!L127+'7.15 közvil 064010'!L127+'7.16 zöldterület 066010'!L127+'7.17 város 066020'!L127+'7.18 háziorvos 072111'!L127+'7.19 ügyelet 072112'!L127+'7.20 fülészet 072210'!L127+'7.21 védőnők 074031'!L127+'7.22 isk eü 074032'!L127+'7.23 sportcsépület 081030'!L127+'7.24 sport tám 081041'!L127+'7.25 diáksport 081043'!L127+'7.26 közműv 082091'!L127+'7.27 közműv 082092'!L127+'7.28  óvoda 091140'!L127+'7.29 intézmkiv gyétk 104037'!L127+'7.30 szoc étk 107051'!L127+'7.31 segélyek 107060'!L127+'7.32 adóbev 900020'!L127+'7.33 pályázatok összesen'!L127+'7.6 út építés 045127'!L127</f>
        <v>5151302</v>
      </c>
      <c r="M127" s="254">
        <f>'7.1. igazg 011130'!M127+'7.2 temető 013320'!M127+'7.3. vagyon 013350'!M127+'7.4 018010'!M127+'7.5 finansz műveletek 018030'!M127+'7.7 közütak működtetés 045160'!M127+'7.8 parkoló 045170'!M127+'7.9 kábeltv 046020'!M127+'7.10 piac 047120'!M127+'7.11 tdm tám047320'!M127+'7.12 szemét 051030'!M127+'7.13 szennyvíz 052080'!M127+'7.14 víz 063080'!M127+'7.15 közvil 064010'!M127+'7.16 zöldterület 066010'!M127+'7.17 város 066020'!M127+'7.18 háziorvos 072111'!M127+'7.19 ügyelet 072112'!M127+'7.20 fülészet 072210'!M127+'7.21 védőnők 074031'!M127+'7.22 isk eü 074032'!M127+'7.23 sportcsépület 081030'!M127+'7.24 sport tám 081041'!M127+'7.25 diáksport 081043'!M127+'7.26 közműv 082091'!M127+'7.27 közműv 082092'!M127+'7.28  óvoda 091140'!M127+'7.29 intézmkiv gyétk 104037'!M127+'7.30 szoc étk 107051'!M127+'7.31 segélyek 107060'!M127+'7.32 adóbev 900020'!M127+'7.33 pályázatok összesen'!M127+'7.6 út építés 045127'!M127</f>
        <v>0</v>
      </c>
      <c r="N127" s="251">
        <f t="shared" ca="1" si="20"/>
        <v>5151302</v>
      </c>
    </row>
    <row r="128" spans="1:14" x14ac:dyDescent="0.25">
      <c r="A128" s="60" t="s">
        <v>228</v>
      </c>
      <c r="B128" s="48" t="s">
        <v>37</v>
      </c>
      <c r="C128" s="244">
        <f>'7.1. igazg 011130'!C128+'7.2 temető 013320'!C128+'7.3. vagyon 013350'!C128+'7.4 018010'!C128+'7.5 finansz műveletek 018030'!C128+'7.7 közütak működtetés 045160'!C128+'7.8 parkoló 045170'!C128+'7.9 kábeltv 046020'!C128+'7.10 piac 047120'!C128+'7.11 tdm tám047320'!C128+'7.12 szemét 051030'!C128+'7.13 szennyvíz 052080'!C128+'7.14 víz 063080'!C128+'7.15 közvil 064010'!C128+'7.16 zöldterület 066010'!C128+'7.17 város 066020'!C128+'7.18 háziorvos 072111'!C128+'7.19 ügyelet 072112'!C128+'7.20 fülészet 072210'!C128+'7.21 védőnők 074031'!C128+'7.22 isk eü 074032'!C128+'7.23 sportcsépület 081030'!C128+'7.24 sport tám 081041'!C128+'7.25 diáksport 081043'!C128+'7.26 közműv 082091'!C128+'7.27 közműv 082092'!C128+'7.28  óvoda 091140'!C128+'7.29 intézmkiv gyétk 104037'!C128+'7.30 szoc étk 107051'!C128+'7.31 segélyek 107060'!C128+'7.32 adóbev 900020'!C128+'7.33 pályázatok összesen'!C128+'7.6 út építés 045127'!C128</f>
        <v>491721344</v>
      </c>
      <c r="D128" s="244">
        <f>'7.1. igazg 011130'!D128+'7.2 temető 013320'!D128+'7.3. vagyon 013350'!D128+'7.4 018010'!D128+'7.5 finansz műveletek 018030'!D128+'7.7 közütak működtetés 045160'!D128+'7.8 parkoló 045170'!D128+'7.9 kábeltv 046020'!D128+'7.10 piac 047120'!D128+'7.11 tdm tám047320'!D128+'7.12 szemét 051030'!D128+'7.13 szennyvíz 052080'!D128+'7.14 víz 063080'!D128+'7.15 közvil 064010'!D128+'7.16 zöldterület 066010'!D128+'7.17 város 066020'!D128+'7.18 háziorvos 072111'!D128+'7.19 ügyelet 072112'!D128+'7.20 fülészet 072210'!D128+'7.21 védőnők 074031'!D128+'7.22 isk eü 074032'!D128+'7.23 sportcsépület 081030'!D128+'7.24 sport tám 081041'!D128+'7.25 diáksport 081043'!D128+'7.26 közműv 082091'!D128+'7.27 közműv 082092'!D128+'7.28  óvoda 091140'!D128+'7.29 intézmkiv gyétk 104037'!D128+'7.30 szoc étk 107051'!D128+'7.31 segélyek 107060'!D128+'7.32 adóbev 900020'!D128+'7.33 pályázatok összesen'!D128+'7.6 út építés 045127'!D128</f>
        <v>61812082</v>
      </c>
      <c r="E128" s="245">
        <f t="shared" si="11"/>
        <v>553533426</v>
      </c>
      <c r="F128" s="244">
        <f>'7.1. igazg 011130'!F128+'7.2 temető 013320'!F128+'7.3. vagyon 013350'!F128+'7.4 018010'!F128+'7.5 finansz műveletek 018030'!F128+'7.7 közütak működtetés 045160'!F128+'7.8 parkoló 045170'!F128+'7.9 kábeltv 046020'!F128+'7.10 piac 047120'!F128+'7.11 tdm tám047320'!F128+'7.12 szemét 051030'!F128+'7.13 szennyvíz 052080'!F128+'7.14 víz 063080'!F128+'7.15 közvil 064010'!F128+'7.16 zöldterület 066010'!F128+'7.17 város 066020'!F128+'7.18 háziorvos 072111'!F128+'7.19 ügyelet 072112'!F128+'7.20 fülészet 072210'!F128+'7.21 védőnők 074031'!F128+'7.22 isk eü 074032'!F128+'7.23 sportcsépület 081030'!F128+'7.24 sport tám 081041'!F128+'7.25 diáksport 081043'!F128+'7.26 közműv 082091'!F128+'7.27 közműv 082092'!F128+'7.28  óvoda 091140'!F128+'7.29 intézmkiv gyétk 104037'!F128+'7.30 szoc étk 107051'!F128+'7.31 segélyek 107060'!F128+'7.32 adóbev 900020'!F128+'7.33 pályázatok összesen'!F128+'7.6 út építés 045127'!F128</f>
        <v>456686326</v>
      </c>
      <c r="G128" s="244">
        <f>'7.1. igazg 011130'!G128+'7.2 temető 013320'!G128+'7.3. vagyon 013350'!G128+'7.4 018010'!G128+'7.5 finansz műveletek 018030'!G128+'7.7 közütak működtetés 045160'!G128+'7.8 parkoló 045170'!G128+'7.9 kábeltv 046020'!G128+'7.10 piac 047120'!G128+'7.11 tdm tám047320'!G128+'7.12 szemét 051030'!G128+'7.13 szennyvíz 052080'!G128+'7.14 víz 063080'!G128+'7.15 közvil 064010'!G128+'7.16 zöldterület 066010'!G128+'7.17 város 066020'!G128+'7.18 háziorvos 072111'!G128+'7.19 ügyelet 072112'!G128+'7.20 fülészet 072210'!G128+'7.21 védőnők 074031'!G128+'7.22 isk eü 074032'!G128+'7.23 sportcsépület 081030'!G128+'7.24 sport tám 081041'!G128+'7.25 diáksport 081043'!G128+'7.26 közműv 082091'!G128+'7.27 közműv 082092'!G128+'7.28  óvoda 091140'!G128+'7.29 intézmkiv gyétk 104037'!G128+'7.30 szoc étk 107051'!G128+'7.31 segélyek 107060'!G128+'7.32 adóbev 900020'!G128+'7.33 pályázatok összesen'!G128+'7.6 út építés 045127'!G128</f>
        <v>61812082</v>
      </c>
      <c r="H128" s="245">
        <f t="shared" si="18"/>
        <v>518498408</v>
      </c>
      <c r="I128" s="244">
        <f ca="1">'7.1. igazg 011130'!I128+'7.2 temető 013320'!I128+'7.3. vagyon 013350'!I128+'7.4 018010'!I128+'7.5 finansz műveletek 018030'!I128+'7.7 közütak működtetés 045160'!I128+'7.8 parkoló 045170'!I128+'7.9 kábeltv 046020'!I128+'7.10 piac 047120'!I128+'7.11 tdm tám047320'!I128+'7.12 szemét 051030'!I128+'7.13 szennyvíz 052080'!I128+'7.14 víz 063080'!I128+'7.15 közvil 064010'!I128+'7.16 zöldterület 066010'!I128+'7.17 város 066020'!I128+'7.18 háziorvos 072111'!I128+'7.19 ügyelet 072112'!I128+'7.20 fülészet 072210'!I128+'7.21 védőnők 074031'!I128+'7.22 isk eü 074032'!I128+'7.23 sportcsépület 081030'!I128+'7.24 sport tám 081041'!I128+'7.25 diáksport 081043'!I128+'7.26 közműv 082091'!I128+'7.27 közműv 082092'!I128+'7.28  óvoda 091140'!I128+'7.29 intézmkiv gyétk 104037'!I128+'7.30 szoc étk 107051'!I128+'7.31 segélyek 107060'!I128+'7.32 adóbev 900020'!I128+'7.33 pályázatok összesen'!I128+'7.6 út építés 045127'!I128</f>
        <v>458930378</v>
      </c>
      <c r="J128" s="244">
        <f>'7.1. igazg 011130'!J128+'7.2 temető 013320'!J128+'7.3. vagyon 013350'!J128+'7.4 018010'!J128+'7.5 finansz műveletek 018030'!J128+'7.7 közütak működtetés 045160'!J128+'7.8 parkoló 045170'!J128+'7.9 kábeltv 046020'!J128+'7.10 piac 047120'!J128+'7.11 tdm tám047320'!J128+'7.12 szemét 051030'!J128+'7.13 szennyvíz 052080'!J128+'7.14 víz 063080'!J128+'7.15 közvil 064010'!J128+'7.16 zöldterület 066010'!J128+'7.17 város 066020'!J128+'7.18 háziorvos 072111'!J128+'7.19 ügyelet 072112'!J128+'7.20 fülészet 072210'!J128+'7.21 védőnők 074031'!J128+'7.22 isk eü 074032'!J128+'7.23 sportcsépület 081030'!J128+'7.24 sport tám 081041'!J128+'7.25 diáksport 081043'!J128+'7.26 közműv 082091'!J128+'7.27 közműv 082092'!J128+'7.28  óvoda 091140'!J128+'7.29 intézmkiv gyétk 104037'!J128+'7.30 szoc étk 107051'!J128+'7.31 segélyek 107060'!J128+'7.32 adóbev 900020'!J128+'7.33 pályázatok összesen'!J128+'7.6 út építés 045127'!J128</f>
        <v>62412000</v>
      </c>
      <c r="K128" s="245">
        <f t="shared" ca="1" si="19"/>
        <v>521342378</v>
      </c>
      <c r="L128" s="244">
        <f ca="1">'7.1. igazg 011130'!L128+'7.2 temető 013320'!L128+'7.3. vagyon 013350'!L128+'7.4 018010'!L128+'7.5 finansz műveletek 018030'!L128+'7.7 közütak működtetés 045160'!L128+'7.8 parkoló 045170'!L128+'7.9 kábeltv 046020'!L128+'7.10 piac 047120'!L128+'7.11 tdm tám047320'!L128+'7.12 szemét 051030'!L128+'7.13 szennyvíz 052080'!L128+'7.14 víz 063080'!L128+'7.15 közvil 064010'!L128+'7.16 zöldterület 066010'!L128+'7.17 város 066020'!L128+'7.18 háziorvos 072111'!L128+'7.19 ügyelet 072112'!L128+'7.20 fülészet 072210'!L128+'7.21 védőnők 074031'!L128+'7.22 isk eü 074032'!L128+'7.23 sportcsépület 081030'!L128+'7.24 sport tám 081041'!L128+'7.25 diáksport 081043'!L128+'7.26 közműv 082091'!L128+'7.27 közműv 082092'!L128+'7.28  óvoda 091140'!L128+'7.29 intézmkiv gyétk 104037'!L128+'7.30 szoc étk 107051'!L128+'7.31 segélyek 107060'!L128+'7.32 adóbev 900020'!L128+'7.33 pályázatok összesen'!L128+'7.6 út építés 045127'!L128</f>
        <v>392231809</v>
      </c>
      <c r="M128" s="244">
        <f>'7.1. igazg 011130'!M128+'7.2 temető 013320'!M128+'7.3. vagyon 013350'!M128+'7.4 018010'!M128+'7.5 finansz műveletek 018030'!M128+'7.7 közütak működtetés 045160'!M128+'7.8 parkoló 045170'!M128+'7.9 kábeltv 046020'!M128+'7.10 piac 047120'!M128+'7.11 tdm tám047320'!M128+'7.12 szemét 051030'!M128+'7.13 szennyvíz 052080'!M128+'7.14 víz 063080'!M128+'7.15 közvil 064010'!M128+'7.16 zöldterület 066010'!M128+'7.17 város 066020'!M128+'7.18 háziorvos 072111'!M128+'7.19 ügyelet 072112'!M128+'7.20 fülészet 072210'!M128+'7.21 védőnők 074031'!M128+'7.22 isk eü 074032'!M128+'7.23 sportcsépület 081030'!M128+'7.24 sport tám 081041'!M128+'7.25 diáksport 081043'!M128+'7.26 közműv 082091'!M128+'7.27 közműv 082092'!M128+'7.28  óvoda 091140'!M128+'7.29 intézmkiv gyétk 104037'!M128+'7.30 szoc étk 107051'!M128+'7.31 segélyek 107060'!M128+'7.32 adóbev 900020'!M128+'7.33 pályázatok összesen'!M128+'7.6 út építés 045127'!M128</f>
        <v>62412000</v>
      </c>
      <c r="N128" s="245">
        <f t="shared" ca="1" si="20"/>
        <v>454643809</v>
      </c>
    </row>
    <row r="129" spans="1:19" x14ac:dyDescent="0.25">
      <c r="A129" s="61" t="s">
        <v>229</v>
      </c>
      <c r="B129" s="62" t="s">
        <v>230</v>
      </c>
      <c r="C129" s="246">
        <f>'7.1. igazg 011130'!C129+'7.2 temető 013320'!C129+'7.3. vagyon 013350'!C129+'7.4 018010'!C129+'7.5 finansz műveletek 018030'!C129+'7.7 közütak működtetés 045160'!C129+'7.8 parkoló 045170'!C129+'7.9 kábeltv 046020'!C129+'7.10 piac 047120'!C129+'7.11 tdm tám047320'!C129+'7.12 szemét 051030'!C129+'7.13 szennyvíz 052080'!C129+'7.14 víz 063080'!C129+'7.15 közvil 064010'!C129+'7.16 zöldterület 066010'!C129+'7.17 város 066020'!C129+'7.18 háziorvos 072111'!C129+'7.19 ügyelet 072112'!C129+'7.20 fülészet 072210'!C129+'7.21 védőnők 074031'!C129+'7.22 isk eü 074032'!C129+'7.23 sportcsépület 081030'!C129+'7.24 sport tám 081041'!C129+'7.25 diáksport 081043'!C129+'7.26 közműv 082091'!C129+'7.27 közműv 082092'!C129+'7.28  óvoda 091140'!C129+'7.29 intézmkiv gyétk 104037'!C129+'7.30 szoc étk 107051'!C129+'7.31 segélyek 107060'!C129+'7.32 adóbev 900020'!C129+'7.33 pályázatok összesen'!C129+'7.6 út építés 045127'!C129</f>
        <v>0</v>
      </c>
      <c r="D129" s="246">
        <f>'7.1. igazg 011130'!D129+'7.2 temető 013320'!D129+'7.3. vagyon 013350'!D129+'7.4 018010'!D129+'7.5 finansz műveletek 018030'!D129+'7.7 közütak működtetés 045160'!D129+'7.8 parkoló 045170'!D129+'7.9 kábeltv 046020'!D129+'7.10 piac 047120'!D129+'7.11 tdm tám047320'!D129+'7.12 szemét 051030'!D129+'7.13 szennyvíz 052080'!D129+'7.14 víz 063080'!D129+'7.15 közvil 064010'!D129+'7.16 zöldterület 066010'!D129+'7.17 város 066020'!D129+'7.18 háziorvos 072111'!D129+'7.19 ügyelet 072112'!D129+'7.20 fülészet 072210'!D129+'7.21 védőnők 074031'!D129+'7.22 isk eü 074032'!D129+'7.23 sportcsépület 081030'!D129+'7.24 sport tám 081041'!D129+'7.25 diáksport 081043'!D129+'7.26 közműv 082091'!D129+'7.27 közműv 082092'!D129+'7.28  óvoda 091140'!D129+'7.29 intézmkiv gyétk 104037'!D129+'7.30 szoc étk 107051'!D129+'7.31 segélyek 107060'!D129+'7.32 adóbev 900020'!D129+'7.33 pályázatok összesen'!D129+'7.6 út építés 045127'!D129</f>
        <v>0</v>
      </c>
      <c r="E129" s="247">
        <f t="shared" si="11"/>
        <v>0</v>
      </c>
      <c r="F129" s="246">
        <f>'7.1. igazg 011130'!F129+'7.2 temető 013320'!F129+'7.3. vagyon 013350'!F129+'7.4 018010'!F129+'7.5 finansz műveletek 018030'!F129+'7.7 közütak működtetés 045160'!F129+'7.8 parkoló 045170'!F129+'7.9 kábeltv 046020'!F129+'7.10 piac 047120'!F129+'7.11 tdm tám047320'!F129+'7.12 szemét 051030'!F129+'7.13 szennyvíz 052080'!F129+'7.14 víz 063080'!F129+'7.15 közvil 064010'!F129+'7.16 zöldterület 066010'!F129+'7.17 város 066020'!F129+'7.18 háziorvos 072111'!F129+'7.19 ügyelet 072112'!F129+'7.20 fülészet 072210'!F129+'7.21 védőnők 074031'!F129+'7.22 isk eü 074032'!F129+'7.23 sportcsépület 081030'!F129+'7.24 sport tám 081041'!F129+'7.25 diáksport 081043'!F129+'7.26 közműv 082091'!F129+'7.27 közműv 082092'!F129+'7.28  óvoda 091140'!F129+'7.29 intézmkiv gyétk 104037'!F129+'7.30 szoc étk 107051'!F129+'7.31 segélyek 107060'!F129+'7.32 adóbev 900020'!F129+'7.33 pályázatok összesen'!F129+'7.6 út építés 045127'!F129</f>
        <v>0</v>
      </c>
      <c r="G129" s="246">
        <f>'7.1. igazg 011130'!G129+'7.2 temető 013320'!G129+'7.3. vagyon 013350'!G129+'7.4 018010'!G129+'7.5 finansz műveletek 018030'!G129+'7.7 közütak működtetés 045160'!G129+'7.8 parkoló 045170'!G129+'7.9 kábeltv 046020'!G129+'7.10 piac 047120'!G129+'7.11 tdm tám047320'!G129+'7.12 szemét 051030'!G129+'7.13 szennyvíz 052080'!G129+'7.14 víz 063080'!G129+'7.15 közvil 064010'!G129+'7.16 zöldterület 066010'!G129+'7.17 város 066020'!G129+'7.18 háziorvos 072111'!G129+'7.19 ügyelet 072112'!G129+'7.20 fülészet 072210'!G129+'7.21 védőnők 074031'!G129+'7.22 isk eü 074032'!G129+'7.23 sportcsépület 081030'!G129+'7.24 sport tám 081041'!G129+'7.25 diáksport 081043'!G129+'7.26 közműv 082091'!G129+'7.27 közműv 082092'!G129+'7.28  óvoda 091140'!G129+'7.29 intézmkiv gyétk 104037'!G129+'7.30 szoc étk 107051'!G129+'7.31 segélyek 107060'!G129+'7.32 adóbev 900020'!G129+'7.33 pályázatok összesen'!G129+'7.6 út építés 045127'!G129</f>
        <v>0</v>
      </c>
      <c r="H129" s="247">
        <f t="shared" si="18"/>
        <v>0</v>
      </c>
      <c r="I129" s="246">
        <f ca="1">'7.1. igazg 011130'!I129+'7.2 temető 013320'!I129+'7.3. vagyon 013350'!I129+'7.4 018010'!I129+'7.5 finansz műveletek 018030'!I129+'7.7 közütak működtetés 045160'!I129+'7.8 parkoló 045170'!I129+'7.9 kábeltv 046020'!I129+'7.10 piac 047120'!I129+'7.11 tdm tám047320'!I129+'7.12 szemét 051030'!I129+'7.13 szennyvíz 052080'!I129+'7.14 víz 063080'!I129+'7.15 közvil 064010'!I129+'7.16 zöldterület 066010'!I129+'7.17 város 066020'!I129+'7.18 háziorvos 072111'!I129+'7.19 ügyelet 072112'!I129+'7.20 fülészet 072210'!I129+'7.21 védőnők 074031'!I129+'7.22 isk eü 074032'!I129+'7.23 sportcsépület 081030'!I129+'7.24 sport tám 081041'!I129+'7.25 diáksport 081043'!I129+'7.26 közműv 082091'!I129+'7.27 közműv 082092'!I129+'7.28  óvoda 091140'!I129+'7.29 intézmkiv gyétk 104037'!I129+'7.30 szoc étk 107051'!I129+'7.31 segélyek 107060'!I129+'7.32 adóbev 900020'!I129+'7.33 pályázatok összesen'!I129+'7.6 út építés 045127'!I129</f>
        <v>22052</v>
      </c>
      <c r="J129" s="246">
        <f>'7.1. igazg 011130'!J129+'7.2 temető 013320'!J129+'7.3. vagyon 013350'!J129+'7.4 018010'!J129+'7.5 finansz műveletek 018030'!J129+'7.7 közütak működtetés 045160'!J129+'7.8 parkoló 045170'!J129+'7.9 kábeltv 046020'!J129+'7.10 piac 047120'!J129+'7.11 tdm tám047320'!J129+'7.12 szemét 051030'!J129+'7.13 szennyvíz 052080'!J129+'7.14 víz 063080'!J129+'7.15 közvil 064010'!J129+'7.16 zöldterület 066010'!J129+'7.17 város 066020'!J129+'7.18 háziorvos 072111'!J129+'7.19 ügyelet 072112'!J129+'7.20 fülészet 072210'!J129+'7.21 védőnők 074031'!J129+'7.22 isk eü 074032'!J129+'7.23 sportcsépület 081030'!J129+'7.24 sport tám 081041'!J129+'7.25 diáksport 081043'!J129+'7.26 közműv 082091'!J129+'7.27 közműv 082092'!J129+'7.28  óvoda 091140'!J129+'7.29 intézmkiv gyétk 104037'!J129+'7.30 szoc étk 107051'!J129+'7.31 segélyek 107060'!J129+'7.32 adóbev 900020'!J129+'7.33 pályázatok összesen'!J129+'7.6 út építés 045127'!J129</f>
        <v>0</v>
      </c>
      <c r="K129" s="247">
        <f t="shared" ca="1" si="19"/>
        <v>22052</v>
      </c>
      <c r="L129" s="246">
        <f ca="1">'7.1. igazg 011130'!L129+'7.2 temető 013320'!L129+'7.3. vagyon 013350'!L129+'7.4 018010'!L129+'7.5 finansz műveletek 018030'!L129+'7.7 közütak működtetés 045160'!L129+'7.8 parkoló 045170'!L129+'7.9 kábeltv 046020'!L129+'7.10 piac 047120'!L129+'7.11 tdm tám047320'!L129+'7.12 szemét 051030'!L129+'7.13 szennyvíz 052080'!L129+'7.14 víz 063080'!L129+'7.15 közvil 064010'!L129+'7.16 zöldterület 066010'!L129+'7.17 város 066020'!L129+'7.18 háziorvos 072111'!L129+'7.19 ügyelet 072112'!L129+'7.20 fülészet 072210'!L129+'7.21 védőnők 074031'!L129+'7.22 isk eü 074032'!L129+'7.23 sportcsépület 081030'!L129+'7.24 sport tám 081041'!L129+'7.25 diáksport 081043'!L129+'7.26 közműv 082091'!L129+'7.27 közműv 082092'!L129+'7.28  óvoda 091140'!L129+'7.29 intézmkiv gyétk 104037'!L129+'7.30 szoc étk 107051'!L129+'7.31 segélyek 107060'!L129+'7.32 adóbev 900020'!L129+'7.33 pályázatok összesen'!L129+'7.6 út építés 045127'!L129</f>
        <v>22052</v>
      </c>
      <c r="M129" s="246">
        <f>'7.1. igazg 011130'!M129+'7.2 temető 013320'!M129+'7.3. vagyon 013350'!M129+'7.4 018010'!M129+'7.5 finansz műveletek 018030'!M129+'7.7 közütak működtetés 045160'!M129+'7.8 parkoló 045170'!M129+'7.9 kábeltv 046020'!M129+'7.10 piac 047120'!M129+'7.11 tdm tám047320'!M129+'7.12 szemét 051030'!M129+'7.13 szennyvíz 052080'!M129+'7.14 víz 063080'!M129+'7.15 közvil 064010'!M129+'7.16 zöldterület 066010'!M129+'7.17 város 066020'!M129+'7.18 háziorvos 072111'!M129+'7.19 ügyelet 072112'!M129+'7.20 fülészet 072210'!M129+'7.21 védőnők 074031'!M129+'7.22 isk eü 074032'!M129+'7.23 sportcsépület 081030'!M129+'7.24 sport tám 081041'!M129+'7.25 diáksport 081043'!M129+'7.26 közműv 082091'!M129+'7.27 közműv 082092'!M129+'7.28  óvoda 091140'!M129+'7.29 intézmkiv gyétk 104037'!M129+'7.30 szoc étk 107051'!M129+'7.31 segélyek 107060'!M129+'7.32 adóbev 900020'!M129+'7.33 pályázatok összesen'!M129+'7.6 út építés 045127'!M129</f>
        <v>0</v>
      </c>
      <c r="N129" s="247">
        <f t="shared" ca="1" si="20"/>
        <v>22052</v>
      </c>
    </row>
    <row r="130" spans="1:19" x14ac:dyDescent="0.25">
      <c r="A130" s="190" t="s">
        <v>548</v>
      </c>
      <c r="B130" s="180" t="s">
        <v>549</v>
      </c>
      <c r="C130" s="246">
        <f>'7.1. igazg 011130'!C130+'7.2 temető 013320'!C130+'7.3. vagyon 013350'!C130+'7.4 018010'!C130+'7.5 finansz műveletek 018030'!C130+'7.7 közütak működtetés 045160'!C130+'7.8 parkoló 045170'!C130+'7.9 kábeltv 046020'!C130+'7.10 piac 047120'!C130+'7.11 tdm tám047320'!C130+'7.12 szemét 051030'!C130+'7.13 szennyvíz 052080'!C130+'7.14 víz 063080'!C130+'7.15 közvil 064010'!C130+'7.16 zöldterület 066010'!C130+'7.17 város 066020'!C130+'7.18 háziorvos 072111'!C130+'7.19 ügyelet 072112'!C130+'7.20 fülészet 072210'!C130+'7.21 védőnők 074031'!C130+'7.22 isk eü 074032'!C130+'7.23 sportcsépület 081030'!C130+'7.24 sport tám 081041'!C130+'7.25 diáksport 081043'!C130+'7.26 közműv 082091'!C130+'7.27 közműv 082092'!C130+'7.28  óvoda 091140'!C130+'7.29 intézmkiv gyétk 104037'!C130+'7.30 szoc étk 107051'!C130+'7.31 segélyek 107060'!C130+'7.32 adóbev 900020'!C130+'7.33 pályázatok összesen'!C130+'7.6 út építés 045127'!C130</f>
        <v>0</v>
      </c>
      <c r="D130" s="246">
        <f>'7.1. igazg 011130'!D130+'7.2 temető 013320'!D130+'7.3. vagyon 013350'!D130+'7.4 018010'!D130+'7.5 finansz műveletek 018030'!D130+'7.7 közütak működtetés 045160'!D130+'7.8 parkoló 045170'!D130+'7.9 kábeltv 046020'!D130+'7.10 piac 047120'!D130+'7.11 tdm tám047320'!D130+'7.12 szemét 051030'!D130+'7.13 szennyvíz 052080'!D130+'7.14 víz 063080'!D130+'7.15 közvil 064010'!D130+'7.16 zöldterület 066010'!D130+'7.17 város 066020'!D130+'7.18 háziorvos 072111'!D130+'7.19 ügyelet 072112'!D130+'7.20 fülészet 072210'!D130+'7.21 védőnők 074031'!D130+'7.22 isk eü 074032'!D130+'7.23 sportcsépület 081030'!D130+'7.24 sport tám 081041'!D130+'7.25 diáksport 081043'!D130+'7.26 közműv 082091'!D130+'7.27 közműv 082092'!D130+'7.28  óvoda 091140'!D130+'7.29 intézmkiv gyétk 104037'!D130+'7.30 szoc étk 107051'!D130+'7.31 segélyek 107060'!D130+'7.32 adóbev 900020'!D130+'7.33 pályázatok összesen'!D130+'7.6 út építés 045127'!D130</f>
        <v>0</v>
      </c>
      <c r="E130" s="247">
        <f t="shared" si="11"/>
        <v>0</v>
      </c>
      <c r="F130" s="246">
        <f>'7.1. igazg 011130'!F130+'7.2 temető 013320'!F130+'7.3. vagyon 013350'!F130+'7.4 018010'!F130+'7.5 finansz műveletek 018030'!F130+'7.7 közütak működtetés 045160'!F130+'7.8 parkoló 045170'!F130+'7.9 kábeltv 046020'!F130+'7.10 piac 047120'!F130+'7.11 tdm tám047320'!F130+'7.12 szemét 051030'!F130+'7.13 szennyvíz 052080'!F130+'7.14 víz 063080'!F130+'7.15 közvil 064010'!F130+'7.16 zöldterület 066010'!F130+'7.17 város 066020'!F130+'7.18 háziorvos 072111'!F130+'7.19 ügyelet 072112'!F130+'7.20 fülészet 072210'!F130+'7.21 védőnők 074031'!F130+'7.22 isk eü 074032'!F130+'7.23 sportcsépület 081030'!F130+'7.24 sport tám 081041'!F130+'7.25 diáksport 081043'!F130+'7.26 közműv 082091'!F130+'7.27 közműv 082092'!F130+'7.28  óvoda 091140'!F130+'7.29 intézmkiv gyétk 104037'!F130+'7.30 szoc étk 107051'!F130+'7.31 segélyek 107060'!F130+'7.32 adóbev 900020'!F130+'7.33 pályázatok összesen'!F130+'7.6 út építés 045127'!F130</f>
        <v>0</v>
      </c>
      <c r="G130" s="246">
        <f>'7.1. igazg 011130'!G130+'7.2 temető 013320'!G130+'7.3. vagyon 013350'!G130+'7.4 018010'!G130+'7.5 finansz műveletek 018030'!G130+'7.7 közütak működtetés 045160'!G130+'7.8 parkoló 045170'!G130+'7.9 kábeltv 046020'!G130+'7.10 piac 047120'!G130+'7.11 tdm tám047320'!G130+'7.12 szemét 051030'!G130+'7.13 szennyvíz 052080'!G130+'7.14 víz 063080'!G130+'7.15 közvil 064010'!G130+'7.16 zöldterület 066010'!G130+'7.17 város 066020'!G130+'7.18 háziorvos 072111'!G130+'7.19 ügyelet 072112'!G130+'7.20 fülészet 072210'!G130+'7.21 védőnők 074031'!G130+'7.22 isk eü 074032'!G130+'7.23 sportcsépület 081030'!G130+'7.24 sport tám 081041'!G130+'7.25 diáksport 081043'!G130+'7.26 közműv 082091'!G130+'7.27 közműv 082092'!G130+'7.28  óvoda 091140'!G130+'7.29 intézmkiv gyétk 104037'!G130+'7.30 szoc étk 107051'!G130+'7.31 segélyek 107060'!G130+'7.32 adóbev 900020'!G130+'7.33 pályázatok összesen'!G130+'7.6 út építés 045127'!G130</f>
        <v>0</v>
      </c>
      <c r="H130" s="247">
        <f t="shared" si="18"/>
        <v>0</v>
      </c>
      <c r="I130" s="246">
        <f ca="1">'7.1. igazg 011130'!I130+'7.2 temető 013320'!I130+'7.3. vagyon 013350'!I130+'7.4 018010'!I130+'7.5 finansz műveletek 018030'!I130+'7.7 közütak működtetés 045160'!I130+'7.8 parkoló 045170'!I130+'7.9 kábeltv 046020'!I130+'7.10 piac 047120'!I130+'7.11 tdm tám047320'!I130+'7.12 szemét 051030'!I130+'7.13 szennyvíz 052080'!I130+'7.14 víz 063080'!I130+'7.15 közvil 064010'!I130+'7.16 zöldterület 066010'!I130+'7.17 város 066020'!I130+'7.18 háziorvos 072111'!I130+'7.19 ügyelet 072112'!I130+'7.20 fülészet 072210'!I130+'7.21 védőnők 074031'!I130+'7.22 isk eü 074032'!I130+'7.23 sportcsépület 081030'!I130+'7.24 sport tám 081041'!I130+'7.25 diáksport 081043'!I130+'7.26 közműv 082091'!I130+'7.27 közműv 082092'!I130+'7.28  óvoda 091140'!I130+'7.29 intézmkiv gyétk 104037'!I130+'7.30 szoc étk 107051'!I130+'7.31 segélyek 107060'!I130+'7.32 adóbev 900020'!I130+'7.33 pályázatok összesen'!I130+'7.6 út építés 045127'!I130</f>
        <v>2085000</v>
      </c>
      <c r="J130" s="246">
        <f>'7.1. igazg 011130'!J130+'7.2 temető 013320'!J130+'7.3. vagyon 013350'!J130+'7.4 018010'!J130+'7.5 finansz műveletek 018030'!J130+'7.7 közütak működtetés 045160'!J130+'7.8 parkoló 045170'!J130+'7.9 kábeltv 046020'!J130+'7.10 piac 047120'!J130+'7.11 tdm tám047320'!J130+'7.12 szemét 051030'!J130+'7.13 szennyvíz 052080'!J130+'7.14 víz 063080'!J130+'7.15 közvil 064010'!J130+'7.16 zöldterület 066010'!J130+'7.17 város 066020'!J130+'7.18 háziorvos 072111'!J130+'7.19 ügyelet 072112'!J130+'7.20 fülészet 072210'!J130+'7.21 védőnők 074031'!J130+'7.22 isk eü 074032'!J130+'7.23 sportcsépület 081030'!J130+'7.24 sport tám 081041'!J130+'7.25 diáksport 081043'!J130+'7.26 közműv 082091'!J130+'7.27 közműv 082092'!J130+'7.28  óvoda 091140'!J130+'7.29 intézmkiv gyétk 104037'!J130+'7.30 szoc étk 107051'!J130+'7.31 segélyek 107060'!J130+'7.32 adóbev 900020'!J130+'7.33 pályázatok összesen'!J130+'7.6 út építés 045127'!J130</f>
        <v>0</v>
      </c>
      <c r="K130" s="247">
        <f t="shared" ca="1" si="19"/>
        <v>2085000</v>
      </c>
      <c r="L130" s="246">
        <f ca="1">'7.1. igazg 011130'!L130+'7.2 temető 013320'!L130+'7.3. vagyon 013350'!L130+'7.4 018010'!L130+'7.5 finansz műveletek 018030'!L130+'7.7 közütak működtetés 045160'!L130+'7.8 parkoló 045170'!L130+'7.9 kábeltv 046020'!L130+'7.10 piac 047120'!L130+'7.11 tdm tám047320'!L130+'7.12 szemét 051030'!L130+'7.13 szennyvíz 052080'!L130+'7.14 víz 063080'!L130+'7.15 közvil 064010'!L130+'7.16 zöldterület 066010'!L130+'7.17 város 066020'!L130+'7.18 háziorvos 072111'!L130+'7.19 ügyelet 072112'!L130+'7.20 fülészet 072210'!L130+'7.21 védőnők 074031'!L130+'7.22 isk eü 074032'!L130+'7.23 sportcsépület 081030'!L130+'7.24 sport tám 081041'!L130+'7.25 diáksport 081043'!L130+'7.26 közműv 082091'!L130+'7.27 közműv 082092'!L130+'7.28  óvoda 091140'!L130+'7.29 intézmkiv gyétk 104037'!L130+'7.30 szoc étk 107051'!L130+'7.31 segélyek 107060'!L130+'7.32 adóbev 900020'!L130+'7.33 pályázatok összesen'!L130+'7.6 út építés 045127'!L130</f>
        <v>2085000</v>
      </c>
      <c r="M130" s="246">
        <f>'7.1. igazg 011130'!M130+'7.2 temető 013320'!M130+'7.3. vagyon 013350'!M130+'7.4 018010'!M130+'7.5 finansz műveletek 018030'!M130+'7.7 közütak működtetés 045160'!M130+'7.8 parkoló 045170'!M130+'7.9 kábeltv 046020'!M130+'7.10 piac 047120'!M130+'7.11 tdm tám047320'!M130+'7.12 szemét 051030'!M130+'7.13 szennyvíz 052080'!M130+'7.14 víz 063080'!M130+'7.15 közvil 064010'!M130+'7.16 zöldterület 066010'!M130+'7.17 város 066020'!M130+'7.18 háziorvos 072111'!M130+'7.19 ügyelet 072112'!M130+'7.20 fülészet 072210'!M130+'7.21 védőnők 074031'!M130+'7.22 isk eü 074032'!M130+'7.23 sportcsépület 081030'!M130+'7.24 sport tám 081041'!M130+'7.25 diáksport 081043'!M130+'7.26 közműv 082091'!M130+'7.27 közműv 082092'!M130+'7.28  óvoda 091140'!M130+'7.29 intézmkiv gyétk 104037'!M130+'7.30 szoc étk 107051'!M130+'7.31 segélyek 107060'!M130+'7.32 adóbev 900020'!M130+'7.33 pályázatok összesen'!M130+'7.6 út építés 045127'!M130</f>
        <v>0</v>
      </c>
      <c r="N130" s="247">
        <f t="shared" ca="1" si="20"/>
        <v>2085000</v>
      </c>
    </row>
    <row r="131" spans="1:19" x14ac:dyDescent="0.25">
      <c r="A131" s="61" t="s">
        <v>231</v>
      </c>
      <c r="B131" s="62" t="s">
        <v>232</v>
      </c>
      <c r="C131" s="246">
        <f>'7.1. igazg 011130'!C131+'7.2 temető 013320'!C131+'7.3. vagyon 013350'!C131+'7.4 018010'!C131+'7.5 finansz műveletek 018030'!C131+'7.7 közütak működtetés 045160'!C131+'7.8 parkoló 045170'!C131+'7.9 kábeltv 046020'!C131+'7.10 piac 047120'!C131+'7.11 tdm tám047320'!C131+'7.12 szemét 051030'!C131+'7.13 szennyvíz 052080'!C131+'7.14 víz 063080'!C131+'7.15 közvil 064010'!C131+'7.16 zöldterület 066010'!C131+'7.17 város 066020'!C131+'7.18 háziorvos 072111'!C131+'7.19 ügyelet 072112'!C131+'7.20 fülészet 072210'!C131+'7.21 védőnők 074031'!C131+'7.22 isk eü 074032'!C131+'7.23 sportcsépület 081030'!C131+'7.24 sport tám 081041'!C131+'7.25 diáksport 081043'!C131+'7.26 közműv 082091'!C131+'7.27 közműv 082092'!C131+'7.28  óvoda 091140'!C131+'7.29 intézmkiv gyétk 104037'!C131+'7.30 szoc étk 107051'!C131+'7.31 segélyek 107060'!C131+'7.32 adóbev 900020'!C131+'7.33 pályázatok összesen'!C131+'7.6 út építés 045127'!C131</f>
        <v>210731344</v>
      </c>
      <c r="D131" s="246">
        <f>'7.1. igazg 011130'!D131+'7.2 temető 013320'!D131+'7.3. vagyon 013350'!D131+'7.4 018010'!D131+'7.5 finansz műveletek 018030'!D131+'7.7 közütak működtetés 045160'!D131+'7.8 parkoló 045170'!D131+'7.9 kábeltv 046020'!D131+'7.10 piac 047120'!D131+'7.11 tdm tám047320'!D131+'7.12 szemét 051030'!D131+'7.13 szennyvíz 052080'!D131+'7.14 víz 063080'!D131+'7.15 közvil 064010'!D131+'7.16 zöldterület 066010'!D131+'7.17 város 066020'!D131+'7.18 háziorvos 072111'!D131+'7.19 ügyelet 072112'!D131+'7.20 fülészet 072210'!D131+'7.21 védőnők 074031'!D131+'7.22 isk eü 074032'!D131+'7.23 sportcsépület 081030'!D131+'7.24 sport tám 081041'!D131+'7.25 diáksport 081043'!D131+'7.26 közműv 082091'!D131+'7.27 közműv 082092'!D131+'7.28  óvoda 091140'!D131+'7.29 intézmkiv gyétk 104037'!D131+'7.30 szoc étk 107051'!D131+'7.31 segélyek 107060'!D131+'7.32 adóbev 900020'!D131+'7.33 pályázatok összesen'!D131+'7.6 út építés 045127'!D131</f>
        <v>0</v>
      </c>
      <c r="E131" s="247">
        <f t="shared" si="11"/>
        <v>210731344</v>
      </c>
      <c r="F131" s="246">
        <f>'7.1. igazg 011130'!F131+'7.2 temető 013320'!F131+'7.3. vagyon 013350'!F131+'7.4 018010'!F131+'7.5 finansz műveletek 018030'!F131+'7.7 közütak működtetés 045160'!F131+'7.8 parkoló 045170'!F131+'7.9 kábeltv 046020'!F131+'7.10 piac 047120'!F131+'7.11 tdm tám047320'!F131+'7.12 szemét 051030'!F131+'7.13 szennyvíz 052080'!F131+'7.14 víz 063080'!F131+'7.15 közvil 064010'!F131+'7.16 zöldterület 066010'!F131+'7.17 város 066020'!F131+'7.18 háziorvos 072111'!F131+'7.19 ügyelet 072112'!F131+'7.20 fülészet 072210'!F131+'7.21 védőnők 074031'!F131+'7.22 isk eü 074032'!F131+'7.23 sportcsépület 081030'!F131+'7.24 sport tám 081041'!F131+'7.25 diáksport 081043'!F131+'7.26 közműv 082091'!F131+'7.27 közműv 082092'!F131+'7.28  óvoda 091140'!F131+'7.29 intézmkiv gyétk 104037'!F131+'7.30 szoc étk 107051'!F131+'7.31 segélyek 107060'!F131+'7.32 adóbev 900020'!F131+'7.33 pályázatok összesen'!F131+'7.6 út építés 045127'!F131</f>
        <v>215211326</v>
      </c>
      <c r="G131" s="246">
        <f>'7.1. igazg 011130'!G131+'7.2 temető 013320'!G131+'7.3. vagyon 013350'!G131+'7.4 018010'!G131+'7.5 finansz műveletek 018030'!G131+'7.7 közütak működtetés 045160'!G131+'7.8 parkoló 045170'!G131+'7.9 kábeltv 046020'!G131+'7.10 piac 047120'!G131+'7.11 tdm tám047320'!G131+'7.12 szemét 051030'!G131+'7.13 szennyvíz 052080'!G131+'7.14 víz 063080'!G131+'7.15 közvil 064010'!G131+'7.16 zöldterület 066010'!G131+'7.17 város 066020'!G131+'7.18 háziorvos 072111'!G131+'7.19 ügyelet 072112'!G131+'7.20 fülészet 072210'!G131+'7.21 védőnők 074031'!G131+'7.22 isk eü 074032'!G131+'7.23 sportcsépület 081030'!G131+'7.24 sport tám 081041'!G131+'7.25 diáksport 081043'!G131+'7.26 közműv 082091'!G131+'7.27 közműv 082092'!G131+'7.28  óvoda 091140'!G131+'7.29 intézmkiv gyétk 104037'!G131+'7.30 szoc étk 107051'!G131+'7.31 segélyek 107060'!G131+'7.32 adóbev 900020'!G131+'7.33 pályázatok összesen'!G131+'7.6 út építés 045127'!G131</f>
        <v>0</v>
      </c>
      <c r="H131" s="247">
        <f t="shared" si="18"/>
        <v>215211326</v>
      </c>
      <c r="I131" s="246">
        <f ca="1">'7.1. igazg 011130'!I131+'7.2 temető 013320'!I131+'7.3. vagyon 013350'!I131+'7.4 018010'!I131+'7.5 finansz műveletek 018030'!I131+'7.7 közütak működtetés 045160'!I131+'7.8 parkoló 045170'!I131+'7.9 kábeltv 046020'!I131+'7.10 piac 047120'!I131+'7.11 tdm tám047320'!I131+'7.12 szemét 051030'!I131+'7.13 szennyvíz 052080'!I131+'7.14 víz 063080'!I131+'7.15 közvil 064010'!I131+'7.16 zöldterület 066010'!I131+'7.17 város 066020'!I131+'7.18 háziorvos 072111'!I131+'7.19 ügyelet 072112'!I131+'7.20 fülészet 072210'!I131+'7.21 védőnők 074031'!I131+'7.22 isk eü 074032'!I131+'7.23 sportcsépület 081030'!I131+'7.24 sport tám 081041'!I131+'7.25 diáksport 081043'!I131+'7.26 közműv 082091'!I131+'7.27 közműv 082092'!I131+'7.28  óvoda 091140'!I131+'7.29 intézmkiv gyétk 104037'!I131+'7.30 szoc étk 107051'!I131+'7.31 segélyek 107060'!I131+'7.32 adóbev 900020'!I131+'7.33 pályázatok összesen'!I131+'7.6 út építés 045127'!I131</f>
        <v>215211326</v>
      </c>
      <c r="J131" s="246">
        <f>'7.1. igazg 011130'!J131+'7.2 temető 013320'!J131+'7.3. vagyon 013350'!J131+'7.4 018010'!J131+'7.5 finansz műveletek 018030'!J131+'7.7 közütak működtetés 045160'!J131+'7.8 parkoló 045170'!J131+'7.9 kábeltv 046020'!J131+'7.10 piac 047120'!J131+'7.11 tdm tám047320'!J131+'7.12 szemét 051030'!J131+'7.13 szennyvíz 052080'!J131+'7.14 víz 063080'!J131+'7.15 közvil 064010'!J131+'7.16 zöldterület 066010'!J131+'7.17 város 066020'!J131+'7.18 háziorvos 072111'!J131+'7.19 ügyelet 072112'!J131+'7.20 fülészet 072210'!J131+'7.21 védőnők 074031'!J131+'7.22 isk eü 074032'!J131+'7.23 sportcsépület 081030'!J131+'7.24 sport tám 081041'!J131+'7.25 diáksport 081043'!J131+'7.26 közműv 082091'!J131+'7.27 közműv 082092'!J131+'7.28  óvoda 091140'!J131+'7.29 intézmkiv gyétk 104037'!J131+'7.30 szoc étk 107051'!J131+'7.31 segélyek 107060'!J131+'7.32 adóbev 900020'!J131+'7.33 pályázatok összesen'!J131+'7.6 út építés 045127'!J131</f>
        <v>0</v>
      </c>
      <c r="K131" s="247">
        <f t="shared" ca="1" si="19"/>
        <v>215211326</v>
      </c>
      <c r="L131" s="246">
        <f ca="1">'7.1. igazg 011130'!L131+'7.2 temető 013320'!L131+'7.3. vagyon 013350'!L131+'7.4 018010'!L131+'7.5 finansz műveletek 018030'!L131+'7.7 közütak működtetés 045160'!L131+'7.8 parkoló 045170'!L131+'7.9 kábeltv 046020'!L131+'7.10 piac 047120'!L131+'7.11 tdm tám047320'!L131+'7.12 szemét 051030'!L131+'7.13 szennyvíz 052080'!L131+'7.14 víz 063080'!L131+'7.15 közvil 064010'!L131+'7.16 zöldterület 066010'!L131+'7.17 város 066020'!L131+'7.18 háziorvos 072111'!L131+'7.19 ügyelet 072112'!L131+'7.20 fülészet 072210'!L131+'7.21 védőnők 074031'!L131+'7.22 isk eü 074032'!L131+'7.23 sportcsépület 081030'!L131+'7.24 sport tám 081041'!L131+'7.25 diáksport 081043'!L131+'7.26 közműv 082091'!L131+'7.27 közműv 082092'!L131+'7.28  óvoda 091140'!L131+'7.29 intézmkiv gyétk 104037'!L131+'7.30 szoc étk 107051'!L131+'7.31 segélyek 107060'!L131+'7.32 adóbev 900020'!L131+'7.33 pályázatok összesen'!L131+'7.6 út építés 045127'!L131</f>
        <v>211999757</v>
      </c>
      <c r="M131" s="246">
        <f>'7.1. igazg 011130'!M131+'7.2 temető 013320'!M131+'7.3. vagyon 013350'!M131+'7.4 018010'!M131+'7.5 finansz műveletek 018030'!M131+'7.7 közütak működtetés 045160'!M131+'7.8 parkoló 045170'!M131+'7.9 kábeltv 046020'!M131+'7.10 piac 047120'!M131+'7.11 tdm tám047320'!M131+'7.12 szemét 051030'!M131+'7.13 szennyvíz 052080'!M131+'7.14 víz 063080'!M131+'7.15 közvil 064010'!M131+'7.16 zöldterület 066010'!M131+'7.17 város 066020'!M131+'7.18 háziorvos 072111'!M131+'7.19 ügyelet 072112'!M131+'7.20 fülészet 072210'!M131+'7.21 védőnők 074031'!M131+'7.22 isk eü 074032'!M131+'7.23 sportcsépület 081030'!M131+'7.24 sport tám 081041'!M131+'7.25 diáksport 081043'!M131+'7.26 közműv 082091'!M131+'7.27 közműv 082092'!M131+'7.28  óvoda 091140'!M131+'7.29 intézmkiv gyétk 104037'!M131+'7.30 szoc étk 107051'!M131+'7.31 segélyek 107060'!M131+'7.32 adóbev 900020'!M131+'7.33 pályázatok összesen'!M131+'7.6 út építés 045127'!M131</f>
        <v>0</v>
      </c>
      <c r="N131" s="247">
        <f t="shared" ca="1" si="20"/>
        <v>211999757</v>
      </c>
    </row>
    <row r="132" spans="1:19" x14ac:dyDescent="0.25">
      <c r="A132" s="61" t="s">
        <v>233</v>
      </c>
      <c r="B132" s="62" t="s">
        <v>234</v>
      </c>
      <c r="C132" s="246">
        <f>'7.1. igazg 011130'!C132+'7.2 temető 013320'!C132+'7.3. vagyon 013350'!C132+'7.4 018010'!C132+'7.5 finansz műveletek 018030'!C132+'7.7 közütak működtetés 045160'!C132+'7.8 parkoló 045170'!C132+'7.9 kábeltv 046020'!C132+'7.10 piac 047120'!C132+'7.11 tdm tám047320'!C132+'7.12 szemét 051030'!C132+'7.13 szennyvíz 052080'!C132+'7.14 víz 063080'!C132+'7.15 közvil 064010'!C132+'7.16 zöldterület 066010'!C132+'7.17 város 066020'!C132+'7.18 háziorvos 072111'!C132+'7.19 ügyelet 072112'!C132+'7.20 fülészet 072210'!C132+'7.21 védőnők 074031'!C132+'7.22 isk eü 074032'!C132+'7.23 sportcsépület 081030'!C132+'7.24 sport tám 081041'!C132+'7.25 diáksport 081043'!C132+'7.26 közműv 082091'!C132+'7.27 közműv 082092'!C132+'7.28  óvoda 091140'!C132+'7.29 intézmkiv gyétk 104037'!C132+'7.30 szoc étk 107051'!C132+'7.31 segélyek 107060'!C132+'7.32 adóbev 900020'!C132+'7.33 pályázatok összesen'!C132+'7.6 út építés 045127'!C132</f>
        <v>0</v>
      </c>
      <c r="D132" s="246">
        <f>'7.1. igazg 011130'!D132+'7.2 temető 013320'!D132+'7.3. vagyon 013350'!D132+'7.4 018010'!D132+'7.5 finansz műveletek 018030'!D132+'7.7 közütak működtetés 045160'!D132+'7.8 parkoló 045170'!D132+'7.9 kábeltv 046020'!D132+'7.10 piac 047120'!D132+'7.11 tdm tám047320'!D132+'7.12 szemét 051030'!D132+'7.13 szennyvíz 052080'!D132+'7.14 víz 063080'!D132+'7.15 közvil 064010'!D132+'7.16 zöldterület 066010'!D132+'7.17 város 066020'!D132+'7.18 háziorvos 072111'!D132+'7.19 ügyelet 072112'!D132+'7.20 fülészet 072210'!D132+'7.21 védőnők 074031'!D132+'7.22 isk eü 074032'!D132+'7.23 sportcsépület 081030'!D132+'7.24 sport tám 081041'!D132+'7.25 diáksport 081043'!D132+'7.26 közműv 082091'!D132+'7.27 közműv 082092'!D132+'7.28  óvoda 091140'!D132+'7.29 intézmkiv gyétk 104037'!D132+'7.30 szoc étk 107051'!D132+'7.31 segélyek 107060'!D132+'7.32 adóbev 900020'!D132+'7.33 pályázatok összesen'!D132+'7.6 út építés 045127'!D132</f>
        <v>0</v>
      </c>
      <c r="E132" s="247">
        <f t="shared" si="11"/>
        <v>0</v>
      </c>
      <c r="F132" s="246">
        <f>'7.1. igazg 011130'!F132+'7.2 temető 013320'!F132+'7.3. vagyon 013350'!F132+'7.4 018010'!F132+'7.5 finansz műveletek 018030'!F132+'7.7 közütak működtetés 045160'!F132+'7.8 parkoló 045170'!F132+'7.9 kábeltv 046020'!F132+'7.10 piac 047120'!F132+'7.11 tdm tám047320'!F132+'7.12 szemét 051030'!F132+'7.13 szennyvíz 052080'!F132+'7.14 víz 063080'!F132+'7.15 közvil 064010'!F132+'7.16 zöldterület 066010'!F132+'7.17 város 066020'!F132+'7.18 háziorvos 072111'!F132+'7.19 ügyelet 072112'!F132+'7.20 fülészet 072210'!F132+'7.21 védőnők 074031'!F132+'7.22 isk eü 074032'!F132+'7.23 sportcsépület 081030'!F132+'7.24 sport tám 081041'!F132+'7.25 diáksport 081043'!F132+'7.26 közműv 082091'!F132+'7.27 közműv 082092'!F132+'7.28  óvoda 091140'!F132+'7.29 intézmkiv gyétk 104037'!F132+'7.30 szoc étk 107051'!F132+'7.31 segélyek 107060'!F132+'7.32 adóbev 900020'!F132+'7.33 pályázatok összesen'!F132+'7.6 út építés 045127'!F132</f>
        <v>0</v>
      </c>
      <c r="G132" s="246">
        <f>'7.1. igazg 011130'!G132+'7.2 temető 013320'!G132+'7.3. vagyon 013350'!G132+'7.4 018010'!G132+'7.5 finansz műveletek 018030'!G132+'7.7 közütak működtetés 045160'!G132+'7.8 parkoló 045170'!G132+'7.9 kábeltv 046020'!G132+'7.10 piac 047120'!G132+'7.11 tdm tám047320'!G132+'7.12 szemét 051030'!G132+'7.13 szennyvíz 052080'!G132+'7.14 víz 063080'!G132+'7.15 közvil 064010'!G132+'7.16 zöldterület 066010'!G132+'7.17 város 066020'!G132+'7.18 háziorvos 072111'!G132+'7.19 ügyelet 072112'!G132+'7.20 fülészet 072210'!G132+'7.21 védőnők 074031'!G132+'7.22 isk eü 074032'!G132+'7.23 sportcsépület 081030'!G132+'7.24 sport tám 081041'!G132+'7.25 diáksport 081043'!G132+'7.26 közműv 082091'!G132+'7.27 közműv 082092'!G132+'7.28  óvoda 091140'!G132+'7.29 intézmkiv gyétk 104037'!G132+'7.30 szoc étk 107051'!G132+'7.31 segélyek 107060'!G132+'7.32 adóbev 900020'!G132+'7.33 pályázatok összesen'!G132+'7.6 út építés 045127'!G132</f>
        <v>0</v>
      </c>
      <c r="H132" s="247">
        <f t="shared" si="18"/>
        <v>0</v>
      </c>
      <c r="I132" s="246">
        <f ca="1">'7.1. igazg 011130'!I132+'7.2 temető 013320'!I132+'7.3. vagyon 013350'!I132+'7.4 018010'!I132+'7.5 finansz műveletek 018030'!I132+'7.7 közütak működtetés 045160'!I132+'7.8 parkoló 045170'!I132+'7.9 kábeltv 046020'!I132+'7.10 piac 047120'!I132+'7.11 tdm tám047320'!I132+'7.12 szemét 051030'!I132+'7.13 szennyvíz 052080'!I132+'7.14 víz 063080'!I132+'7.15 közvil 064010'!I132+'7.16 zöldterület 066010'!I132+'7.17 város 066020'!I132+'7.18 háziorvos 072111'!I132+'7.19 ügyelet 072112'!I132+'7.20 fülészet 072210'!I132+'7.21 védőnők 074031'!I132+'7.22 isk eü 074032'!I132+'7.23 sportcsépület 081030'!I132+'7.24 sport tám 081041'!I132+'7.25 diáksport 081043'!I132+'7.26 közműv 082091'!I132+'7.27 közműv 082092'!I132+'7.28  óvoda 091140'!I132+'7.29 intézmkiv gyétk 104037'!I132+'7.30 szoc étk 107051'!I132+'7.31 segélyek 107060'!I132+'7.32 adóbev 900020'!I132+'7.33 pályázatok összesen'!I132+'7.6 út építés 045127'!I132</f>
        <v>900000</v>
      </c>
      <c r="J132" s="246">
        <f>'7.1. igazg 011130'!J132+'7.2 temető 013320'!J132+'7.3. vagyon 013350'!J132+'7.4 018010'!J132+'7.5 finansz műveletek 018030'!J132+'7.7 közütak működtetés 045160'!J132+'7.8 parkoló 045170'!J132+'7.9 kábeltv 046020'!J132+'7.10 piac 047120'!J132+'7.11 tdm tám047320'!J132+'7.12 szemét 051030'!J132+'7.13 szennyvíz 052080'!J132+'7.14 víz 063080'!J132+'7.15 közvil 064010'!J132+'7.16 zöldterület 066010'!J132+'7.17 város 066020'!J132+'7.18 háziorvos 072111'!J132+'7.19 ügyelet 072112'!J132+'7.20 fülészet 072210'!J132+'7.21 védőnők 074031'!J132+'7.22 isk eü 074032'!J132+'7.23 sportcsépület 081030'!J132+'7.24 sport tám 081041'!J132+'7.25 diáksport 081043'!J132+'7.26 közműv 082091'!J132+'7.27 közműv 082092'!J132+'7.28  óvoda 091140'!J132+'7.29 intézmkiv gyétk 104037'!J132+'7.30 szoc étk 107051'!J132+'7.31 segélyek 107060'!J132+'7.32 adóbev 900020'!J132+'7.33 pályázatok összesen'!J132+'7.6 út építés 045127'!J132</f>
        <v>0</v>
      </c>
      <c r="K132" s="247">
        <f t="shared" ca="1" si="19"/>
        <v>900000</v>
      </c>
      <c r="L132" s="246">
        <f ca="1">'7.1. igazg 011130'!L132+'7.2 temető 013320'!L132+'7.3. vagyon 013350'!L132+'7.4 018010'!L132+'7.5 finansz műveletek 018030'!L132+'7.7 közütak működtetés 045160'!L132+'7.8 parkoló 045170'!L132+'7.9 kábeltv 046020'!L132+'7.10 piac 047120'!L132+'7.11 tdm tám047320'!L132+'7.12 szemét 051030'!L132+'7.13 szennyvíz 052080'!L132+'7.14 víz 063080'!L132+'7.15 közvil 064010'!L132+'7.16 zöldterület 066010'!L132+'7.17 város 066020'!L132+'7.18 háziorvos 072111'!L132+'7.19 ügyelet 072112'!L132+'7.20 fülészet 072210'!L132+'7.21 védőnők 074031'!L132+'7.22 isk eü 074032'!L132+'7.23 sportcsépület 081030'!L132+'7.24 sport tám 081041'!L132+'7.25 diáksport 081043'!L132+'7.26 közműv 082091'!L132+'7.27 közműv 082092'!L132+'7.28  óvoda 091140'!L132+'7.29 intézmkiv gyétk 104037'!L132+'7.30 szoc étk 107051'!L132+'7.31 segélyek 107060'!L132+'7.32 adóbev 900020'!L132+'7.33 pályázatok összesen'!L132+'7.6 út építés 045127'!L132</f>
        <v>900000</v>
      </c>
      <c r="M132" s="246">
        <f>'7.1. igazg 011130'!M132+'7.2 temető 013320'!M132+'7.3. vagyon 013350'!M132+'7.4 018010'!M132+'7.5 finansz műveletek 018030'!M132+'7.7 közütak működtetés 045160'!M132+'7.8 parkoló 045170'!M132+'7.9 kábeltv 046020'!M132+'7.10 piac 047120'!M132+'7.11 tdm tám047320'!M132+'7.12 szemét 051030'!M132+'7.13 szennyvíz 052080'!M132+'7.14 víz 063080'!M132+'7.15 közvil 064010'!M132+'7.16 zöldterület 066010'!M132+'7.17 város 066020'!M132+'7.18 háziorvos 072111'!M132+'7.19 ügyelet 072112'!M132+'7.20 fülészet 072210'!M132+'7.21 védőnők 074031'!M132+'7.22 isk eü 074032'!M132+'7.23 sportcsépület 081030'!M132+'7.24 sport tám 081041'!M132+'7.25 diáksport 081043'!M132+'7.26 közműv 082091'!M132+'7.27 közműv 082092'!M132+'7.28  óvoda 091140'!M132+'7.29 intézmkiv gyétk 104037'!M132+'7.30 szoc étk 107051'!M132+'7.31 segélyek 107060'!M132+'7.32 adóbev 900020'!M132+'7.33 pályázatok összesen'!M132+'7.6 út építés 045127'!M132</f>
        <v>0</v>
      </c>
      <c r="N132" s="247">
        <f t="shared" ca="1" si="20"/>
        <v>900000</v>
      </c>
    </row>
    <row r="133" spans="1:19" x14ac:dyDescent="0.25">
      <c r="A133" s="61" t="s">
        <v>235</v>
      </c>
      <c r="B133" s="62" t="s">
        <v>236</v>
      </c>
      <c r="C133" s="246">
        <f>'7.1. igazg 011130'!C133+'7.2 temető 013320'!C133+'7.3. vagyon 013350'!C133+'7.4 018010'!C133+'7.5 finansz műveletek 018030'!C133+'7.7 közütak működtetés 045160'!C133+'7.8 parkoló 045170'!C133+'7.9 kábeltv 046020'!C133+'7.10 piac 047120'!C133+'7.11 tdm tám047320'!C133+'7.12 szemét 051030'!C133+'7.13 szennyvíz 052080'!C133+'7.14 víz 063080'!C133+'7.15 közvil 064010'!C133+'7.16 zöldterület 066010'!C133+'7.17 város 066020'!C133+'7.18 háziorvos 072111'!C133+'7.19 ügyelet 072112'!C133+'7.20 fülészet 072210'!C133+'7.21 védőnők 074031'!C133+'7.22 isk eü 074032'!C133+'7.23 sportcsépület 081030'!C133+'7.24 sport tám 081041'!C133+'7.25 diáksport 081043'!C133+'7.26 közműv 082091'!C133+'7.27 közműv 082092'!C133+'7.28  óvoda 091140'!C133+'7.29 intézmkiv gyétk 104037'!C133+'7.30 szoc étk 107051'!C133+'7.31 segélyek 107060'!C133+'7.32 adóbev 900020'!C133+'7.33 pályázatok összesen'!C133+'7.6 út építés 045127'!C133</f>
        <v>180990000</v>
      </c>
      <c r="D133" s="246">
        <f>'7.1. igazg 011130'!D133+'7.2 temető 013320'!D133+'7.3. vagyon 013350'!D133+'7.4 018010'!D133+'7.5 finansz műveletek 018030'!D133+'7.7 közütak működtetés 045160'!D133+'7.8 parkoló 045170'!D133+'7.9 kábeltv 046020'!D133+'7.10 piac 047120'!D133+'7.11 tdm tám047320'!D133+'7.12 szemét 051030'!D133+'7.13 szennyvíz 052080'!D133+'7.14 víz 063080'!D133+'7.15 közvil 064010'!D133+'7.16 zöldterület 066010'!D133+'7.17 város 066020'!D133+'7.18 háziorvos 072111'!D133+'7.19 ügyelet 072112'!D133+'7.20 fülészet 072210'!D133+'7.21 védőnők 074031'!D133+'7.22 isk eü 074032'!D133+'7.23 sportcsépület 081030'!D133+'7.24 sport tám 081041'!D133+'7.25 diáksport 081043'!D133+'7.26 közműv 082091'!D133+'7.27 közműv 082092'!D133+'7.28  óvoda 091140'!D133+'7.29 intézmkiv gyétk 104037'!D133+'7.30 szoc étk 107051'!D133+'7.31 segélyek 107060'!D133+'7.32 adóbev 900020'!D133+'7.33 pályázatok összesen'!D133+'7.6 út építés 045127'!D133</f>
        <v>61812082</v>
      </c>
      <c r="E133" s="247">
        <f t="shared" si="11"/>
        <v>242802082</v>
      </c>
      <c r="F133" s="246">
        <f>'7.1. igazg 011130'!F133+'7.2 temető 013320'!F133+'7.3. vagyon 013350'!F133+'7.4 018010'!F133+'7.5 finansz műveletek 018030'!F133+'7.7 közütak működtetés 045160'!F133+'7.8 parkoló 045170'!F133+'7.9 kábeltv 046020'!F133+'7.10 piac 047120'!F133+'7.11 tdm tám047320'!F133+'7.12 szemét 051030'!F133+'7.13 szennyvíz 052080'!F133+'7.14 víz 063080'!F133+'7.15 közvil 064010'!F133+'7.16 zöldterület 066010'!F133+'7.17 város 066020'!F133+'7.18 háziorvos 072111'!F133+'7.19 ügyelet 072112'!F133+'7.20 fülészet 072210'!F133+'7.21 védőnők 074031'!F133+'7.22 isk eü 074032'!F133+'7.23 sportcsépület 081030'!F133+'7.24 sport tám 081041'!F133+'7.25 diáksport 081043'!F133+'7.26 közműv 082091'!F133+'7.27 közműv 082092'!F133+'7.28  óvoda 091140'!F133+'7.29 intézmkiv gyétk 104037'!F133+'7.30 szoc étk 107051'!F133+'7.31 segélyek 107060'!F133+'7.32 adóbev 900020'!F133+'7.33 pályázatok összesen'!F133+'7.6 út építés 045127'!F133</f>
        <v>181475000</v>
      </c>
      <c r="G133" s="246">
        <f>'7.1. igazg 011130'!G133+'7.2 temető 013320'!G133+'7.3. vagyon 013350'!G133+'7.4 018010'!G133+'7.5 finansz műveletek 018030'!G133+'7.7 közütak működtetés 045160'!G133+'7.8 parkoló 045170'!G133+'7.9 kábeltv 046020'!G133+'7.10 piac 047120'!G133+'7.11 tdm tám047320'!G133+'7.12 szemét 051030'!G133+'7.13 szennyvíz 052080'!G133+'7.14 víz 063080'!G133+'7.15 közvil 064010'!G133+'7.16 zöldterület 066010'!G133+'7.17 város 066020'!G133+'7.18 háziorvos 072111'!G133+'7.19 ügyelet 072112'!G133+'7.20 fülészet 072210'!G133+'7.21 védőnők 074031'!G133+'7.22 isk eü 074032'!G133+'7.23 sportcsépület 081030'!G133+'7.24 sport tám 081041'!G133+'7.25 diáksport 081043'!G133+'7.26 közműv 082091'!G133+'7.27 közműv 082092'!G133+'7.28  óvoda 091140'!G133+'7.29 intézmkiv gyétk 104037'!G133+'7.30 szoc étk 107051'!G133+'7.31 segélyek 107060'!G133+'7.32 adóbev 900020'!G133+'7.33 pályázatok összesen'!G133+'7.6 út építés 045127'!G133</f>
        <v>61812082</v>
      </c>
      <c r="H133" s="247">
        <f t="shared" si="18"/>
        <v>243287082</v>
      </c>
      <c r="I133" s="246">
        <f ca="1">'7.1. igazg 011130'!I133+'7.2 temető 013320'!I133+'7.3. vagyon 013350'!I133+'7.4 018010'!I133+'7.5 finansz műveletek 018030'!I133+'7.7 közütak működtetés 045160'!I133+'7.8 parkoló 045170'!I133+'7.9 kábeltv 046020'!I133+'7.10 piac 047120'!I133+'7.11 tdm tám047320'!I133+'7.12 szemét 051030'!I133+'7.13 szennyvíz 052080'!I133+'7.14 víz 063080'!I133+'7.15 közvil 064010'!I133+'7.16 zöldterület 066010'!I133+'7.17 város 066020'!I133+'7.18 háziorvos 072111'!I133+'7.19 ügyelet 072112'!I133+'7.20 fülészet 072210'!I133+'7.21 védőnők 074031'!I133+'7.22 isk eü 074032'!I133+'7.23 sportcsépület 081030'!I133+'7.24 sport tám 081041'!I133+'7.25 diáksport 081043'!I133+'7.26 közműv 082091'!I133+'7.27 közműv 082092'!I133+'7.28  óvoda 091140'!I133+'7.29 intézmkiv gyétk 104037'!I133+'7.30 szoc étk 107051'!I133+'7.31 segélyek 107060'!I133+'7.32 adóbev 900020'!I133+'7.33 pályázatok összesen'!I133+'7.6 út építés 045127'!I133</f>
        <v>180712000</v>
      </c>
      <c r="J133" s="246">
        <f>'7.1. igazg 011130'!J133+'7.2 temető 013320'!J133+'7.3. vagyon 013350'!J133+'7.4 018010'!J133+'7.5 finansz műveletek 018030'!J133+'7.7 közütak működtetés 045160'!J133+'7.8 parkoló 045170'!J133+'7.9 kábeltv 046020'!J133+'7.10 piac 047120'!J133+'7.11 tdm tám047320'!J133+'7.12 szemét 051030'!J133+'7.13 szennyvíz 052080'!J133+'7.14 víz 063080'!J133+'7.15 közvil 064010'!J133+'7.16 zöldterület 066010'!J133+'7.17 város 066020'!J133+'7.18 háziorvos 072111'!J133+'7.19 ügyelet 072112'!J133+'7.20 fülészet 072210'!J133+'7.21 védőnők 074031'!J133+'7.22 isk eü 074032'!J133+'7.23 sportcsépület 081030'!J133+'7.24 sport tám 081041'!J133+'7.25 diáksport 081043'!J133+'7.26 közműv 082091'!J133+'7.27 közműv 082092'!J133+'7.28  óvoda 091140'!J133+'7.29 intézmkiv gyétk 104037'!J133+'7.30 szoc étk 107051'!J133+'7.31 segélyek 107060'!J133+'7.32 adóbev 900020'!J133+'7.33 pályázatok összesen'!J133+'7.6 út építés 045127'!J133</f>
        <v>62412000</v>
      </c>
      <c r="K133" s="247">
        <f t="shared" ca="1" si="19"/>
        <v>243124000</v>
      </c>
      <c r="L133" s="246">
        <f ca="1">'7.1. igazg 011130'!L133+'7.2 temető 013320'!L133+'7.3. vagyon 013350'!L133+'7.4 018010'!L133+'7.5 finansz műveletek 018030'!L133+'7.7 közütak működtetés 045160'!L133+'7.8 parkoló 045170'!L133+'7.9 kábeltv 046020'!L133+'7.10 piac 047120'!L133+'7.11 tdm tám047320'!L133+'7.12 szemét 051030'!L133+'7.13 szennyvíz 052080'!L133+'7.14 víz 063080'!L133+'7.15 közvil 064010'!L133+'7.16 zöldterület 066010'!L133+'7.17 város 066020'!L133+'7.18 háziorvos 072111'!L133+'7.19 ügyelet 072112'!L133+'7.20 fülészet 072210'!L133+'7.21 védőnők 074031'!L133+'7.22 isk eü 074032'!L133+'7.23 sportcsépület 081030'!L133+'7.24 sport tám 081041'!L133+'7.25 diáksport 081043'!L133+'7.26 közműv 082091'!L133+'7.27 közműv 082092'!L133+'7.28  óvoda 091140'!L133+'7.29 intézmkiv gyétk 104037'!L133+'7.30 szoc étk 107051'!L133+'7.31 segélyek 107060'!L133+'7.32 adóbev 900020'!L133+'7.33 pályázatok összesen'!L133+'7.6 út építés 045127'!L133</f>
        <v>177225000</v>
      </c>
      <c r="M133" s="246">
        <f>'7.1. igazg 011130'!M133+'7.2 temető 013320'!M133+'7.3. vagyon 013350'!M133+'7.4 018010'!M133+'7.5 finansz műveletek 018030'!M133+'7.7 közütak működtetés 045160'!M133+'7.8 parkoló 045170'!M133+'7.9 kábeltv 046020'!M133+'7.10 piac 047120'!M133+'7.11 tdm tám047320'!M133+'7.12 szemét 051030'!M133+'7.13 szennyvíz 052080'!M133+'7.14 víz 063080'!M133+'7.15 közvil 064010'!M133+'7.16 zöldterület 066010'!M133+'7.17 város 066020'!M133+'7.18 háziorvos 072111'!M133+'7.19 ügyelet 072112'!M133+'7.20 fülészet 072210'!M133+'7.21 védőnők 074031'!M133+'7.22 isk eü 074032'!M133+'7.23 sportcsépület 081030'!M133+'7.24 sport tám 081041'!M133+'7.25 diáksport 081043'!M133+'7.26 közműv 082091'!M133+'7.27 közműv 082092'!M133+'7.28  óvoda 091140'!M133+'7.29 intézmkiv gyétk 104037'!M133+'7.30 szoc étk 107051'!M133+'7.31 segélyek 107060'!M133+'7.32 adóbev 900020'!M133+'7.33 pályázatok összesen'!M133+'7.6 út építés 045127'!M133</f>
        <v>62412000</v>
      </c>
      <c r="N133" s="247">
        <f t="shared" ca="1" si="20"/>
        <v>239637000</v>
      </c>
    </row>
    <row r="134" spans="1:19" x14ac:dyDescent="0.25">
      <c r="A134" s="61" t="s">
        <v>237</v>
      </c>
      <c r="B134" s="62" t="s">
        <v>238</v>
      </c>
      <c r="C134" s="246">
        <f>'7.1. igazg 011130'!C134+'7.2 temető 013320'!C134+'7.3. vagyon 013350'!C134+'7.4 018010'!C134+'7.5 finansz műveletek 018030'!C134+'7.7 közütak működtetés 045160'!C134+'7.8 parkoló 045170'!C134+'7.9 kábeltv 046020'!C134+'7.10 piac 047120'!C134+'7.11 tdm tám047320'!C134+'7.12 szemét 051030'!C134+'7.13 szennyvíz 052080'!C134+'7.14 víz 063080'!C134+'7.15 közvil 064010'!C134+'7.16 zöldterület 066010'!C134+'7.17 város 066020'!C134+'7.18 háziorvos 072111'!C134+'7.19 ügyelet 072112'!C134+'7.20 fülészet 072210'!C134+'7.21 védőnők 074031'!C134+'7.22 isk eü 074032'!C134+'7.23 sportcsépület 081030'!C134+'7.24 sport tám 081041'!C134+'7.25 diáksport 081043'!C134+'7.26 közműv 082091'!C134+'7.27 közműv 082092'!C134+'7.28  óvoda 091140'!C134+'7.29 intézmkiv gyétk 104037'!C134+'7.30 szoc étk 107051'!C134+'7.31 segélyek 107060'!C134+'7.32 adóbev 900020'!C134+'7.33 pályázatok összesen'!C134+'7.6 út építés 045127'!C134</f>
        <v>100000000</v>
      </c>
      <c r="D134" s="246">
        <f>'7.1. igazg 011130'!D134+'7.2 temető 013320'!D134+'7.3. vagyon 013350'!D134+'7.4 018010'!D134+'7.5 finansz műveletek 018030'!D134+'7.7 közütak működtetés 045160'!D134+'7.8 parkoló 045170'!D134+'7.9 kábeltv 046020'!D134+'7.10 piac 047120'!D134+'7.11 tdm tám047320'!D134+'7.12 szemét 051030'!D134+'7.13 szennyvíz 052080'!D134+'7.14 víz 063080'!D134+'7.15 közvil 064010'!D134+'7.16 zöldterület 066010'!D134+'7.17 város 066020'!D134+'7.18 háziorvos 072111'!D134+'7.19 ügyelet 072112'!D134+'7.20 fülészet 072210'!D134+'7.21 védőnők 074031'!D134+'7.22 isk eü 074032'!D134+'7.23 sportcsépület 081030'!D134+'7.24 sport tám 081041'!D134+'7.25 diáksport 081043'!D134+'7.26 közműv 082091'!D134+'7.27 közműv 082092'!D134+'7.28  óvoda 091140'!D134+'7.29 intézmkiv gyétk 104037'!D134+'7.30 szoc étk 107051'!D134+'7.31 segélyek 107060'!D134+'7.32 adóbev 900020'!D134+'7.33 pályázatok összesen'!D134+'7.6 út építés 045127'!D134</f>
        <v>0</v>
      </c>
      <c r="E134" s="247">
        <f t="shared" si="11"/>
        <v>100000000</v>
      </c>
      <c r="F134" s="246">
        <f>'7.1. igazg 011130'!F134+'7.2 temető 013320'!F134+'7.3. vagyon 013350'!F134+'7.4 018010'!F134+'7.5 finansz műveletek 018030'!F134+'7.7 közütak működtetés 045160'!F134+'7.8 parkoló 045170'!F134+'7.9 kábeltv 046020'!F134+'7.10 piac 047120'!F134+'7.11 tdm tám047320'!F134+'7.12 szemét 051030'!F134+'7.13 szennyvíz 052080'!F134+'7.14 víz 063080'!F134+'7.15 közvil 064010'!F134+'7.16 zöldterület 066010'!F134+'7.17 város 066020'!F134+'7.18 háziorvos 072111'!F134+'7.19 ügyelet 072112'!F134+'7.20 fülészet 072210'!F134+'7.21 védőnők 074031'!F134+'7.22 isk eü 074032'!F134+'7.23 sportcsépület 081030'!F134+'7.24 sport tám 081041'!F134+'7.25 diáksport 081043'!F134+'7.26 közműv 082091'!F134+'7.27 közműv 082092'!F134+'7.28  óvoda 091140'!F134+'7.29 intézmkiv gyétk 104037'!F134+'7.30 szoc étk 107051'!F134+'7.31 segélyek 107060'!F134+'7.32 adóbev 900020'!F134+'7.33 pályázatok összesen'!F134+'7.6 út építés 045127'!F134</f>
        <v>60000000</v>
      </c>
      <c r="G134" s="246">
        <f>'7.1. igazg 011130'!G134+'7.2 temető 013320'!G134+'7.3. vagyon 013350'!G134+'7.4 018010'!G134+'7.5 finansz műveletek 018030'!G134+'7.7 közütak működtetés 045160'!G134+'7.8 parkoló 045170'!G134+'7.9 kábeltv 046020'!G134+'7.10 piac 047120'!G134+'7.11 tdm tám047320'!G134+'7.12 szemét 051030'!G134+'7.13 szennyvíz 052080'!G134+'7.14 víz 063080'!G134+'7.15 közvil 064010'!G134+'7.16 zöldterület 066010'!G134+'7.17 város 066020'!G134+'7.18 háziorvos 072111'!G134+'7.19 ügyelet 072112'!G134+'7.20 fülészet 072210'!G134+'7.21 védőnők 074031'!G134+'7.22 isk eü 074032'!G134+'7.23 sportcsépület 081030'!G134+'7.24 sport tám 081041'!G134+'7.25 diáksport 081043'!G134+'7.26 közműv 082091'!G134+'7.27 közműv 082092'!G134+'7.28  óvoda 091140'!G134+'7.29 intézmkiv gyétk 104037'!G134+'7.30 szoc étk 107051'!G134+'7.31 segélyek 107060'!G134+'7.32 adóbev 900020'!G134+'7.33 pályázatok összesen'!G134+'7.6 út építés 045127'!G134</f>
        <v>0</v>
      </c>
      <c r="H134" s="247">
        <f t="shared" si="18"/>
        <v>60000000</v>
      </c>
      <c r="I134" s="246">
        <f ca="1">'7.1. igazg 011130'!I134+'7.2 temető 013320'!I134+'7.3. vagyon 013350'!I134+'7.4 018010'!I134+'7.5 finansz műveletek 018030'!I134+'7.7 közütak működtetés 045160'!I134+'7.8 parkoló 045170'!I134+'7.9 kábeltv 046020'!I134+'7.10 piac 047120'!I134+'7.11 tdm tám047320'!I134+'7.12 szemét 051030'!I134+'7.13 szennyvíz 052080'!I134+'7.14 víz 063080'!I134+'7.15 közvil 064010'!I134+'7.16 zöldterület 066010'!I134+'7.17 város 066020'!I134+'7.18 háziorvos 072111'!I134+'7.19 ügyelet 072112'!I134+'7.20 fülészet 072210'!I134+'7.21 védőnők 074031'!I134+'7.22 isk eü 074032'!I134+'7.23 sportcsépület 081030'!I134+'7.24 sport tám 081041'!I134+'7.25 diáksport 081043'!I134+'7.26 közműv 082091'!I134+'7.27 közműv 082092'!I134+'7.28  óvoda 091140'!I134+'7.29 intézmkiv gyétk 104037'!I134+'7.30 szoc étk 107051'!I134+'7.31 segélyek 107060'!I134+'7.32 adóbev 900020'!I134+'7.33 pályázatok összesen'!I134+'7.6 út építés 045127'!I134</f>
        <v>60000000</v>
      </c>
      <c r="J134" s="246">
        <f>'7.1. igazg 011130'!J134+'7.2 temető 013320'!J134+'7.3. vagyon 013350'!J134+'7.4 018010'!J134+'7.5 finansz műveletek 018030'!J134+'7.7 közütak működtetés 045160'!J134+'7.8 parkoló 045170'!J134+'7.9 kábeltv 046020'!J134+'7.10 piac 047120'!J134+'7.11 tdm tám047320'!J134+'7.12 szemét 051030'!J134+'7.13 szennyvíz 052080'!J134+'7.14 víz 063080'!J134+'7.15 közvil 064010'!J134+'7.16 zöldterület 066010'!J134+'7.17 város 066020'!J134+'7.18 háziorvos 072111'!J134+'7.19 ügyelet 072112'!J134+'7.20 fülészet 072210'!J134+'7.21 védőnők 074031'!J134+'7.22 isk eü 074032'!J134+'7.23 sportcsépület 081030'!J134+'7.24 sport tám 081041'!J134+'7.25 diáksport 081043'!J134+'7.26 közműv 082091'!J134+'7.27 közműv 082092'!J134+'7.28  óvoda 091140'!J134+'7.29 intézmkiv gyétk 104037'!J134+'7.30 szoc étk 107051'!J134+'7.31 segélyek 107060'!J134+'7.32 adóbev 900020'!J134+'7.33 pályázatok összesen'!J134+'7.6 út építés 045127'!J134</f>
        <v>0</v>
      </c>
      <c r="K134" s="247">
        <f t="shared" ca="1" si="19"/>
        <v>60000000</v>
      </c>
      <c r="L134" s="246">
        <f ca="1">'7.1. igazg 011130'!L134+'7.2 temető 013320'!L134+'7.3. vagyon 013350'!L134+'7.4 018010'!L134+'7.5 finansz műveletek 018030'!L134+'7.7 közütak működtetés 045160'!L134+'7.8 parkoló 045170'!L134+'7.9 kábeltv 046020'!L134+'7.10 piac 047120'!L134+'7.11 tdm tám047320'!L134+'7.12 szemét 051030'!L134+'7.13 szennyvíz 052080'!L134+'7.14 víz 063080'!L134+'7.15 közvil 064010'!L134+'7.16 zöldterület 066010'!L134+'7.17 város 066020'!L134+'7.18 háziorvos 072111'!L134+'7.19 ügyelet 072112'!L134+'7.20 fülészet 072210'!L134+'7.21 védőnők 074031'!L134+'7.22 isk eü 074032'!L134+'7.23 sportcsépület 081030'!L134+'7.24 sport tám 081041'!L134+'7.25 diáksport 081043'!L134+'7.26 közműv 082091'!L134+'7.27 közműv 082092'!L134+'7.28  óvoda 091140'!L134+'7.29 intézmkiv gyétk 104037'!L134+'7.30 szoc étk 107051'!L134+'7.31 segélyek 107060'!L134+'7.32 adóbev 900020'!L134+'7.33 pályázatok összesen'!L134+'7.6 út építés 045127'!L134</f>
        <v>0</v>
      </c>
      <c r="M134" s="246">
        <f>'7.1. igazg 011130'!M134+'7.2 temető 013320'!M134+'7.3. vagyon 013350'!M134+'7.4 018010'!M134+'7.5 finansz műveletek 018030'!M134+'7.7 közütak működtetés 045160'!M134+'7.8 parkoló 045170'!M134+'7.9 kábeltv 046020'!M134+'7.10 piac 047120'!M134+'7.11 tdm tám047320'!M134+'7.12 szemét 051030'!M134+'7.13 szennyvíz 052080'!M134+'7.14 víz 063080'!M134+'7.15 közvil 064010'!M134+'7.16 zöldterület 066010'!M134+'7.17 város 066020'!M134+'7.18 háziorvos 072111'!M134+'7.19 ügyelet 072112'!M134+'7.20 fülészet 072210'!M134+'7.21 védőnők 074031'!M134+'7.22 isk eü 074032'!M134+'7.23 sportcsépület 081030'!M134+'7.24 sport tám 081041'!M134+'7.25 diáksport 081043'!M134+'7.26 közműv 082091'!M134+'7.27 közműv 082092'!M134+'7.28  óvoda 091140'!M134+'7.29 intézmkiv gyétk 104037'!M134+'7.30 szoc étk 107051'!M134+'7.31 segélyek 107060'!M134+'7.32 adóbev 900020'!M134+'7.33 pályázatok összesen'!M134+'7.6 út építés 045127'!M134</f>
        <v>0</v>
      </c>
      <c r="N134" s="247">
        <f t="shared" ca="1" si="20"/>
        <v>0</v>
      </c>
    </row>
    <row r="135" spans="1:19" x14ac:dyDescent="0.25">
      <c r="A135" s="61"/>
      <c r="B135" s="62" t="s">
        <v>239</v>
      </c>
      <c r="C135" s="246">
        <f>'7.1. igazg 011130'!C135+'7.2 temető 013320'!C135+'7.3. vagyon 013350'!C135+'7.4 018010'!C135+'7.5 finansz műveletek 018030'!C135+'7.7 közütak működtetés 045160'!C135+'7.8 parkoló 045170'!C135+'7.9 kábeltv 046020'!C135+'7.10 piac 047120'!C135+'7.11 tdm tám047320'!C135+'7.12 szemét 051030'!C135+'7.13 szennyvíz 052080'!C135+'7.14 víz 063080'!C135+'7.15 közvil 064010'!C135+'7.16 zöldterület 066010'!C135+'7.17 város 066020'!C135+'7.18 háziorvos 072111'!C135+'7.19 ügyelet 072112'!C135+'7.20 fülészet 072210'!C135+'7.21 védőnők 074031'!C135+'7.22 isk eü 074032'!C135+'7.23 sportcsépület 081030'!C135+'7.24 sport tám 081041'!C135+'7.25 diáksport 081043'!C135+'7.26 közműv 082091'!C135+'7.27 közműv 082092'!C135+'7.28  óvoda 091140'!C135+'7.29 intézmkiv gyétk 104037'!C135+'7.30 szoc étk 107051'!C135+'7.31 segélyek 107060'!C135+'7.32 adóbev 900020'!C135+'7.33 pályázatok összesen'!C135+'7.6 út építés 045127'!C135</f>
        <v>100000000</v>
      </c>
      <c r="D135" s="246">
        <f>'7.1. igazg 011130'!D135+'7.2 temető 013320'!D135+'7.3. vagyon 013350'!D135+'7.4 018010'!D135+'7.5 finansz műveletek 018030'!D135+'7.7 közütak működtetés 045160'!D135+'7.8 parkoló 045170'!D135+'7.9 kábeltv 046020'!D135+'7.10 piac 047120'!D135+'7.11 tdm tám047320'!D135+'7.12 szemét 051030'!D135+'7.13 szennyvíz 052080'!D135+'7.14 víz 063080'!D135+'7.15 közvil 064010'!D135+'7.16 zöldterület 066010'!D135+'7.17 város 066020'!D135+'7.18 háziorvos 072111'!D135+'7.19 ügyelet 072112'!D135+'7.20 fülészet 072210'!D135+'7.21 védőnők 074031'!D135+'7.22 isk eü 074032'!D135+'7.23 sportcsépület 081030'!D135+'7.24 sport tám 081041'!D135+'7.25 diáksport 081043'!D135+'7.26 közműv 082091'!D135+'7.27 közműv 082092'!D135+'7.28  óvoda 091140'!D135+'7.29 intézmkiv gyétk 104037'!D135+'7.30 szoc étk 107051'!D135+'7.31 segélyek 107060'!D135+'7.32 adóbev 900020'!D135+'7.33 pályázatok összesen'!D135+'7.6 út építés 045127'!D135</f>
        <v>0</v>
      </c>
      <c r="E135" s="247">
        <f t="shared" si="11"/>
        <v>100000000</v>
      </c>
      <c r="F135" s="246">
        <f>'7.1. igazg 011130'!F135+'7.2 temető 013320'!F135+'7.3. vagyon 013350'!F135+'7.4 018010'!F135+'7.5 finansz műveletek 018030'!F135+'7.7 közütak működtetés 045160'!F135+'7.8 parkoló 045170'!F135+'7.9 kábeltv 046020'!F135+'7.10 piac 047120'!F135+'7.11 tdm tám047320'!F135+'7.12 szemét 051030'!F135+'7.13 szennyvíz 052080'!F135+'7.14 víz 063080'!F135+'7.15 közvil 064010'!F135+'7.16 zöldterület 066010'!F135+'7.17 város 066020'!F135+'7.18 háziorvos 072111'!F135+'7.19 ügyelet 072112'!F135+'7.20 fülészet 072210'!F135+'7.21 védőnők 074031'!F135+'7.22 isk eü 074032'!F135+'7.23 sportcsépület 081030'!F135+'7.24 sport tám 081041'!F135+'7.25 diáksport 081043'!F135+'7.26 közműv 082091'!F135+'7.27 közműv 082092'!F135+'7.28  óvoda 091140'!F135+'7.29 intézmkiv gyétk 104037'!F135+'7.30 szoc étk 107051'!F135+'7.31 segélyek 107060'!F135+'7.32 adóbev 900020'!F135+'7.33 pályázatok összesen'!F135+'7.6 út építés 045127'!F135</f>
        <v>60000000</v>
      </c>
      <c r="G135" s="246">
        <f>'7.1. igazg 011130'!G135+'7.2 temető 013320'!G135+'7.3. vagyon 013350'!G135+'7.4 018010'!G135+'7.5 finansz műveletek 018030'!G135+'7.7 közütak működtetés 045160'!G135+'7.8 parkoló 045170'!G135+'7.9 kábeltv 046020'!G135+'7.10 piac 047120'!G135+'7.11 tdm tám047320'!G135+'7.12 szemét 051030'!G135+'7.13 szennyvíz 052080'!G135+'7.14 víz 063080'!G135+'7.15 közvil 064010'!G135+'7.16 zöldterület 066010'!G135+'7.17 város 066020'!G135+'7.18 háziorvos 072111'!G135+'7.19 ügyelet 072112'!G135+'7.20 fülészet 072210'!G135+'7.21 védőnők 074031'!G135+'7.22 isk eü 074032'!G135+'7.23 sportcsépület 081030'!G135+'7.24 sport tám 081041'!G135+'7.25 diáksport 081043'!G135+'7.26 közműv 082091'!G135+'7.27 közműv 082092'!G135+'7.28  óvoda 091140'!G135+'7.29 intézmkiv gyétk 104037'!G135+'7.30 szoc étk 107051'!G135+'7.31 segélyek 107060'!G135+'7.32 adóbev 900020'!G135+'7.33 pályázatok összesen'!G135+'7.6 út építés 045127'!G135</f>
        <v>0</v>
      </c>
      <c r="H135" s="247">
        <f t="shared" si="18"/>
        <v>60000000</v>
      </c>
      <c r="I135" s="246">
        <f ca="1">'7.1. igazg 011130'!I135+'7.2 temető 013320'!I135+'7.3. vagyon 013350'!I135+'7.4 018010'!I135+'7.5 finansz műveletek 018030'!I135+'7.7 közütak működtetés 045160'!I135+'7.8 parkoló 045170'!I135+'7.9 kábeltv 046020'!I135+'7.10 piac 047120'!I135+'7.11 tdm tám047320'!I135+'7.12 szemét 051030'!I135+'7.13 szennyvíz 052080'!I135+'7.14 víz 063080'!I135+'7.15 közvil 064010'!I135+'7.16 zöldterület 066010'!I135+'7.17 város 066020'!I135+'7.18 háziorvos 072111'!I135+'7.19 ügyelet 072112'!I135+'7.20 fülészet 072210'!I135+'7.21 védőnők 074031'!I135+'7.22 isk eü 074032'!I135+'7.23 sportcsépület 081030'!I135+'7.24 sport tám 081041'!I135+'7.25 diáksport 081043'!I135+'7.26 közműv 082091'!I135+'7.27 közműv 082092'!I135+'7.28  óvoda 091140'!I135+'7.29 intézmkiv gyétk 104037'!I135+'7.30 szoc étk 107051'!I135+'7.31 segélyek 107060'!I135+'7.32 adóbev 900020'!I135+'7.33 pályázatok összesen'!I135+'7.6 út építés 045127'!I135</f>
        <v>60000000</v>
      </c>
      <c r="J135" s="246">
        <f>'7.1. igazg 011130'!J135+'7.2 temető 013320'!J135+'7.3. vagyon 013350'!J135+'7.4 018010'!J135+'7.5 finansz műveletek 018030'!J135+'7.7 közütak működtetés 045160'!J135+'7.8 parkoló 045170'!J135+'7.9 kábeltv 046020'!J135+'7.10 piac 047120'!J135+'7.11 tdm tám047320'!J135+'7.12 szemét 051030'!J135+'7.13 szennyvíz 052080'!J135+'7.14 víz 063080'!J135+'7.15 közvil 064010'!J135+'7.16 zöldterület 066010'!J135+'7.17 város 066020'!J135+'7.18 háziorvos 072111'!J135+'7.19 ügyelet 072112'!J135+'7.20 fülészet 072210'!J135+'7.21 védőnők 074031'!J135+'7.22 isk eü 074032'!J135+'7.23 sportcsépület 081030'!J135+'7.24 sport tám 081041'!J135+'7.25 diáksport 081043'!J135+'7.26 közműv 082091'!J135+'7.27 közműv 082092'!J135+'7.28  óvoda 091140'!J135+'7.29 intézmkiv gyétk 104037'!J135+'7.30 szoc étk 107051'!J135+'7.31 segélyek 107060'!J135+'7.32 adóbev 900020'!J135+'7.33 pályázatok összesen'!J135+'7.6 út építés 045127'!J135</f>
        <v>0</v>
      </c>
      <c r="K135" s="247">
        <f t="shared" ca="1" si="19"/>
        <v>60000000</v>
      </c>
      <c r="L135" s="246">
        <f ca="1">'7.1. igazg 011130'!L135+'7.2 temető 013320'!L135+'7.3. vagyon 013350'!L135+'7.4 018010'!L135+'7.5 finansz műveletek 018030'!L135+'7.7 közütak működtetés 045160'!L135+'7.8 parkoló 045170'!L135+'7.9 kábeltv 046020'!L135+'7.10 piac 047120'!L135+'7.11 tdm tám047320'!L135+'7.12 szemét 051030'!L135+'7.13 szennyvíz 052080'!L135+'7.14 víz 063080'!L135+'7.15 közvil 064010'!L135+'7.16 zöldterület 066010'!L135+'7.17 város 066020'!L135+'7.18 háziorvos 072111'!L135+'7.19 ügyelet 072112'!L135+'7.20 fülészet 072210'!L135+'7.21 védőnők 074031'!L135+'7.22 isk eü 074032'!L135+'7.23 sportcsépület 081030'!L135+'7.24 sport tám 081041'!L135+'7.25 diáksport 081043'!L135+'7.26 közműv 082091'!L135+'7.27 közműv 082092'!L135+'7.28  óvoda 091140'!L135+'7.29 intézmkiv gyétk 104037'!L135+'7.30 szoc étk 107051'!L135+'7.31 segélyek 107060'!L135+'7.32 adóbev 900020'!L135+'7.33 pályázatok összesen'!L135+'7.6 út építés 045127'!L135</f>
        <v>0</v>
      </c>
      <c r="M135" s="246">
        <f>'7.1. igazg 011130'!M135+'7.2 temető 013320'!M135+'7.3. vagyon 013350'!M135+'7.4 018010'!M135+'7.5 finansz műveletek 018030'!M135+'7.7 közütak működtetés 045160'!M135+'7.8 parkoló 045170'!M135+'7.9 kábeltv 046020'!M135+'7.10 piac 047120'!M135+'7.11 tdm tám047320'!M135+'7.12 szemét 051030'!M135+'7.13 szennyvíz 052080'!M135+'7.14 víz 063080'!M135+'7.15 közvil 064010'!M135+'7.16 zöldterület 066010'!M135+'7.17 város 066020'!M135+'7.18 háziorvos 072111'!M135+'7.19 ügyelet 072112'!M135+'7.20 fülészet 072210'!M135+'7.21 védőnők 074031'!M135+'7.22 isk eü 074032'!M135+'7.23 sportcsépület 081030'!M135+'7.24 sport tám 081041'!M135+'7.25 diáksport 081043'!M135+'7.26 közműv 082091'!M135+'7.27 közműv 082092'!M135+'7.28  óvoda 091140'!M135+'7.29 intézmkiv gyétk 104037'!M135+'7.30 szoc étk 107051'!M135+'7.31 segélyek 107060'!M135+'7.32 adóbev 900020'!M135+'7.33 pályázatok összesen'!M135+'7.6 út építés 045127'!M135</f>
        <v>0</v>
      </c>
      <c r="N135" s="247">
        <f t="shared" ca="1" si="20"/>
        <v>0</v>
      </c>
      <c r="S135" s="148"/>
    </row>
    <row r="136" spans="1:19" ht="15.75" thickBot="1" x14ac:dyDescent="0.3">
      <c r="A136" s="63"/>
      <c r="B136" s="64" t="s">
        <v>240</v>
      </c>
      <c r="C136" s="248">
        <f>'7.1. igazg 011130'!C136+'7.2 temető 013320'!C136+'7.3. vagyon 013350'!C136+'7.4 018010'!C136+'7.5 finansz műveletek 018030'!C136+'7.7 közütak működtetés 045160'!C136+'7.8 parkoló 045170'!C136+'7.9 kábeltv 046020'!C136+'7.10 piac 047120'!C136+'7.11 tdm tám047320'!C136+'7.12 szemét 051030'!C136+'7.13 szennyvíz 052080'!C136+'7.14 víz 063080'!C136+'7.15 közvil 064010'!C136+'7.16 zöldterület 066010'!C136+'7.17 város 066020'!C136+'7.18 háziorvos 072111'!C136+'7.19 ügyelet 072112'!C136+'7.20 fülészet 072210'!C136+'7.21 védőnők 074031'!C136+'7.22 isk eü 074032'!C136+'7.23 sportcsépület 081030'!C136+'7.24 sport tám 081041'!C136+'7.25 diáksport 081043'!C136+'7.26 közműv 082091'!C136+'7.27 közműv 082092'!C136+'7.28  óvoda 091140'!C136+'7.29 intézmkiv gyétk 104037'!C136+'7.30 szoc étk 107051'!C136+'7.31 segélyek 107060'!C136+'7.32 adóbev 900020'!C136+'7.33 pályázatok összesen'!C136+'7.6 út építés 045127'!C136</f>
        <v>0</v>
      </c>
      <c r="D136" s="248">
        <f>'7.1. igazg 011130'!D136+'7.2 temető 013320'!D136+'7.3. vagyon 013350'!D136+'7.4 018010'!D136+'7.5 finansz műveletek 018030'!D136+'7.7 közütak működtetés 045160'!D136+'7.8 parkoló 045170'!D136+'7.9 kábeltv 046020'!D136+'7.10 piac 047120'!D136+'7.11 tdm tám047320'!D136+'7.12 szemét 051030'!D136+'7.13 szennyvíz 052080'!D136+'7.14 víz 063080'!D136+'7.15 közvil 064010'!D136+'7.16 zöldterület 066010'!D136+'7.17 város 066020'!D136+'7.18 háziorvos 072111'!D136+'7.19 ügyelet 072112'!D136+'7.20 fülészet 072210'!D136+'7.21 védőnők 074031'!D136+'7.22 isk eü 074032'!D136+'7.23 sportcsépület 081030'!D136+'7.24 sport tám 081041'!D136+'7.25 diáksport 081043'!D136+'7.26 közműv 082091'!D136+'7.27 közműv 082092'!D136+'7.28  óvoda 091140'!D136+'7.29 intézmkiv gyétk 104037'!D136+'7.30 szoc étk 107051'!D136+'7.31 segélyek 107060'!D136+'7.32 adóbev 900020'!D136+'7.33 pályázatok összesen'!D136+'7.6 út építés 045127'!D136</f>
        <v>0</v>
      </c>
      <c r="E136" s="249">
        <f t="shared" si="11"/>
        <v>0</v>
      </c>
      <c r="F136" s="248">
        <f>'7.1. igazg 011130'!F136+'7.2 temető 013320'!F136+'7.3. vagyon 013350'!F136+'7.4 018010'!F136+'7.5 finansz műveletek 018030'!F136+'7.7 közütak működtetés 045160'!F136+'7.8 parkoló 045170'!F136+'7.9 kábeltv 046020'!F136+'7.10 piac 047120'!F136+'7.11 tdm tám047320'!F136+'7.12 szemét 051030'!F136+'7.13 szennyvíz 052080'!F136+'7.14 víz 063080'!F136+'7.15 közvil 064010'!F136+'7.16 zöldterület 066010'!F136+'7.17 város 066020'!F136+'7.18 háziorvos 072111'!F136+'7.19 ügyelet 072112'!F136+'7.20 fülészet 072210'!F136+'7.21 védőnők 074031'!F136+'7.22 isk eü 074032'!F136+'7.23 sportcsépület 081030'!F136+'7.24 sport tám 081041'!F136+'7.25 diáksport 081043'!F136+'7.26 közműv 082091'!F136+'7.27 közműv 082092'!F136+'7.28  óvoda 091140'!F136+'7.29 intézmkiv gyétk 104037'!F136+'7.30 szoc étk 107051'!F136+'7.31 segélyek 107060'!F136+'7.32 adóbev 900020'!F136+'7.33 pályázatok összesen'!F136+'7.6 út építés 045127'!F136</f>
        <v>0</v>
      </c>
      <c r="G136" s="248">
        <f>'7.1. igazg 011130'!G136+'7.2 temető 013320'!G136+'7.3. vagyon 013350'!G136+'7.4 018010'!G136+'7.5 finansz műveletek 018030'!G136+'7.7 közütak működtetés 045160'!G136+'7.8 parkoló 045170'!G136+'7.9 kábeltv 046020'!G136+'7.10 piac 047120'!G136+'7.11 tdm tám047320'!G136+'7.12 szemét 051030'!G136+'7.13 szennyvíz 052080'!G136+'7.14 víz 063080'!G136+'7.15 közvil 064010'!G136+'7.16 zöldterület 066010'!G136+'7.17 város 066020'!G136+'7.18 háziorvos 072111'!G136+'7.19 ügyelet 072112'!G136+'7.20 fülészet 072210'!G136+'7.21 védőnők 074031'!G136+'7.22 isk eü 074032'!G136+'7.23 sportcsépület 081030'!G136+'7.24 sport tám 081041'!G136+'7.25 diáksport 081043'!G136+'7.26 közműv 082091'!G136+'7.27 közműv 082092'!G136+'7.28  óvoda 091140'!G136+'7.29 intézmkiv gyétk 104037'!G136+'7.30 szoc étk 107051'!G136+'7.31 segélyek 107060'!G136+'7.32 adóbev 900020'!G136+'7.33 pályázatok összesen'!G136+'7.6 út építés 045127'!G136</f>
        <v>0</v>
      </c>
      <c r="H136" s="249">
        <f t="shared" si="18"/>
        <v>0</v>
      </c>
      <c r="I136" s="248">
        <f ca="1">'7.1. igazg 011130'!I136+'7.2 temető 013320'!I136+'7.3. vagyon 013350'!I136+'7.4 018010'!I136+'7.5 finansz műveletek 018030'!I136+'7.7 közütak működtetés 045160'!I136+'7.8 parkoló 045170'!I136+'7.9 kábeltv 046020'!I136+'7.10 piac 047120'!I136+'7.11 tdm tám047320'!I136+'7.12 szemét 051030'!I136+'7.13 szennyvíz 052080'!I136+'7.14 víz 063080'!I136+'7.15 közvil 064010'!I136+'7.16 zöldterület 066010'!I136+'7.17 város 066020'!I136+'7.18 háziorvos 072111'!I136+'7.19 ügyelet 072112'!I136+'7.20 fülészet 072210'!I136+'7.21 védőnők 074031'!I136+'7.22 isk eü 074032'!I136+'7.23 sportcsépület 081030'!I136+'7.24 sport tám 081041'!I136+'7.25 diáksport 081043'!I136+'7.26 közműv 082091'!I136+'7.27 közműv 082092'!I136+'7.28  óvoda 091140'!I136+'7.29 intézmkiv gyétk 104037'!I136+'7.30 szoc étk 107051'!I136+'7.31 segélyek 107060'!I136+'7.32 adóbev 900020'!I136+'7.33 pályázatok összesen'!I136+'7.6 út építés 045127'!I136</f>
        <v>0</v>
      </c>
      <c r="J136" s="248">
        <f>'7.1. igazg 011130'!J136+'7.2 temető 013320'!J136+'7.3. vagyon 013350'!J136+'7.4 018010'!J136+'7.5 finansz műveletek 018030'!J136+'7.7 közütak működtetés 045160'!J136+'7.8 parkoló 045170'!J136+'7.9 kábeltv 046020'!J136+'7.10 piac 047120'!J136+'7.11 tdm tám047320'!J136+'7.12 szemét 051030'!J136+'7.13 szennyvíz 052080'!J136+'7.14 víz 063080'!J136+'7.15 közvil 064010'!J136+'7.16 zöldterület 066010'!J136+'7.17 város 066020'!J136+'7.18 háziorvos 072111'!J136+'7.19 ügyelet 072112'!J136+'7.20 fülészet 072210'!J136+'7.21 védőnők 074031'!J136+'7.22 isk eü 074032'!J136+'7.23 sportcsépület 081030'!J136+'7.24 sport tám 081041'!J136+'7.25 diáksport 081043'!J136+'7.26 közműv 082091'!J136+'7.27 közműv 082092'!J136+'7.28  óvoda 091140'!J136+'7.29 intézmkiv gyétk 104037'!J136+'7.30 szoc étk 107051'!J136+'7.31 segélyek 107060'!J136+'7.32 adóbev 900020'!J136+'7.33 pályázatok összesen'!J136+'7.6 út építés 045127'!J136</f>
        <v>0</v>
      </c>
      <c r="K136" s="249">
        <f t="shared" ca="1" si="19"/>
        <v>0</v>
      </c>
      <c r="L136" s="248">
        <f ca="1">'7.1. igazg 011130'!L136+'7.2 temető 013320'!L136+'7.3. vagyon 013350'!L136+'7.4 018010'!L136+'7.5 finansz műveletek 018030'!L136+'7.7 közütak működtetés 045160'!L136+'7.8 parkoló 045170'!L136+'7.9 kábeltv 046020'!L136+'7.10 piac 047120'!L136+'7.11 tdm tám047320'!L136+'7.12 szemét 051030'!L136+'7.13 szennyvíz 052080'!L136+'7.14 víz 063080'!L136+'7.15 közvil 064010'!L136+'7.16 zöldterület 066010'!L136+'7.17 város 066020'!L136+'7.18 háziorvos 072111'!L136+'7.19 ügyelet 072112'!L136+'7.20 fülészet 072210'!L136+'7.21 védőnők 074031'!L136+'7.22 isk eü 074032'!L136+'7.23 sportcsépület 081030'!L136+'7.24 sport tám 081041'!L136+'7.25 diáksport 081043'!L136+'7.26 közműv 082091'!L136+'7.27 közműv 082092'!L136+'7.28  óvoda 091140'!L136+'7.29 intézmkiv gyétk 104037'!L136+'7.30 szoc étk 107051'!L136+'7.31 segélyek 107060'!L136+'7.32 adóbev 900020'!L136+'7.33 pályázatok összesen'!L136+'7.6 út építés 045127'!L136</f>
        <v>0</v>
      </c>
      <c r="M136" s="248">
        <f>'7.1. igazg 011130'!M136+'7.2 temető 013320'!M136+'7.3. vagyon 013350'!M136+'7.4 018010'!M136+'7.5 finansz műveletek 018030'!M136+'7.7 közütak működtetés 045160'!M136+'7.8 parkoló 045170'!M136+'7.9 kábeltv 046020'!M136+'7.10 piac 047120'!M136+'7.11 tdm tám047320'!M136+'7.12 szemét 051030'!M136+'7.13 szennyvíz 052080'!M136+'7.14 víz 063080'!M136+'7.15 közvil 064010'!M136+'7.16 zöldterület 066010'!M136+'7.17 város 066020'!M136+'7.18 háziorvos 072111'!M136+'7.19 ügyelet 072112'!M136+'7.20 fülészet 072210'!M136+'7.21 védőnők 074031'!M136+'7.22 isk eü 074032'!M136+'7.23 sportcsépület 081030'!M136+'7.24 sport tám 081041'!M136+'7.25 diáksport 081043'!M136+'7.26 közműv 082091'!M136+'7.27 közműv 082092'!M136+'7.28  óvoda 091140'!M136+'7.29 intézmkiv gyétk 104037'!M136+'7.30 szoc étk 107051'!M136+'7.31 segélyek 107060'!M136+'7.32 adóbev 900020'!M136+'7.33 pályázatok összesen'!M136+'7.6 út építés 045127'!M136</f>
        <v>0</v>
      </c>
      <c r="N136" s="249">
        <f t="shared" ca="1" si="20"/>
        <v>0</v>
      </c>
      <c r="S136" s="148"/>
    </row>
    <row r="137" spans="1:19" x14ac:dyDescent="0.25">
      <c r="A137" s="60" t="s">
        <v>241</v>
      </c>
      <c r="B137" s="48" t="s">
        <v>38</v>
      </c>
      <c r="C137" s="244">
        <f>'7.1. igazg 011130'!C137+'7.2 temető 013320'!C137+'7.3. vagyon 013350'!C137+'7.4 018010'!C137+'7.5 finansz műveletek 018030'!C137+'7.7 közütak működtetés 045160'!C137+'7.8 parkoló 045170'!C137+'7.9 kábeltv 046020'!C137+'7.10 piac 047120'!C137+'7.11 tdm tám047320'!C137+'7.12 szemét 051030'!C137+'7.13 szennyvíz 052080'!C137+'7.14 víz 063080'!C137+'7.15 közvil 064010'!C137+'7.16 zöldterület 066010'!C137+'7.17 város 066020'!C137+'7.18 háziorvos 072111'!C137+'7.19 ügyelet 072112'!C137+'7.20 fülészet 072210'!C137+'7.21 védőnők 074031'!C137+'7.22 isk eü 074032'!C137+'7.23 sportcsépület 081030'!C137+'7.24 sport tám 081041'!C137+'7.25 diáksport 081043'!C137+'7.26 közműv 082091'!C137+'7.27 közműv 082092'!C137+'7.28  óvoda 091140'!C137+'7.29 intézmkiv gyétk 104037'!C137+'7.30 szoc étk 107051'!C137+'7.31 segélyek 107060'!C137+'7.32 adóbev 900020'!C137+'7.33 pályázatok összesen'!C137+'7.6 út építés 045127'!C137</f>
        <v>2152407361</v>
      </c>
      <c r="D137" s="244">
        <f>'7.1. igazg 011130'!D137+'7.2 temető 013320'!D137+'7.3. vagyon 013350'!D137+'7.4 018010'!D137+'7.5 finansz műveletek 018030'!D137+'7.7 közütak működtetés 045160'!D137+'7.8 parkoló 045170'!D137+'7.9 kábeltv 046020'!D137+'7.10 piac 047120'!D137+'7.11 tdm tám047320'!D137+'7.12 szemét 051030'!D137+'7.13 szennyvíz 052080'!D137+'7.14 víz 063080'!D137+'7.15 közvil 064010'!D137+'7.16 zöldterület 066010'!D137+'7.17 város 066020'!D137+'7.18 háziorvos 072111'!D137+'7.19 ügyelet 072112'!D137+'7.20 fülészet 072210'!D137+'7.21 védőnők 074031'!D137+'7.22 isk eü 074032'!D137+'7.23 sportcsépület 081030'!D137+'7.24 sport tám 081041'!D137+'7.25 diáksport 081043'!D137+'7.26 közműv 082091'!D137+'7.27 közműv 082092'!D137+'7.28  óvoda 091140'!D137+'7.29 intézmkiv gyétk 104037'!D137+'7.30 szoc étk 107051'!D137+'7.31 segélyek 107060'!D137+'7.32 adóbev 900020'!D137+'7.33 pályázatok összesen'!D137+'7.6 út építés 045127'!D137</f>
        <v>0</v>
      </c>
      <c r="E137" s="245">
        <f t="shared" si="11"/>
        <v>2152407361</v>
      </c>
      <c r="F137" s="244">
        <f>'7.1. igazg 011130'!F137+'7.2 temető 013320'!F137+'7.3. vagyon 013350'!F137+'7.4 018010'!F137+'7.5 finansz műveletek 018030'!F137+'7.7 közütak működtetés 045160'!F137+'7.8 parkoló 045170'!F137+'7.9 kábeltv 046020'!F137+'7.10 piac 047120'!F137+'7.11 tdm tám047320'!F137+'7.12 szemét 051030'!F137+'7.13 szennyvíz 052080'!F137+'7.14 víz 063080'!F137+'7.15 közvil 064010'!F137+'7.16 zöldterület 066010'!F137+'7.17 város 066020'!F137+'7.18 háziorvos 072111'!F137+'7.19 ügyelet 072112'!F137+'7.20 fülészet 072210'!F137+'7.21 védőnők 074031'!F137+'7.22 isk eü 074032'!F137+'7.23 sportcsépület 081030'!F137+'7.24 sport tám 081041'!F137+'7.25 diáksport 081043'!F137+'7.26 közműv 082091'!F137+'7.27 közműv 082092'!F137+'7.28  óvoda 091140'!F137+'7.29 intézmkiv gyétk 104037'!F137+'7.30 szoc étk 107051'!F137+'7.31 segélyek 107060'!F137+'7.32 adóbev 900020'!F137+'7.33 pályázatok összesen'!F137+'7.6 út építés 045127'!F137</f>
        <v>2223455555</v>
      </c>
      <c r="G137" s="244">
        <f>'7.1. igazg 011130'!G137+'7.2 temető 013320'!G137+'7.3. vagyon 013350'!G137+'7.4 018010'!G137+'7.5 finansz műveletek 018030'!G137+'7.7 közütak működtetés 045160'!G137+'7.8 parkoló 045170'!G137+'7.9 kábeltv 046020'!G137+'7.10 piac 047120'!G137+'7.11 tdm tám047320'!G137+'7.12 szemét 051030'!G137+'7.13 szennyvíz 052080'!G137+'7.14 víz 063080'!G137+'7.15 közvil 064010'!G137+'7.16 zöldterület 066010'!G137+'7.17 város 066020'!G137+'7.18 háziorvos 072111'!G137+'7.19 ügyelet 072112'!G137+'7.20 fülészet 072210'!G137+'7.21 védőnők 074031'!G137+'7.22 isk eü 074032'!G137+'7.23 sportcsépület 081030'!G137+'7.24 sport tám 081041'!G137+'7.25 diáksport 081043'!G137+'7.26 közműv 082091'!G137+'7.27 közműv 082092'!G137+'7.28  óvoda 091140'!G137+'7.29 intézmkiv gyétk 104037'!G137+'7.30 szoc étk 107051'!G137+'7.31 segélyek 107060'!G137+'7.32 adóbev 900020'!G137+'7.33 pályázatok összesen'!G137+'7.6 út építés 045127'!G137</f>
        <v>0</v>
      </c>
      <c r="H137" s="245">
        <f t="shared" si="18"/>
        <v>2223455555</v>
      </c>
      <c r="I137" s="244">
        <f ca="1">'7.1. igazg 011130'!I137+'7.2 temető 013320'!I137+'7.3. vagyon 013350'!I137+'7.4 018010'!I137+'7.5 finansz műveletek 018030'!I137+'7.7 közütak működtetés 045160'!I137+'7.8 parkoló 045170'!I137+'7.9 kábeltv 046020'!I137+'7.10 piac 047120'!I137+'7.11 tdm tám047320'!I137+'7.12 szemét 051030'!I137+'7.13 szennyvíz 052080'!I137+'7.14 víz 063080'!I137+'7.15 közvil 064010'!I137+'7.16 zöldterület 066010'!I137+'7.17 város 066020'!I137+'7.18 háziorvos 072111'!I137+'7.19 ügyelet 072112'!I137+'7.20 fülészet 072210'!I137+'7.21 védőnők 074031'!I137+'7.22 isk eü 074032'!I137+'7.23 sportcsépület 081030'!I137+'7.24 sport tám 081041'!I137+'7.25 diáksport 081043'!I137+'7.26 közműv 082091'!I137+'7.27 közműv 082092'!I137+'7.28  óvoda 091140'!I137+'7.29 intézmkiv gyétk 104037'!I137+'7.30 szoc étk 107051'!I137+'7.31 segélyek 107060'!I137+'7.32 adóbev 900020'!I137+'7.33 pályázatok összesen'!I137+'7.6 út építés 045127'!I137</f>
        <v>2205707633</v>
      </c>
      <c r="J137" s="244">
        <f>'7.1. igazg 011130'!J137+'7.2 temető 013320'!J137+'7.3. vagyon 013350'!J137+'7.4 018010'!J137+'7.5 finansz műveletek 018030'!J137+'7.7 közütak működtetés 045160'!J137+'7.8 parkoló 045170'!J137+'7.9 kábeltv 046020'!J137+'7.10 piac 047120'!J137+'7.11 tdm tám047320'!J137+'7.12 szemét 051030'!J137+'7.13 szennyvíz 052080'!J137+'7.14 víz 063080'!J137+'7.15 közvil 064010'!J137+'7.16 zöldterület 066010'!J137+'7.17 város 066020'!J137+'7.18 háziorvos 072111'!J137+'7.19 ügyelet 072112'!J137+'7.20 fülészet 072210'!J137+'7.21 védőnők 074031'!J137+'7.22 isk eü 074032'!J137+'7.23 sportcsépület 081030'!J137+'7.24 sport tám 081041'!J137+'7.25 diáksport 081043'!J137+'7.26 közműv 082091'!J137+'7.27 közműv 082092'!J137+'7.28  óvoda 091140'!J137+'7.29 intézmkiv gyétk 104037'!J137+'7.30 szoc étk 107051'!J137+'7.31 segélyek 107060'!J137+'7.32 adóbev 900020'!J137+'7.33 pályázatok összesen'!J137+'7.6 út építés 045127'!J137</f>
        <v>0</v>
      </c>
      <c r="K137" s="245">
        <f t="shared" ca="1" si="19"/>
        <v>2205707633</v>
      </c>
      <c r="L137" s="244">
        <f ca="1">'7.1. igazg 011130'!L137+'7.2 temető 013320'!L137+'7.3. vagyon 013350'!L137+'7.4 018010'!L137+'7.5 finansz műveletek 018030'!L137+'7.7 közütak működtetés 045160'!L137+'7.8 parkoló 045170'!L137+'7.9 kábeltv 046020'!L137+'7.10 piac 047120'!L137+'7.11 tdm tám047320'!L137+'7.12 szemét 051030'!L137+'7.13 szennyvíz 052080'!L137+'7.14 víz 063080'!L137+'7.15 közvil 064010'!L137+'7.16 zöldterület 066010'!L137+'7.17 város 066020'!L137+'7.18 háziorvos 072111'!L137+'7.19 ügyelet 072112'!L137+'7.20 fülészet 072210'!L137+'7.21 védőnők 074031'!L137+'7.22 isk eü 074032'!L137+'7.23 sportcsépület 081030'!L137+'7.24 sport tám 081041'!L137+'7.25 diáksport 081043'!L137+'7.26 közműv 082091'!L137+'7.27 közműv 082092'!L137+'7.28  óvoda 091140'!L137+'7.29 intézmkiv gyétk 104037'!L137+'7.30 szoc étk 107051'!L137+'7.31 segélyek 107060'!L137+'7.32 adóbev 900020'!L137+'7.33 pályázatok összesen'!L137+'7.6 út építés 045127'!L137</f>
        <v>1355611816</v>
      </c>
      <c r="M137" s="244">
        <f>'7.1. igazg 011130'!M137+'7.2 temető 013320'!M137+'7.3. vagyon 013350'!M137+'7.4 018010'!M137+'7.5 finansz műveletek 018030'!M137+'7.7 közütak működtetés 045160'!M137+'7.8 parkoló 045170'!M137+'7.9 kábeltv 046020'!M137+'7.10 piac 047120'!M137+'7.11 tdm tám047320'!M137+'7.12 szemét 051030'!M137+'7.13 szennyvíz 052080'!M137+'7.14 víz 063080'!M137+'7.15 közvil 064010'!M137+'7.16 zöldterület 066010'!M137+'7.17 város 066020'!M137+'7.18 háziorvos 072111'!M137+'7.19 ügyelet 072112'!M137+'7.20 fülészet 072210'!M137+'7.21 védőnők 074031'!M137+'7.22 isk eü 074032'!M137+'7.23 sportcsépület 081030'!M137+'7.24 sport tám 081041'!M137+'7.25 diáksport 081043'!M137+'7.26 közműv 082091'!M137+'7.27 közműv 082092'!M137+'7.28  óvoda 091140'!M137+'7.29 intézmkiv gyétk 104037'!M137+'7.30 szoc étk 107051'!M137+'7.31 segélyek 107060'!M137+'7.32 adóbev 900020'!M137+'7.33 pályázatok összesen'!M137+'7.6 út építés 045127'!M137</f>
        <v>0</v>
      </c>
      <c r="N137" s="245">
        <f t="shared" ca="1" si="20"/>
        <v>1355611816</v>
      </c>
      <c r="S137" s="148"/>
    </row>
    <row r="138" spans="1:19" ht="15.75" thickBot="1" x14ac:dyDescent="0.3">
      <c r="A138" s="63" t="s">
        <v>242</v>
      </c>
      <c r="B138" s="64" t="s">
        <v>243</v>
      </c>
      <c r="C138" s="248">
        <f>'7.1. igazg 011130'!C138+'7.2 temető 013320'!C138+'7.3. vagyon 013350'!C138+'7.4 018010'!C138+'7.5 finansz műveletek 018030'!C138+'7.7 közütak működtetés 045160'!C138+'7.8 parkoló 045170'!C138+'7.9 kábeltv 046020'!C138+'7.10 piac 047120'!C138+'7.11 tdm tám047320'!C138+'7.12 szemét 051030'!C138+'7.13 szennyvíz 052080'!C138+'7.14 víz 063080'!C138+'7.15 közvil 064010'!C138+'7.16 zöldterület 066010'!C138+'7.17 város 066020'!C138+'7.18 háziorvos 072111'!C138+'7.19 ügyelet 072112'!C138+'7.20 fülészet 072210'!C138+'7.21 védőnők 074031'!C138+'7.22 isk eü 074032'!C138+'7.23 sportcsépület 081030'!C138+'7.24 sport tám 081041'!C138+'7.25 diáksport 081043'!C138+'7.26 közműv 082091'!C138+'7.27 közműv 082092'!C138+'7.28  óvoda 091140'!C138+'7.29 intézmkiv gyétk 104037'!C138+'7.30 szoc étk 107051'!C138+'7.31 segélyek 107060'!C138+'7.32 adóbev 900020'!C138+'7.33 pályázatok összesen'!C138+'7.6 út építés 045127'!C138</f>
        <v>308330918</v>
      </c>
      <c r="D138" s="248">
        <f>'7.1. igazg 011130'!D138+'7.2 temető 013320'!D138+'7.3. vagyon 013350'!D138+'7.4 018010'!D138+'7.5 finansz műveletek 018030'!D138+'7.7 közütak működtetés 045160'!D138+'7.8 parkoló 045170'!D138+'7.9 kábeltv 046020'!D138+'7.10 piac 047120'!D138+'7.11 tdm tám047320'!D138+'7.12 szemét 051030'!D138+'7.13 szennyvíz 052080'!D138+'7.14 víz 063080'!D138+'7.15 közvil 064010'!D138+'7.16 zöldterület 066010'!D138+'7.17 város 066020'!D138+'7.18 háziorvos 072111'!D138+'7.19 ügyelet 072112'!D138+'7.20 fülészet 072210'!D138+'7.21 védőnők 074031'!D138+'7.22 isk eü 074032'!D138+'7.23 sportcsépület 081030'!D138+'7.24 sport tám 081041'!D138+'7.25 diáksport 081043'!D138+'7.26 közműv 082091'!D138+'7.27 közműv 082092'!D138+'7.28  óvoda 091140'!D138+'7.29 intézmkiv gyétk 104037'!D138+'7.30 szoc étk 107051'!D138+'7.31 segélyek 107060'!D138+'7.32 adóbev 900020'!D138+'7.33 pályázatok összesen'!D138+'7.6 út építés 045127'!D138</f>
        <v>0</v>
      </c>
      <c r="E138" s="249">
        <f t="shared" si="11"/>
        <v>308330918</v>
      </c>
      <c r="F138" s="248">
        <f>'7.1. igazg 011130'!F138+'7.2 temető 013320'!F138+'7.3. vagyon 013350'!F138+'7.4 018010'!F138+'7.5 finansz műveletek 018030'!F138+'7.7 közütak működtetés 045160'!F138+'7.8 parkoló 045170'!F138+'7.9 kábeltv 046020'!F138+'7.10 piac 047120'!F138+'7.11 tdm tám047320'!F138+'7.12 szemét 051030'!F138+'7.13 szennyvíz 052080'!F138+'7.14 víz 063080'!F138+'7.15 közvil 064010'!F138+'7.16 zöldterület 066010'!F138+'7.17 város 066020'!F138+'7.18 háziorvos 072111'!F138+'7.19 ügyelet 072112'!F138+'7.20 fülészet 072210'!F138+'7.21 védőnők 074031'!F138+'7.22 isk eü 074032'!F138+'7.23 sportcsépület 081030'!F138+'7.24 sport tám 081041'!F138+'7.25 diáksport 081043'!F138+'7.26 közműv 082091'!F138+'7.27 közműv 082092'!F138+'7.28  óvoda 091140'!F138+'7.29 intézmkiv gyétk 104037'!F138+'7.30 szoc étk 107051'!F138+'7.31 segélyek 107060'!F138+'7.32 adóbev 900020'!F138+'7.33 pályázatok összesen'!F138+'7.6 út építés 045127'!F138</f>
        <v>433397596</v>
      </c>
      <c r="G138" s="248">
        <f>'7.1. igazg 011130'!G138+'7.2 temető 013320'!G138+'7.3. vagyon 013350'!G138+'7.4 018010'!G138+'7.5 finansz műveletek 018030'!G138+'7.7 közütak működtetés 045160'!G138+'7.8 parkoló 045170'!G138+'7.9 kábeltv 046020'!G138+'7.10 piac 047120'!G138+'7.11 tdm tám047320'!G138+'7.12 szemét 051030'!G138+'7.13 szennyvíz 052080'!G138+'7.14 víz 063080'!G138+'7.15 közvil 064010'!G138+'7.16 zöldterület 066010'!G138+'7.17 város 066020'!G138+'7.18 háziorvos 072111'!G138+'7.19 ügyelet 072112'!G138+'7.20 fülészet 072210'!G138+'7.21 védőnők 074031'!G138+'7.22 isk eü 074032'!G138+'7.23 sportcsépület 081030'!G138+'7.24 sport tám 081041'!G138+'7.25 diáksport 081043'!G138+'7.26 közműv 082091'!G138+'7.27 közműv 082092'!G138+'7.28  óvoda 091140'!G138+'7.29 intézmkiv gyétk 104037'!G138+'7.30 szoc étk 107051'!G138+'7.31 segélyek 107060'!G138+'7.32 adóbev 900020'!G138+'7.33 pályázatok összesen'!G138+'7.6 út építés 045127'!G138</f>
        <v>0</v>
      </c>
      <c r="H138" s="249">
        <f t="shared" si="18"/>
        <v>433397596</v>
      </c>
      <c r="I138" s="248">
        <f ca="1">'7.1. igazg 011130'!I138+'7.2 temető 013320'!I138+'7.3. vagyon 013350'!I138+'7.4 018010'!I138+'7.5 finansz műveletek 018030'!I138+'7.7 közütak működtetés 045160'!I138+'7.8 parkoló 045170'!I138+'7.9 kábeltv 046020'!I138+'7.10 piac 047120'!I138+'7.11 tdm tám047320'!I138+'7.12 szemét 051030'!I138+'7.13 szennyvíz 052080'!I138+'7.14 víz 063080'!I138+'7.15 közvil 064010'!I138+'7.16 zöldterület 066010'!I138+'7.17 város 066020'!I138+'7.18 háziorvos 072111'!I138+'7.19 ügyelet 072112'!I138+'7.20 fülészet 072210'!I138+'7.21 védőnők 074031'!I138+'7.22 isk eü 074032'!I138+'7.23 sportcsépület 081030'!I138+'7.24 sport tám 081041'!I138+'7.25 diáksport 081043'!I138+'7.26 közműv 082091'!I138+'7.27 közműv 082092'!I138+'7.28  óvoda 091140'!I138+'7.29 intézmkiv gyétk 104037'!I138+'7.30 szoc étk 107051'!I138+'7.31 segélyek 107060'!I138+'7.32 adóbev 900020'!I138+'7.33 pályázatok összesen'!I138+'7.6 út építés 045127'!I138</f>
        <v>428738713</v>
      </c>
      <c r="J138" s="248">
        <f>'7.1. igazg 011130'!J138+'7.2 temető 013320'!J138+'7.3. vagyon 013350'!J138+'7.4 018010'!J138+'7.5 finansz műveletek 018030'!J138+'7.7 közütak működtetés 045160'!J138+'7.8 parkoló 045170'!J138+'7.9 kábeltv 046020'!J138+'7.10 piac 047120'!J138+'7.11 tdm tám047320'!J138+'7.12 szemét 051030'!J138+'7.13 szennyvíz 052080'!J138+'7.14 víz 063080'!J138+'7.15 közvil 064010'!J138+'7.16 zöldterület 066010'!J138+'7.17 város 066020'!J138+'7.18 háziorvos 072111'!J138+'7.19 ügyelet 072112'!J138+'7.20 fülészet 072210'!J138+'7.21 védőnők 074031'!J138+'7.22 isk eü 074032'!J138+'7.23 sportcsépület 081030'!J138+'7.24 sport tám 081041'!J138+'7.25 diáksport 081043'!J138+'7.26 közműv 082091'!J138+'7.27 közműv 082092'!J138+'7.28  óvoda 091140'!J138+'7.29 intézmkiv gyétk 104037'!J138+'7.30 szoc étk 107051'!J138+'7.31 segélyek 107060'!J138+'7.32 adóbev 900020'!J138+'7.33 pályázatok összesen'!J138+'7.6 út építés 045127'!J138</f>
        <v>0</v>
      </c>
      <c r="K138" s="249">
        <f t="shared" ca="1" si="19"/>
        <v>428738713</v>
      </c>
      <c r="L138" s="248">
        <f ca="1">'7.1. igazg 011130'!L138+'7.2 temető 013320'!L138+'7.3. vagyon 013350'!L138+'7.4 018010'!L138+'7.5 finansz műveletek 018030'!L138+'7.7 közütak működtetés 045160'!L138+'7.8 parkoló 045170'!L138+'7.9 kábeltv 046020'!L138+'7.10 piac 047120'!L138+'7.11 tdm tám047320'!L138+'7.12 szemét 051030'!L138+'7.13 szennyvíz 052080'!L138+'7.14 víz 063080'!L138+'7.15 közvil 064010'!L138+'7.16 zöldterület 066010'!L138+'7.17 város 066020'!L138+'7.18 háziorvos 072111'!L138+'7.19 ügyelet 072112'!L138+'7.20 fülészet 072210'!L138+'7.21 védőnők 074031'!L138+'7.22 isk eü 074032'!L138+'7.23 sportcsépület 081030'!L138+'7.24 sport tám 081041'!L138+'7.25 diáksport 081043'!L138+'7.26 közműv 082091'!L138+'7.27 közműv 082092'!L138+'7.28  óvoda 091140'!L138+'7.29 intézmkiv gyétk 104037'!L138+'7.30 szoc étk 107051'!L138+'7.31 segélyek 107060'!L138+'7.32 adóbev 900020'!L138+'7.33 pályázatok összesen'!L138+'7.6 út építés 045127'!L138</f>
        <v>164140723</v>
      </c>
      <c r="M138" s="248">
        <f>'7.1. igazg 011130'!M138+'7.2 temető 013320'!M138+'7.3. vagyon 013350'!M138+'7.4 018010'!M138+'7.5 finansz műveletek 018030'!M138+'7.7 közütak működtetés 045160'!M138+'7.8 parkoló 045170'!M138+'7.9 kábeltv 046020'!M138+'7.10 piac 047120'!M138+'7.11 tdm tám047320'!M138+'7.12 szemét 051030'!M138+'7.13 szennyvíz 052080'!M138+'7.14 víz 063080'!M138+'7.15 közvil 064010'!M138+'7.16 zöldterület 066010'!M138+'7.17 város 066020'!M138+'7.18 háziorvos 072111'!M138+'7.19 ügyelet 072112'!M138+'7.20 fülészet 072210'!M138+'7.21 védőnők 074031'!M138+'7.22 isk eü 074032'!M138+'7.23 sportcsépület 081030'!M138+'7.24 sport tám 081041'!M138+'7.25 diáksport 081043'!M138+'7.26 közműv 082091'!M138+'7.27 közműv 082092'!M138+'7.28  óvoda 091140'!M138+'7.29 intézmkiv gyétk 104037'!M138+'7.30 szoc étk 107051'!M138+'7.31 segélyek 107060'!M138+'7.32 adóbev 900020'!M138+'7.33 pályázatok összesen'!M138+'7.6 út építés 045127'!M138</f>
        <v>0</v>
      </c>
      <c r="N138" s="249">
        <f t="shared" ca="1" si="20"/>
        <v>164140723</v>
      </c>
      <c r="S138" s="148"/>
    </row>
    <row r="139" spans="1:19" x14ac:dyDescent="0.25">
      <c r="A139" s="60" t="s">
        <v>244</v>
      </c>
      <c r="B139" s="48" t="s">
        <v>39</v>
      </c>
      <c r="C139" s="244">
        <f>'7.1. igazg 011130'!C139+'7.2 temető 013320'!C139+'7.3. vagyon 013350'!C139+'7.4 018010'!C139+'7.5 finansz műveletek 018030'!C139+'7.7 közütak működtetés 045160'!C139+'7.8 parkoló 045170'!C139+'7.9 kábeltv 046020'!C139+'7.10 piac 047120'!C139+'7.11 tdm tám047320'!C139+'7.12 szemét 051030'!C139+'7.13 szennyvíz 052080'!C139+'7.14 víz 063080'!C139+'7.15 közvil 064010'!C139+'7.16 zöldterület 066010'!C139+'7.17 város 066020'!C139+'7.18 háziorvos 072111'!C139+'7.19 ügyelet 072112'!C139+'7.20 fülészet 072210'!C139+'7.21 védőnők 074031'!C139+'7.22 isk eü 074032'!C139+'7.23 sportcsépület 081030'!C139+'7.24 sport tám 081041'!C139+'7.25 diáksport 081043'!C139+'7.26 közműv 082091'!C139+'7.27 közműv 082092'!C139+'7.28  óvoda 091140'!C139+'7.29 intézmkiv gyétk 104037'!C139+'7.30 szoc étk 107051'!C139+'7.31 segélyek 107060'!C139+'7.32 adóbev 900020'!C139+'7.33 pályázatok összesen'!C139+'7.6 út építés 045127'!C139</f>
        <v>390803783</v>
      </c>
      <c r="D139" s="244">
        <f>'7.1. igazg 011130'!D139+'7.2 temető 013320'!D139+'7.3. vagyon 013350'!D139+'7.4 018010'!D139+'7.5 finansz műveletek 018030'!D139+'7.7 közütak működtetés 045160'!D139+'7.8 parkoló 045170'!D139+'7.9 kábeltv 046020'!D139+'7.10 piac 047120'!D139+'7.11 tdm tám047320'!D139+'7.12 szemét 051030'!D139+'7.13 szennyvíz 052080'!D139+'7.14 víz 063080'!D139+'7.15 közvil 064010'!D139+'7.16 zöldterület 066010'!D139+'7.17 város 066020'!D139+'7.18 háziorvos 072111'!D139+'7.19 ügyelet 072112'!D139+'7.20 fülészet 072210'!D139+'7.21 védőnők 074031'!D139+'7.22 isk eü 074032'!D139+'7.23 sportcsépület 081030'!D139+'7.24 sport tám 081041'!D139+'7.25 diáksport 081043'!D139+'7.26 közműv 082091'!D139+'7.27 közműv 082092'!D139+'7.28  óvoda 091140'!D139+'7.29 intézmkiv gyétk 104037'!D139+'7.30 szoc étk 107051'!D139+'7.31 segélyek 107060'!D139+'7.32 adóbev 900020'!D139+'7.33 pályázatok összesen'!D139+'7.6 út építés 045127'!D139</f>
        <v>0</v>
      </c>
      <c r="E139" s="245">
        <f t="shared" si="11"/>
        <v>390803783</v>
      </c>
      <c r="F139" s="244">
        <f>'7.1. igazg 011130'!F139+'7.2 temető 013320'!F139+'7.3. vagyon 013350'!F139+'7.4 018010'!F139+'7.5 finansz műveletek 018030'!F139+'7.7 közütak működtetés 045160'!F139+'7.8 parkoló 045170'!F139+'7.9 kábeltv 046020'!F139+'7.10 piac 047120'!F139+'7.11 tdm tám047320'!F139+'7.12 szemét 051030'!F139+'7.13 szennyvíz 052080'!F139+'7.14 víz 063080'!F139+'7.15 közvil 064010'!F139+'7.16 zöldterület 066010'!F139+'7.17 város 066020'!F139+'7.18 háziorvos 072111'!F139+'7.19 ügyelet 072112'!F139+'7.20 fülészet 072210'!F139+'7.21 védőnők 074031'!F139+'7.22 isk eü 074032'!F139+'7.23 sportcsépület 081030'!F139+'7.24 sport tám 081041'!F139+'7.25 diáksport 081043'!F139+'7.26 közműv 082091'!F139+'7.27 közműv 082092'!F139+'7.28  óvoda 091140'!F139+'7.29 intézmkiv gyétk 104037'!F139+'7.30 szoc étk 107051'!F139+'7.31 segélyek 107060'!F139+'7.32 adóbev 900020'!F139+'7.33 pályázatok összesen'!F139+'7.6 út építés 045127'!F139</f>
        <v>334115661</v>
      </c>
      <c r="G139" s="244">
        <f>'7.1. igazg 011130'!G139+'7.2 temető 013320'!G139+'7.3. vagyon 013350'!G139+'7.4 018010'!G139+'7.5 finansz műveletek 018030'!G139+'7.7 közütak működtetés 045160'!G139+'7.8 parkoló 045170'!G139+'7.9 kábeltv 046020'!G139+'7.10 piac 047120'!G139+'7.11 tdm tám047320'!G139+'7.12 szemét 051030'!G139+'7.13 szennyvíz 052080'!G139+'7.14 víz 063080'!G139+'7.15 közvil 064010'!G139+'7.16 zöldterület 066010'!G139+'7.17 város 066020'!G139+'7.18 háziorvos 072111'!G139+'7.19 ügyelet 072112'!G139+'7.20 fülészet 072210'!G139+'7.21 védőnők 074031'!G139+'7.22 isk eü 074032'!G139+'7.23 sportcsépület 081030'!G139+'7.24 sport tám 081041'!G139+'7.25 diáksport 081043'!G139+'7.26 közműv 082091'!G139+'7.27 közműv 082092'!G139+'7.28  óvoda 091140'!G139+'7.29 intézmkiv gyétk 104037'!G139+'7.30 szoc étk 107051'!G139+'7.31 segélyek 107060'!G139+'7.32 adóbev 900020'!G139+'7.33 pályázatok összesen'!G139+'7.6 út építés 045127'!G139</f>
        <v>0</v>
      </c>
      <c r="H139" s="245">
        <f t="shared" si="18"/>
        <v>334115661</v>
      </c>
      <c r="I139" s="244">
        <f ca="1">'7.1. igazg 011130'!I139+'7.2 temető 013320'!I139+'7.3. vagyon 013350'!I139+'7.4 018010'!I139+'7.5 finansz műveletek 018030'!I139+'7.7 közütak működtetés 045160'!I139+'7.8 parkoló 045170'!I139+'7.9 kábeltv 046020'!I139+'7.10 piac 047120'!I139+'7.11 tdm tám047320'!I139+'7.12 szemét 051030'!I139+'7.13 szennyvíz 052080'!I139+'7.14 víz 063080'!I139+'7.15 közvil 064010'!I139+'7.16 zöldterület 066010'!I139+'7.17 város 066020'!I139+'7.18 háziorvos 072111'!I139+'7.19 ügyelet 072112'!I139+'7.20 fülészet 072210'!I139+'7.21 védőnők 074031'!I139+'7.22 isk eü 074032'!I139+'7.23 sportcsépület 081030'!I139+'7.24 sport tám 081041'!I139+'7.25 diáksport 081043'!I139+'7.26 közműv 082091'!I139+'7.27 közműv 082092'!I139+'7.28  óvoda 091140'!I139+'7.29 intézmkiv gyétk 104037'!I139+'7.30 szoc étk 107051'!I139+'7.31 segélyek 107060'!I139+'7.32 adóbev 900020'!I139+'7.33 pályázatok összesen'!I139+'7.6 út építés 045127'!I139</f>
        <v>367738566</v>
      </c>
      <c r="J139" s="244">
        <f>'7.1. igazg 011130'!J139+'7.2 temető 013320'!J139+'7.3. vagyon 013350'!J139+'7.4 018010'!J139+'7.5 finansz műveletek 018030'!J139+'7.7 közütak működtetés 045160'!J139+'7.8 parkoló 045170'!J139+'7.9 kábeltv 046020'!J139+'7.10 piac 047120'!J139+'7.11 tdm tám047320'!J139+'7.12 szemét 051030'!J139+'7.13 szennyvíz 052080'!J139+'7.14 víz 063080'!J139+'7.15 közvil 064010'!J139+'7.16 zöldterület 066010'!J139+'7.17 város 066020'!J139+'7.18 háziorvos 072111'!J139+'7.19 ügyelet 072112'!J139+'7.20 fülészet 072210'!J139+'7.21 védőnők 074031'!J139+'7.22 isk eü 074032'!J139+'7.23 sportcsépület 081030'!J139+'7.24 sport tám 081041'!J139+'7.25 diáksport 081043'!J139+'7.26 közműv 082091'!J139+'7.27 közműv 082092'!J139+'7.28  óvoda 091140'!J139+'7.29 intézmkiv gyétk 104037'!J139+'7.30 szoc étk 107051'!J139+'7.31 segélyek 107060'!J139+'7.32 adóbev 900020'!J139+'7.33 pályázatok összesen'!J139+'7.6 út építés 045127'!J139</f>
        <v>0</v>
      </c>
      <c r="K139" s="245">
        <f t="shared" ca="1" si="19"/>
        <v>367738566</v>
      </c>
      <c r="L139" s="244">
        <f ca="1">'7.1. igazg 011130'!L139+'7.2 temető 013320'!L139+'7.3. vagyon 013350'!L139+'7.4 018010'!L139+'7.5 finansz műveletek 018030'!L139+'7.7 közütak működtetés 045160'!L139+'7.8 parkoló 045170'!L139+'7.9 kábeltv 046020'!L139+'7.10 piac 047120'!L139+'7.11 tdm tám047320'!L139+'7.12 szemét 051030'!L139+'7.13 szennyvíz 052080'!L139+'7.14 víz 063080'!L139+'7.15 közvil 064010'!L139+'7.16 zöldterület 066010'!L139+'7.17 város 066020'!L139+'7.18 háziorvos 072111'!L139+'7.19 ügyelet 072112'!L139+'7.20 fülészet 072210'!L139+'7.21 védőnők 074031'!L139+'7.22 isk eü 074032'!L139+'7.23 sportcsépület 081030'!L139+'7.24 sport tám 081041'!L139+'7.25 diáksport 081043'!L139+'7.26 közműv 082091'!L139+'7.27 közműv 082092'!L139+'7.28  óvoda 091140'!L139+'7.29 intézmkiv gyétk 104037'!L139+'7.30 szoc étk 107051'!L139+'7.31 segélyek 107060'!L139+'7.32 adóbev 900020'!L139+'7.33 pályázatok összesen'!L139+'7.6 út építés 045127'!L139</f>
        <v>321150235</v>
      </c>
      <c r="M139" s="244">
        <f>'7.1. igazg 011130'!M139+'7.2 temető 013320'!M139+'7.3. vagyon 013350'!M139+'7.4 018010'!M139+'7.5 finansz műveletek 018030'!M139+'7.7 közütak működtetés 045160'!M139+'7.8 parkoló 045170'!M139+'7.9 kábeltv 046020'!M139+'7.10 piac 047120'!M139+'7.11 tdm tám047320'!M139+'7.12 szemét 051030'!M139+'7.13 szennyvíz 052080'!M139+'7.14 víz 063080'!M139+'7.15 közvil 064010'!M139+'7.16 zöldterület 066010'!M139+'7.17 város 066020'!M139+'7.18 háziorvos 072111'!M139+'7.19 ügyelet 072112'!M139+'7.20 fülészet 072210'!M139+'7.21 védőnők 074031'!M139+'7.22 isk eü 074032'!M139+'7.23 sportcsépület 081030'!M139+'7.24 sport tám 081041'!M139+'7.25 diáksport 081043'!M139+'7.26 közműv 082091'!M139+'7.27 közműv 082092'!M139+'7.28  óvoda 091140'!M139+'7.29 intézmkiv gyétk 104037'!M139+'7.30 szoc étk 107051'!M139+'7.31 segélyek 107060'!M139+'7.32 adóbev 900020'!M139+'7.33 pályázatok összesen'!M139+'7.6 út építés 045127'!M139</f>
        <v>0</v>
      </c>
      <c r="N139" s="245">
        <f t="shared" ca="1" si="20"/>
        <v>321150235</v>
      </c>
      <c r="S139" s="148"/>
    </row>
    <row r="140" spans="1:19" ht="15.75" thickBot="1" x14ac:dyDescent="0.3">
      <c r="A140" s="63" t="s">
        <v>245</v>
      </c>
      <c r="B140" s="64" t="s">
        <v>246</v>
      </c>
      <c r="C140" s="248">
        <f>'7.1. igazg 011130'!C140+'7.2 temető 013320'!C140+'7.3. vagyon 013350'!C140+'7.4 018010'!C140+'7.5 finansz műveletek 018030'!C140+'7.7 közütak működtetés 045160'!C140+'7.8 parkoló 045170'!C140+'7.9 kábeltv 046020'!C140+'7.10 piac 047120'!C140+'7.11 tdm tám047320'!C140+'7.12 szemét 051030'!C140+'7.13 szennyvíz 052080'!C140+'7.14 víz 063080'!C140+'7.15 közvil 064010'!C140+'7.16 zöldterület 066010'!C140+'7.17 város 066020'!C140+'7.18 háziorvos 072111'!C140+'7.19 ügyelet 072112'!C140+'7.20 fülészet 072210'!C140+'7.21 védőnők 074031'!C140+'7.22 isk eü 074032'!C140+'7.23 sportcsépület 081030'!C140+'7.24 sport tám 081041'!C140+'7.25 diáksport 081043'!C140+'7.26 közműv 082091'!C140+'7.27 közműv 082092'!C140+'7.28  óvoda 091140'!C140+'7.29 intézmkiv gyétk 104037'!C140+'7.30 szoc étk 107051'!C140+'7.31 segélyek 107060'!C140+'7.32 adóbev 900020'!C140+'7.33 pályázatok összesen'!C140+'7.6 út építés 045127'!C140</f>
        <v>105517021</v>
      </c>
      <c r="D140" s="248">
        <f>'7.1. igazg 011130'!D140+'7.2 temető 013320'!D140+'7.3. vagyon 013350'!D140+'7.4 018010'!D140+'7.5 finansz műveletek 018030'!D140+'7.7 közütak működtetés 045160'!D140+'7.8 parkoló 045170'!D140+'7.9 kábeltv 046020'!D140+'7.10 piac 047120'!D140+'7.11 tdm tám047320'!D140+'7.12 szemét 051030'!D140+'7.13 szennyvíz 052080'!D140+'7.14 víz 063080'!D140+'7.15 közvil 064010'!D140+'7.16 zöldterület 066010'!D140+'7.17 város 066020'!D140+'7.18 háziorvos 072111'!D140+'7.19 ügyelet 072112'!D140+'7.20 fülészet 072210'!D140+'7.21 védőnők 074031'!D140+'7.22 isk eü 074032'!D140+'7.23 sportcsépület 081030'!D140+'7.24 sport tám 081041'!D140+'7.25 diáksport 081043'!D140+'7.26 közműv 082091'!D140+'7.27 közműv 082092'!D140+'7.28  óvoda 091140'!D140+'7.29 intézmkiv gyétk 104037'!D140+'7.30 szoc étk 107051'!D140+'7.31 segélyek 107060'!D140+'7.32 adóbev 900020'!D140+'7.33 pályázatok összesen'!D140+'7.6 út építés 045127'!D140</f>
        <v>0</v>
      </c>
      <c r="E140" s="249">
        <f t="shared" si="11"/>
        <v>105517021</v>
      </c>
      <c r="F140" s="248">
        <f>'7.1. igazg 011130'!F140+'7.2 temető 013320'!F140+'7.3. vagyon 013350'!F140+'7.4 018010'!F140+'7.5 finansz műveletek 018030'!F140+'7.7 közütak működtetés 045160'!F140+'7.8 parkoló 045170'!F140+'7.9 kábeltv 046020'!F140+'7.10 piac 047120'!F140+'7.11 tdm tám047320'!F140+'7.12 szemét 051030'!F140+'7.13 szennyvíz 052080'!F140+'7.14 víz 063080'!F140+'7.15 közvil 064010'!F140+'7.16 zöldterület 066010'!F140+'7.17 város 066020'!F140+'7.18 háziorvos 072111'!F140+'7.19 ügyelet 072112'!F140+'7.20 fülészet 072210'!F140+'7.21 védőnők 074031'!F140+'7.22 isk eü 074032'!F140+'7.23 sportcsépület 081030'!F140+'7.24 sport tám 081041'!F140+'7.25 diáksport 081043'!F140+'7.26 közműv 082091'!F140+'7.27 közműv 082092'!F140+'7.28  óvoda 091140'!F140+'7.29 intézmkiv gyétk 104037'!F140+'7.30 szoc étk 107051'!F140+'7.31 segélyek 107060'!F140+'7.32 adóbev 900020'!F140+'7.33 pályázatok összesen'!F140+'7.6 út építés 045127'!F140</f>
        <v>42313228</v>
      </c>
      <c r="G140" s="248">
        <f>'7.1. igazg 011130'!G140+'7.2 temető 013320'!G140+'7.3. vagyon 013350'!G140+'7.4 018010'!G140+'7.5 finansz műveletek 018030'!G140+'7.7 közütak működtetés 045160'!G140+'7.8 parkoló 045170'!G140+'7.9 kábeltv 046020'!G140+'7.10 piac 047120'!G140+'7.11 tdm tám047320'!G140+'7.12 szemét 051030'!G140+'7.13 szennyvíz 052080'!G140+'7.14 víz 063080'!G140+'7.15 közvil 064010'!G140+'7.16 zöldterület 066010'!G140+'7.17 város 066020'!G140+'7.18 háziorvos 072111'!G140+'7.19 ügyelet 072112'!G140+'7.20 fülészet 072210'!G140+'7.21 védőnők 074031'!G140+'7.22 isk eü 074032'!G140+'7.23 sportcsépület 081030'!G140+'7.24 sport tám 081041'!G140+'7.25 diáksport 081043'!G140+'7.26 közműv 082091'!G140+'7.27 közműv 082092'!G140+'7.28  óvoda 091140'!G140+'7.29 intézmkiv gyétk 104037'!G140+'7.30 szoc étk 107051'!G140+'7.31 segélyek 107060'!G140+'7.32 adóbev 900020'!G140+'7.33 pályázatok összesen'!G140+'7.6 út építés 045127'!G140</f>
        <v>0</v>
      </c>
      <c r="H140" s="249">
        <f t="shared" si="18"/>
        <v>42313228</v>
      </c>
      <c r="I140" s="248">
        <f ca="1">'7.1. igazg 011130'!I140+'7.2 temető 013320'!I140+'7.3. vagyon 013350'!I140+'7.4 018010'!I140+'7.5 finansz műveletek 018030'!I140+'7.7 közütak működtetés 045160'!I140+'7.8 parkoló 045170'!I140+'7.9 kábeltv 046020'!I140+'7.10 piac 047120'!I140+'7.11 tdm tám047320'!I140+'7.12 szemét 051030'!I140+'7.13 szennyvíz 052080'!I140+'7.14 víz 063080'!I140+'7.15 közvil 064010'!I140+'7.16 zöldterület 066010'!I140+'7.17 város 066020'!I140+'7.18 háziorvos 072111'!I140+'7.19 ügyelet 072112'!I140+'7.20 fülészet 072210'!I140+'7.21 védőnők 074031'!I140+'7.22 isk eü 074032'!I140+'7.23 sportcsépület 081030'!I140+'7.24 sport tám 081041'!I140+'7.25 diáksport 081043'!I140+'7.26 közműv 082091'!I140+'7.27 közműv 082092'!I140+'7.28  óvoda 091140'!I140+'7.29 intézmkiv gyétk 104037'!I140+'7.30 szoc étk 107051'!I140+'7.31 segélyek 107060'!I140+'7.32 adóbev 900020'!I140+'7.33 pályázatok összesen'!I140+'7.6 út építés 045127'!I140</f>
        <v>42313228</v>
      </c>
      <c r="J140" s="248">
        <f>'7.1. igazg 011130'!J140+'7.2 temető 013320'!J140+'7.3. vagyon 013350'!J140+'7.4 018010'!J140+'7.5 finansz műveletek 018030'!J140+'7.7 közütak működtetés 045160'!J140+'7.8 parkoló 045170'!J140+'7.9 kábeltv 046020'!J140+'7.10 piac 047120'!J140+'7.11 tdm tám047320'!J140+'7.12 szemét 051030'!J140+'7.13 szennyvíz 052080'!J140+'7.14 víz 063080'!J140+'7.15 közvil 064010'!J140+'7.16 zöldterület 066010'!J140+'7.17 város 066020'!J140+'7.18 háziorvos 072111'!J140+'7.19 ügyelet 072112'!J140+'7.20 fülészet 072210'!J140+'7.21 védőnők 074031'!J140+'7.22 isk eü 074032'!J140+'7.23 sportcsépület 081030'!J140+'7.24 sport tám 081041'!J140+'7.25 diáksport 081043'!J140+'7.26 közműv 082091'!J140+'7.27 közműv 082092'!J140+'7.28  óvoda 091140'!J140+'7.29 intézmkiv gyétk 104037'!J140+'7.30 szoc étk 107051'!J140+'7.31 segélyek 107060'!J140+'7.32 adóbev 900020'!J140+'7.33 pályázatok összesen'!J140+'7.6 út építés 045127'!J140</f>
        <v>0</v>
      </c>
      <c r="K140" s="249">
        <f t="shared" ca="1" si="19"/>
        <v>42313228</v>
      </c>
      <c r="L140" s="248">
        <f ca="1">'7.1. igazg 011130'!L140+'7.2 temető 013320'!L140+'7.3. vagyon 013350'!L140+'7.4 018010'!L140+'7.5 finansz műveletek 018030'!L140+'7.7 közütak működtetés 045160'!L140+'7.8 parkoló 045170'!L140+'7.9 kábeltv 046020'!L140+'7.10 piac 047120'!L140+'7.11 tdm tám047320'!L140+'7.12 szemét 051030'!L140+'7.13 szennyvíz 052080'!L140+'7.14 víz 063080'!L140+'7.15 közvil 064010'!L140+'7.16 zöldterület 066010'!L140+'7.17 város 066020'!L140+'7.18 háziorvos 072111'!L140+'7.19 ügyelet 072112'!L140+'7.20 fülészet 072210'!L140+'7.21 védőnők 074031'!L140+'7.22 isk eü 074032'!L140+'7.23 sportcsépület 081030'!L140+'7.24 sport tám 081041'!L140+'7.25 diáksport 081043'!L140+'7.26 közműv 082091'!L140+'7.27 közműv 082092'!L140+'7.28  óvoda 091140'!L140+'7.29 intézmkiv gyétk 104037'!L140+'7.30 szoc étk 107051'!L140+'7.31 segélyek 107060'!L140+'7.32 adóbev 900020'!L140+'7.33 pályázatok összesen'!L140+'7.6 út építés 045127'!L140</f>
        <v>35507480</v>
      </c>
      <c r="M140" s="248">
        <f>'7.1. igazg 011130'!M140+'7.2 temető 013320'!M140+'7.3. vagyon 013350'!M140+'7.4 018010'!M140+'7.5 finansz műveletek 018030'!M140+'7.7 közütak működtetés 045160'!M140+'7.8 parkoló 045170'!M140+'7.9 kábeltv 046020'!M140+'7.10 piac 047120'!M140+'7.11 tdm tám047320'!M140+'7.12 szemét 051030'!M140+'7.13 szennyvíz 052080'!M140+'7.14 víz 063080'!M140+'7.15 közvil 064010'!M140+'7.16 zöldterület 066010'!M140+'7.17 város 066020'!M140+'7.18 háziorvos 072111'!M140+'7.19 ügyelet 072112'!M140+'7.20 fülészet 072210'!M140+'7.21 védőnők 074031'!M140+'7.22 isk eü 074032'!M140+'7.23 sportcsépület 081030'!M140+'7.24 sport tám 081041'!M140+'7.25 diáksport 081043'!M140+'7.26 közműv 082091'!M140+'7.27 közműv 082092'!M140+'7.28  óvoda 091140'!M140+'7.29 intézmkiv gyétk 104037'!M140+'7.30 szoc étk 107051'!M140+'7.31 segélyek 107060'!M140+'7.32 adóbev 900020'!M140+'7.33 pályázatok összesen'!M140+'7.6 út építés 045127'!M140</f>
        <v>0</v>
      </c>
      <c r="N140" s="249">
        <f t="shared" ca="1" si="20"/>
        <v>35507480</v>
      </c>
      <c r="S140" s="148"/>
    </row>
    <row r="141" spans="1:19" ht="15.75" thickBot="1" x14ac:dyDescent="0.3">
      <c r="A141" s="66" t="s">
        <v>247</v>
      </c>
      <c r="B141" s="49" t="s">
        <v>40</v>
      </c>
      <c r="C141" s="250">
        <f>'7.1. igazg 011130'!C141+'7.2 temető 013320'!C141+'7.3. vagyon 013350'!C141+'7.4 018010'!C141+'7.5 finansz műveletek 018030'!C141+'7.7 közütak működtetés 045160'!C141+'7.8 parkoló 045170'!C141+'7.9 kábeltv 046020'!C141+'7.10 piac 047120'!C141+'7.11 tdm tám047320'!C141+'7.12 szemét 051030'!C141+'7.13 szennyvíz 052080'!C141+'7.14 víz 063080'!C141+'7.15 közvil 064010'!C141+'7.16 zöldterület 066010'!C141+'7.17 város 066020'!C141+'7.18 háziorvos 072111'!C141+'7.19 ügyelet 072112'!C141+'7.20 fülészet 072210'!C141+'7.21 védőnők 074031'!C141+'7.22 isk eü 074032'!C141+'7.23 sportcsépület 081030'!C141+'7.24 sport tám 081041'!C141+'7.25 diáksport 081043'!C141+'7.26 közműv 082091'!C141+'7.27 közműv 082092'!C141+'7.28  óvoda 091140'!C141+'7.29 intézmkiv gyétk 104037'!C141+'7.30 szoc étk 107051'!C141+'7.31 segélyek 107060'!C141+'7.32 adóbev 900020'!C141+'7.33 pályázatok összesen'!C141+'7.6 út építés 045127'!C141</f>
        <v>15000000</v>
      </c>
      <c r="D141" s="250">
        <f>'7.1. igazg 011130'!D141+'7.2 temető 013320'!D141+'7.3. vagyon 013350'!D141+'7.4 018010'!D141+'7.5 finansz műveletek 018030'!D141+'7.7 közütak működtetés 045160'!D141+'7.8 parkoló 045170'!D141+'7.9 kábeltv 046020'!D141+'7.10 piac 047120'!D141+'7.11 tdm tám047320'!D141+'7.12 szemét 051030'!D141+'7.13 szennyvíz 052080'!D141+'7.14 víz 063080'!D141+'7.15 közvil 064010'!D141+'7.16 zöldterület 066010'!D141+'7.17 város 066020'!D141+'7.18 háziorvos 072111'!D141+'7.19 ügyelet 072112'!D141+'7.20 fülészet 072210'!D141+'7.21 védőnők 074031'!D141+'7.22 isk eü 074032'!D141+'7.23 sportcsépület 081030'!D141+'7.24 sport tám 081041'!D141+'7.25 diáksport 081043'!D141+'7.26 közműv 082091'!D141+'7.27 közműv 082092'!D141+'7.28  óvoda 091140'!D141+'7.29 intézmkiv gyétk 104037'!D141+'7.30 szoc étk 107051'!D141+'7.31 segélyek 107060'!D141+'7.32 adóbev 900020'!D141+'7.33 pályázatok összesen'!D141+'7.6 út építés 045127'!D141</f>
        <v>2912000</v>
      </c>
      <c r="E141" s="255">
        <f t="shared" si="11"/>
        <v>17912000</v>
      </c>
      <c r="F141" s="250">
        <f>'7.1. igazg 011130'!F141+'7.2 temető 013320'!F141+'7.3. vagyon 013350'!F141+'7.4 018010'!F141+'7.5 finansz műveletek 018030'!F141+'7.7 közütak működtetés 045160'!F141+'7.8 parkoló 045170'!F141+'7.9 kábeltv 046020'!F141+'7.10 piac 047120'!F141+'7.11 tdm tám047320'!F141+'7.12 szemét 051030'!F141+'7.13 szennyvíz 052080'!F141+'7.14 víz 063080'!F141+'7.15 közvil 064010'!F141+'7.16 zöldterület 066010'!F141+'7.17 város 066020'!F141+'7.18 háziorvos 072111'!F141+'7.19 ügyelet 072112'!F141+'7.20 fülészet 072210'!F141+'7.21 védőnők 074031'!F141+'7.22 isk eü 074032'!F141+'7.23 sportcsépület 081030'!F141+'7.24 sport tám 081041'!F141+'7.25 diáksport 081043'!F141+'7.26 közműv 082091'!F141+'7.27 közműv 082092'!F141+'7.28  óvoda 091140'!F141+'7.29 intézmkiv gyétk 104037'!F141+'7.30 szoc étk 107051'!F141+'7.31 segélyek 107060'!F141+'7.32 adóbev 900020'!F141+'7.33 pályázatok összesen'!F141+'7.6 út építés 045127'!F141</f>
        <v>20122863</v>
      </c>
      <c r="G141" s="250">
        <f>'7.1. igazg 011130'!G141+'7.2 temető 013320'!G141+'7.3. vagyon 013350'!G141+'7.4 018010'!G141+'7.5 finansz műveletek 018030'!G141+'7.7 közütak működtetés 045160'!G141+'7.8 parkoló 045170'!G141+'7.9 kábeltv 046020'!G141+'7.10 piac 047120'!G141+'7.11 tdm tám047320'!G141+'7.12 szemét 051030'!G141+'7.13 szennyvíz 052080'!G141+'7.14 víz 063080'!G141+'7.15 közvil 064010'!G141+'7.16 zöldterület 066010'!G141+'7.17 város 066020'!G141+'7.18 háziorvos 072111'!G141+'7.19 ügyelet 072112'!G141+'7.20 fülészet 072210'!G141+'7.21 védőnők 074031'!G141+'7.22 isk eü 074032'!G141+'7.23 sportcsépület 081030'!G141+'7.24 sport tám 081041'!G141+'7.25 diáksport 081043'!G141+'7.26 közműv 082091'!G141+'7.27 közműv 082092'!G141+'7.28  óvoda 091140'!G141+'7.29 intézmkiv gyétk 104037'!G141+'7.30 szoc étk 107051'!G141+'7.31 segélyek 107060'!G141+'7.32 adóbev 900020'!G141+'7.33 pályázatok összesen'!G141+'7.6 út építés 045127'!G141</f>
        <v>2912000</v>
      </c>
      <c r="H141" s="255">
        <f t="shared" si="18"/>
        <v>23034863</v>
      </c>
      <c r="I141" s="250">
        <f ca="1">'7.1. igazg 011130'!I141+'7.2 temető 013320'!I141+'7.3. vagyon 013350'!I141+'7.4 018010'!I141+'7.5 finansz műveletek 018030'!I141+'7.7 közütak működtetés 045160'!I141+'7.8 parkoló 045170'!I141+'7.9 kábeltv 046020'!I141+'7.10 piac 047120'!I141+'7.11 tdm tám047320'!I141+'7.12 szemét 051030'!I141+'7.13 szennyvíz 052080'!I141+'7.14 víz 063080'!I141+'7.15 közvil 064010'!I141+'7.16 zöldterület 066010'!I141+'7.17 város 066020'!I141+'7.18 háziorvos 072111'!I141+'7.19 ügyelet 072112'!I141+'7.20 fülészet 072210'!I141+'7.21 védőnők 074031'!I141+'7.22 isk eü 074032'!I141+'7.23 sportcsépület 081030'!I141+'7.24 sport tám 081041'!I141+'7.25 diáksport 081043'!I141+'7.26 közműv 082091'!I141+'7.27 közműv 082092'!I141+'7.28  óvoda 091140'!I141+'7.29 intézmkiv gyétk 104037'!I141+'7.30 szoc étk 107051'!I141+'7.31 segélyek 107060'!I141+'7.32 adóbev 900020'!I141+'7.33 pályázatok összesen'!I141+'7.6 út építés 045127'!I141</f>
        <v>25702767</v>
      </c>
      <c r="J141" s="250">
        <f>'7.1. igazg 011130'!J141+'7.2 temető 013320'!J141+'7.3. vagyon 013350'!J141+'7.4 018010'!J141+'7.5 finansz műveletek 018030'!J141+'7.7 közütak működtetés 045160'!J141+'7.8 parkoló 045170'!J141+'7.9 kábeltv 046020'!J141+'7.10 piac 047120'!J141+'7.11 tdm tám047320'!J141+'7.12 szemét 051030'!J141+'7.13 szennyvíz 052080'!J141+'7.14 víz 063080'!J141+'7.15 közvil 064010'!J141+'7.16 zöldterület 066010'!J141+'7.17 város 066020'!J141+'7.18 háziorvos 072111'!J141+'7.19 ügyelet 072112'!J141+'7.20 fülészet 072210'!J141+'7.21 védőnők 074031'!J141+'7.22 isk eü 074032'!J141+'7.23 sportcsépület 081030'!J141+'7.24 sport tám 081041'!J141+'7.25 diáksport 081043'!J141+'7.26 közműv 082091'!J141+'7.27 közműv 082092'!J141+'7.28  óvoda 091140'!J141+'7.29 intézmkiv gyétk 104037'!J141+'7.30 szoc étk 107051'!J141+'7.31 segélyek 107060'!J141+'7.32 adóbev 900020'!J141+'7.33 pályázatok összesen'!J141+'7.6 út építés 045127'!J141</f>
        <v>2912000</v>
      </c>
      <c r="K141" s="255">
        <f t="shared" ca="1" si="19"/>
        <v>28614767</v>
      </c>
      <c r="L141" s="250">
        <f ca="1">'7.1. igazg 011130'!L141+'7.2 temető 013320'!L141+'7.3. vagyon 013350'!L141+'7.4 018010'!L141+'7.5 finansz műveletek 018030'!L141+'7.7 közütak működtetés 045160'!L141+'7.8 parkoló 045170'!L141+'7.9 kábeltv 046020'!L141+'7.10 piac 047120'!L141+'7.11 tdm tám047320'!L141+'7.12 szemét 051030'!L141+'7.13 szennyvíz 052080'!L141+'7.14 víz 063080'!L141+'7.15 közvil 064010'!L141+'7.16 zöldterület 066010'!L141+'7.17 város 066020'!L141+'7.18 háziorvos 072111'!L141+'7.19 ügyelet 072112'!L141+'7.20 fülészet 072210'!L141+'7.21 védőnők 074031'!L141+'7.22 isk eü 074032'!L141+'7.23 sportcsépület 081030'!L141+'7.24 sport tám 081041'!L141+'7.25 diáksport 081043'!L141+'7.26 közműv 082091'!L141+'7.27 közműv 082092'!L141+'7.28  óvoda 091140'!L141+'7.29 intézmkiv gyétk 104037'!L141+'7.30 szoc étk 107051'!L141+'7.31 segélyek 107060'!L141+'7.32 adóbev 900020'!L141+'7.33 pályázatok összesen'!L141+'7.6 út építés 045127'!L141</f>
        <v>25702767</v>
      </c>
      <c r="M141" s="250">
        <f>'7.1. igazg 011130'!M141+'7.2 temető 013320'!M141+'7.3. vagyon 013350'!M141+'7.4 018010'!M141+'7.5 finansz műveletek 018030'!M141+'7.7 közütak működtetés 045160'!M141+'7.8 parkoló 045170'!M141+'7.9 kábeltv 046020'!M141+'7.10 piac 047120'!M141+'7.11 tdm tám047320'!M141+'7.12 szemét 051030'!M141+'7.13 szennyvíz 052080'!M141+'7.14 víz 063080'!M141+'7.15 közvil 064010'!M141+'7.16 zöldterület 066010'!M141+'7.17 város 066020'!M141+'7.18 háziorvos 072111'!M141+'7.19 ügyelet 072112'!M141+'7.20 fülészet 072210'!M141+'7.21 védőnők 074031'!M141+'7.22 isk eü 074032'!M141+'7.23 sportcsépület 081030'!M141+'7.24 sport tám 081041'!M141+'7.25 diáksport 081043'!M141+'7.26 közműv 082091'!M141+'7.27 közműv 082092'!M141+'7.28  óvoda 091140'!M141+'7.29 intézmkiv gyétk 104037'!M141+'7.30 szoc étk 107051'!M141+'7.31 segélyek 107060'!M141+'7.32 adóbev 900020'!M141+'7.33 pályázatok összesen'!M141+'7.6 út építés 045127'!M141</f>
        <v>2912000</v>
      </c>
      <c r="N141" s="255">
        <f t="shared" ca="1" si="20"/>
        <v>28614767</v>
      </c>
      <c r="S141" s="148"/>
    </row>
    <row r="142" spans="1:19" ht="15.75" thickBot="1" x14ac:dyDescent="0.3">
      <c r="A142" s="65" t="s">
        <v>248</v>
      </c>
      <c r="B142" s="47" t="s">
        <v>249</v>
      </c>
      <c r="C142" s="250">
        <f>'7.1. igazg 011130'!C142+'7.2 temető 013320'!C142+'7.3. vagyon 013350'!C142+'7.4 018010'!C142+'7.5 finansz műveletek 018030'!C142+'7.7 közütak működtetés 045160'!C142+'7.8 parkoló 045170'!C142+'7.9 kábeltv 046020'!C142+'7.10 piac 047120'!C142+'7.11 tdm tám047320'!C142+'7.12 szemét 051030'!C142+'7.13 szennyvíz 052080'!C142+'7.14 víz 063080'!C142+'7.15 közvil 064010'!C142+'7.16 zöldterület 066010'!C142+'7.17 város 066020'!C142+'7.18 háziorvos 072111'!C142+'7.19 ügyelet 072112'!C142+'7.20 fülészet 072210'!C142+'7.21 védőnők 074031'!C142+'7.22 isk eü 074032'!C142+'7.23 sportcsépület 081030'!C142+'7.24 sport tám 081041'!C142+'7.25 diáksport 081043'!C142+'7.26 közműv 082091'!C142+'7.27 közműv 082092'!C142+'7.28  óvoda 091140'!C142+'7.29 intézmkiv gyétk 104037'!C142+'7.30 szoc étk 107051'!C142+'7.31 segélyek 107060'!C142+'7.32 adóbev 900020'!C142+'7.33 pályázatok összesen'!C142+'7.6 út építés 045127'!C142</f>
        <v>4493012041</v>
      </c>
      <c r="D142" s="250">
        <f>'7.1. igazg 011130'!D142+'7.2 temető 013320'!D142+'7.3. vagyon 013350'!D142+'7.4 018010'!D142+'7.5 finansz műveletek 018030'!D142+'7.7 közütak működtetés 045160'!D142+'7.8 parkoló 045170'!D142+'7.9 kábeltv 046020'!D142+'7.10 piac 047120'!D142+'7.11 tdm tám047320'!D142+'7.12 szemét 051030'!D142+'7.13 szennyvíz 052080'!D142+'7.14 víz 063080'!D142+'7.15 közvil 064010'!D142+'7.16 zöldterület 066010'!D142+'7.17 város 066020'!D142+'7.18 háziorvos 072111'!D142+'7.19 ügyelet 072112'!D142+'7.20 fülészet 072210'!D142+'7.21 védőnők 074031'!D142+'7.22 isk eü 074032'!D142+'7.23 sportcsépület 081030'!D142+'7.24 sport tám 081041'!D142+'7.25 diáksport 081043'!D142+'7.26 közműv 082091'!D142+'7.27 közműv 082092'!D142+'7.28  óvoda 091140'!D142+'7.29 intézmkiv gyétk 104037'!D142+'7.30 szoc étk 107051'!D142+'7.31 segélyek 107060'!D142+'7.32 adóbev 900020'!D142+'7.33 pályázatok összesen'!D142+'7.6 út építés 045127'!D142</f>
        <v>65974082</v>
      </c>
      <c r="E142" s="251">
        <f t="shared" si="11"/>
        <v>4558986123</v>
      </c>
      <c r="F142" s="250">
        <f>'7.1. igazg 011130'!F142+'7.2 temető 013320'!F142+'7.3. vagyon 013350'!F142+'7.4 018010'!F142+'7.5 finansz műveletek 018030'!F142+'7.7 közütak működtetés 045160'!F142+'7.8 parkoló 045170'!F142+'7.9 kábeltv 046020'!F142+'7.10 piac 047120'!F142+'7.11 tdm tám047320'!F142+'7.12 szemét 051030'!F142+'7.13 szennyvíz 052080'!F142+'7.14 víz 063080'!F142+'7.15 közvil 064010'!F142+'7.16 zöldterület 066010'!F142+'7.17 város 066020'!F142+'7.18 háziorvos 072111'!F142+'7.19 ügyelet 072112'!F142+'7.20 fülészet 072210'!F142+'7.21 védőnők 074031'!F142+'7.22 isk eü 074032'!F142+'7.23 sportcsépület 081030'!F142+'7.24 sport tám 081041'!F142+'7.25 diáksport 081043'!F142+'7.26 közműv 082091'!F142+'7.27 közműv 082092'!F142+'7.28  óvoda 091140'!F142+'7.29 intézmkiv gyétk 104037'!F142+'7.30 szoc étk 107051'!F142+'7.31 segélyek 107060'!F142+'7.32 adóbev 900020'!F142+'7.33 pályázatok összesen'!F142+'7.6 út építés 045127'!F142</f>
        <v>4511493898</v>
      </c>
      <c r="G142" s="250">
        <f>'7.1. igazg 011130'!G142+'7.2 temető 013320'!G142+'7.3. vagyon 013350'!G142+'7.4 018010'!G142+'7.5 finansz műveletek 018030'!G142+'7.7 közütak működtetés 045160'!G142+'7.8 parkoló 045170'!G142+'7.9 kábeltv 046020'!G142+'7.10 piac 047120'!G142+'7.11 tdm tám047320'!G142+'7.12 szemét 051030'!G142+'7.13 szennyvíz 052080'!G142+'7.14 víz 063080'!G142+'7.15 közvil 064010'!G142+'7.16 zöldterület 066010'!G142+'7.17 város 066020'!G142+'7.18 háziorvos 072111'!G142+'7.19 ügyelet 072112'!G142+'7.20 fülészet 072210'!G142+'7.21 védőnők 074031'!G142+'7.22 isk eü 074032'!G142+'7.23 sportcsépület 081030'!G142+'7.24 sport tám 081041'!G142+'7.25 diáksport 081043'!G142+'7.26 közműv 082091'!G142+'7.27 közműv 082092'!G142+'7.28  óvoda 091140'!G142+'7.29 intézmkiv gyétk 104037'!G142+'7.30 szoc étk 107051'!G142+'7.31 segélyek 107060'!G142+'7.32 adóbev 900020'!G142+'7.33 pályázatok összesen'!G142+'7.6 út építés 045127'!G142</f>
        <v>65974082</v>
      </c>
      <c r="H142" s="251">
        <f t="shared" si="18"/>
        <v>4577467980</v>
      </c>
      <c r="I142" s="250">
        <f ca="1">'7.1. igazg 011130'!I142+'7.2 temető 013320'!I142+'7.3. vagyon 013350'!I142+'7.4 018010'!I142+'7.5 finansz műveletek 018030'!I142+'7.7 közütak működtetés 045160'!I142+'7.8 parkoló 045170'!I142+'7.9 kábeltv 046020'!I142+'7.10 piac 047120'!I142+'7.11 tdm tám047320'!I142+'7.12 szemét 051030'!I142+'7.13 szennyvíz 052080'!I142+'7.14 víz 063080'!I142+'7.15 közvil 064010'!I142+'7.16 zöldterület 066010'!I142+'7.17 város 066020'!I142+'7.18 háziorvos 072111'!I142+'7.19 ügyelet 072112'!I142+'7.20 fülészet 072210'!I142+'7.21 védőnők 074031'!I142+'7.22 isk eü 074032'!I142+'7.23 sportcsépület 081030'!I142+'7.24 sport tám 081041'!I142+'7.25 diáksport 081043'!I142+'7.26 közműv 082091'!I142+'7.27 közműv 082092'!I142+'7.28  óvoda 091140'!I142+'7.29 intézmkiv gyétk 104037'!I142+'7.30 szoc étk 107051'!I142+'7.31 segélyek 107060'!I142+'7.32 adóbev 900020'!I142+'7.33 pályázatok összesen'!I142+'7.6 út építés 045127'!I142</f>
        <v>4556330203</v>
      </c>
      <c r="J142" s="250">
        <f>'7.1. igazg 011130'!J142+'7.2 temető 013320'!J142+'7.3. vagyon 013350'!J142+'7.4 018010'!J142+'7.5 finansz műveletek 018030'!J142+'7.7 közütak működtetés 045160'!J142+'7.8 parkoló 045170'!J142+'7.9 kábeltv 046020'!J142+'7.10 piac 047120'!J142+'7.11 tdm tám047320'!J142+'7.12 szemét 051030'!J142+'7.13 szennyvíz 052080'!J142+'7.14 víz 063080'!J142+'7.15 közvil 064010'!J142+'7.16 zöldterület 066010'!J142+'7.17 város 066020'!J142+'7.18 háziorvos 072111'!J142+'7.19 ügyelet 072112'!J142+'7.20 fülészet 072210'!J142+'7.21 védőnők 074031'!J142+'7.22 isk eü 074032'!J142+'7.23 sportcsépület 081030'!J142+'7.24 sport tám 081041'!J142+'7.25 diáksport 081043'!J142+'7.26 közműv 082091'!J142+'7.27 közműv 082092'!J142+'7.28  óvoda 091140'!J142+'7.29 intézmkiv gyétk 104037'!J142+'7.30 szoc étk 107051'!J142+'7.31 segélyek 107060'!J142+'7.32 adóbev 900020'!J142+'7.33 pályázatok összesen'!J142+'7.6 út építés 045127'!J142</f>
        <v>66595750</v>
      </c>
      <c r="K142" s="251">
        <f t="shared" ca="1" si="19"/>
        <v>4622925953</v>
      </c>
      <c r="L142" s="250">
        <f ca="1">'7.1. igazg 011130'!L142+'7.2 temető 013320'!L142+'7.3. vagyon 013350'!L142+'7.4 018010'!L142+'7.5 finansz műveletek 018030'!L142+'7.7 közütak működtetés 045160'!L142+'7.8 parkoló 045170'!L142+'7.9 kábeltv 046020'!L142+'7.10 piac 047120'!L142+'7.11 tdm tám047320'!L142+'7.12 szemét 051030'!L142+'7.13 szennyvíz 052080'!L142+'7.14 víz 063080'!L142+'7.15 közvil 064010'!L142+'7.16 zöldterület 066010'!L142+'7.17 város 066020'!L142+'7.18 háziorvos 072111'!L142+'7.19 ügyelet 072112'!L142+'7.20 fülészet 072210'!L142+'7.21 védőnők 074031'!L142+'7.22 isk eü 074032'!L142+'7.23 sportcsépület 081030'!L142+'7.24 sport tám 081041'!L142+'7.25 diáksport 081043'!L142+'7.26 közműv 082091'!L142+'7.27 közműv 082092'!L142+'7.28  óvoda 091140'!L142+'7.29 intézmkiv gyétk 104037'!L142+'7.30 szoc étk 107051'!L142+'7.31 segélyek 107060'!L142+'7.32 adóbev 900020'!L142+'7.33 pályázatok összesen'!L142+'7.6 út építés 045127'!L142</f>
        <v>3071849206</v>
      </c>
      <c r="M142" s="250">
        <f>'7.1. igazg 011130'!M142+'7.2 temető 013320'!M142+'7.3. vagyon 013350'!M142+'7.4 018010'!M142+'7.5 finansz műveletek 018030'!M142+'7.7 közütak működtetés 045160'!M142+'7.8 parkoló 045170'!M142+'7.9 kábeltv 046020'!M142+'7.10 piac 047120'!M142+'7.11 tdm tám047320'!M142+'7.12 szemét 051030'!M142+'7.13 szennyvíz 052080'!M142+'7.14 víz 063080'!M142+'7.15 közvil 064010'!M142+'7.16 zöldterület 066010'!M142+'7.17 város 066020'!M142+'7.18 háziorvos 072111'!M142+'7.19 ügyelet 072112'!M142+'7.20 fülészet 072210'!M142+'7.21 védőnők 074031'!M142+'7.22 isk eü 074032'!M142+'7.23 sportcsépület 081030'!M142+'7.24 sport tám 081041'!M142+'7.25 diáksport 081043'!M142+'7.26 közműv 082091'!M142+'7.27 közműv 082092'!M142+'7.28  óvoda 091140'!M142+'7.29 intézmkiv gyétk 104037'!M142+'7.30 szoc étk 107051'!M142+'7.31 segélyek 107060'!M142+'7.32 adóbev 900020'!M142+'7.33 pályázatok összesen'!M142+'7.6 út építés 045127'!M142</f>
        <v>66558296</v>
      </c>
      <c r="N142" s="251">
        <f t="shared" ca="1" si="20"/>
        <v>3138407502</v>
      </c>
      <c r="S142" s="148"/>
    </row>
    <row r="143" spans="1:19" x14ac:dyDescent="0.25">
      <c r="A143" s="67" t="s">
        <v>250</v>
      </c>
      <c r="B143" s="68" t="s">
        <v>251</v>
      </c>
      <c r="C143" s="244">
        <f>'7.1. igazg 011130'!C143+'7.2 temető 013320'!C143+'7.3. vagyon 013350'!C143+'7.4 018010'!C143+'7.5 finansz műveletek 018030'!C143+'7.7 közütak működtetés 045160'!C143+'7.8 parkoló 045170'!C143+'7.9 kábeltv 046020'!C143+'7.10 piac 047120'!C143+'7.11 tdm tám047320'!C143+'7.12 szemét 051030'!C143+'7.13 szennyvíz 052080'!C143+'7.14 víz 063080'!C143+'7.15 közvil 064010'!C143+'7.16 zöldterület 066010'!C143+'7.17 város 066020'!C143+'7.18 háziorvos 072111'!C143+'7.19 ügyelet 072112'!C143+'7.20 fülészet 072210'!C143+'7.21 védőnők 074031'!C143+'7.22 isk eü 074032'!C143+'7.23 sportcsépület 081030'!C143+'7.24 sport tám 081041'!C143+'7.25 diáksport 081043'!C143+'7.26 közműv 082091'!C143+'7.27 közműv 082092'!C143+'7.28  óvoda 091140'!C143+'7.29 intézmkiv gyétk 104037'!C143+'7.30 szoc étk 107051'!C143+'7.31 segélyek 107060'!C143+'7.32 adóbev 900020'!C143+'7.33 pályázatok összesen'!C143+'7.6 út építés 045127'!C143</f>
        <v>295128074</v>
      </c>
      <c r="D143" s="244">
        <f>'7.1. igazg 011130'!D143+'7.2 temető 013320'!D143+'7.3. vagyon 013350'!D143+'7.4 018010'!D143+'7.5 finansz műveletek 018030'!D143+'7.7 közütak működtetés 045160'!D143+'7.8 parkoló 045170'!D143+'7.9 kábeltv 046020'!D143+'7.10 piac 047120'!D143+'7.11 tdm tám047320'!D143+'7.12 szemét 051030'!D143+'7.13 szennyvíz 052080'!D143+'7.14 víz 063080'!D143+'7.15 közvil 064010'!D143+'7.16 zöldterület 066010'!D143+'7.17 város 066020'!D143+'7.18 háziorvos 072111'!D143+'7.19 ügyelet 072112'!D143+'7.20 fülészet 072210'!D143+'7.21 védőnők 074031'!D143+'7.22 isk eü 074032'!D143+'7.23 sportcsépület 081030'!D143+'7.24 sport tám 081041'!D143+'7.25 diáksport 081043'!D143+'7.26 közműv 082091'!D143+'7.27 közműv 082092'!D143+'7.28  óvoda 091140'!D143+'7.29 intézmkiv gyétk 104037'!D143+'7.30 szoc étk 107051'!D143+'7.31 segélyek 107060'!D143+'7.32 adóbev 900020'!D143+'7.33 pályázatok összesen'!D143+'7.6 út építés 045127'!D143</f>
        <v>0</v>
      </c>
      <c r="E143" s="245">
        <f t="shared" si="11"/>
        <v>295128074</v>
      </c>
      <c r="F143" s="244">
        <f>'7.1. igazg 011130'!F143+'7.2 temető 013320'!F143+'7.3. vagyon 013350'!F143+'7.4 018010'!F143+'7.5 finansz műveletek 018030'!F143+'7.7 közütak működtetés 045160'!F143+'7.8 parkoló 045170'!F143+'7.9 kábeltv 046020'!F143+'7.10 piac 047120'!F143+'7.11 tdm tám047320'!F143+'7.12 szemét 051030'!F143+'7.13 szennyvíz 052080'!F143+'7.14 víz 063080'!F143+'7.15 közvil 064010'!F143+'7.16 zöldterület 066010'!F143+'7.17 város 066020'!F143+'7.18 háziorvos 072111'!F143+'7.19 ügyelet 072112'!F143+'7.20 fülészet 072210'!F143+'7.21 védőnők 074031'!F143+'7.22 isk eü 074032'!F143+'7.23 sportcsépület 081030'!F143+'7.24 sport tám 081041'!F143+'7.25 diáksport 081043'!F143+'7.26 közműv 082091'!F143+'7.27 közműv 082092'!F143+'7.28  óvoda 091140'!F143+'7.29 intézmkiv gyétk 104037'!F143+'7.30 szoc étk 107051'!F143+'7.31 segélyek 107060'!F143+'7.32 adóbev 900020'!F143+'7.33 pályázatok összesen'!F143+'7.6 út építés 045127'!F143</f>
        <v>304575244</v>
      </c>
      <c r="G143" s="244">
        <f>'7.1. igazg 011130'!G143+'7.2 temető 013320'!G143+'7.3. vagyon 013350'!G143+'7.4 018010'!G143+'7.5 finansz műveletek 018030'!G143+'7.7 közütak működtetés 045160'!G143+'7.8 parkoló 045170'!G143+'7.9 kábeltv 046020'!G143+'7.10 piac 047120'!G143+'7.11 tdm tám047320'!G143+'7.12 szemét 051030'!G143+'7.13 szennyvíz 052080'!G143+'7.14 víz 063080'!G143+'7.15 közvil 064010'!G143+'7.16 zöldterület 066010'!G143+'7.17 város 066020'!G143+'7.18 háziorvos 072111'!G143+'7.19 ügyelet 072112'!G143+'7.20 fülészet 072210'!G143+'7.21 védőnők 074031'!G143+'7.22 isk eü 074032'!G143+'7.23 sportcsépület 081030'!G143+'7.24 sport tám 081041'!G143+'7.25 diáksport 081043'!G143+'7.26 közműv 082091'!G143+'7.27 közműv 082092'!G143+'7.28  óvoda 091140'!G143+'7.29 intézmkiv gyétk 104037'!G143+'7.30 szoc étk 107051'!G143+'7.31 segélyek 107060'!G143+'7.32 adóbev 900020'!G143+'7.33 pályázatok összesen'!G143+'7.6 út építés 045127'!G143</f>
        <v>0</v>
      </c>
      <c r="H143" s="245">
        <f t="shared" si="18"/>
        <v>304575244</v>
      </c>
      <c r="I143" s="244">
        <f ca="1">'7.1. igazg 011130'!I143+'7.2 temető 013320'!I143+'7.3. vagyon 013350'!I143+'7.4 018010'!I143+'7.5 finansz műveletek 018030'!I143+'7.7 közütak működtetés 045160'!I143+'7.8 parkoló 045170'!I143+'7.9 kábeltv 046020'!I143+'7.10 piac 047120'!I143+'7.11 tdm tám047320'!I143+'7.12 szemét 051030'!I143+'7.13 szennyvíz 052080'!I143+'7.14 víz 063080'!I143+'7.15 közvil 064010'!I143+'7.16 zöldterület 066010'!I143+'7.17 város 066020'!I143+'7.18 háziorvos 072111'!I143+'7.19 ügyelet 072112'!I143+'7.20 fülészet 072210'!I143+'7.21 védőnők 074031'!I143+'7.22 isk eü 074032'!I143+'7.23 sportcsépület 081030'!I143+'7.24 sport tám 081041'!I143+'7.25 diáksport 081043'!I143+'7.26 közműv 082091'!I143+'7.27 közműv 082092'!I143+'7.28  óvoda 091140'!I143+'7.29 intézmkiv gyétk 104037'!I143+'7.30 szoc étk 107051'!I143+'7.31 segélyek 107060'!I143+'7.32 adóbev 900020'!I143+'7.33 pályázatok összesen'!I143+'7.6 út építés 045127'!I143</f>
        <v>306357035</v>
      </c>
      <c r="J143" s="244">
        <f>'7.1. igazg 011130'!J143+'7.2 temető 013320'!J143+'7.3. vagyon 013350'!J143+'7.4 018010'!J143+'7.5 finansz műveletek 018030'!J143+'7.7 közütak működtetés 045160'!J143+'7.8 parkoló 045170'!J143+'7.9 kábeltv 046020'!J143+'7.10 piac 047120'!J143+'7.11 tdm tám047320'!J143+'7.12 szemét 051030'!J143+'7.13 szennyvíz 052080'!J143+'7.14 víz 063080'!J143+'7.15 közvil 064010'!J143+'7.16 zöldterület 066010'!J143+'7.17 város 066020'!J143+'7.18 háziorvos 072111'!J143+'7.19 ügyelet 072112'!J143+'7.20 fülészet 072210'!J143+'7.21 védőnők 074031'!J143+'7.22 isk eü 074032'!J143+'7.23 sportcsépület 081030'!J143+'7.24 sport tám 081041'!J143+'7.25 diáksport 081043'!J143+'7.26 közműv 082091'!J143+'7.27 közműv 082092'!J143+'7.28  óvoda 091140'!J143+'7.29 intézmkiv gyétk 104037'!J143+'7.30 szoc étk 107051'!J143+'7.31 segélyek 107060'!J143+'7.32 adóbev 900020'!J143+'7.33 pályázatok összesen'!J143+'7.6 út építés 045127'!J143</f>
        <v>0</v>
      </c>
      <c r="K143" s="245">
        <f t="shared" ca="1" si="19"/>
        <v>306357035</v>
      </c>
      <c r="L143" s="244">
        <f ca="1">'7.1. igazg 011130'!L143+'7.2 temető 013320'!L143+'7.3. vagyon 013350'!L143+'7.4 018010'!L143+'7.5 finansz műveletek 018030'!L143+'7.7 közütak működtetés 045160'!L143+'7.8 parkoló 045170'!L143+'7.9 kábeltv 046020'!L143+'7.10 piac 047120'!L143+'7.11 tdm tám047320'!L143+'7.12 szemét 051030'!L143+'7.13 szennyvíz 052080'!L143+'7.14 víz 063080'!L143+'7.15 közvil 064010'!L143+'7.16 zöldterület 066010'!L143+'7.17 város 066020'!L143+'7.18 háziorvos 072111'!L143+'7.19 ügyelet 072112'!L143+'7.20 fülészet 072210'!L143+'7.21 védőnők 074031'!L143+'7.22 isk eü 074032'!L143+'7.23 sportcsépület 081030'!L143+'7.24 sport tám 081041'!L143+'7.25 diáksport 081043'!L143+'7.26 közműv 082091'!L143+'7.27 közműv 082092'!L143+'7.28  óvoda 091140'!L143+'7.29 intézmkiv gyétk 104037'!L143+'7.30 szoc étk 107051'!L143+'7.31 segélyek 107060'!L143+'7.32 adóbev 900020'!L143+'7.33 pályázatok összesen'!L143+'7.6 út építés 045127'!L143</f>
        <v>284997472</v>
      </c>
      <c r="M143" s="244">
        <f>'7.1. igazg 011130'!M143+'7.2 temető 013320'!M143+'7.3. vagyon 013350'!M143+'7.4 018010'!M143+'7.5 finansz műveletek 018030'!M143+'7.7 közütak működtetés 045160'!M143+'7.8 parkoló 045170'!M143+'7.9 kábeltv 046020'!M143+'7.10 piac 047120'!M143+'7.11 tdm tám047320'!M143+'7.12 szemét 051030'!M143+'7.13 szennyvíz 052080'!M143+'7.14 víz 063080'!M143+'7.15 közvil 064010'!M143+'7.16 zöldterület 066010'!M143+'7.17 város 066020'!M143+'7.18 háziorvos 072111'!M143+'7.19 ügyelet 072112'!M143+'7.20 fülészet 072210'!M143+'7.21 védőnők 074031'!M143+'7.22 isk eü 074032'!M143+'7.23 sportcsépület 081030'!M143+'7.24 sport tám 081041'!M143+'7.25 diáksport 081043'!M143+'7.26 közműv 082091'!M143+'7.27 közműv 082092'!M143+'7.28  óvoda 091140'!M143+'7.29 intézmkiv gyétk 104037'!M143+'7.30 szoc étk 107051'!M143+'7.31 segélyek 107060'!M143+'7.32 adóbev 900020'!M143+'7.33 pályázatok összesen'!M143+'7.6 út építés 045127'!M143</f>
        <v>0</v>
      </c>
      <c r="N143" s="245">
        <f t="shared" ca="1" si="20"/>
        <v>284997472</v>
      </c>
      <c r="S143" s="148"/>
    </row>
    <row r="144" spans="1:19" x14ac:dyDescent="0.25">
      <c r="A144" s="61" t="s">
        <v>252</v>
      </c>
      <c r="B144" s="62" t="s">
        <v>253</v>
      </c>
      <c r="C144" s="246">
        <f>'7.1. igazg 011130'!C144+'7.2 temető 013320'!C144+'7.3. vagyon 013350'!C144+'7.4 018010'!C144+'7.5 finansz műveletek 018030'!C144+'7.7 közütak működtetés 045160'!C144+'7.8 parkoló 045170'!C144+'7.9 kábeltv 046020'!C144+'7.10 piac 047120'!C144+'7.11 tdm tám047320'!C144+'7.12 szemét 051030'!C144+'7.13 szennyvíz 052080'!C144+'7.14 víz 063080'!C144+'7.15 közvil 064010'!C144+'7.16 zöldterület 066010'!C144+'7.17 város 066020'!C144+'7.18 háziorvos 072111'!C144+'7.19 ügyelet 072112'!C144+'7.20 fülészet 072210'!C144+'7.21 védőnők 074031'!C144+'7.22 isk eü 074032'!C144+'7.23 sportcsépület 081030'!C144+'7.24 sport tám 081041'!C144+'7.25 diáksport 081043'!C144+'7.26 közműv 082091'!C144+'7.27 közműv 082092'!C144+'7.28  óvoda 091140'!C144+'7.29 intézmkiv gyétk 104037'!C144+'7.30 szoc étk 107051'!C144+'7.31 segélyek 107060'!C144+'7.32 adóbev 900020'!C144+'7.33 pályázatok összesen'!C144+'7.6 út építés 045127'!C144</f>
        <v>0</v>
      </c>
      <c r="D144" s="246">
        <f>'7.1. igazg 011130'!D144+'7.2 temető 013320'!D144+'7.3. vagyon 013350'!D144+'7.4 018010'!D144+'7.5 finansz műveletek 018030'!D144+'7.7 közütak működtetés 045160'!D144+'7.8 parkoló 045170'!D144+'7.9 kábeltv 046020'!D144+'7.10 piac 047120'!D144+'7.11 tdm tám047320'!D144+'7.12 szemét 051030'!D144+'7.13 szennyvíz 052080'!D144+'7.14 víz 063080'!D144+'7.15 közvil 064010'!D144+'7.16 zöldterület 066010'!D144+'7.17 város 066020'!D144+'7.18 háziorvos 072111'!D144+'7.19 ügyelet 072112'!D144+'7.20 fülészet 072210'!D144+'7.21 védőnők 074031'!D144+'7.22 isk eü 074032'!D144+'7.23 sportcsépület 081030'!D144+'7.24 sport tám 081041'!D144+'7.25 diáksport 081043'!D144+'7.26 közműv 082091'!D144+'7.27 közműv 082092'!D144+'7.28  óvoda 091140'!D144+'7.29 intézmkiv gyétk 104037'!D144+'7.30 szoc étk 107051'!D144+'7.31 segélyek 107060'!D144+'7.32 adóbev 900020'!D144+'7.33 pályázatok összesen'!D144+'7.6 út építés 045127'!D144</f>
        <v>0</v>
      </c>
      <c r="E144" s="247">
        <f t="shared" si="11"/>
        <v>0</v>
      </c>
      <c r="F144" s="246">
        <f>'7.1. igazg 011130'!F144+'7.2 temető 013320'!F144+'7.3. vagyon 013350'!F144+'7.4 018010'!F144+'7.5 finansz műveletek 018030'!F144+'7.7 közütak működtetés 045160'!F144+'7.8 parkoló 045170'!F144+'7.9 kábeltv 046020'!F144+'7.10 piac 047120'!F144+'7.11 tdm tám047320'!F144+'7.12 szemét 051030'!F144+'7.13 szennyvíz 052080'!F144+'7.14 víz 063080'!F144+'7.15 közvil 064010'!F144+'7.16 zöldterület 066010'!F144+'7.17 város 066020'!F144+'7.18 háziorvos 072111'!F144+'7.19 ügyelet 072112'!F144+'7.20 fülészet 072210'!F144+'7.21 védőnők 074031'!F144+'7.22 isk eü 074032'!F144+'7.23 sportcsépület 081030'!F144+'7.24 sport tám 081041'!F144+'7.25 diáksport 081043'!F144+'7.26 közműv 082091'!F144+'7.27 közműv 082092'!F144+'7.28  óvoda 091140'!F144+'7.29 intézmkiv gyétk 104037'!F144+'7.30 szoc étk 107051'!F144+'7.31 segélyek 107060'!F144+'7.32 adóbev 900020'!F144+'7.33 pályázatok összesen'!F144+'7.6 út építés 045127'!F144</f>
        <v>0</v>
      </c>
      <c r="G144" s="246">
        <f>'7.1. igazg 011130'!G144+'7.2 temető 013320'!G144+'7.3. vagyon 013350'!G144+'7.4 018010'!G144+'7.5 finansz műveletek 018030'!G144+'7.7 közütak működtetés 045160'!G144+'7.8 parkoló 045170'!G144+'7.9 kábeltv 046020'!G144+'7.10 piac 047120'!G144+'7.11 tdm tám047320'!G144+'7.12 szemét 051030'!G144+'7.13 szennyvíz 052080'!G144+'7.14 víz 063080'!G144+'7.15 közvil 064010'!G144+'7.16 zöldterület 066010'!G144+'7.17 város 066020'!G144+'7.18 háziorvos 072111'!G144+'7.19 ügyelet 072112'!G144+'7.20 fülészet 072210'!G144+'7.21 védőnők 074031'!G144+'7.22 isk eü 074032'!G144+'7.23 sportcsépület 081030'!G144+'7.24 sport tám 081041'!G144+'7.25 diáksport 081043'!G144+'7.26 közműv 082091'!G144+'7.27 közműv 082092'!G144+'7.28  óvoda 091140'!G144+'7.29 intézmkiv gyétk 104037'!G144+'7.30 szoc étk 107051'!G144+'7.31 segélyek 107060'!G144+'7.32 adóbev 900020'!G144+'7.33 pályázatok összesen'!G144+'7.6 út építés 045127'!G144</f>
        <v>0</v>
      </c>
      <c r="H144" s="247">
        <f t="shared" si="18"/>
        <v>0</v>
      </c>
      <c r="I144" s="246">
        <f ca="1">'7.1. igazg 011130'!I144+'7.2 temető 013320'!I144+'7.3. vagyon 013350'!I144+'7.4 018010'!I144+'7.5 finansz műveletek 018030'!I144+'7.7 közütak működtetés 045160'!I144+'7.8 parkoló 045170'!I144+'7.9 kábeltv 046020'!I144+'7.10 piac 047120'!I144+'7.11 tdm tám047320'!I144+'7.12 szemét 051030'!I144+'7.13 szennyvíz 052080'!I144+'7.14 víz 063080'!I144+'7.15 közvil 064010'!I144+'7.16 zöldterület 066010'!I144+'7.17 város 066020'!I144+'7.18 háziorvos 072111'!I144+'7.19 ügyelet 072112'!I144+'7.20 fülészet 072210'!I144+'7.21 védőnők 074031'!I144+'7.22 isk eü 074032'!I144+'7.23 sportcsépület 081030'!I144+'7.24 sport tám 081041'!I144+'7.25 diáksport 081043'!I144+'7.26 közműv 082091'!I144+'7.27 közműv 082092'!I144+'7.28  óvoda 091140'!I144+'7.29 intézmkiv gyétk 104037'!I144+'7.30 szoc étk 107051'!I144+'7.31 segélyek 107060'!I144+'7.32 adóbev 900020'!I144+'7.33 pályázatok összesen'!I144+'7.6 út építés 045127'!I144</f>
        <v>0</v>
      </c>
      <c r="J144" s="246">
        <f>'7.1. igazg 011130'!J144+'7.2 temető 013320'!J144+'7.3. vagyon 013350'!J144+'7.4 018010'!J144+'7.5 finansz műveletek 018030'!J144+'7.7 közütak működtetés 045160'!J144+'7.8 parkoló 045170'!J144+'7.9 kábeltv 046020'!J144+'7.10 piac 047120'!J144+'7.11 tdm tám047320'!J144+'7.12 szemét 051030'!J144+'7.13 szennyvíz 052080'!J144+'7.14 víz 063080'!J144+'7.15 közvil 064010'!J144+'7.16 zöldterület 066010'!J144+'7.17 város 066020'!J144+'7.18 háziorvos 072111'!J144+'7.19 ügyelet 072112'!J144+'7.20 fülészet 072210'!J144+'7.21 védőnők 074031'!J144+'7.22 isk eü 074032'!J144+'7.23 sportcsépület 081030'!J144+'7.24 sport tám 081041'!J144+'7.25 diáksport 081043'!J144+'7.26 közműv 082091'!J144+'7.27 közműv 082092'!J144+'7.28  óvoda 091140'!J144+'7.29 intézmkiv gyétk 104037'!J144+'7.30 szoc étk 107051'!J144+'7.31 segélyek 107060'!J144+'7.32 adóbev 900020'!J144+'7.33 pályázatok összesen'!J144+'7.6 út építés 045127'!J144</f>
        <v>0</v>
      </c>
      <c r="K144" s="247">
        <f t="shared" ca="1" si="19"/>
        <v>0</v>
      </c>
      <c r="L144" s="246">
        <f ca="1">'7.1. igazg 011130'!L144+'7.2 temető 013320'!L144+'7.3. vagyon 013350'!L144+'7.4 018010'!L144+'7.5 finansz műveletek 018030'!L144+'7.7 közütak működtetés 045160'!L144+'7.8 parkoló 045170'!L144+'7.9 kábeltv 046020'!L144+'7.10 piac 047120'!L144+'7.11 tdm tám047320'!L144+'7.12 szemét 051030'!L144+'7.13 szennyvíz 052080'!L144+'7.14 víz 063080'!L144+'7.15 közvil 064010'!L144+'7.16 zöldterület 066010'!L144+'7.17 város 066020'!L144+'7.18 háziorvos 072111'!L144+'7.19 ügyelet 072112'!L144+'7.20 fülészet 072210'!L144+'7.21 védőnők 074031'!L144+'7.22 isk eü 074032'!L144+'7.23 sportcsépület 081030'!L144+'7.24 sport tám 081041'!L144+'7.25 diáksport 081043'!L144+'7.26 közműv 082091'!L144+'7.27 közműv 082092'!L144+'7.28  óvoda 091140'!L144+'7.29 intézmkiv gyétk 104037'!L144+'7.30 szoc étk 107051'!L144+'7.31 segélyek 107060'!L144+'7.32 adóbev 900020'!L144+'7.33 pályázatok összesen'!L144+'7.6 út építés 045127'!L144</f>
        <v>0</v>
      </c>
      <c r="M144" s="246">
        <f>'7.1. igazg 011130'!M144+'7.2 temető 013320'!M144+'7.3. vagyon 013350'!M144+'7.4 018010'!M144+'7.5 finansz műveletek 018030'!M144+'7.7 közütak működtetés 045160'!M144+'7.8 parkoló 045170'!M144+'7.9 kábeltv 046020'!M144+'7.10 piac 047120'!M144+'7.11 tdm tám047320'!M144+'7.12 szemét 051030'!M144+'7.13 szennyvíz 052080'!M144+'7.14 víz 063080'!M144+'7.15 közvil 064010'!M144+'7.16 zöldterület 066010'!M144+'7.17 város 066020'!M144+'7.18 háziorvos 072111'!M144+'7.19 ügyelet 072112'!M144+'7.20 fülészet 072210'!M144+'7.21 védőnők 074031'!M144+'7.22 isk eü 074032'!M144+'7.23 sportcsépület 081030'!M144+'7.24 sport tám 081041'!M144+'7.25 diáksport 081043'!M144+'7.26 közműv 082091'!M144+'7.27 közműv 082092'!M144+'7.28  óvoda 091140'!M144+'7.29 intézmkiv gyétk 104037'!M144+'7.30 szoc étk 107051'!M144+'7.31 segélyek 107060'!M144+'7.32 adóbev 900020'!M144+'7.33 pályázatok összesen'!M144+'7.6 út építés 045127'!M144</f>
        <v>0</v>
      </c>
      <c r="N144" s="247">
        <f t="shared" ca="1" si="20"/>
        <v>0</v>
      </c>
      <c r="S144" s="148"/>
    </row>
    <row r="145" spans="1:19" x14ac:dyDescent="0.25">
      <c r="A145" s="61" t="s">
        <v>254</v>
      </c>
      <c r="B145" s="62" t="s">
        <v>255</v>
      </c>
      <c r="C145" s="246">
        <f>'7.1. igazg 011130'!C145+'7.2 temető 013320'!C145+'7.3. vagyon 013350'!C145+'7.4 018010'!C145+'7.5 finansz műveletek 018030'!C145+'7.7 közütak működtetés 045160'!C145+'7.8 parkoló 045170'!C145+'7.9 kábeltv 046020'!C145+'7.10 piac 047120'!C145+'7.11 tdm tám047320'!C145+'7.12 szemét 051030'!C145+'7.13 szennyvíz 052080'!C145+'7.14 víz 063080'!C145+'7.15 közvil 064010'!C145+'7.16 zöldterület 066010'!C145+'7.17 város 066020'!C145+'7.18 háziorvos 072111'!C145+'7.19 ügyelet 072112'!C145+'7.20 fülészet 072210'!C145+'7.21 védőnők 074031'!C145+'7.22 isk eü 074032'!C145+'7.23 sportcsépület 081030'!C145+'7.24 sport tám 081041'!C145+'7.25 diáksport 081043'!C145+'7.26 közműv 082091'!C145+'7.27 közműv 082092'!C145+'7.28  óvoda 091140'!C145+'7.29 intézmkiv gyétk 104037'!C145+'7.30 szoc étk 107051'!C145+'7.31 segélyek 107060'!C145+'7.32 adóbev 900020'!C145+'7.33 pályázatok összesen'!C145+'7.6 út építés 045127'!C145</f>
        <v>0</v>
      </c>
      <c r="D145" s="246">
        <f>'7.1. igazg 011130'!D145+'7.2 temető 013320'!D145+'7.3. vagyon 013350'!D145+'7.4 018010'!D145+'7.5 finansz műveletek 018030'!D145+'7.7 közütak működtetés 045160'!D145+'7.8 parkoló 045170'!D145+'7.9 kábeltv 046020'!D145+'7.10 piac 047120'!D145+'7.11 tdm tám047320'!D145+'7.12 szemét 051030'!D145+'7.13 szennyvíz 052080'!D145+'7.14 víz 063080'!D145+'7.15 közvil 064010'!D145+'7.16 zöldterület 066010'!D145+'7.17 város 066020'!D145+'7.18 háziorvos 072111'!D145+'7.19 ügyelet 072112'!D145+'7.20 fülészet 072210'!D145+'7.21 védőnők 074031'!D145+'7.22 isk eü 074032'!D145+'7.23 sportcsépület 081030'!D145+'7.24 sport tám 081041'!D145+'7.25 diáksport 081043'!D145+'7.26 közműv 082091'!D145+'7.27 közműv 082092'!D145+'7.28  óvoda 091140'!D145+'7.29 intézmkiv gyétk 104037'!D145+'7.30 szoc étk 107051'!D145+'7.31 segélyek 107060'!D145+'7.32 adóbev 900020'!D145+'7.33 pályázatok összesen'!D145+'7.6 út építés 045127'!D145</f>
        <v>0</v>
      </c>
      <c r="E145" s="247">
        <f t="shared" si="11"/>
        <v>0</v>
      </c>
      <c r="F145" s="246">
        <f>'7.1. igazg 011130'!F145+'7.2 temető 013320'!F145+'7.3. vagyon 013350'!F145+'7.4 018010'!F145+'7.5 finansz műveletek 018030'!F145+'7.7 közütak működtetés 045160'!F145+'7.8 parkoló 045170'!F145+'7.9 kábeltv 046020'!F145+'7.10 piac 047120'!F145+'7.11 tdm tám047320'!F145+'7.12 szemét 051030'!F145+'7.13 szennyvíz 052080'!F145+'7.14 víz 063080'!F145+'7.15 közvil 064010'!F145+'7.16 zöldterület 066010'!F145+'7.17 város 066020'!F145+'7.18 háziorvos 072111'!F145+'7.19 ügyelet 072112'!F145+'7.20 fülészet 072210'!F145+'7.21 védőnők 074031'!F145+'7.22 isk eü 074032'!F145+'7.23 sportcsépület 081030'!F145+'7.24 sport tám 081041'!F145+'7.25 diáksport 081043'!F145+'7.26 közműv 082091'!F145+'7.27 közműv 082092'!F145+'7.28  óvoda 091140'!F145+'7.29 intézmkiv gyétk 104037'!F145+'7.30 szoc étk 107051'!F145+'7.31 segélyek 107060'!F145+'7.32 adóbev 900020'!F145+'7.33 pályázatok összesen'!F145+'7.6 út építés 045127'!F145</f>
        <v>0</v>
      </c>
      <c r="G145" s="246">
        <f>'7.1. igazg 011130'!G145+'7.2 temető 013320'!G145+'7.3. vagyon 013350'!G145+'7.4 018010'!G145+'7.5 finansz műveletek 018030'!G145+'7.7 közütak működtetés 045160'!G145+'7.8 parkoló 045170'!G145+'7.9 kábeltv 046020'!G145+'7.10 piac 047120'!G145+'7.11 tdm tám047320'!G145+'7.12 szemét 051030'!G145+'7.13 szennyvíz 052080'!G145+'7.14 víz 063080'!G145+'7.15 közvil 064010'!G145+'7.16 zöldterület 066010'!G145+'7.17 város 066020'!G145+'7.18 háziorvos 072111'!G145+'7.19 ügyelet 072112'!G145+'7.20 fülészet 072210'!G145+'7.21 védőnők 074031'!G145+'7.22 isk eü 074032'!G145+'7.23 sportcsépület 081030'!G145+'7.24 sport tám 081041'!G145+'7.25 diáksport 081043'!G145+'7.26 közműv 082091'!G145+'7.27 közműv 082092'!G145+'7.28  óvoda 091140'!G145+'7.29 intézmkiv gyétk 104037'!G145+'7.30 szoc étk 107051'!G145+'7.31 segélyek 107060'!G145+'7.32 adóbev 900020'!G145+'7.33 pályázatok összesen'!G145+'7.6 út építés 045127'!G145</f>
        <v>0</v>
      </c>
      <c r="H145" s="247">
        <f t="shared" si="18"/>
        <v>0</v>
      </c>
      <c r="I145" s="246">
        <f ca="1">'7.1. igazg 011130'!I145+'7.2 temető 013320'!I145+'7.3. vagyon 013350'!I145+'7.4 018010'!I145+'7.5 finansz műveletek 018030'!I145+'7.7 közütak működtetés 045160'!I145+'7.8 parkoló 045170'!I145+'7.9 kábeltv 046020'!I145+'7.10 piac 047120'!I145+'7.11 tdm tám047320'!I145+'7.12 szemét 051030'!I145+'7.13 szennyvíz 052080'!I145+'7.14 víz 063080'!I145+'7.15 közvil 064010'!I145+'7.16 zöldterület 066010'!I145+'7.17 város 066020'!I145+'7.18 háziorvos 072111'!I145+'7.19 ügyelet 072112'!I145+'7.20 fülészet 072210'!I145+'7.21 védőnők 074031'!I145+'7.22 isk eü 074032'!I145+'7.23 sportcsépület 081030'!I145+'7.24 sport tám 081041'!I145+'7.25 diáksport 081043'!I145+'7.26 közműv 082091'!I145+'7.27 közműv 082092'!I145+'7.28  óvoda 091140'!I145+'7.29 intézmkiv gyétk 104037'!I145+'7.30 szoc étk 107051'!I145+'7.31 segélyek 107060'!I145+'7.32 adóbev 900020'!I145+'7.33 pályázatok összesen'!I145+'7.6 út építés 045127'!I145</f>
        <v>0</v>
      </c>
      <c r="J145" s="246">
        <f>'7.1. igazg 011130'!J145+'7.2 temető 013320'!J145+'7.3. vagyon 013350'!J145+'7.4 018010'!J145+'7.5 finansz műveletek 018030'!J145+'7.7 közütak működtetés 045160'!J145+'7.8 parkoló 045170'!J145+'7.9 kábeltv 046020'!J145+'7.10 piac 047120'!J145+'7.11 tdm tám047320'!J145+'7.12 szemét 051030'!J145+'7.13 szennyvíz 052080'!J145+'7.14 víz 063080'!J145+'7.15 közvil 064010'!J145+'7.16 zöldterület 066010'!J145+'7.17 város 066020'!J145+'7.18 háziorvos 072111'!J145+'7.19 ügyelet 072112'!J145+'7.20 fülészet 072210'!J145+'7.21 védőnők 074031'!J145+'7.22 isk eü 074032'!J145+'7.23 sportcsépület 081030'!J145+'7.24 sport tám 081041'!J145+'7.25 diáksport 081043'!J145+'7.26 közműv 082091'!J145+'7.27 közműv 082092'!J145+'7.28  óvoda 091140'!J145+'7.29 intézmkiv gyétk 104037'!J145+'7.30 szoc étk 107051'!J145+'7.31 segélyek 107060'!J145+'7.32 adóbev 900020'!J145+'7.33 pályázatok összesen'!J145+'7.6 út építés 045127'!J145</f>
        <v>0</v>
      </c>
      <c r="K145" s="247">
        <f t="shared" ca="1" si="19"/>
        <v>0</v>
      </c>
      <c r="L145" s="246">
        <f ca="1">'7.1. igazg 011130'!L145+'7.2 temető 013320'!L145+'7.3. vagyon 013350'!L145+'7.4 018010'!L145+'7.5 finansz műveletek 018030'!L145+'7.7 közütak működtetés 045160'!L145+'7.8 parkoló 045170'!L145+'7.9 kábeltv 046020'!L145+'7.10 piac 047120'!L145+'7.11 tdm tám047320'!L145+'7.12 szemét 051030'!L145+'7.13 szennyvíz 052080'!L145+'7.14 víz 063080'!L145+'7.15 közvil 064010'!L145+'7.16 zöldterület 066010'!L145+'7.17 város 066020'!L145+'7.18 háziorvos 072111'!L145+'7.19 ügyelet 072112'!L145+'7.20 fülészet 072210'!L145+'7.21 védőnők 074031'!L145+'7.22 isk eü 074032'!L145+'7.23 sportcsépület 081030'!L145+'7.24 sport tám 081041'!L145+'7.25 diáksport 081043'!L145+'7.26 közműv 082091'!L145+'7.27 közműv 082092'!L145+'7.28  óvoda 091140'!L145+'7.29 intézmkiv gyétk 104037'!L145+'7.30 szoc étk 107051'!L145+'7.31 segélyek 107060'!L145+'7.32 adóbev 900020'!L145+'7.33 pályázatok összesen'!L145+'7.6 út építés 045127'!L145</f>
        <v>0</v>
      </c>
      <c r="M145" s="246">
        <f>'7.1. igazg 011130'!M145+'7.2 temető 013320'!M145+'7.3. vagyon 013350'!M145+'7.4 018010'!M145+'7.5 finansz műveletek 018030'!M145+'7.7 közütak működtetés 045160'!M145+'7.8 parkoló 045170'!M145+'7.9 kábeltv 046020'!M145+'7.10 piac 047120'!M145+'7.11 tdm tám047320'!M145+'7.12 szemét 051030'!M145+'7.13 szennyvíz 052080'!M145+'7.14 víz 063080'!M145+'7.15 közvil 064010'!M145+'7.16 zöldterület 066010'!M145+'7.17 város 066020'!M145+'7.18 háziorvos 072111'!M145+'7.19 ügyelet 072112'!M145+'7.20 fülészet 072210'!M145+'7.21 védőnők 074031'!M145+'7.22 isk eü 074032'!M145+'7.23 sportcsépület 081030'!M145+'7.24 sport tám 081041'!M145+'7.25 diáksport 081043'!M145+'7.26 közműv 082091'!M145+'7.27 közműv 082092'!M145+'7.28  óvoda 091140'!M145+'7.29 intézmkiv gyétk 104037'!M145+'7.30 szoc étk 107051'!M145+'7.31 segélyek 107060'!M145+'7.32 adóbev 900020'!M145+'7.33 pályázatok összesen'!M145+'7.6 út építés 045127'!M145</f>
        <v>0</v>
      </c>
      <c r="N145" s="247">
        <f t="shared" ca="1" si="20"/>
        <v>0</v>
      </c>
      <c r="S145" s="148"/>
    </row>
    <row r="146" spans="1:19" s="179" customFormat="1" x14ac:dyDescent="0.25">
      <c r="A146" s="190" t="s">
        <v>541</v>
      </c>
      <c r="B146" s="180" t="s">
        <v>542</v>
      </c>
      <c r="C146" s="246">
        <f>'7.1. igazg 011130'!C146+'7.2 temető 013320'!C146+'7.3. vagyon 013350'!C146+'7.4 018010'!C146+'7.5 finansz műveletek 018030'!C146+'7.7 közütak működtetés 045160'!C146+'7.8 parkoló 045170'!C146+'7.9 kábeltv 046020'!C146+'7.10 piac 047120'!C146+'7.11 tdm tám047320'!C146+'7.12 szemét 051030'!C146+'7.13 szennyvíz 052080'!C146+'7.14 víz 063080'!C146+'7.15 közvil 064010'!C146+'7.16 zöldterület 066010'!C146+'7.17 város 066020'!C146+'7.18 háziorvos 072111'!C146+'7.19 ügyelet 072112'!C146+'7.20 fülészet 072210'!C146+'7.21 védőnők 074031'!C146+'7.22 isk eü 074032'!C146+'7.23 sportcsépület 081030'!C146+'7.24 sport tám 081041'!C146+'7.25 diáksport 081043'!C146+'7.26 közműv 082091'!C146+'7.27 közműv 082092'!C146+'7.28  óvoda 091140'!C146+'7.29 intézmkiv gyétk 104037'!C146+'7.30 szoc étk 107051'!C146+'7.31 segélyek 107060'!C146+'7.32 adóbev 900020'!C146+'7.33 pályázatok összesen'!C146+'7.6 út építés 045127'!C146</f>
        <v>16920538</v>
      </c>
      <c r="D146" s="246">
        <f>'7.1. igazg 011130'!D146+'7.2 temető 013320'!D146+'7.3. vagyon 013350'!D146+'7.4 018010'!D146+'7.5 finansz műveletek 018030'!D146+'7.7 közütak működtetés 045160'!D146+'7.8 parkoló 045170'!D146+'7.9 kábeltv 046020'!D146+'7.10 piac 047120'!D146+'7.11 tdm tám047320'!D146+'7.12 szemét 051030'!D146+'7.13 szennyvíz 052080'!D146+'7.14 víz 063080'!D146+'7.15 közvil 064010'!D146+'7.16 zöldterület 066010'!D146+'7.17 város 066020'!D146+'7.18 háziorvos 072111'!D146+'7.19 ügyelet 072112'!D146+'7.20 fülészet 072210'!D146+'7.21 védőnők 074031'!D146+'7.22 isk eü 074032'!D146+'7.23 sportcsépület 081030'!D146+'7.24 sport tám 081041'!D146+'7.25 diáksport 081043'!D146+'7.26 közműv 082091'!D146+'7.27 közműv 082092'!D146+'7.28  óvoda 091140'!D146+'7.29 intézmkiv gyétk 104037'!D146+'7.30 szoc étk 107051'!D146+'7.31 segélyek 107060'!D146+'7.32 adóbev 900020'!D146+'7.33 pályázatok összesen'!D146+'7.6 út építés 045127'!D146</f>
        <v>0</v>
      </c>
      <c r="E146" s="247"/>
      <c r="F146" s="246">
        <f>'7.1. igazg 011130'!F146+'7.2 temető 013320'!F146+'7.3. vagyon 013350'!F146+'7.4 018010'!F146+'7.5 finansz műveletek 018030'!F146+'7.7 közütak működtetés 045160'!F146+'7.8 parkoló 045170'!F146+'7.9 kábeltv 046020'!F146+'7.10 piac 047120'!F146+'7.11 tdm tám047320'!F146+'7.12 szemét 051030'!F146+'7.13 szennyvíz 052080'!F146+'7.14 víz 063080'!F146+'7.15 közvil 064010'!F146+'7.16 zöldterület 066010'!F146+'7.17 város 066020'!F146+'7.18 háziorvos 072111'!F146+'7.19 ügyelet 072112'!F146+'7.20 fülészet 072210'!F146+'7.21 védőnők 074031'!F146+'7.22 isk eü 074032'!F146+'7.23 sportcsépület 081030'!F146+'7.24 sport tám 081041'!F146+'7.25 diáksport 081043'!F146+'7.26 közműv 082091'!F146+'7.27 közműv 082092'!F146+'7.28  óvoda 091140'!F146+'7.29 intézmkiv gyétk 104037'!F146+'7.30 szoc étk 107051'!F146+'7.31 segélyek 107060'!F146+'7.32 adóbev 900020'!F146+'7.33 pályázatok összesen'!F146+'7.6 út építés 045127'!F146</f>
        <v>16920538</v>
      </c>
      <c r="G146" s="246">
        <f>'7.1. igazg 011130'!G146+'7.2 temető 013320'!G146+'7.3. vagyon 013350'!G146+'7.4 018010'!G146+'7.5 finansz műveletek 018030'!G146+'7.7 közütak működtetés 045160'!G146+'7.8 parkoló 045170'!G146+'7.9 kábeltv 046020'!G146+'7.10 piac 047120'!G146+'7.11 tdm tám047320'!G146+'7.12 szemét 051030'!G146+'7.13 szennyvíz 052080'!G146+'7.14 víz 063080'!G146+'7.15 közvil 064010'!G146+'7.16 zöldterület 066010'!G146+'7.17 város 066020'!G146+'7.18 háziorvos 072111'!G146+'7.19 ügyelet 072112'!G146+'7.20 fülészet 072210'!G146+'7.21 védőnők 074031'!G146+'7.22 isk eü 074032'!G146+'7.23 sportcsépület 081030'!G146+'7.24 sport tám 081041'!G146+'7.25 diáksport 081043'!G146+'7.26 közműv 082091'!G146+'7.27 közműv 082092'!G146+'7.28  óvoda 091140'!G146+'7.29 intézmkiv gyétk 104037'!G146+'7.30 szoc étk 107051'!G146+'7.31 segélyek 107060'!G146+'7.32 adóbev 900020'!G146+'7.33 pályázatok összesen'!G146+'7.6 út építés 045127'!G146</f>
        <v>0</v>
      </c>
      <c r="H146" s="247"/>
      <c r="I146" s="246">
        <f ca="1">'7.1. igazg 011130'!I146+'7.2 temető 013320'!I146+'7.3. vagyon 013350'!I146+'7.4 018010'!I146+'7.5 finansz műveletek 018030'!I146+'7.7 közütak működtetés 045160'!I146+'7.8 parkoló 045170'!I146+'7.9 kábeltv 046020'!I146+'7.10 piac 047120'!I146+'7.11 tdm tám047320'!I146+'7.12 szemét 051030'!I146+'7.13 szennyvíz 052080'!I146+'7.14 víz 063080'!I146+'7.15 közvil 064010'!I146+'7.16 zöldterület 066010'!I146+'7.17 város 066020'!I146+'7.18 háziorvos 072111'!I146+'7.19 ügyelet 072112'!I146+'7.20 fülészet 072210'!I146+'7.21 védőnők 074031'!I146+'7.22 isk eü 074032'!I146+'7.23 sportcsépület 081030'!I146+'7.24 sport tám 081041'!I146+'7.25 diáksport 081043'!I146+'7.26 közműv 082091'!I146+'7.27 közműv 082092'!I146+'7.28  óvoda 091140'!I146+'7.29 intézmkiv gyétk 104037'!I146+'7.30 szoc étk 107051'!I146+'7.31 segélyek 107060'!I146+'7.32 adóbev 900020'!I146+'7.33 pályázatok összesen'!I146+'7.6 út építés 045127'!I146</f>
        <v>16920538</v>
      </c>
      <c r="J146" s="246">
        <f>'7.1. igazg 011130'!J146+'7.2 temető 013320'!J146+'7.3. vagyon 013350'!J146+'7.4 018010'!J146+'7.5 finansz műveletek 018030'!J146+'7.7 közütak működtetés 045160'!J146+'7.8 parkoló 045170'!J146+'7.9 kábeltv 046020'!J146+'7.10 piac 047120'!J146+'7.11 tdm tám047320'!J146+'7.12 szemét 051030'!J146+'7.13 szennyvíz 052080'!J146+'7.14 víz 063080'!J146+'7.15 közvil 064010'!J146+'7.16 zöldterület 066010'!J146+'7.17 város 066020'!J146+'7.18 háziorvos 072111'!J146+'7.19 ügyelet 072112'!J146+'7.20 fülészet 072210'!J146+'7.21 védőnők 074031'!J146+'7.22 isk eü 074032'!J146+'7.23 sportcsépület 081030'!J146+'7.24 sport tám 081041'!J146+'7.25 diáksport 081043'!J146+'7.26 közműv 082091'!J146+'7.27 közműv 082092'!J146+'7.28  óvoda 091140'!J146+'7.29 intézmkiv gyétk 104037'!J146+'7.30 szoc étk 107051'!J146+'7.31 segélyek 107060'!J146+'7.32 adóbev 900020'!J146+'7.33 pályázatok összesen'!J146+'7.6 út építés 045127'!J146</f>
        <v>0</v>
      </c>
      <c r="K146" s="247">
        <f t="shared" ca="1" si="19"/>
        <v>16920538</v>
      </c>
      <c r="L146" s="246">
        <f ca="1">'7.1. igazg 011130'!L146+'7.2 temető 013320'!L146+'7.3. vagyon 013350'!L146+'7.4 018010'!L146+'7.5 finansz műveletek 018030'!L146+'7.7 közütak működtetés 045160'!L146+'7.8 parkoló 045170'!L146+'7.9 kábeltv 046020'!L146+'7.10 piac 047120'!L146+'7.11 tdm tám047320'!L146+'7.12 szemét 051030'!L146+'7.13 szennyvíz 052080'!L146+'7.14 víz 063080'!L146+'7.15 közvil 064010'!L146+'7.16 zöldterület 066010'!L146+'7.17 város 066020'!L146+'7.18 háziorvos 072111'!L146+'7.19 ügyelet 072112'!L146+'7.20 fülészet 072210'!L146+'7.21 védőnők 074031'!L146+'7.22 isk eü 074032'!L146+'7.23 sportcsépület 081030'!L146+'7.24 sport tám 081041'!L146+'7.25 diáksport 081043'!L146+'7.26 közműv 082091'!L146+'7.27 közműv 082092'!L146+'7.28  óvoda 091140'!L146+'7.29 intézmkiv gyétk 104037'!L146+'7.30 szoc étk 107051'!L146+'7.31 segélyek 107060'!L146+'7.32 adóbev 900020'!L146+'7.33 pályázatok összesen'!L146+'7.6 út építés 045127'!L146</f>
        <v>16920538</v>
      </c>
      <c r="M146" s="246">
        <f>'7.1. igazg 011130'!M146+'7.2 temető 013320'!M146+'7.3. vagyon 013350'!M146+'7.4 018010'!M146+'7.5 finansz műveletek 018030'!M146+'7.7 közütak működtetés 045160'!M146+'7.8 parkoló 045170'!M146+'7.9 kábeltv 046020'!M146+'7.10 piac 047120'!M146+'7.11 tdm tám047320'!M146+'7.12 szemét 051030'!M146+'7.13 szennyvíz 052080'!M146+'7.14 víz 063080'!M146+'7.15 közvil 064010'!M146+'7.16 zöldterület 066010'!M146+'7.17 város 066020'!M146+'7.18 háziorvos 072111'!M146+'7.19 ügyelet 072112'!M146+'7.20 fülészet 072210'!M146+'7.21 védőnők 074031'!M146+'7.22 isk eü 074032'!M146+'7.23 sportcsépület 081030'!M146+'7.24 sport tám 081041'!M146+'7.25 diáksport 081043'!M146+'7.26 közműv 082091'!M146+'7.27 közműv 082092'!M146+'7.28  óvoda 091140'!M146+'7.29 intézmkiv gyétk 104037'!M146+'7.30 szoc étk 107051'!M146+'7.31 segélyek 107060'!M146+'7.32 adóbev 900020'!M146+'7.33 pályázatok összesen'!M146+'7.6 út építés 045127'!M146</f>
        <v>0</v>
      </c>
      <c r="N146" s="247">
        <f t="shared" ca="1" si="20"/>
        <v>16920538</v>
      </c>
      <c r="O146" s="148"/>
      <c r="P146" s="646"/>
      <c r="Q146" s="646"/>
      <c r="R146" s="148"/>
      <c r="S146" s="148"/>
    </row>
    <row r="147" spans="1:19" x14ac:dyDescent="0.25">
      <c r="A147" s="61" t="s">
        <v>256</v>
      </c>
      <c r="B147" s="62" t="s">
        <v>257</v>
      </c>
      <c r="C147" s="246">
        <f>'7.1. igazg 011130'!C147+'7.2 temető 013320'!C147+'7.3. vagyon 013350'!C147+'7.4 018010'!C147+'7.5 finansz műveletek 018030'!C147+'7.7 közütak működtetés 045160'!C147+'7.8 parkoló 045170'!C147+'7.9 kábeltv 046020'!C147+'7.10 piac 047120'!C147+'7.11 tdm tám047320'!C147+'7.12 szemét 051030'!C147+'7.13 szennyvíz 052080'!C147+'7.14 víz 063080'!C147+'7.15 közvil 064010'!C147+'7.16 zöldterület 066010'!C147+'7.17 város 066020'!C147+'7.18 háziorvos 072111'!C147+'7.19 ügyelet 072112'!C147+'7.20 fülészet 072210'!C147+'7.21 védőnők 074031'!C147+'7.22 isk eü 074032'!C147+'7.23 sportcsépület 081030'!C147+'7.24 sport tám 081041'!C147+'7.25 diáksport 081043'!C147+'7.26 közműv 082091'!C147+'7.27 közműv 082092'!C147+'7.28  óvoda 091140'!C147+'7.29 intézmkiv gyétk 104037'!C147+'7.30 szoc étk 107051'!C147+'7.31 segélyek 107060'!C147+'7.32 adóbev 900020'!C147+'7.33 pályázatok összesen'!C147+'7.6 út építés 045127'!C147</f>
        <v>278207536</v>
      </c>
      <c r="D147" s="246">
        <f>'7.1. igazg 011130'!D147+'7.2 temető 013320'!D147+'7.3. vagyon 013350'!D147+'7.4 018010'!D147+'7.5 finansz műveletek 018030'!D147+'7.7 közütak működtetés 045160'!D147+'7.8 parkoló 045170'!D147+'7.9 kábeltv 046020'!D147+'7.10 piac 047120'!D147+'7.11 tdm tám047320'!D147+'7.12 szemét 051030'!D147+'7.13 szennyvíz 052080'!D147+'7.14 víz 063080'!D147+'7.15 közvil 064010'!D147+'7.16 zöldterület 066010'!D147+'7.17 város 066020'!D147+'7.18 háziorvos 072111'!D147+'7.19 ügyelet 072112'!D147+'7.20 fülészet 072210'!D147+'7.21 védőnők 074031'!D147+'7.22 isk eü 074032'!D147+'7.23 sportcsépület 081030'!D147+'7.24 sport tám 081041'!D147+'7.25 diáksport 081043'!D147+'7.26 közműv 082091'!D147+'7.27 közműv 082092'!D147+'7.28  óvoda 091140'!D147+'7.29 intézmkiv gyétk 104037'!D147+'7.30 szoc étk 107051'!D147+'7.31 segélyek 107060'!D147+'7.32 adóbev 900020'!D147+'7.33 pályázatok összesen'!D147+'7.6 út építés 045127'!D147</f>
        <v>0</v>
      </c>
      <c r="E147" s="247">
        <f t="shared" si="11"/>
        <v>278207536</v>
      </c>
      <c r="F147" s="246">
        <f>'7.1. igazg 011130'!F147+'7.2 temető 013320'!F147+'7.3. vagyon 013350'!F147+'7.4 018010'!F147+'7.5 finansz műveletek 018030'!F147+'7.7 közütak működtetés 045160'!F147+'7.8 parkoló 045170'!F147+'7.9 kábeltv 046020'!F147+'7.10 piac 047120'!F147+'7.11 tdm tám047320'!F147+'7.12 szemét 051030'!F147+'7.13 szennyvíz 052080'!F147+'7.14 víz 063080'!F147+'7.15 közvil 064010'!F147+'7.16 zöldterület 066010'!F147+'7.17 város 066020'!F147+'7.18 háziorvos 072111'!F147+'7.19 ügyelet 072112'!F147+'7.20 fülészet 072210'!F147+'7.21 védőnők 074031'!F147+'7.22 isk eü 074032'!F147+'7.23 sportcsépület 081030'!F147+'7.24 sport tám 081041'!F147+'7.25 diáksport 081043'!F147+'7.26 közműv 082091'!F147+'7.27 közműv 082092'!F147+'7.28  óvoda 091140'!F147+'7.29 intézmkiv gyétk 104037'!F147+'7.30 szoc étk 107051'!F147+'7.31 segélyek 107060'!F147+'7.32 adóbev 900020'!F147+'7.33 pályázatok összesen'!F147+'7.6 út építés 045127'!F147</f>
        <v>287654706</v>
      </c>
      <c r="G147" s="246">
        <f>'7.1. igazg 011130'!G147+'7.2 temető 013320'!G147+'7.3. vagyon 013350'!G147+'7.4 018010'!G147+'7.5 finansz műveletek 018030'!G147+'7.7 közütak működtetés 045160'!G147+'7.8 parkoló 045170'!G147+'7.9 kábeltv 046020'!G147+'7.10 piac 047120'!G147+'7.11 tdm tám047320'!G147+'7.12 szemét 051030'!G147+'7.13 szennyvíz 052080'!G147+'7.14 víz 063080'!G147+'7.15 közvil 064010'!G147+'7.16 zöldterület 066010'!G147+'7.17 város 066020'!G147+'7.18 háziorvos 072111'!G147+'7.19 ügyelet 072112'!G147+'7.20 fülészet 072210'!G147+'7.21 védőnők 074031'!G147+'7.22 isk eü 074032'!G147+'7.23 sportcsépület 081030'!G147+'7.24 sport tám 081041'!G147+'7.25 diáksport 081043'!G147+'7.26 közműv 082091'!G147+'7.27 közműv 082092'!G147+'7.28  óvoda 091140'!G147+'7.29 intézmkiv gyétk 104037'!G147+'7.30 szoc étk 107051'!G147+'7.31 segélyek 107060'!G147+'7.32 adóbev 900020'!G147+'7.33 pályázatok összesen'!G147+'7.6 út építés 045127'!G147</f>
        <v>0</v>
      </c>
      <c r="H147" s="247">
        <f t="shared" ref="H147:H150" si="21">SUM(F147:G147)</f>
        <v>287654706</v>
      </c>
      <c r="I147" s="246">
        <f ca="1">'7.1. igazg 011130'!I147+'7.2 temető 013320'!I147+'7.3. vagyon 013350'!I147+'7.4 018010'!I147+'7.5 finansz műveletek 018030'!I147+'7.7 közütak működtetés 045160'!I147+'7.8 parkoló 045170'!I147+'7.9 kábeltv 046020'!I147+'7.10 piac 047120'!I147+'7.11 tdm tám047320'!I147+'7.12 szemét 051030'!I147+'7.13 szennyvíz 052080'!I147+'7.14 víz 063080'!I147+'7.15 közvil 064010'!I147+'7.16 zöldterület 066010'!I147+'7.17 város 066020'!I147+'7.18 háziorvos 072111'!I147+'7.19 ügyelet 072112'!I147+'7.20 fülészet 072210'!I147+'7.21 védőnők 074031'!I147+'7.22 isk eü 074032'!I147+'7.23 sportcsépület 081030'!I147+'7.24 sport tám 081041'!I147+'7.25 diáksport 081043'!I147+'7.26 közműv 082091'!I147+'7.27 közműv 082092'!I147+'7.28  óvoda 091140'!I147+'7.29 intézmkiv gyétk 104037'!I147+'7.30 szoc étk 107051'!I147+'7.31 segélyek 107060'!I147+'7.32 adóbev 900020'!I147+'7.33 pályázatok összesen'!I147+'7.6 út építés 045127'!I147</f>
        <v>289436497</v>
      </c>
      <c r="J147" s="246">
        <f>'7.1. igazg 011130'!J147+'7.2 temető 013320'!J147+'7.3. vagyon 013350'!J147+'7.4 018010'!J147+'7.5 finansz műveletek 018030'!J147+'7.7 közütak működtetés 045160'!J147+'7.8 parkoló 045170'!J147+'7.9 kábeltv 046020'!J147+'7.10 piac 047120'!J147+'7.11 tdm tám047320'!J147+'7.12 szemét 051030'!J147+'7.13 szennyvíz 052080'!J147+'7.14 víz 063080'!J147+'7.15 közvil 064010'!J147+'7.16 zöldterület 066010'!J147+'7.17 város 066020'!J147+'7.18 háziorvos 072111'!J147+'7.19 ügyelet 072112'!J147+'7.20 fülészet 072210'!J147+'7.21 védőnők 074031'!J147+'7.22 isk eü 074032'!J147+'7.23 sportcsépület 081030'!J147+'7.24 sport tám 081041'!J147+'7.25 diáksport 081043'!J147+'7.26 közműv 082091'!J147+'7.27 közműv 082092'!J147+'7.28  óvoda 091140'!J147+'7.29 intézmkiv gyétk 104037'!J147+'7.30 szoc étk 107051'!J147+'7.31 segélyek 107060'!J147+'7.32 adóbev 900020'!J147+'7.33 pályázatok összesen'!J147+'7.6 út építés 045127'!J147</f>
        <v>0</v>
      </c>
      <c r="K147" s="247">
        <f t="shared" ref="K147:K150" ca="1" si="22">SUM(I147:J147)</f>
        <v>289436497</v>
      </c>
      <c r="L147" s="246">
        <f ca="1">'7.1. igazg 011130'!L147+'7.2 temető 013320'!L147+'7.3. vagyon 013350'!L147+'7.4 018010'!L147+'7.5 finansz műveletek 018030'!L147+'7.7 közütak működtetés 045160'!L147+'7.8 parkoló 045170'!L147+'7.9 kábeltv 046020'!L147+'7.10 piac 047120'!L147+'7.11 tdm tám047320'!L147+'7.12 szemét 051030'!L147+'7.13 szennyvíz 052080'!L147+'7.14 víz 063080'!L147+'7.15 közvil 064010'!L147+'7.16 zöldterület 066010'!L147+'7.17 város 066020'!L147+'7.18 háziorvos 072111'!L147+'7.19 ügyelet 072112'!L147+'7.20 fülészet 072210'!L147+'7.21 védőnők 074031'!L147+'7.22 isk eü 074032'!L147+'7.23 sportcsépület 081030'!L147+'7.24 sport tám 081041'!L147+'7.25 diáksport 081043'!L147+'7.26 közműv 082091'!L147+'7.27 közműv 082092'!L147+'7.28  óvoda 091140'!L147+'7.29 intézmkiv gyétk 104037'!L147+'7.30 szoc étk 107051'!L147+'7.31 segélyek 107060'!L147+'7.32 adóbev 900020'!L147+'7.33 pályázatok összesen'!L147+'7.6 út építés 045127'!L147</f>
        <v>268076934</v>
      </c>
      <c r="M147" s="246">
        <f>'7.1. igazg 011130'!M147+'7.2 temető 013320'!M147+'7.3. vagyon 013350'!M147+'7.4 018010'!M147+'7.5 finansz műveletek 018030'!M147+'7.7 közütak működtetés 045160'!M147+'7.8 parkoló 045170'!M147+'7.9 kábeltv 046020'!M147+'7.10 piac 047120'!M147+'7.11 tdm tám047320'!M147+'7.12 szemét 051030'!M147+'7.13 szennyvíz 052080'!M147+'7.14 víz 063080'!M147+'7.15 közvil 064010'!M147+'7.16 zöldterület 066010'!M147+'7.17 város 066020'!M147+'7.18 háziorvos 072111'!M147+'7.19 ügyelet 072112'!M147+'7.20 fülészet 072210'!M147+'7.21 védőnők 074031'!M147+'7.22 isk eü 074032'!M147+'7.23 sportcsépület 081030'!M147+'7.24 sport tám 081041'!M147+'7.25 diáksport 081043'!M147+'7.26 közműv 082091'!M147+'7.27 közműv 082092'!M147+'7.28  óvoda 091140'!M147+'7.29 intézmkiv gyétk 104037'!M147+'7.30 szoc étk 107051'!M147+'7.31 segélyek 107060'!M147+'7.32 adóbev 900020'!M147+'7.33 pályázatok összesen'!M147+'7.6 út építés 045127'!M147</f>
        <v>0</v>
      </c>
      <c r="N147" s="247">
        <f t="shared" ca="1" si="20"/>
        <v>268076934</v>
      </c>
      <c r="S147" s="148"/>
    </row>
    <row r="148" spans="1:19" x14ac:dyDescent="0.25">
      <c r="A148" s="61" t="s">
        <v>258</v>
      </c>
      <c r="B148" s="62" t="s">
        <v>259</v>
      </c>
      <c r="C148" s="246">
        <f>'7.1. igazg 011130'!C148+'7.2 temető 013320'!C148+'7.3. vagyon 013350'!C148+'7.4 018010'!C148+'7.5 finansz műveletek 018030'!C148+'7.7 közütak működtetés 045160'!C148+'7.8 parkoló 045170'!C148+'7.9 kábeltv 046020'!C148+'7.10 piac 047120'!C148+'7.11 tdm tám047320'!C148+'7.12 szemét 051030'!C148+'7.13 szennyvíz 052080'!C148+'7.14 víz 063080'!C148+'7.15 közvil 064010'!C148+'7.16 zöldterület 066010'!C148+'7.17 város 066020'!C148+'7.18 háziorvos 072111'!C148+'7.19 ügyelet 072112'!C148+'7.20 fülészet 072210'!C148+'7.21 védőnők 074031'!C148+'7.22 isk eü 074032'!C148+'7.23 sportcsépület 081030'!C148+'7.24 sport tám 081041'!C148+'7.25 diáksport 081043'!C148+'7.26 közműv 082091'!C148+'7.27 közműv 082092'!C148+'7.28  óvoda 091140'!C148+'7.29 intézmkiv gyétk 104037'!C148+'7.30 szoc étk 107051'!C148+'7.31 segélyek 107060'!C148+'7.32 adóbev 900020'!C148+'7.33 pályázatok összesen'!C148+'7.6 út építés 045127'!C148</f>
        <v>0</v>
      </c>
      <c r="D148" s="246">
        <f>'7.1. igazg 011130'!D148+'7.2 temető 013320'!D148+'7.3. vagyon 013350'!D148+'7.4 018010'!D148+'7.5 finansz műveletek 018030'!D148+'7.7 közütak működtetés 045160'!D148+'7.8 parkoló 045170'!D148+'7.9 kábeltv 046020'!D148+'7.10 piac 047120'!D148+'7.11 tdm tám047320'!D148+'7.12 szemét 051030'!D148+'7.13 szennyvíz 052080'!D148+'7.14 víz 063080'!D148+'7.15 közvil 064010'!D148+'7.16 zöldterület 066010'!D148+'7.17 város 066020'!D148+'7.18 háziorvos 072111'!D148+'7.19 ügyelet 072112'!D148+'7.20 fülészet 072210'!D148+'7.21 védőnők 074031'!D148+'7.22 isk eü 074032'!D148+'7.23 sportcsépület 081030'!D148+'7.24 sport tám 081041'!D148+'7.25 diáksport 081043'!D148+'7.26 közműv 082091'!D148+'7.27 közműv 082092'!D148+'7.28  óvoda 091140'!D148+'7.29 intézmkiv gyétk 104037'!D148+'7.30 szoc étk 107051'!D148+'7.31 segélyek 107060'!D148+'7.32 adóbev 900020'!D148+'7.33 pályázatok összesen'!D148+'7.6 út építés 045127'!D148</f>
        <v>0</v>
      </c>
      <c r="E148" s="247">
        <f t="shared" si="11"/>
        <v>0</v>
      </c>
      <c r="F148" s="246">
        <f>'7.1. igazg 011130'!F148+'7.2 temető 013320'!F148+'7.3. vagyon 013350'!F148+'7.4 018010'!F148+'7.5 finansz műveletek 018030'!F148+'7.7 közütak működtetés 045160'!F148+'7.8 parkoló 045170'!F148+'7.9 kábeltv 046020'!F148+'7.10 piac 047120'!F148+'7.11 tdm tám047320'!F148+'7.12 szemét 051030'!F148+'7.13 szennyvíz 052080'!F148+'7.14 víz 063080'!F148+'7.15 közvil 064010'!F148+'7.16 zöldterület 066010'!F148+'7.17 város 066020'!F148+'7.18 háziorvos 072111'!F148+'7.19 ügyelet 072112'!F148+'7.20 fülészet 072210'!F148+'7.21 védőnők 074031'!F148+'7.22 isk eü 074032'!F148+'7.23 sportcsépület 081030'!F148+'7.24 sport tám 081041'!F148+'7.25 diáksport 081043'!F148+'7.26 közműv 082091'!F148+'7.27 közműv 082092'!F148+'7.28  óvoda 091140'!F148+'7.29 intézmkiv gyétk 104037'!F148+'7.30 szoc étk 107051'!F148+'7.31 segélyek 107060'!F148+'7.32 adóbev 900020'!F148+'7.33 pályázatok összesen'!F148+'7.6 út építés 045127'!F148</f>
        <v>0</v>
      </c>
      <c r="G148" s="246">
        <f>'7.1. igazg 011130'!G148+'7.2 temető 013320'!G148+'7.3. vagyon 013350'!G148+'7.4 018010'!G148+'7.5 finansz műveletek 018030'!G148+'7.7 közütak működtetés 045160'!G148+'7.8 parkoló 045170'!G148+'7.9 kábeltv 046020'!G148+'7.10 piac 047120'!G148+'7.11 tdm tám047320'!G148+'7.12 szemét 051030'!G148+'7.13 szennyvíz 052080'!G148+'7.14 víz 063080'!G148+'7.15 közvil 064010'!G148+'7.16 zöldterület 066010'!G148+'7.17 város 066020'!G148+'7.18 háziorvos 072111'!G148+'7.19 ügyelet 072112'!G148+'7.20 fülészet 072210'!G148+'7.21 védőnők 074031'!G148+'7.22 isk eü 074032'!G148+'7.23 sportcsépület 081030'!G148+'7.24 sport tám 081041'!G148+'7.25 diáksport 081043'!G148+'7.26 közműv 082091'!G148+'7.27 közműv 082092'!G148+'7.28  óvoda 091140'!G148+'7.29 intézmkiv gyétk 104037'!G148+'7.30 szoc étk 107051'!G148+'7.31 segélyek 107060'!G148+'7.32 adóbev 900020'!G148+'7.33 pályázatok összesen'!G148+'7.6 út építés 045127'!G148</f>
        <v>0</v>
      </c>
      <c r="H148" s="247">
        <f t="shared" si="21"/>
        <v>0</v>
      </c>
      <c r="I148" s="246">
        <f ca="1">'7.1. igazg 011130'!I148+'7.2 temető 013320'!I148+'7.3. vagyon 013350'!I148+'7.4 018010'!I148+'7.5 finansz műveletek 018030'!I148+'7.7 közütak működtetés 045160'!I148+'7.8 parkoló 045170'!I148+'7.9 kábeltv 046020'!I148+'7.10 piac 047120'!I148+'7.11 tdm tám047320'!I148+'7.12 szemét 051030'!I148+'7.13 szennyvíz 052080'!I148+'7.14 víz 063080'!I148+'7.15 közvil 064010'!I148+'7.16 zöldterület 066010'!I148+'7.17 város 066020'!I148+'7.18 háziorvos 072111'!I148+'7.19 ügyelet 072112'!I148+'7.20 fülészet 072210'!I148+'7.21 védőnők 074031'!I148+'7.22 isk eü 074032'!I148+'7.23 sportcsépület 081030'!I148+'7.24 sport tám 081041'!I148+'7.25 diáksport 081043'!I148+'7.26 közműv 082091'!I148+'7.27 közműv 082092'!I148+'7.28  óvoda 091140'!I148+'7.29 intézmkiv gyétk 104037'!I148+'7.30 szoc étk 107051'!I148+'7.31 segélyek 107060'!I148+'7.32 adóbev 900020'!I148+'7.33 pályázatok összesen'!I148+'7.6 út építés 045127'!I148</f>
        <v>0</v>
      </c>
      <c r="J148" s="246">
        <f>'7.1. igazg 011130'!J148+'7.2 temető 013320'!J148+'7.3. vagyon 013350'!J148+'7.4 018010'!J148+'7.5 finansz műveletek 018030'!J148+'7.7 közütak működtetés 045160'!J148+'7.8 parkoló 045170'!J148+'7.9 kábeltv 046020'!J148+'7.10 piac 047120'!J148+'7.11 tdm tám047320'!J148+'7.12 szemét 051030'!J148+'7.13 szennyvíz 052080'!J148+'7.14 víz 063080'!J148+'7.15 közvil 064010'!J148+'7.16 zöldterület 066010'!J148+'7.17 város 066020'!J148+'7.18 háziorvos 072111'!J148+'7.19 ügyelet 072112'!J148+'7.20 fülészet 072210'!J148+'7.21 védőnők 074031'!J148+'7.22 isk eü 074032'!J148+'7.23 sportcsépület 081030'!J148+'7.24 sport tám 081041'!J148+'7.25 diáksport 081043'!J148+'7.26 közműv 082091'!J148+'7.27 közműv 082092'!J148+'7.28  óvoda 091140'!J148+'7.29 intézmkiv gyétk 104037'!J148+'7.30 szoc étk 107051'!J148+'7.31 segélyek 107060'!J148+'7.32 adóbev 900020'!J148+'7.33 pályázatok összesen'!J148+'7.6 út építés 045127'!J148</f>
        <v>0</v>
      </c>
      <c r="K148" s="247">
        <f t="shared" ca="1" si="22"/>
        <v>0</v>
      </c>
      <c r="L148" s="246">
        <f ca="1">'7.1. igazg 011130'!L148+'7.2 temető 013320'!L148+'7.3. vagyon 013350'!L148+'7.4 018010'!L148+'7.5 finansz műveletek 018030'!L148+'7.7 közütak működtetés 045160'!L148+'7.8 parkoló 045170'!L148+'7.9 kábeltv 046020'!L148+'7.10 piac 047120'!L148+'7.11 tdm tám047320'!L148+'7.12 szemét 051030'!L148+'7.13 szennyvíz 052080'!L148+'7.14 víz 063080'!L148+'7.15 közvil 064010'!L148+'7.16 zöldterület 066010'!L148+'7.17 város 066020'!L148+'7.18 háziorvos 072111'!L148+'7.19 ügyelet 072112'!L148+'7.20 fülészet 072210'!L148+'7.21 védőnők 074031'!L148+'7.22 isk eü 074032'!L148+'7.23 sportcsépület 081030'!L148+'7.24 sport tám 081041'!L148+'7.25 diáksport 081043'!L148+'7.26 közműv 082091'!L148+'7.27 közműv 082092'!L148+'7.28  óvoda 091140'!L148+'7.29 intézmkiv gyétk 104037'!L148+'7.30 szoc étk 107051'!L148+'7.31 segélyek 107060'!L148+'7.32 adóbev 900020'!L148+'7.33 pályázatok összesen'!L148+'7.6 út építés 045127'!L148</f>
        <v>0</v>
      </c>
      <c r="M148" s="246">
        <f>'7.1. igazg 011130'!M148+'7.2 temető 013320'!M148+'7.3. vagyon 013350'!M148+'7.4 018010'!M148+'7.5 finansz műveletek 018030'!M148+'7.7 közütak működtetés 045160'!M148+'7.8 parkoló 045170'!M148+'7.9 kábeltv 046020'!M148+'7.10 piac 047120'!M148+'7.11 tdm tám047320'!M148+'7.12 szemét 051030'!M148+'7.13 szennyvíz 052080'!M148+'7.14 víz 063080'!M148+'7.15 közvil 064010'!M148+'7.16 zöldterület 066010'!M148+'7.17 város 066020'!M148+'7.18 háziorvos 072111'!M148+'7.19 ügyelet 072112'!M148+'7.20 fülészet 072210'!M148+'7.21 védőnők 074031'!M148+'7.22 isk eü 074032'!M148+'7.23 sportcsépület 081030'!M148+'7.24 sport tám 081041'!M148+'7.25 diáksport 081043'!M148+'7.26 közműv 082091'!M148+'7.27 közműv 082092'!M148+'7.28  óvoda 091140'!M148+'7.29 intézmkiv gyétk 104037'!M148+'7.30 szoc étk 107051'!M148+'7.31 segélyek 107060'!M148+'7.32 adóbev 900020'!M148+'7.33 pályázatok összesen'!M148+'7.6 út építés 045127'!M148</f>
        <v>0</v>
      </c>
      <c r="N148" s="247">
        <f t="shared" ca="1" si="20"/>
        <v>0</v>
      </c>
      <c r="S148" s="148"/>
    </row>
    <row r="149" spans="1:19" x14ac:dyDescent="0.25">
      <c r="A149" s="61" t="s">
        <v>260</v>
      </c>
      <c r="B149" s="62" t="s">
        <v>261</v>
      </c>
      <c r="C149" s="246">
        <f>'7.1. igazg 011130'!C149+'7.2 temető 013320'!C149+'7.3. vagyon 013350'!C149+'7.4 018010'!C149+'7.5 finansz műveletek 018030'!C149+'7.7 közütak működtetés 045160'!C149+'7.8 parkoló 045170'!C149+'7.9 kábeltv 046020'!C149+'7.10 piac 047120'!C149+'7.11 tdm tám047320'!C149+'7.12 szemét 051030'!C149+'7.13 szennyvíz 052080'!C149+'7.14 víz 063080'!C149+'7.15 közvil 064010'!C149+'7.16 zöldterület 066010'!C149+'7.17 város 066020'!C149+'7.18 háziorvos 072111'!C149+'7.19 ügyelet 072112'!C149+'7.20 fülészet 072210'!C149+'7.21 védőnők 074031'!C149+'7.22 isk eü 074032'!C149+'7.23 sportcsépület 081030'!C149+'7.24 sport tám 081041'!C149+'7.25 diáksport 081043'!C149+'7.26 közműv 082091'!C149+'7.27 közműv 082092'!C149+'7.28  óvoda 091140'!C149+'7.29 intézmkiv gyétk 104037'!C149+'7.30 szoc étk 107051'!C149+'7.31 segélyek 107060'!C149+'7.32 adóbev 900020'!C149+'7.33 pályázatok összesen'!C149+'7.6 út építés 045127'!C149</f>
        <v>0</v>
      </c>
      <c r="D149" s="246">
        <f>'7.1. igazg 011130'!D149+'7.2 temető 013320'!D149+'7.3. vagyon 013350'!D149+'7.4 018010'!D149+'7.5 finansz műveletek 018030'!D149+'7.7 közütak működtetés 045160'!D149+'7.8 parkoló 045170'!D149+'7.9 kábeltv 046020'!D149+'7.10 piac 047120'!D149+'7.11 tdm tám047320'!D149+'7.12 szemét 051030'!D149+'7.13 szennyvíz 052080'!D149+'7.14 víz 063080'!D149+'7.15 közvil 064010'!D149+'7.16 zöldterület 066010'!D149+'7.17 város 066020'!D149+'7.18 háziorvos 072111'!D149+'7.19 ügyelet 072112'!D149+'7.20 fülészet 072210'!D149+'7.21 védőnők 074031'!D149+'7.22 isk eü 074032'!D149+'7.23 sportcsépület 081030'!D149+'7.24 sport tám 081041'!D149+'7.25 diáksport 081043'!D149+'7.26 közműv 082091'!D149+'7.27 közműv 082092'!D149+'7.28  óvoda 091140'!D149+'7.29 intézmkiv gyétk 104037'!D149+'7.30 szoc étk 107051'!D149+'7.31 segélyek 107060'!D149+'7.32 adóbev 900020'!D149+'7.33 pályázatok összesen'!D149+'7.6 út építés 045127'!D149</f>
        <v>0</v>
      </c>
      <c r="E149" s="247">
        <f t="shared" si="11"/>
        <v>0</v>
      </c>
      <c r="F149" s="246">
        <f>'7.1. igazg 011130'!F149+'7.2 temető 013320'!F149+'7.3. vagyon 013350'!F149+'7.4 018010'!F149+'7.5 finansz műveletek 018030'!F149+'7.7 közütak működtetés 045160'!F149+'7.8 parkoló 045170'!F149+'7.9 kábeltv 046020'!F149+'7.10 piac 047120'!F149+'7.11 tdm tám047320'!F149+'7.12 szemét 051030'!F149+'7.13 szennyvíz 052080'!F149+'7.14 víz 063080'!F149+'7.15 közvil 064010'!F149+'7.16 zöldterület 066010'!F149+'7.17 város 066020'!F149+'7.18 háziorvos 072111'!F149+'7.19 ügyelet 072112'!F149+'7.20 fülészet 072210'!F149+'7.21 védőnők 074031'!F149+'7.22 isk eü 074032'!F149+'7.23 sportcsépület 081030'!F149+'7.24 sport tám 081041'!F149+'7.25 diáksport 081043'!F149+'7.26 közműv 082091'!F149+'7.27 közműv 082092'!F149+'7.28  óvoda 091140'!F149+'7.29 intézmkiv gyétk 104037'!F149+'7.30 szoc étk 107051'!F149+'7.31 segélyek 107060'!F149+'7.32 adóbev 900020'!F149+'7.33 pályázatok összesen'!F149+'7.6 út építés 045127'!F149</f>
        <v>0</v>
      </c>
      <c r="G149" s="246">
        <f>'7.1. igazg 011130'!G149+'7.2 temető 013320'!G149+'7.3. vagyon 013350'!G149+'7.4 018010'!G149+'7.5 finansz műveletek 018030'!G149+'7.7 közütak működtetés 045160'!G149+'7.8 parkoló 045170'!G149+'7.9 kábeltv 046020'!G149+'7.10 piac 047120'!G149+'7.11 tdm tám047320'!G149+'7.12 szemét 051030'!G149+'7.13 szennyvíz 052080'!G149+'7.14 víz 063080'!G149+'7.15 közvil 064010'!G149+'7.16 zöldterület 066010'!G149+'7.17 város 066020'!G149+'7.18 háziorvos 072111'!G149+'7.19 ügyelet 072112'!G149+'7.20 fülészet 072210'!G149+'7.21 védőnők 074031'!G149+'7.22 isk eü 074032'!G149+'7.23 sportcsépület 081030'!G149+'7.24 sport tám 081041'!G149+'7.25 diáksport 081043'!G149+'7.26 közműv 082091'!G149+'7.27 közműv 082092'!G149+'7.28  óvoda 091140'!G149+'7.29 intézmkiv gyétk 104037'!G149+'7.30 szoc étk 107051'!G149+'7.31 segélyek 107060'!G149+'7.32 adóbev 900020'!G149+'7.33 pályázatok összesen'!G149+'7.6 út építés 045127'!G149</f>
        <v>0</v>
      </c>
      <c r="H149" s="247">
        <f t="shared" si="21"/>
        <v>0</v>
      </c>
      <c r="I149" s="246">
        <f ca="1">'7.1. igazg 011130'!I149+'7.2 temető 013320'!I149+'7.3. vagyon 013350'!I149+'7.4 018010'!I149+'7.5 finansz műveletek 018030'!I149+'7.7 közütak működtetés 045160'!I149+'7.8 parkoló 045170'!I149+'7.9 kábeltv 046020'!I149+'7.10 piac 047120'!I149+'7.11 tdm tám047320'!I149+'7.12 szemét 051030'!I149+'7.13 szennyvíz 052080'!I149+'7.14 víz 063080'!I149+'7.15 közvil 064010'!I149+'7.16 zöldterület 066010'!I149+'7.17 város 066020'!I149+'7.18 háziorvos 072111'!I149+'7.19 ügyelet 072112'!I149+'7.20 fülészet 072210'!I149+'7.21 védőnők 074031'!I149+'7.22 isk eü 074032'!I149+'7.23 sportcsépület 081030'!I149+'7.24 sport tám 081041'!I149+'7.25 diáksport 081043'!I149+'7.26 közműv 082091'!I149+'7.27 közműv 082092'!I149+'7.28  óvoda 091140'!I149+'7.29 intézmkiv gyétk 104037'!I149+'7.30 szoc étk 107051'!I149+'7.31 segélyek 107060'!I149+'7.32 adóbev 900020'!I149+'7.33 pályázatok összesen'!I149+'7.6 út építés 045127'!I149</f>
        <v>0</v>
      </c>
      <c r="J149" s="246">
        <f>'7.1. igazg 011130'!J149+'7.2 temető 013320'!J149+'7.3. vagyon 013350'!J149+'7.4 018010'!J149+'7.5 finansz műveletek 018030'!J149+'7.7 közütak működtetés 045160'!J149+'7.8 parkoló 045170'!J149+'7.9 kábeltv 046020'!J149+'7.10 piac 047120'!J149+'7.11 tdm tám047320'!J149+'7.12 szemét 051030'!J149+'7.13 szennyvíz 052080'!J149+'7.14 víz 063080'!J149+'7.15 közvil 064010'!J149+'7.16 zöldterület 066010'!J149+'7.17 város 066020'!J149+'7.18 háziorvos 072111'!J149+'7.19 ügyelet 072112'!J149+'7.20 fülészet 072210'!J149+'7.21 védőnők 074031'!J149+'7.22 isk eü 074032'!J149+'7.23 sportcsépület 081030'!J149+'7.24 sport tám 081041'!J149+'7.25 diáksport 081043'!J149+'7.26 közműv 082091'!J149+'7.27 közműv 082092'!J149+'7.28  óvoda 091140'!J149+'7.29 intézmkiv gyétk 104037'!J149+'7.30 szoc étk 107051'!J149+'7.31 segélyek 107060'!J149+'7.32 adóbev 900020'!J149+'7.33 pályázatok összesen'!J149+'7.6 út építés 045127'!J149</f>
        <v>0</v>
      </c>
      <c r="K149" s="247">
        <f t="shared" ca="1" si="22"/>
        <v>0</v>
      </c>
      <c r="L149" s="246">
        <f ca="1">'7.1. igazg 011130'!L149+'7.2 temető 013320'!L149+'7.3. vagyon 013350'!L149+'7.4 018010'!L149+'7.5 finansz műveletek 018030'!L149+'7.7 közütak működtetés 045160'!L149+'7.8 parkoló 045170'!L149+'7.9 kábeltv 046020'!L149+'7.10 piac 047120'!L149+'7.11 tdm tám047320'!L149+'7.12 szemét 051030'!L149+'7.13 szennyvíz 052080'!L149+'7.14 víz 063080'!L149+'7.15 közvil 064010'!L149+'7.16 zöldterület 066010'!L149+'7.17 város 066020'!L149+'7.18 háziorvos 072111'!L149+'7.19 ügyelet 072112'!L149+'7.20 fülészet 072210'!L149+'7.21 védőnők 074031'!L149+'7.22 isk eü 074032'!L149+'7.23 sportcsépület 081030'!L149+'7.24 sport tám 081041'!L149+'7.25 diáksport 081043'!L149+'7.26 közműv 082091'!L149+'7.27 közműv 082092'!L149+'7.28  óvoda 091140'!L149+'7.29 intézmkiv gyétk 104037'!L149+'7.30 szoc étk 107051'!L149+'7.31 segélyek 107060'!L149+'7.32 adóbev 900020'!L149+'7.33 pályázatok összesen'!L149+'7.6 út építés 045127'!L149</f>
        <v>0</v>
      </c>
      <c r="M149" s="246">
        <f>'7.1. igazg 011130'!M149+'7.2 temető 013320'!M149+'7.3. vagyon 013350'!M149+'7.4 018010'!M149+'7.5 finansz műveletek 018030'!M149+'7.7 közütak működtetés 045160'!M149+'7.8 parkoló 045170'!M149+'7.9 kábeltv 046020'!M149+'7.10 piac 047120'!M149+'7.11 tdm tám047320'!M149+'7.12 szemét 051030'!M149+'7.13 szennyvíz 052080'!M149+'7.14 víz 063080'!M149+'7.15 közvil 064010'!M149+'7.16 zöldterület 066010'!M149+'7.17 város 066020'!M149+'7.18 háziorvos 072111'!M149+'7.19 ügyelet 072112'!M149+'7.20 fülészet 072210'!M149+'7.21 védőnők 074031'!M149+'7.22 isk eü 074032'!M149+'7.23 sportcsépület 081030'!M149+'7.24 sport tám 081041'!M149+'7.25 diáksport 081043'!M149+'7.26 közműv 082091'!M149+'7.27 közműv 082092'!M149+'7.28  óvoda 091140'!M149+'7.29 intézmkiv gyétk 104037'!M149+'7.30 szoc étk 107051'!M149+'7.31 segélyek 107060'!M149+'7.32 adóbev 900020'!M149+'7.33 pályázatok összesen'!M149+'7.6 út építés 045127'!M149</f>
        <v>0</v>
      </c>
      <c r="N149" s="247">
        <f t="shared" ca="1" si="20"/>
        <v>0</v>
      </c>
      <c r="S149" s="148"/>
    </row>
    <row r="150" spans="1:19" ht="15.75" thickBot="1" x14ac:dyDescent="0.3">
      <c r="A150" s="63"/>
      <c r="B150" s="64" t="s">
        <v>262</v>
      </c>
      <c r="C150" s="248">
        <f>'7.1. igazg 011130'!C150+'7.2 temető 013320'!C150+'7.3. vagyon 013350'!C150+'7.4 018010'!C150+'7.5 finansz műveletek 018030'!C150+'7.7 közütak működtetés 045160'!C150+'7.8 parkoló 045170'!C150+'7.9 kábeltv 046020'!C150+'7.10 piac 047120'!C150+'7.11 tdm tám047320'!C150+'7.12 szemét 051030'!C150+'7.13 szennyvíz 052080'!C150+'7.14 víz 063080'!C150+'7.15 közvil 064010'!C150+'7.16 zöldterület 066010'!C150+'7.17 város 066020'!C150+'7.18 háziorvos 072111'!C150+'7.19 ügyelet 072112'!C150+'7.20 fülészet 072210'!C150+'7.21 védőnők 074031'!C150+'7.22 isk eü 074032'!C150+'7.23 sportcsépület 081030'!C150+'7.24 sport tám 081041'!C150+'7.25 diáksport 081043'!C150+'7.26 közműv 082091'!C150+'7.27 közműv 082092'!C150+'7.28  óvoda 091140'!C150+'7.29 intézmkiv gyétk 104037'!C150+'7.30 szoc étk 107051'!C150+'7.31 segélyek 107060'!C150+'7.32 adóbev 900020'!C150+'7.33 pályázatok összesen'!C150+'7.6 út építés 045127'!C150</f>
        <v>0</v>
      </c>
      <c r="D150" s="248">
        <f>'7.1. igazg 011130'!D150+'7.2 temető 013320'!D150+'7.3. vagyon 013350'!D150+'7.4 018010'!D150+'7.5 finansz műveletek 018030'!D150+'7.7 közütak működtetés 045160'!D150+'7.8 parkoló 045170'!D150+'7.9 kábeltv 046020'!D150+'7.10 piac 047120'!D150+'7.11 tdm tám047320'!D150+'7.12 szemét 051030'!D150+'7.13 szennyvíz 052080'!D150+'7.14 víz 063080'!D150+'7.15 közvil 064010'!D150+'7.16 zöldterület 066010'!D150+'7.17 város 066020'!D150+'7.18 háziorvos 072111'!D150+'7.19 ügyelet 072112'!D150+'7.20 fülészet 072210'!D150+'7.21 védőnők 074031'!D150+'7.22 isk eü 074032'!D150+'7.23 sportcsépület 081030'!D150+'7.24 sport tám 081041'!D150+'7.25 diáksport 081043'!D150+'7.26 közműv 082091'!D150+'7.27 közműv 082092'!D150+'7.28  óvoda 091140'!D150+'7.29 intézmkiv gyétk 104037'!D150+'7.30 szoc étk 107051'!D150+'7.31 segélyek 107060'!D150+'7.32 adóbev 900020'!D150+'7.33 pályázatok összesen'!D150+'7.6 út építés 045127'!D150</f>
        <v>0</v>
      </c>
      <c r="E150" s="249">
        <f t="shared" si="11"/>
        <v>0</v>
      </c>
      <c r="F150" s="248">
        <f>'7.1. igazg 011130'!F150+'7.2 temető 013320'!F150+'7.3. vagyon 013350'!F150+'7.4 018010'!F150+'7.5 finansz műveletek 018030'!F150+'7.7 közütak működtetés 045160'!F150+'7.8 parkoló 045170'!F150+'7.9 kábeltv 046020'!F150+'7.10 piac 047120'!F150+'7.11 tdm tám047320'!F150+'7.12 szemét 051030'!F150+'7.13 szennyvíz 052080'!F150+'7.14 víz 063080'!F150+'7.15 közvil 064010'!F150+'7.16 zöldterület 066010'!F150+'7.17 város 066020'!F150+'7.18 háziorvos 072111'!F150+'7.19 ügyelet 072112'!F150+'7.20 fülészet 072210'!F150+'7.21 védőnők 074031'!F150+'7.22 isk eü 074032'!F150+'7.23 sportcsépület 081030'!F150+'7.24 sport tám 081041'!F150+'7.25 diáksport 081043'!F150+'7.26 közműv 082091'!F150+'7.27 közműv 082092'!F150+'7.28  óvoda 091140'!F150+'7.29 intézmkiv gyétk 104037'!F150+'7.30 szoc étk 107051'!F150+'7.31 segélyek 107060'!F150+'7.32 adóbev 900020'!F150+'7.33 pályázatok összesen'!F150+'7.6 út építés 045127'!F150</f>
        <v>0</v>
      </c>
      <c r="G150" s="248">
        <f>'7.1. igazg 011130'!G150+'7.2 temető 013320'!G150+'7.3. vagyon 013350'!G150+'7.4 018010'!G150+'7.5 finansz műveletek 018030'!G150+'7.7 közütak működtetés 045160'!G150+'7.8 parkoló 045170'!G150+'7.9 kábeltv 046020'!G150+'7.10 piac 047120'!G150+'7.11 tdm tám047320'!G150+'7.12 szemét 051030'!G150+'7.13 szennyvíz 052080'!G150+'7.14 víz 063080'!G150+'7.15 közvil 064010'!G150+'7.16 zöldterület 066010'!G150+'7.17 város 066020'!G150+'7.18 háziorvos 072111'!G150+'7.19 ügyelet 072112'!G150+'7.20 fülészet 072210'!G150+'7.21 védőnők 074031'!G150+'7.22 isk eü 074032'!G150+'7.23 sportcsépület 081030'!G150+'7.24 sport tám 081041'!G150+'7.25 diáksport 081043'!G150+'7.26 közműv 082091'!G150+'7.27 közműv 082092'!G150+'7.28  óvoda 091140'!G150+'7.29 intézmkiv gyétk 104037'!G150+'7.30 szoc étk 107051'!G150+'7.31 segélyek 107060'!G150+'7.32 adóbev 900020'!G150+'7.33 pályázatok összesen'!G150+'7.6 út építés 045127'!G150</f>
        <v>0</v>
      </c>
      <c r="H150" s="249">
        <f t="shared" si="21"/>
        <v>0</v>
      </c>
      <c r="I150" s="248">
        <f ca="1">'7.1. igazg 011130'!I150+'7.2 temető 013320'!I150+'7.3. vagyon 013350'!I150+'7.4 018010'!I150+'7.5 finansz műveletek 018030'!I150+'7.7 közütak működtetés 045160'!I150+'7.8 parkoló 045170'!I150+'7.9 kábeltv 046020'!I150+'7.10 piac 047120'!I150+'7.11 tdm tám047320'!I150+'7.12 szemét 051030'!I150+'7.13 szennyvíz 052080'!I150+'7.14 víz 063080'!I150+'7.15 közvil 064010'!I150+'7.16 zöldterület 066010'!I150+'7.17 város 066020'!I150+'7.18 háziorvos 072111'!I150+'7.19 ügyelet 072112'!I150+'7.20 fülészet 072210'!I150+'7.21 védőnők 074031'!I150+'7.22 isk eü 074032'!I150+'7.23 sportcsépület 081030'!I150+'7.24 sport tám 081041'!I150+'7.25 diáksport 081043'!I150+'7.26 közműv 082091'!I150+'7.27 közműv 082092'!I150+'7.28  óvoda 091140'!I150+'7.29 intézmkiv gyétk 104037'!I150+'7.30 szoc étk 107051'!I150+'7.31 segélyek 107060'!I150+'7.32 adóbev 900020'!I150+'7.33 pályázatok összesen'!I150+'7.6 út építés 045127'!I150</f>
        <v>0</v>
      </c>
      <c r="J150" s="248">
        <f>'7.1. igazg 011130'!J150+'7.2 temető 013320'!J150+'7.3. vagyon 013350'!J150+'7.4 018010'!J150+'7.5 finansz műveletek 018030'!J150+'7.7 közütak működtetés 045160'!J150+'7.8 parkoló 045170'!J150+'7.9 kábeltv 046020'!J150+'7.10 piac 047120'!J150+'7.11 tdm tám047320'!J150+'7.12 szemét 051030'!J150+'7.13 szennyvíz 052080'!J150+'7.14 víz 063080'!J150+'7.15 közvil 064010'!J150+'7.16 zöldterület 066010'!J150+'7.17 város 066020'!J150+'7.18 háziorvos 072111'!J150+'7.19 ügyelet 072112'!J150+'7.20 fülészet 072210'!J150+'7.21 védőnők 074031'!J150+'7.22 isk eü 074032'!J150+'7.23 sportcsépület 081030'!J150+'7.24 sport tám 081041'!J150+'7.25 diáksport 081043'!J150+'7.26 közműv 082091'!J150+'7.27 közműv 082092'!J150+'7.28  óvoda 091140'!J150+'7.29 intézmkiv gyétk 104037'!J150+'7.30 szoc étk 107051'!J150+'7.31 segélyek 107060'!J150+'7.32 adóbev 900020'!J150+'7.33 pályázatok összesen'!J150+'7.6 út építés 045127'!J150</f>
        <v>0</v>
      </c>
      <c r="K150" s="249">
        <f t="shared" ca="1" si="22"/>
        <v>0</v>
      </c>
      <c r="L150" s="248">
        <f ca="1">'7.1. igazg 011130'!L150+'7.2 temető 013320'!L150+'7.3. vagyon 013350'!L150+'7.4 018010'!L150+'7.5 finansz műveletek 018030'!L150+'7.7 közütak működtetés 045160'!L150+'7.8 parkoló 045170'!L150+'7.9 kábeltv 046020'!L150+'7.10 piac 047120'!L150+'7.11 tdm tám047320'!L150+'7.12 szemét 051030'!L150+'7.13 szennyvíz 052080'!L150+'7.14 víz 063080'!L150+'7.15 közvil 064010'!L150+'7.16 zöldterület 066010'!L150+'7.17 város 066020'!L150+'7.18 háziorvos 072111'!L150+'7.19 ügyelet 072112'!L150+'7.20 fülészet 072210'!L150+'7.21 védőnők 074031'!L150+'7.22 isk eü 074032'!L150+'7.23 sportcsépület 081030'!L150+'7.24 sport tám 081041'!L150+'7.25 diáksport 081043'!L150+'7.26 közműv 082091'!L150+'7.27 közműv 082092'!L150+'7.28  óvoda 091140'!L150+'7.29 intézmkiv gyétk 104037'!L150+'7.30 szoc étk 107051'!L150+'7.31 segélyek 107060'!L150+'7.32 adóbev 900020'!L150+'7.33 pályázatok összesen'!L150+'7.6 út építés 045127'!L150</f>
        <v>0</v>
      </c>
      <c r="M150" s="248">
        <f>'7.1. igazg 011130'!M150+'7.2 temető 013320'!M150+'7.3. vagyon 013350'!M150+'7.4 018010'!M150+'7.5 finansz műveletek 018030'!M150+'7.7 közütak működtetés 045160'!M150+'7.8 parkoló 045170'!M150+'7.9 kábeltv 046020'!M150+'7.10 piac 047120'!M150+'7.11 tdm tám047320'!M150+'7.12 szemét 051030'!M150+'7.13 szennyvíz 052080'!M150+'7.14 víz 063080'!M150+'7.15 közvil 064010'!M150+'7.16 zöldterület 066010'!M150+'7.17 város 066020'!M150+'7.18 háziorvos 072111'!M150+'7.19 ügyelet 072112'!M150+'7.20 fülészet 072210'!M150+'7.21 védőnők 074031'!M150+'7.22 isk eü 074032'!M150+'7.23 sportcsépület 081030'!M150+'7.24 sport tám 081041'!M150+'7.25 diáksport 081043'!M150+'7.26 közműv 082091'!M150+'7.27 közműv 082092'!M150+'7.28  óvoda 091140'!M150+'7.29 intézmkiv gyétk 104037'!M150+'7.30 szoc étk 107051'!M150+'7.31 segélyek 107060'!M150+'7.32 adóbev 900020'!M150+'7.33 pályázatok összesen'!M150+'7.6 út építés 045127'!M150</f>
        <v>0</v>
      </c>
      <c r="N150" s="249">
        <f t="shared" ca="1" si="20"/>
        <v>0</v>
      </c>
      <c r="S150" s="148"/>
    </row>
    <row r="151" spans="1:19" ht="15.75" thickBot="1" x14ac:dyDescent="0.3">
      <c r="A151" s="65" t="s">
        <v>265</v>
      </c>
      <c r="B151" s="47" t="s">
        <v>263</v>
      </c>
      <c r="C151" s="250">
        <f>'7.1. igazg 011130'!C151+'7.2 temető 013320'!C151+'7.3. vagyon 013350'!C151+'7.4 018010'!C151+'7.5 finansz műveletek 018030'!C151+'7.7 közütak működtetés 045160'!C151+'7.8 parkoló 045170'!C151+'7.9 kábeltv 046020'!C151+'7.10 piac 047120'!C151+'7.11 tdm tám047320'!C151+'7.12 szemét 051030'!C151+'7.13 szennyvíz 052080'!C151+'7.14 víz 063080'!C151+'7.15 közvil 064010'!C151+'7.16 zöldterület 066010'!C151+'7.17 város 066020'!C151+'7.18 háziorvos 072111'!C151+'7.19 ügyelet 072112'!C151+'7.20 fülészet 072210'!C151+'7.21 védőnők 074031'!C151+'7.22 isk eü 074032'!C151+'7.23 sportcsépület 081030'!C151+'7.24 sport tám 081041'!C151+'7.25 diáksport 081043'!C151+'7.26 közműv 082091'!C151+'7.27 közműv 082092'!C151+'7.28  óvoda 091140'!C151+'7.29 intézmkiv gyétk 104037'!C151+'7.30 szoc étk 107051'!C151+'7.31 segélyek 107060'!C151+'7.32 adóbev 900020'!C151+'7.33 pályázatok összesen'!C151+'7.6 út építés 045127'!C151</f>
        <v>4788140115</v>
      </c>
      <c r="D151" s="250">
        <f>'7.1. igazg 011130'!D151+'7.2 temető 013320'!D151+'7.3. vagyon 013350'!D151+'7.4 018010'!D151+'7.5 finansz műveletek 018030'!D151+'7.7 közütak működtetés 045160'!D151+'7.8 parkoló 045170'!D151+'7.9 kábeltv 046020'!D151+'7.10 piac 047120'!D151+'7.11 tdm tám047320'!D151+'7.12 szemét 051030'!D151+'7.13 szennyvíz 052080'!D151+'7.14 víz 063080'!D151+'7.15 közvil 064010'!D151+'7.16 zöldterület 066010'!D151+'7.17 város 066020'!D151+'7.18 háziorvos 072111'!D151+'7.19 ügyelet 072112'!D151+'7.20 fülészet 072210'!D151+'7.21 védőnők 074031'!D151+'7.22 isk eü 074032'!D151+'7.23 sportcsépület 081030'!D151+'7.24 sport tám 081041'!D151+'7.25 diáksport 081043'!D151+'7.26 közműv 082091'!D151+'7.27 közműv 082092'!D151+'7.28  óvoda 091140'!D151+'7.29 intézmkiv gyétk 104037'!D151+'7.30 szoc étk 107051'!D151+'7.31 segélyek 107060'!D151+'7.32 adóbev 900020'!D151+'7.33 pályázatok összesen'!D151+'7.6 út építés 045127'!D151</f>
        <v>65974082</v>
      </c>
      <c r="E151" s="258">
        <f>SUM(C151:D151)</f>
        <v>4854114197</v>
      </c>
      <c r="F151" s="250">
        <f>'7.1. igazg 011130'!F151+'7.2 temető 013320'!F151+'7.3. vagyon 013350'!F151+'7.4 018010'!F151+'7.5 finansz műveletek 018030'!F151+'7.7 közütak működtetés 045160'!F151+'7.8 parkoló 045170'!F151+'7.9 kábeltv 046020'!F151+'7.10 piac 047120'!F151+'7.11 tdm tám047320'!F151+'7.12 szemét 051030'!F151+'7.13 szennyvíz 052080'!F151+'7.14 víz 063080'!F151+'7.15 közvil 064010'!F151+'7.16 zöldterület 066010'!F151+'7.17 város 066020'!F151+'7.18 háziorvos 072111'!F151+'7.19 ügyelet 072112'!F151+'7.20 fülészet 072210'!F151+'7.21 védőnők 074031'!F151+'7.22 isk eü 074032'!F151+'7.23 sportcsépület 081030'!F151+'7.24 sport tám 081041'!F151+'7.25 diáksport 081043'!F151+'7.26 közműv 082091'!F151+'7.27 közműv 082092'!F151+'7.28  óvoda 091140'!F151+'7.29 intézmkiv gyétk 104037'!F151+'7.30 szoc étk 107051'!F151+'7.31 segélyek 107060'!F151+'7.32 adóbev 900020'!F151+'7.33 pályázatok összesen'!F151+'7.6 út építés 045127'!F151</f>
        <v>4816069142</v>
      </c>
      <c r="G151" s="250">
        <f>'7.1. igazg 011130'!G151+'7.2 temető 013320'!G151+'7.3. vagyon 013350'!G151+'7.4 018010'!G151+'7.5 finansz műveletek 018030'!G151+'7.7 közütak működtetés 045160'!G151+'7.8 parkoló 045170'!G151+'7.9 kábeltv 046020'!G151+'7.10 piac 047120'!G151+'7.11 tdm tám047320'!G151+'7.12 szemét 051030'!G151+'7.13 szennyvíz 052080'!G151+'7.14 víz 063080'!G151+'7.15 közvil 064010'!G151+'7.16 zöldterület 066010'!G151+'7.17 város 066020'!G151+'7.18 háziorvos 072111'!G151+'7.19 ügyelet 072112'!G151+'7.20 fülészet 072210'!G151+'7.21 védőnők 074031'!G151+'7.22 isk eü 074032'!G151+'7.23 sportcsépület 081030'!G151+'7.24 sport tám 081041'!G151+'7.25 diáksport 081043'!G151+'7.26 közműv 082091'!G151+'7.27 közműv 082092'!G151+'7.28  óvoda 091140'!G151+'7.29 intézmkiv gyétk 104037'!G151+'7.30 szoc étk 107051'!G151+'7.31 segélyek 107060'!G151+'7.32 adóbev 900020'!G151+'7.33 pályázatok összesen'!G151+'7.6 út építés 045127'!G151</f>
        <v>65974082</v>
      </c>
      <c r="H151" s="258">
        <f>SUM(F151:G151)</f>
        <v>4882043224</v>
      </c>
      <c r="I151" s="250">
        <f ca="1">'7.1. igazg 011130'!I151+'7.2 temető 013320'!I151+'7.3. vagyon 013350'!I151+'7.4 018010'!I151+'7.5 finansz műveletek 018030'!I151+'7.7 közütak működtetés 045160'!I151+'7.8 parkoló 045170'!I151+'7.9 kábeltv 046020'!I151+'7.10 piac 047120'!I151+'7.11 tdm tám047320'!I151+'7.12 szemét 051030'!I151+'7.13 szennyvíz 052080'!I151+'7.14 víz 063080'!I151+'7.15 közvil 064010'!I151+'7.16 zöldterület 066010'!I151+'7.17 város 066020'!I151+'7.18 háziorvos 072111'!I151+'7.19 ügyelet 072112'!I151+'7.20 fülészet 072210'!I151+'7.21 védőnők 074031'!I151+'7.22 isk eü 074032'!I151+'7.23 sportcsépület 081030'!I151+'7.24 sport tám 081041'!I151+'7.25 diáksport 081043'!I151+'7.26 közműv 082091'!I151+'7.27 közműv 082092'!I151+'7.28  óvoda 091140'!I151+'7.29 intézmkiv gyétk 104037'!I151+'7.30 szoc étk 107051'!I151+'7.31 segélyek 107060'!I151+'7.32 adóbev 900020'!I151+'7.33 pályázatok összesen'!I151+'7.6 út építés 045127'!I151</f>
        <v>4862687238</v>
      </c>
      <c r="J151" s="250">
        <f>'7.1. igazg 011130'!J151+'7.2 temető 013320'!J151+'7.3. vagyon 013350'!J151+'7.4 018010'!J151+'7.5 finansz műveletek 018030'!J151+'7.7 közütak működtetés 045160'!J151+'7.8 parkoló 045170'!J151+'7.9 kábeltv 046020'!J151+'7.10 piac 047120'!J151+'7.11 tdm tám047320'!J151+'7.12 szemét 051030'!J151+'7.13 szennyvíz 052080'!J151+'7.14 víz 063080'!J151+'7.15 közvil 064010'!J151+'7.16 zöldterület 066010'!J151+'7.17 város 066020'!J151+'7.18 háziorvos 072111'!J151+'7.19 ügyelet 072112'!J151+'7.20 fülészet 072210'!J151+'7.21 védőnők 074031'!J151+'7.22 isk eü 074032'!J151+'7.23 sportcsépület 081030'!J151+'7.24 sport tám 081041'!J151+'7.25 diáksport 081043'!J151+'7.26 közműv 082091'!J151+'7.27 közműv 082092'!J151+'7.28  óvoda 091140'!J151+'7.29 intézmkiv gyétk 104037'!J151+'7.30 szoc étk 107051'!J151+'7.31 segélyek 107060'!J151+'7.32 adóbev 900020'!J151+'7.33 pályázatok összesen'!J151+'7.6 út építés 045127'!J151</f>
        <v>66595750</v>
      </c>
      <c r="K151" s="258">
        <f ca="1">SUM(I151:J151)</f>
        <v>4929282988</v>
      </c>
      <c r="L151" s="250">
        <f ca="1">'7.1. igazg 011130'!L151+'7.2 temető 013320'!L151+'7.3. vagyon 013350'!L151+'7.4 018010'!L151+'7.5 finansz műveletek 018030'!L151+'7.7 közütak működtetés 045160'!L151+'7.8 parkoló 045170'!L151+'7.9 kábeltv 046020'!L151+'7.10 piac 047120'!L151+'7.11 tdm tám047320'!L151+'7.12 szemét 051030'!L151+'7.13 szennyvíz 052080'!L151+'7.14 víz 063080'!L151+'7.15 közvil 064010'!L151+'7.16 zöldterület 066010'!L151+'7.17 város 066020'!L151+'7.18 háziorvos 072111'!L151+'7.19 ügyelet 072112'!L151+'7.20 fülészet 072210'!L151+'7.21 védőnők 074031'!L151+'7.22 isk eü 074032'!L151+'7.23 sportcsépület 081030'!L151+'7.24 sport tám 081041'!L151+'7.25 diáksport 081043'!L151+'7.26 közműv 082091'!L151+'7.27 közműv 082092'!L151+'7.28  óvoda 091140'!L151+'7.29 intézmkiv gyétk 104037'!L151+'7.30 szoc étk 107051'!L151+'7.31 segélyek 107060'!L151+'7.32 adóbev 900020'!L151+'7.33 pályázatok összesen'!L151+'7.6 út építés 045127'!L151</f>
        <v>3356846678</v>
      </c>
      <c r="M151" s="250">
        <f>'7.1. igazg 011130'!M151+'7.2 temető 013320'!M151+'7.3. vagyon 013350'!M151+'7.4 018010'!M151+'7.5 finansz műveletek 018030'!M151+'7.7 közütak működtetés 045160'!M151+'7.8 parkoló 045170'!M151+'7.9 kábeltv 046020'!M151+'7.10 piac 047120'!M151+'7.11 tdm tám047320'!M151+'7.12 szemét 051030'!M151+'7.13 szennyvíz 052080'!M151+'7.14 víz 063080'!M151+'7.15 közvil 064010'!M151+'7.16 zöldterület 066010'!M151+'7.17 város 066020'!M151+'7.18 háziorvos 072111'!M151+'7.19 ügyelet 072112'!M151+'7.20 fülészet 072210'!M151+'7.21 védőnők 074031'!M151+'7.22 isk eü 074032'!M151+'7.23 sportcsépület 081030'!M151+'7.24 sport tám 081041'!M151+'7.25 diáksport 081043'!M151+'7.26 közműv 082091'!M151+'7.27 közműv 082092'!M151+'7.28  óvoda 091140'!M151+'7.29 intézmkiv gyétk 104037'!M151+'7.30 szoc étk 107051'!M151+'7.31 segélyek 107060'!M151+'7.32 adóbev 900020'!M151+'7.33 pályázatok összesen'!M151+'7.6 út építés 045127'!M151</f>
        <v>66558296</v>
      </c>
      <c r="N151" s="258">
        <f ca="1">SUM(L151:M151)</f>
        <v>3423404974</v>
      </c>
      <c r="S151" s="148"/>
    </row>
    <row r="152" spans="1:19" x14ac:dyDescent="0.25">
      <c r="D152" s="388"/>
      <c r="E152" s="78"/>
      <c r="G152" s="388"/>
      <c r="H152" s="310"/>
      <c r="J152" s="388"/>
      <c r="K152" s="310"/>
      <c r="M152" s="388"/>
      <c r="N152" s="310"/>
      <c r="S152" s="148"/>
    </row>
    <row r="153" spans="1:19" x14ac:dyDescent="0.25">
      <c r="B153" s="315"/>
      <c r="E153" s="148">
        <f>E85-E151</f>
        <v>0</v>
      </c>
      <c r="H153" s="148">
        <f>H85-H151</f>
        <v>0</v>
      </c>
      <c r="K153" s="148">
        <f ca="1">K85-K151</f>
        <v>0</v>
      </c>
      <c r="N153" s="148">
        <f ca="1">N85-N151</f>
        <v>1442596532</v>
      </c>
      <c r="S153" s="148"/>
    </row>
    <row r="154" spans="1:19" x14ac:dyDescent="0.25">
      <c r="S154" s="148"/>
    </row>
    <row r="155" spans="1:19" x14ac:dyDescent="0.25">
      <c r="S155" s="148"/>
    </row>
    <row r="156" spans="1:19" x14ac:dyDescent="0.25">
      <c r="S156" s="148"/>
    </row>
    <row r="157" spans="1:19" x14ac:dyDescent="0.25">
      <c r="B157" s="148"/>
      <c r="S157" s="148"/>
    </row>
    <row r="158" spans="1:19" x14ac:dyDescent="0.25">
      <c r="S158" s="148"/>
    </row>
    <row r="159" spans="1:19" x14ac:dyDescent="0.25">
      <c r="S159" s="148"/>
    </row>
  </sheetData>
  <mergeCells count="5">
    <mergeCell ref="L6:N6"/>
    <mergeCell ref="A1:E1"/>
    <mergeCell ref="A2:E2"/>
    <mergeCell ref="F6:H6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44" fitToHeight="0" orientation="portrait" horizontalDpi="300" verticalDpi="300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53"/>
  <sheetViews>
    <sheetView view="pageBreakPreview" zoomScale="60" zoomScaleNormal="100" workbookViewId="0">
      <pane xSplit="2" ySplit="8" topLeftCell="C100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D57" sqref="D57"/>
    </sheetView>
  </sheetViews>
  <sheetFormatPr defaultRowHeight="15" x14ac:dyDescent="0.25"/>
  <cols>
    <col min="1" max="1" width="9.140625" style="44"/>
    <col min="2" max="2" width="51.5703125" style="44" customWidth="1"/>
    <col min="3" max="3" width="21.42578125" style="44" bestFit="1" customWidth="1"/>
    <col min="4" max="4" width="9.140625" style="44" customWidth="1"/>
    <col min="5" max="5" width="13.28515625" style="44" bestFit="1" customWidth="1"/>
    <col min="6" max="6" width="13.28515625" style="179" bestFit="1" customWidth="1"/>
    <col min="7" max="7" width="9.140625" style="179"/>
    <col min="8" max="9" width="13.28515625" style="179" bestFit="1" customWidth="1"/>
    <col min="10" max="10" width="9.140625" style="179"/>
    <col min="11" max="12" width="13.28515625" style="179" bestFit="1" customWidth="1"/>
    <col min="13" max="13" width="9.140625" style="179"/>
    <col min="14" max="14" width="13.28515625" style="179" bestFit="1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x14ac:dyDescent="0.25">
      <c r="A4" s="79" t="s">
        <v>270</v>
      </c>
      <c r="C4" s="45" t="str">
        <f>'7.0 önkormányzat össz'!D4</f>
        <v xml:space="preserve"> 12 / 2020. (VI.15) sz rendelet</v>
      </c>
    </row>
    <row r="5" spans="1:14" x14ac:dyDescent="0.25">
      <c r="A5" s="90" t="s">
        <v>338</v>
      </c>
      <c r="B5" s="81" t="s">
        <v>339</v>
      </c>
    </row>
    <row r="6" spans="1:14" x14ac:dyDescent="0.25">
      <c r="A6" s="90" t="s">
        <v>911</v>
      </c>
      <c r="C6" s="519" t="s">
        <v>729</v>
      </c>
      <c r="D6" s="622" t="str">
        <f>'7.0 önkormányzat össz'!D6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603953</v>
      </c>
      <c r="D9" s="244">
        <f>SUM(D10,D17,D18,D20,D21,D19)</f>
        <v>0</v>
      </c>
      <c r="E9" s="245">
        <f t="shared" ref="E9:E73" si="0">SUM(C9:D9)</f>
        <v>603953</v>
      </c>
      <c r="F9" s="244">
        <f>SUM(F10,F17,F18,F20,F21,F19)</f>
        <v>603953</v>
      </c>
      <c r="G9" s="244">
        <f>SUM(G10,G17,G18,G20,G21,G19)</f>
        <v>0</v>
      </c>
      <c r="H9" s="245">
        <f t="shared" ref="H9:H73" si="1">SUM(F9:G9)</f>
        <v>603953</v>
      </c>
      <c r="I9" s="244">
        <f>SUM(I10,I17,I18,I20,I21,I19)</f>
        <v>603953</v>
      </c>
      <c r="J9" s="244">
        <f>SUM(J10,J17,J18,J20,J21,J19)</f>
        <v>0</v>
      </c>
      <c r="K9" s="245">
        <f t="shared" ref="K9:K73" si="2">SUM(I9:J9)</f>
        <v>603953</v>
      </c>
      <c r="L9" s="244">
        <f>SUM(L10,L17,L18,L20,L21,L19)</f>
        <v>1192635</v>
      </c>
      <c r="M9" s="244">
        <f>SUM(M10,M17,M18,M20,M21,M19)</f>
        <v>0</v>
      </c>
      <c r="N9" s="245">
        <f t="shared" ref="N9:N73" si="3">SUM(L9:M9)</f>
        <v>1192635</v>
      </c>
    </row>
    <row r="10" spans="1:14" hidden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603953</v>
      </c>
      <c r="D21" s="248"/>
      <c r="E21" s="249">
        <f t="shared" si="0"/>
        <v>603953</v>
      </c>
      <c r="F21" s="248">
        <v>603953</v>
      </c>
      <c r="G21" s="248"/>
      <c r="H21" s="249">
        <f t="shared" si="1"/>
        <v>603953</v>
      </c>
      <c r="I21" s="248">
        <v>603953</v>
      </c>
      <c r="J21" s="248"/>
      <c r="K21" s="249">
        <f t="shared" si="2"/>
        <v>603953</v>
      </c>
      <c r="L21" s="317">
        <v>1192635</v>
      </c>
      <c r="M21" s="248"/>
      <c r="N21" s="249">
        <f t="shared" si="3"/>
        <v>1192635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190000</v>
      </c>
      <c r="M25" s="244">
        <f>M26+M30+M38</f>
        <v>0</v>
      </c>
      <c r="N25" s="245">
        <f t="shared" si="3"/>
        <v>190000</v>
      </c>
    </row>
    <row r="26" spans="1:14" hidden="1" x14ac:dyDescent="0.25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idden="1" x14ac:dyDescent="0.25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idden="1" x14ac:dyDescent="0.25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idden="1" x14ac:dyDescent="0.25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idden="1" x14ac:dyDescent="0.25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idden="1" x14ac:dyDescent="0.25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idden="1" x14ac:dyDescent="0.25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idden="1" x14ac:dyDescent="0.25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idden="1" x14ac:dyDescent="0.25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idden="1" x14ac:dyDescent="0.25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idden="1" x14ac:dyDescent="0.25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idden="1" x14ac:dyDescent="0.25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idden="1" x14ac:dyDescent="0.25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190000</v>
      </c>
      <c r="M38" s="246">
        <f>SUM(M39:M44)</f>
        <v>0</v>
      </c>
      <c r="N38" s="247">
        <f t="shared" si="3"/>
        <v>190000</v>
      </c>
    </row>
    <row r="39" spans="1:14" hidden="1" x14ac:dyDescent="0.25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idden="1" x14ac:dyDescent="0.25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idden="1" x14ac:dyDescent="0.25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idden="1" x14ac:dyDescent="0.25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>
        <v>190000</v>
      </c>
      <c r="M42" s="246"/>
      <c r="N42" s="247">
        <f t="shared" si="3"/>
        <v>190000</v>
      </c>
    </row>
    <row r="43" spans="1:14" hidden="1" x14ac:dyDescent="0.25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5495607</v>
      </c>
      <c r="D45" s="244">
        <f>D46+D47+D48+D49+D54+D55+D56+D57+D58+D59+D60</f>
        <v>0</v>
      </c>
      <c r="E45" s="245">
        <f t="shared" si="0"/>
        <v>5495607</v>
      </c>
      <c r="F45" s="244">
        <f>F46+F47+F48+F49+F54+F55+F56+F57+F58+F59+F60</f>
        <v>5495607</v>
      </c>
      <c r="G45" s="244">
        <f>G46+G47+G48+G49+G54+G55+G56+G57+G58+G59+G60</f>
        <v>0</v>
      </c>
      <c r="H45" s="245">
        <f t="shared" si="1"/>
        <v>5495607</v>
      </c>
      <c r="I45" s="244">
        <f>I46+I47+I48+I49+I54+I55+I56+I57+I58+I59+I60</f>
        <v>5495607</v>
      </c>
      <c r="J45" s="244">
        <f>J46+J47+J48+J49+J54+J55+J56+J57+J58+J59+J60</f>
        <v>0</v>
      </c>
      <c r="K45" s="245">
        <f t="shared" si="2"/>
        <v>5495607</v>
      </c>
      <c r="L45" s="244">
        <f>L46+L47+L48+L49+L54+L55+L56+L57+L58+L59+L60</f>
        <v>5384788</v>
      </c>
      <c r="M45" s="244">
        <f>M46+M47+M48+M49+M54+M55+M56+M57+M58+M59+M60</f>
        <v>0</v>
      </c>
      <c r="N45" s="245">
        <f t="shared" si="3"/>
        <v>5384788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>
        <f>629921+1548031+232048</f>
        <v>2410000</v>
      </c>
      <c r="D47" s="246"/>
      <c r="E47" s="247">
        <f t="shared" si="0"/>
        <v>2410000</v>
      </c>
      <c r="F47" s="246">
        <f>629921+1548031+232048</f>
        <v>2410000</v>
      </c>
      <c r="G47" s="246"/>
      <c r="H47" s="247">
        <f t="shared" si="1"/>
        <v>2410000</v>
      </c>
      <c r="I47" s="246">
        <f>629921+1548031+232048</f>
        <v>2410000</v>
      </c>
      <c r="J47" s="246"/>
      <c r="K47" s="247">
        <f t="shared" si="2"/>
        <v>2410000</v>
      </c>
      <c r="L47" s="246">
        <v>1364875</v>
      </c>
      <c r="M47" s="246"/>
      <c r="N47" s="247">
        <f t="shared" si="3"/>
        <v>1364875</v>
      </c>
    </row>
    <row r="48" spans="1:14" x14ac:dyDescent="0.25">
      <c r="A48" s="53" t="s">
        <v>99</v>
      </c>
      <c r="B48" s="62" t="s">
        <v>100</v>
      </c>
      <c r="C48" s="246">
        <f>1472441+397559</f>
        <v>1870000</v>
      </c>
      <c r="D48" s="246"/>
      <c r="E48" s="247">
        <f t="shared" si="0"/>
        <v>1870000</v>
      </c>
      <c r="F48" s="246">
        <f>1472441+397559</f>
        <v>1870000</v>
      </c>
      <c r="G48" s="246"/>
      <c r="H48" s="247">
        <f t="shared" si="1"/>
        <v>1870000</v>
      </c>
      <c r="I48" s="246">
        <f>1472441+397559</f>
        <v>1870000</v>
      </c>
      <c r="J48" s="246"/>
      <c r="K48" s="247">
        <f t="shared" si="2"/>
        <v>1870000</v>
      </c>
      <c r="L48" s="246">
        <f>695521+1477490</f>
        <v>2173011</v>
      </c>
      <c r="M48" s="246"/>
      <c r="N48" s="247">
        <f t="shared" si="3"/>
        <v>2173011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>
        <f>170079+417969+397559</f>
        <v>985607</v>
      </c>
      <c r="D55" s="246"/>
      <c r="E55" s="247">
        <f t="shared" si="0"/>
        <v>985607</v>
      </c>
      <c r="F55" s="246">
        <f>170079+417969+397559</f>
        <v>985607</v>
      </c>
      <c r="G55" s="246"/>
      <c r="H55" s="247">
        <f t="shared" si="1"/>
        <v>985607</v>
      </c>
      <c r="I55" s="246">
        <f>170079+417969+397559</f>
        <v>985607</v>
      </c>
      <c r="J55" s="246"/>
      <c r="K55" s="247">
        <f t="shared" si="2"/>
        <v>985607</v>
      </c>
      <c r="L55" s="246">
        <v>942821</v>
      </c>
      <c r="M55" s="246"/>
      <c r="N55" s="247">
        <f t="shared" si="3"/>
        <v>942821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>
        <v>30000</v>
      </c>
      <c r="D57" s="246"/>
      <c r="E57" s="247">
        <f t="shared" si="0"/>
        <v>30000</v>
      </c>
      <c r="F57" s="246">
        <v>30000</v>
      </c>
      <c r="G57" s="246"/>
      <c r="H57" s="247">
        <f t="shared" si="1"/>
        <v>30000</v>
      </c>
      <c r="I57" s="246">
        <v>30000</v>
      </c>
      <c r="J57" s="246"/>
      <c r="K57" s="247">
        <f t="shared" si="2"/>
        <v>30000</v>
      </c>
      <c r="L57" s="246">
        <v>30503</v>
      </c>
      <c r="M57" s="246"/>
      <c r="N57" s="247">
        <f t="shared" si="3"/>
        <v>30503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>
        <v>200000</v>
      </c>
      <c r="D60" s="248"/>
      <c r="E60" s="249">
        <f t="shared" si="0"/>
        <v>200000</v>
      </c>
      <c r="F60" s="248">
        <v>200000</v>
      </c>
      <c r="G60" s="248"/>
      <c r="H60" s="249">
        <f t="shared" si="1"/>
        <v>200000</v>
      </c>
      <c r="I60" s="248">
        <v>200000</v>
      </c>
      <c r="J60" s="248"/>
      <c r="K60" s="249">
        <f t="shared" si="2"/>
        <v>200000</v>
      </c>
      <c r="L60" s="248">
        <f>166978+680000+26600</f>
        <v>873578</v>
      </c>
      <c r="M60" s="248"/>
      <c r="N60" s="249">
        <f t="shared" si="3"/>
        <v>873578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21730</v>
      </c>
      <c r="M67" s="244">
        <f>SUM(M68:M69)</f>
        <v>0</v>
      </c>
      <c r="N67" s="245">
        <f t="shared" si="3"/>
        <v>21730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>
        <v>21730</v>
      </c>
      <c r="M69" s="248"/>
      <c r="N69" s="249">
        <f t="shared" si="3"/>
        <v>21730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46665</v>
      </c>
      <c r="M70" s="244">
        <f>M71</f>
        <v>0</v>
      </c>
      <c r="N70" s="245">
        <f t="shared" si="3"/>
        <v>46665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>
        <v>46665</v>
      </c>
      <c r="M71" s="248"/>
      <c r="N71" s="249">
        <f t="shared" si="3"/>
        <v>46665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>
        <v>5122863</v>
      </c>
      <c r="G72" s="254"/>
      <c r="H72" s="249">
        <f t="shared" si="1"/>
        <v>5122863</v>
      </c>
      <c r="I72" s="254">
        <v>5122863</v>
      </c>
      <c r="J72" s="254"/>
      <c r="K72" s="249">
        <f t="shared" si="2"/>
        <v>5122863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6099560</v>
      </c>
      <c r="D73" s="250">
        <f>D9+D22+D25+D45+D61+D67+D70</f>
        <v>0</v>
      </c>
      <c r="E73" s="251">
        <f t="shared" si="0"/>
        <v>6099560</v>
      </c>
      <c r="F73" s="250">
        <f>F9+F22+F25+F45+F61+F67+F70+F72</f>
        <v>11222423</v>
      </c>
      <c r="G73" s="250">
        <f>G9+G22+G25+G45+G61+G67+G70</f>
        <v>0</v>
      </c>
      <c r="H73" s="251">
        <f t="shared" si="1"/>
        <v>11222423</v>
      </c>
      <c r="I73" s="250">
        <f>I9+I22+I25+I45+I61+I67+I70+I72</f>
        <v>11222423</v>
      </c>
      <c r="J73" s="250">
        <f>J9+J22+J25+J45+J61+J67+J70</f>
        <v>0</v>
      </c>
      <c r="K73" s="251">
        <f t="shared" si="2"/>
        <v>11222423</v>
      </c>
      <c r="L73" s="250">
        <f>L9+L22+L25+L45+L61+L67+L70+L72</f>
        <v>6835818</v>
      </c>
      <c r="M73" s="250">
        <f>M9+M22+M25+M45+M61+M67+M70</f>
        <v>0</v>
      </c>
      <c r="N73" s="251">
        <f t="shared" si="3"/>
        <v>6835818</v>
      </c>
    </row>
    <row r="74" spans="1:14" x14ac:dyDescent="0.25">
      <c r="A74" s="57" t="s">
        <v>143</v>
      </c>
      <c r="B74" s="68" t="s">
        <v>144</v>
      </c>
      <c r="C74" s="244">
        <f>C75+C83</f>
        <v>340379511</v>
      </c>
      <c r="D74" s="244">
        <f>D75+D83</f>
        <v>0</v>
      </c>
      <c r="E74" s="245">
        <f t="shared" ref="E74:E85" si="4">SUM(C74:D74)</f>
        <v>340379511</v>
      </c>
      <c r="F74" s="244">
        <f>F75+F83</f>
        <v>343921584</v>
      </c>
      <c r="G74" s="244">
        <f>G75+G83</f>
        <v>0</v>
      </c>
      <c r="H74" s="245">
        <f t="shared" ref="H74:H81" si="5">SUM(F74:G74)</f>
        <v>343921584</v>
      </c>
      <c r="I74" s="244">
        <f>I75+I83</f>
        <v>343921584</v>
      </c>
      <c r="J74" s="244">
        <f>J75+J83</f>
        <v>0</v>
      </c>
      <c r="K74" s="245">
        <f t="shared" ref="K74:K81" si="6">SUM(I74:J74)</f>
        <v>343921584</v>
      </c>
      <c r="L74" s="244">
        <f>L75+L83</f>
        <v>343921584</v>
      </c>
      <c r="M74" s="244">
        <f>M75+M83</f>
        <v>0</v>
      </c>
      <c r="N74" s="245">
        <f t="shared" ref="N74:N81" si="7">SUM(L74:M74)</f>
        <v>343921584</v>
      </c>
    </row>
    <row r="75" spans="1:14" x14ac:dyDescent="0.25">
      <c r="A75" s="53" t="s">
        <v>145</v>
      </c>
      <c r="B75" s="62" t="s">
        <v>146</v>
      </c>
      <c r="C75" s="246">
        <f t="shared" ref="C75:D75" si="8">SUM(C76:C77,C78,C79,C83,C82)</f>
        <v>340379511</v>
      </c>
      <c r="D75" s="246">
        <f t="shared" si="8"/>
        <v>0</v>
      </c>
      <c r="E75" s="247">
        <f t="shared" si="4"/>
        <v>340379511</v>
      </c>
      <c r="F75" s="246">
        <f t="shared" ref="F75:G75" si="9">SUM(F76:F77,F78,F79,F83,F82)</f>
        <v>343921584</v>
      </c>
      <c r="G75" s="246">
        <f t="shared" si="9"/>
        <v>0</v>
      </c>
      <c r="H75" s="247">
        <f t="shared" si="5"/>
        <v>343921584</v>
      </c>
      <c r="I75" s="246">
        <f t="shared" ref="I75:J75" si="10">SUM(I76:I77,I78,I79,I83,I82)</f>
        <v>343921584</v>
      </c>
      <c r="J75" s="246">
        <f t="shared" si="10"/>
        <v>0</v>
      </c>
      <c r="K75" s="247">
        <f t="shared" si="6"/>
        <v>343921584</v>
      </c>
      <c r="L75" s="246">
        <f t="shared" ref="L75:M75" si="11">SUM(L76:L77,L78,L79,L83,L82)</f>
        <v>343921584</v>
      </c>
      <c r="M75" s="246">
        <f t="shared" si="11"/>
        <v>0</v>
      </c>
      <c r="N75" s="247">
        <f t="shared" si="7"/>
        <v>343921584</v>
      </c>
    </row>
    <row r="76" spans="1:14" hidden="1" x14ac:dyDescent="0.25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idden="1" x14ac:dyDescent="0.25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idden="1" x14ac:dyDescent="0.25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x14ac:dyDescent="0.25">
      <c r="A79" s="53" t="s">
        <v>153</v>
      </c>
      <c r="B79" s="62" t="s">
        <v>154</v>
      </c>
      <c r="C79" s="246">
        <f>SUM(C80:C81)</f>
        <v>340379511</v>
      </c>
      <c r="D79" s="246">
        <f>SUM(D80:D81)</f>
        <v>0</v>
      </c>
      <c r="E79" s="247">
        <f t="shared" si="4"/>
        <v>340379511</v>
      </c>
      <c r="F79" s="246">
        <f>SUM(F80:F81)</f>
        <v>343921584</v>
      </c>
      <c r="G79" s="246">
        <f>SUM(G80:G81)</f>
        <v>0</v>
      </c>
      <c r="H79" s="247">
        <f t="shared" si="5"/>
        <v>343921584</v>
      </c>
      <c r="I79" s="246">
        <f>SUM(I80:I81)</f>
        <v>343921584</v>
      </c>
      <c r="J79" s="246">
        <f>SUM(J80:J81)</f>
        <v>0</v>
      </c>
      <c r="K79" s="247">
        <f t="shared" si="6"/>
        <v>343921584</v>
      </c>
      <c r="L79" s="246">
        <f>SUM(L80:L81)</f>
        <v>343921584</v>
      </c>
      <c r="M79" s="246">
        <f>SUM(M80:M81)</f>
        <v>0</v>
      </c>
      <c r="N79" s="247">
        <f t="shared" si="7"/>
        <v>343921584</v>
      </c>
    </row>
    <row r="80" spans="1:14" x14ac:dyDescent="0.25">
      <c r="A80" s="53"/>
      <c r="B80" s="62" t="s">
        <v>29</v>
      </c>
      <c r="C80" s="246">
        <v>340379511</v>
      </c>
      <c r="D80" s="246"/>
      <c r="E80" s="247">
        <f t="shared" si="4"/>
        <v>340379511</v>
      </c>
      <c r="F80" s="246">
        <f>340379511+3542073</f>
        <v>343921584</v>
      </c>
      <c r="G80" s="246"/>
      <c r="H80" s="247">
        <f t="shared" si="5"/>
        <v>343921584</v>
      </c>
      <c r="I80" s="246">
        <f>340379511+3542073</f>
        <v>343921584</v>
      </c>
      <c r="J80" s="246"/>
      <c r="K80" s="247">
        <f t="shared" si="6"/>
        <v>343921584</v>
      </c>
      <c r="L80" s="246">
        <f>340379511+3542073</f>
        <v>343921584</v>
      </c>
      <c r="M80" s="246"/>
      <c r="N80" s="247">
        <f t="shared" si="7"/>
        <v>343921584</v>
      </c>
    </row>
    <row r="81" spans="1:14" ht="15.75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346479071</v>
      </c>
      <c r="D85" s="250">
        <f>D73+D74</f>
        <v>0</v>
      </c>
      <c r="E85" s="251">
        <f t="shared" si="4"/>
        <v>346479071</v>
      </c>
      <c r="F85" s="250">
        <f>F73+F74</f>
        <v>355144007</v>
      </c>
      <c r="G85" s="250">
        <f>G73+G74</f>
        <v>0</v>
      </c>
      <c r="H85" s="251">
        <f t="shared" si="12"/>
        <v>355144007</v>
      </c>
      <c r="I85" s="250">
        <f>I73+I74</f>
        <v>355144007</v>
      </c>
      <c r="J85" s="250">
        <f>J73+J74</f>
        <v>0</v>
      </c>
      <c r="K85" s="251">
        <f t="shared" si="13"/>
        <v>355144007</v>
      </c>
      <c r="L85" s="250">
        <f>L73+L74</f>
        <v>350757402</v>
      </c>
      <c r="M85" s="250">
        <f>M73+M74</f>
        <v>0</v>
      </c>
      <c r="N85" s="251">
        <f t="shared" si="14"/>
        <v>350757402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>
        <f>H85-E85</f>
        <v>8664936</v>
      </c>
      <c r="I86" s="148"/>
      <c r="J86" s="148"/>
      <c r="K86" s="148">
        <f>K85-H85</f>
        <v>0</v>
      </c>
      <c r="L86" s="148"/>
      <c r="M86" s="148"/>
      <c r="N86" s="148">
        <f>N85-K85</f>
        <v>-4386605</v>
      </c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30847320</v>
      </c>
      <c r="D88" s="244">
        <f>D89+D101</f>
        <v>0</v>
      </c>
      <c r="E88" s="253">
        <f t="shared" ref="E88:E150" si="15">SUM(C88:D88)</f>
        <v>30847320</v>
      </c>
      <c r="F88" s="244">
        <f>F89+F101</f>
        <v>30847320</v>
      </c>
      <c r="G88" s="244">
        <f>G89+G101</f>
        <v>0</v>
      </c>
      <c r="H88" s="253">
        <f t="shared" ref="H88:H90" si="16">SUM(F88:G88)</f>
        <v>30847320</v>
      </c>
      <c r="I88" s="244">
        <f>I89+I101</f>
        <v>30439075</v>
      </c>
      <c r="J88" s="244">
        <f>J89+J101</f>
        <v>0</v>
      </c>
      <c r="K88" s="253">
        <f t="shared" ref="K88:K90" si="17">SUM(I88:J88)</f>
        <v>30439075</v>
      </c>
      <c r="L88" s="244">
        <f>L89+L101</f>
        <v>29685846</v>
      </c>
      <c r="M88" s="244">
        <f>M89+M101</f>
        <v>0</v>
      </c>
      <c r="N88" s="253">
        <f t="shared" ref="N88:N90" si="18">SUM(L88:M88)</f>
        <v>29685846</v>
      </c>
    </row>
    <row r="89" spans="1:14" x14ac:dyDescent="0.25">
      <c r="A89" s="61" t="s">
        <v>161</v>
      </c>
      <c r="B89" s="62" t="s">
        <v>162</v>
      </c>
      <c r="C89" s="246">
        <f>SUM(C90:C100)</f>
        <v>3651640</v>
      </c>
      <c r="D89" s="246">
        <f>SUM(D90:D100)</f>
        <v>0</v>
      </c>
      <c r="E89" s="247">
        <f t="shared" si="15"/>
        <v>3651640</v>
      </c>
      <c r="F89" s="246">
        <f>SUM(F90:F100)</f>
        <v>3651640</v>
      </c>
      <c r="G89" s="246">
        <f>SUM(G90:G100)</f>
        <v>0</v>
      </c>
      <c r="H89" s="247">
        <f t="shared" si="16"/>
        <v>3651640</v>
      </c>
      <c r="I89" s="316">
        <f>SUM(I90:I100)</f>
        <v>4635152</v>
      </c>
      <c r="J89" s="246">
        <f>SUM(J90:J100)</f>
        <v>0</v>
      </c>
      <c r="K89" s="247">
        <f t="shared" si="17"/>
        <v>4635152</v>
      </c>
      <c r="L89" s="316">
        <f>SUM(L90:L100)</f>
        <v>4633592</v>
      </c>
      <c r="M89" s="246">
        <f>SUM(M90:M100)</f>
        <v>0</v>
      </c>
      <c r="N89" s="247">
        <f t="shared" si="18"/>
        <v>4633592</v>
      </c>
    </row>
    <row r="90" spans="1:14" x14ac:dyDescent="0.25">
      <c r="A90" s="61" t="s">
        <v>163</v>
      </c>
      <c r="B90" s="62" t="s">
        <v>164</v>
      </c>
      <c r="C90" s="366">
        <v>2460000</v>
      </c>
      <c r="D90" s="246"/>
      <c r="E90" s="247">
        <f t="shared" si="15"/>
        <v>2460000</v>
      </c>
      <c r="F90" s="366">
        <v>2460000</v>
      </c>
      <c r="G90" s="246"/>
      <c r="H90" s="247">
        <f t="shared" si="16"/>
        <v>2460000</v>
      </c>
      <c r="I90" s="336">
        <f>2203753+900000+214</f>
        <v>3103967</v>
      </c>
      <c r="J90" s="246"/>
      <c r="K90" s="247">
        <f t="shared" si="17"/>
        <v>3103967</v>
      </c>
      <c r="L90" s="336">
        <f>2203753+900000</f>
        <v>3103753</v>
      </c>
      <c r="M90" s="246"/>
      <c r="N90" s="247">
        <f t="shared" si="18"/>
        <v>3103753</v>
      </c>
    </row>
    <row r="91" spans="1:14" s="179" customFormat="1" x14ac:dyDescent="0.25">
      <c r="A91" s="190" t="s">
        <v>533</v>
      </c>
      <c r="B91" s="180" t="s">
        <v>534</v>
      </c>
      <c r="C91" s="366">
        <v>100000</v>
      </c>
      <c r="D91" s="246"/>
      <c r="E91" s="247"/>
      <c r="F91" s="366">
        <v>100000</v>
      </c>
      <c r="G91" s="246"/>
      <c r="H91" s="247"/>
      <c r="I91" s="336">
        <f>279638-275</f>
        <v>279363</v>
      </c>
      <c r="J91" s="246"/>
      <c r="K91" s="247"/>
      <c r="L91" s="336">
        <v>279638</v>
      </c>
      <c r="M91" s="246"/>
      <c r="N91" s="247"/>
    </row>
    <row r="92" spans="1:14" x14ac:dyDescent="0.25">
      <c r="A92" s="61" t="s">
        <v>165</v>
      </c>
      <c r="B92" s="62" t="s">
        <v>166</v>
      </c>
      <c r="C92" s="366"/>
      <c r="D92" s="246"/>
      <c r="E92" s="247">
        <f t="shared" si="15"/>
        <v>0</v>
      </c>
      <c r="F92" s="366"/>
      <c r="G92" s="246"/>
      <c r="H92" s="247">
        <f t="shared" ref="H92:H145" si="19">SUM(F92:G92)</f>
        <v>0</v>
      </c>
      <c r="I92" s="336"/>
      <c r="J92" s="246"/>
      <c r="K92" s="247">
        <f t="shared" ref="K92:K145" si="20">SUM(I92:J92)</f>
        <v>0</v>
      </c>
      <c r="L92" s="336"/>
      <c r="M92" s="246"/>
      <c r="N92" s="247">
        <f t="shared" ref="N92:N145" si="21">SUM(L92:M92)</f>
        <v>0</v>
      </c>
    </row>
    <row r="93" spans="1:14" x14ac:dyDescent="0.25">
      <c r="A93" s="61" t="s">
        <v>167</v>
      </c>
      <c r="B93" s="62" t="s">
        <v>168</v>
      </c>
      <c r="C93" s="366"/>
      <c r="D93" s="246"/>
      <c r="E93" s="247">
        <f t="shared" si="15"/>
        <v>0</v>
      </c>
      <c r="F93" s="366"/>
      <c r="G93" s="246"/>
      <c r="H93" s="247">
        <f t="shared" si="19"/>
        <v>0</v>
      </c>
      <c r="I93" s="336"/>
      <c r="J93" s="246"/>
      <c r="K93" s="247">
        <f t="shared" si="20"/>
        <v>0</v>
      </c>
      <c r="L93" s="336"/>
      <c r="M93" s="246"/>
      <c r="N93" s="247">
        <f t="shared" si="21"/>
        <v>0</v>
      </c>
    </row>
    <row r="94" spans="1:14" x14ac:dyDescent="0.25">
      <c r="A94" s="61" t="s">
        <v>169</v>
      </c>
      <c r="B94" s="62" t="s">
        <v>170</v>
      </c>
      <c r="C94" s="366"/>
      <c r="D94" s="246"/>
      <c r="E94" s="247">
        <f t="shared" si="15"/>
        <v>0</v>
      </c>
      <c r="F94" s="366"/>
      <c r="G94" s="246"/>
      <c r="H94" s="247">
        <f t="shared" si="19"/>
        <v>0</v>
      </c>
      <c r="I94" s="336"/>
      <c r="J94" s="246"/>
      <c r="K94" s="247">
        <f t="shared" si="20"/>
        <v>0</v>
      </c>
      <c r="L94" s="33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366"/>
      <c r="D95" s="246"/>
      <c r="E95" s="247">
        <f t="shared" si="15"/>
        <v>0</v>
      </c>
      <c r="F95" s="366"/>
      <c r="G95" s="246"/>
      <c r="H95" s="247">
        <f t="shared" si="19"/>
        <v>0</v>
      </c>
      <c r="I95" s="336"/>
      <c r="J95" s="246"/>
      <c r="K95" s="247">
        <f t="shared" si="20"/>
        <v>0</v>
      </c>
      <c r="L95" s="33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366">
        <v>540000</v>
      </c>
      <c r="D96" s="246"/>
      <c r="E96" s="247">
        <f t="shared" si="15"/>
        <v>540000</v>
      </c>
      <c r="F96" s="366">
        <v>540000</v>
      </c>
      <c r="G96" s="246"/>
      <c r="H96" s="247">
        <f t="shared" si="19"/>
        <v>540000</v>
      </c>
      <c r="I96" s="336">
        <f>540000-15000</f>
        <v>525000</v>
      </c>
      <c r="J96" s="246"/>
      <c r="K96" s="247">
        <f t="shared" si="20"/>
        <v>525000</v>
      </c>
      <c r="L96" s="336">
        <f>495000+22500</f>
        <v>517500</v>
      </c>
      <c r="M96" s="246"/>
      <c r="N96" s="247">
        <f t="shared" si="21"/>
        <v>517500</v>
      </c>
    </row>
    <row r="97" spans="1:14" x14ac:dyDescent="0.25">
      <c r="A97" s="61" t="s">
        <v>175</v>
      </c>
      <c r="B97" s="62" t="s">
        <v>176</v>
      </c>
      <c r="C97" s="366">
        <v>551640</v>
      </c>
      <c r="D97" s="246"/>
      <c r="E97" s="247">
        <f t="shared" si="15"/>
        <v>551640</v>
      </c>
      <c r="F97" s="366">
        <v>551640</v>
      </c>
      <c r="G97" s="246"/>
      <c r="H97" s="247">
        <f t="shared" si="19"/>
        <v>551640</v>
      </c>
      <c r="I97" s="336">
        <v>551640</v>
      </c>
      <c r="J97" s="246"/>
      <c r="K97" s="247">
        <f t="shared" si="20"/>
        <v>551640</v>
      </c>
      <c r="L97" s="336">
        <f>498115+60450</f>
        <v>558565</v>
      </c>
      <c r="M97" s="246"/>
      <c r="N97" s="247">
        <f t="shared" si="21"/>
        <v>558565</v>
      </c>
    </row>
    <row r="98" spans="1:14" x14ac:dyDescent="0.25">
      <c r="A98" s="61" t="s">
        <v>177</v>
      </c>
      <c r="B98" s="62" t="s">
        <v>178</v>
      </c>
      <c r="C98" s="366"/>
      <c r="D98" s="246"/>
      <c r="E98" s="247">
        <f t="shared" si="15"/>
        <v>0</v>
      </c>
      <c r="F98" s="366"/>
      <c r="G98" s="246"/>
      <c r="H98" s="247">
        <f t="shared" si="19"/>
        <v>0</v>
      </c>
      <c r="I98" s="336"/>
      <c r="J98" s="246"/>
      <c r="K98" s="247">
        <f t="shared" si="20"/>
        <v>0</v>
      </c>
      <c r="L98" s="33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366"/>
      <c r="D99" s="246"/>
      <c r="E99" s="247">
        <f t="shared" si="15"/>
        <v>0</v>
      </c>
      <c r="F99" s="366"/>
      <c r="G99" s="246"/>
      <c r="H99" s="247">
        <f t="shared" si="19"/>
        <v>0</v>
      </c>
      <c r="I99" s="336"/>
      <c r="J99" s="246"/>
      <c r="K99" s="247">
        <f t="shared" si="20"/>
        <v>0</v>
      </c>
      <c r="L99" s="33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366"/>
      <c r="D100" s="246"/>
      <c r="E100" s="247">
        <f t="shared" si="15"/>
        <v>0</v>
      </c>
      <c r="F100" s="366"/>
      <c r="G100" s="246"/>
      <c r="H100" s="247">
        <f t="shared" si="19"/>
        <v>0</v>
      </c>
      <c r="I100" s="336">
        <f>95875+78261+1046</f>
        <v>175182</v>
      </c>
      <c r="J100" s="246"/>
      <c r="K100" s="247">
        <f t="shared" si="20"/>
        <v>175182</v>
      </c>
      <c r="L100" s="336">
        <f>95875+78261</f>
        <v>174136</v>
      </c>
      <c r="M100" s="246"/>
      <c r="N100" s="247">
        <f t="shared" si="21"/>
        <v>174136</v>
      </c>
    </row>
    <row r="101" spans="1:14" x14ac:dyDescent="0.25">
      <c r="A101" s="61" t="s">
        <v>183</v>
      </c>
      <c r="B101" s="62" t="s">
        <v>184</v>
      </c>
      <c r="C101" s="366">
        <f>SUM(C102:C104)</f>
        <v>27195680</v>
      </c>
      <c r="D101" s="246">
        <f>SUM(D102:D104)</f>
        <v>0</v>
      </c>
      <c r="E101" s="247">
        <f t="shared" si="15"/>
        <v>27195680</v>
      </c>
      <c r="F101" s="366">
        <f>SUM(F102:F104)</f>
        <v>27195680</v>
      </c>
      <c r="G101" s="246">
        <f>SUM(G102:G104)</f>
        <v>0</v>
      </c>
      <c r="H101" s="247">
        <f t="shared" si="19"/>
        <v>27195680</v>
      </c>
      <c r="I101" s="336">
        <f>SUM(I102:I104)</f>
        <v>25803923</v>
      </c>
      <c r="J101" s="246">
        <f>SUM(J102:J104)</f>
        <v>0</v>
      </c>
      <c r="K101" s="247">
        <f t="shared" si="20"/>
        <v>25803923</v>
      </c>
      <c r="L101" s="336">
        <f>SUM(L102:L104)</f>
        <v>25052254</v>
      </c>
      <c r="M101" s="246">
        <f>SUM(M102:M104)</f>
        <v>0</v>
      </c>
      <c r="N101" s="247">
        <f t="shared" si="21"/>
        <v>25052254</v>
      </c>
    </row>
    <row r="102" spans="1:14" x14ac:dyDescent="0.25">
      <c r="A102" s="61" t="s">
        <v>185</v>
      </c>
      <c r="B102" s="62" t="s">
        <v>186</v>
      </c>
      <c r="C102" s="366">
        <v>19595680</v>
      </c>
      <c r="D102" s="246"/>
      <c r="E102" s="247">
        <f t="shared" si="15"/>
        <v>19595680</v>
      </c>
      <c r="F102" s="366">
        <v>19595680</v>
      </c>
      <c r="G102" s="246"/>
      <c r="H102" s="247">
        <f t="shared" si="19"/>
        <v>19595680</v>
      </c>
      <c r="I102" s="366">
        <v>19595680</v>
      </c>
      <c r="J102" s="246"/>
      <c r="K102" s="247">
        <f t="shared" si="20"/>
        <v>19595680</v>
      </c>
      <c r="L102" s="366">
        <v>19353286</v>
      </c>
      <c r="M102" s="246"/>
      <c r="N102" s="247">
        <f t="shared" si="21"/>
        <v>19353286</v>
      </c>
    </row>
    <row r="103" spans="1:14" x14ac:dyDescent="0.25">
      <c r="A103" s="61" t="s">
        <v>187</v>
      </c>
      <c r="B103" s="62" t="s">
        <v>188</v>
      </c>
      <c r="C103" s="366">
        <v>2600000</v>
      </c>
      <c r="D103" s="246"/>
      <c r="E103" s="247">
        <f t="shared" si="15"/>
        <v>2600000</v>
      </c>
      <c r="F103" s="366">
        <v>2600000</v>
      </c>
      <c r="G103" s="246"/>
      <c r="H103" s="247">
        <f t="shared" si="19"/>
        <v>2600000</v>
      </c>
      <c r="I103" s="366">
        <v>2520000</v>
      </c>
      <c r="J103" s="246"/>
      <c r="K103" s="247">
        <f t="shared" si="20"/>
        <v>2520000</v>
      </c>
      <c r="L103" s="366">
        <v>2520000</v>
      </c>
      <c r="M103" s="246"/>
      <c r="N103" s="247">
        <f t="shared" si="21"/>
        <v>2520000</v>
      </c>
    </row>
    <row r="104" spans="1:14" ht="15.75" thickBot="1" x14ac:dyDescent="0.3">
      <c r="A104" s="63" t="s">
        <v>189</v>
      </c>
      <c r="B104" s="64" t="s">
        <v>190</v>
      </c>
      <c r="C104" s="248">
        <v>5000000</v>
      </c>
      <c r="D104" s="248"/>
      <c r="E104" s="249">
        <f t="shared" si="15"/>
        <v>5000000</v>
      </c>
      <c r="F104" s="248">
        <v>5000000</v>
      </c>
      <c r="G104" s="248"/>
      <c r="H104" s="249">
        <f t="shared" si="19"/>
        <v>5000000</v>
      </c>
      <c r="I104" s="248">
        <f>3178968+475392+33883</f>
        <v>3688243</v>
      </c>
      <c r="J104" s="248"/>
      <c r="K104" s="249">
        <f t="shared" si="20"/>
        <v>3688243</v>
      </c>
      <c r="L104" s="248">
        <v>3178968</v>
      </c>
      <c r="M104" s="248"/>
      <c r="N104" s="249">
        <f t="shared" si="21"/>
        <v>3178968</v>
      </c>
    </row>
    <row r="105" spans="1:14" x14ac:dyDescent="0.25">
      <c r="A105" s="60" t="s">
        <v>191</v>
      </c>
      <c r="B105" s="48" t="s">
        <v>192</v>
      </c>
      <c r="C105" s="244">
        <f>SUM(C106:C110)</f>
        <v>9509139</v>
      </c>
      <c r="D105" s="244">
        <f>SUM(D106:D110)</f>
        <v>0</v>
      </c>
      <c r="E105" s="245">
        <f t="shared" si="15"/>
        <v>9509139</v>
      </c>
      <c r="F105" s="244">
        <f>SUM(F106:F110)</f>
        <v>9509139</v>
      </c>
      <c r="G105" s="244">
        <f>SUM(G106:G110)</f>
        <v>0</v>
      </c>
      <c r="H105" s="245">
        <f t="shared" si="19"/>
        <v>9509139</v>
      </c>
      <c r="I105" s="244">
        <f>SUM(I106:I110)</f>
        <v>9113954</v>
      </c>
      <c r="J105" s="244">
        <f>SUM(J106:J110)</f>
        <v>0</v>
      </c>
      <c r="K105" s="245">
        <f t="shared" si="20"/>
        <v>9113954</v>
      </c>
      <c r="L105" s="244">
        <f>SUM(L106:L110)</f>
        <v>9240084</v>
      </c>
      <c r="M105" s="244">
        <f>SUM(M106:M110)</f>
        <v>0</v>
      </c>
      <c r="N105" s="245">
        <f t="shared" si="21"/>
        <v>9240084</v>
      </c>
    </row>
    <row r="106" spans="1:14" x14ac:dyDescent="0.25">
      <c r="A106" s="61"/>
      <c r="B106" s="62" t="s">
        <v>193</v>
      </c>
      <c r="C106" s="246">
        <v>4737195</v>
      </c>
      <c r="D106" s="246"/>
      <c r="E106" s="247">
        <f t="shared" si="15"/>
        <v>4737195</v>
      </c>
      <c r="F106" s="246">
        <v>4737195</v>
      </c>
      <c r="G106" s="246"/>
      <c r="H106" s="247">
        <f t="shared" si="19"/>
        <v>4737195</v>
      </c>
      <c r="I106" s="246">
        <f>4737195+58800+1276778-450000+187434-200000+80834</f>
        <v>5691041</v>
      </c>
      <c r="J106" s="246"/>
      <c r="K106" s="247">
        <f t="shared" si="20"/>
        <v>5691041</v>
      </c>
      <c r="L106" s="246">
        <f>5601358+187434</f>
        <v>5788792</v>
      </c>
      <c r="M106" s="246"/>
      <c r="N106" s="247">
        <f t="shared" si="21"/>
        <v>5788792</v>
      </c>
    </row>
    <row r="107" spans="1:14" x14ac:dyDescent="0.25">
      <c r="A107" s="61"/>
      <c r="B107" s="62" t="s">
        <v>194</v>
      </c>
      <c r="C107" s="246">
        <v>2413800</v>
      </c>
      <c r="D107" s="246"/>
      <c r="E107" s="247">
        <f t="shared" si="15"/>
        <v>2413800</v>
      </c>
      <c r="F107" s="246">
        <v>2413800</v>
      </c>
      <c r="G107" s="246"/>
      <c r="H107" s="247">
        <f t="shared" si="19"/>
        <v>2413800</v>
      </c>
      <c r="I107" s="246">
        <f>2413800-58800</f>
        <v>2355000</v>
      </c>
      <c r="J107" s="246"/>
      <c r="K107" s="247">
        <f t="shared" si="20"/>
        <v>2355000</v>
      </c>
      <c r="L107" s="246">
        <f>2413800-58800</f>
        <v>2355000</v>
      </c>
      <c r="M107" s="246"/>
      <c r="N107" s="247">
        <f t="shared" si="21"/>
        <v>2355000</v>
      </c>
    </row>
    <row r="108" spans="1:14" x14ac:dyDescent="0.25">
      <c r="A108" s="63"/>
      <c r="B108" s="64" t="s">
        <v>195</v>
      </c>
      <c r="C108" s="246">
        <v>1332864</v>
      </c>
      <c r="D108" s="246"/>
      <c r="E108" s="247">
        <f t="shared" si="15"/>
        <v>1332864</v>
      </c>
      <c r="F108" s="246">
        <v>1332864</v>
      </c>
      <c r="G108" s="246"/>
      <c r="H108" s="247">
        <f t="shared" si="19"/>
        <v>1332864</v>
      </c>
      <c r="I108" s="246">
        <f>1332864-1276778</f>
        <v>56086</v>
      </c>
      <c r="J108" s="246"/>
      <c r="K108" s="247">
        <f t="shared" si="20"/>
        <v>56086</v>
      </c>
      <c r="L108" s="246">
        <v>84465</v>
      </c>
      <c r="M108" s="246"/>
      <c r="N108" s="247">
        <f t="shared" si="21"/>
        <v>84465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>
        <v>11625</v>
      </c>
      <c r="J109" s="246"/>
      <c r="K109" s="247">
        <f t="shared" si="20"/>
        <v>11625</v>
      </c>
      <c r="L109" s="246">
        <v>11625</v>
      </c>
      <c r="M109" s="246"/>
      <c r="N109" s="247">
        <f t="shared" si="21"/>
        <v>11625</v>
      </c>
    </row>
    <row r="110" spans="1:14" ht="15.75" thickBot="1" x14ac:dyDescent="0.3">
      <c r="A110" s="63"/>
      <c r="B110" s="64" t="s">
        <v>197</v>
      </c>
      <c r="C110" s="248">
        <v>1025280</v>
      </c>
      <c r="D110" s="248"/>
      <c r="E110" s="249">
        <f t="shared" si="15"/>
        <v>1025280</v>
      </c>
      <c r="F110" s="248">
        <v>1025280</v>
      </c>
      <c r="G110" s="248"/>
      <c r="H110" s="249">
        <f t="shared" si="19"/>
        <v>1025280</v>
      </c>
      <c r="I110" s="248">
        <f>1025280-25000-78</f>
        <v>1000202</v>
      </c>
      <c r="J110" s="248"/>
      <c r="K110" s="249">
        <f t="shared" si="20"/>
        <v>1000202</v>
      </c>
      <c r="L110" s="248">
        <f>1025280-25000-78</f>
        <v>1000202</v>
      </c>
      <c r="M110" s="248"/>
      <c r="N110" s="249">
        <f t="shared" si="21"/>
        <v>1000202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57076543</v>
      </c>
      <c r="D111" s="244">
        <f>SUM(D112:D113,D114,D123,D122)</f>
        <v>0</v>
      </c>
      <c r="E111" s="245">
        <f t="shared" si="15"/>
        <v>57076543</v>
      </c>
      <c r="F111" s="244">
        <f>SUM(F112:F113,F114,F123,F122)</f>
        <v>57076543</v>
      </c>
      <c r="G111" s="244">
        <f>SUM(G112:G113,G114,G123,G122)</f>
        <v>0</v>
      </c>
      <c r="H111" s="245">
        <f t="shared" si="19"/>
        <v>57076543</v>
      </c>
      <c r="I111" s="244">
        <f>SUM(I112:I113,I114,I123,I122)</f>
        <v>66174988</v>
      </c>
      <c r="J111" s="244">
        <f>SUM(J112:J113,J114,J123,J122)</f>
        <v>0</v>
      </c>
      <c r="K111" s="245">
        <f t="shared" si="20"/>
        <v>66174988</v>
      </c>
      <c r="L111" s="244">
        <f>SUM(L112:L113,L114,L123,L122)</f>
        <v>48325177</v>
      </c>
      <c r="M111" s="244">
        <f>SUM(M112:M113,M114,M123,M122)</f>
        <v>0</v>
      </c>
      <c r="N111" s="245">
        <f t="shared" si="21"/>
        <v>48325177</v>
      </c>
    </row>
    <row r="112" spans="1:14" x14ac:dyDescent="0.25">
      <c r="A112" s="61" t="s">
        <v>199</v>
      </c>
      <c r="B112" s="62" t="s">
        <v>200</v>
      </c>
      <c r="C112" s="246">
        <v>2200000</v>
      </c>
      <c r="D112" s="246"/>
      <c r="E112" s="247">
        <f t="shared" si="15"/>
        <v>2200000</v>
      </c>
      <c r="F112" s="246">
        <v>2200000</v>
      </c>
      <c r="G112" s="246"/>
      <c r="H112" s="247">
        <f t="shared" si="19"/>
        <v>2200000</v>
      </c>
      <c r="I112" s="246">
        <v>1680000</v>
      </c>
      <c r="J112" s="246"/>
      <c r="K112" s="247">
        <f t="shared" si="20"/>
        <v>1680000</v>
      </c>
      <c r="L112" s="246">
        <v>1675857</v>
      </c>
      <c r="M112" s="246"/>
      <c r="N112" s="247">
        <f t="shared" si="21"/>
        <v>1675857</v>
      </c>
    </row>
    <row r="113" spans="1:14" x14ac:dyDescent="0.25">
      <c r="A113" s="61" t="s">
        <v>201</v>
      </c>
      <c r="B113" s="62" t="s">
        <v>202</v>
      </c>
      <c r="C113" s="246">
        <v>730000</v>
      </c>
      <c r="D113" s="246"/>
      <c r="E113" s="247">
        <f t="shared" si="15"/>
        <v>730000</v>
      </c>
      <c r="F113" s="246">
        <v>730000</v>
      </c>
      <c r="G113" s="246"/>
      <c r="H113" s="247">
        <f t="shared" si="19"/>
        <v>730000</v>
      </c>
      <c r="I113" s="246">
        <v>730000</v>
      </c>
      <c r="J113" s="246"/>
      <c r="K113" s="247">
        <f t="shared" si="20"/>
        <v>730000</v>
      </c>
      <c r="L113" s="246">
        <f>375272+296916</f>
        <v>672188</v>
      </c>
      <c r="M113" s="246"/>
      <c r="N113" s="247">
        <f t="shared" si="21"/>
        <v>672188</v>
      </c>
    </row>
    <row r="114" spans="1:14" x14ac:dyDescent="0.25">
      <c r="A114" s="61" t="s">
        <v>203</v>
      </c>
      <c r="B114" s="62" t="s">
        <v>204</v>
      </c>
      <c r="C114" s="246">
        <f>SUM(C115:C121)</f>
        <v>16740000</v>
      </c>
      <c r="D114" s="246">
        <f>SUM(D115:D121)</f>
        <v>0</v>
      </c>
      <c r="E114" s="247">
        <f t="shared" si="15"/>
        <v>16740000</v>
      </c>
      <c r="F114" s="246">
        <f>SUM(F115:F121)</f>
        <v>16740000</v>
      </c>
      <c r="G114" s="246">
        <f>SUM(G115:G121)</f>
        <v>0</v>
      </c>
      <c r="H114" s="247">
        <f t="shared" si="19"/>
        <v>16740000</v>
      </c>
      <c r="I114" s="246">
        <f>SUM(I115:I121)</f>
        <v>27669338</v>
      </c>
      <c r="J114" s="246">
        <f>SUM(J115:J121)</f>
        <v>0</v>
      </c>
      <c r="K114" s="247">
        <f t="shared" si="20"/>
        <v>27669338</v>
      </c>
      <c r="L114" s="246">
        <f>SUM(L115:L121)</f>
        <v>16319879</v>
      </c>
      <c r="M114" s="246">
        <f>SUM(M115:M121)</f>
        <v>0</v>
      </c>
      <c r="N114" s="247">
        <f t="shared" si="21"/>
        <v>16319879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>
        <v>20000</v>
      </c>
      <c r="D116" s="246"/>
      <c r="E116" s="247">
        <f t="shared" si="15"/>
        <v>20000</v>
      </c>
      <c r="F116" s="246">
        <v>20000</v>
      </c>
      <c r="G116" s="246"/>
      <c r="H116" s="247">
        <f t="shared" si="19"/>
        <v>20000</v>
      </c>
      <c r="I116" s="246">
        <v>20000</v>
      </c>
      <c r="J116" s="246"/>
      <c r="K116" s="247">
        <f t="shared" si="20"/>
        <v>20000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>
        <v>360000</v>
      </c>
      <c r="D117" s="246"/>
      <c r="E117" s="247">
        <f t="shared" si="15"/>
        <v>360000</v>
      </c>
      <c r="F117" s="246">
        <v>360000</v>
      </c>
      <c r="G117" s="246"/>
      <c r="H117" s="247">
        <f t="shared" si="19"/>
        <v>360000</v>
      </c>
      <c r="I117" s="246">
        <v>360000</v>
      </c>
      <c r="J117" s="246"/>
      <c r="K117" s="247">
        <f t="shared" si="20"/>
        <v>360000</v>
      </c>
      <c r="L117" s="246">
        <v>100000</v>
      </c>
      <c r="M117" s="246"/>
      <c r="N117" s="247">
        <f t="shared" si="21"/>
        <v>100000</v>
      </c>
    </row>
    <row r="118" spans="1:14" x14ac:dyDescent="0.25">
      <c r="A118" s="61" t="s">
        <v>211</v>
      </c>
      <c r="B118" s="62" t="s">
        <v>212</v>
      </c>
      <c r="C118" s="246">
        <v>720000</v>
      </c>
      <c r="D118" s="246"/>
      <c r="E118" s="247">
        <f t="shared" si="15"/>
        <v>720000</v>
      </c>
      <c r="F118" s="246">
        <v>720000</v>
      </c>
      <c r="G118" s="246"/>
      <c r="H118" s="247">
        <f t="shared" si="19"/>
        <v>720000</v>
      </c>
      <c r="I118" s="246">
        <v>720000</v>
      </c>
      <c r="J118" s="246"/>
      <c r="K118" s="247">
        <f t="shared" si="20"/>
        <v>720000</v>
      </c>
      <c r="L118" s="246">
        <v>162372</v>
      </c>
      <c r="M118" s="246"/>
      <c r="N118" s="247">
        <f t="shared" si="21"/>
        <v>162372</v>
      </c>
    </row>
    <row r="119" spans="1:14" x14ac:dyDescent="0.25">
      <c r="A119" s="61" t="s">
        <v>213</v>
      </c>
      <c r="B119" s="62" t="s">
        <v>214</v>
      </c>
      <c r="C119" s="246">
        <v>540000</v>
      </c>
      <c r="D119" s="246"/>
      <c r="E119" s="247">
        <f t="shared" si="15"/>
        <v>540000</v>
      </c>
      <c r="F119" s="246">
        <f>540000</f>
        <v>540000</v>
      </c>
      <c r="G119" s="246"/>
      <c r="H119" s="247">
        <f t="shared" si="19"/>
        <v>540000</v>
      </c>
      <c r="I119" s="246">
        <v>700000</v>
      </c>
      <c r="J119" s="246"/>
      <c r="K119" s="247">
        <f t="shared" si="20"/>
        <v>700000</v>
      </c>
      <c r="L119" s="246">
        <f>536538+74360</f>
        <v>610898</v>
      </c>
      <c r="M119" s="246"/>
      <c r="N119" s="247">
        <f t="shared" si="21"/>
        <v>610898</v>
      </c>
    </row>
    <row r="120" spans="1:14" x14ac:dyDescent="0.25">
      <c r="A120" s="61" t="s">
        <v>215</v>
      </c>
      <c r="B120" s="62" t="s">
        <v>216</v>
      </c>
      <c r="C120" s="246">
        <v>5500000</v>
      </c>
      <c r="D120" s="246"/>
      <c r="E120" s="247">
        <f t="shared" si="15"/>
        <v>5500000</v>
      </c>
      <c r="F120" s="246">
        <v>5500000</v>
      </c>
      <c r="G120" s="246"/>
      <c r="H120" s="247">
        <f t="shared" si="19"/>
        <v>5500000</v>
      </c>
      <c r="I120" s="246">
        <f>5500000+866918+7549082</f>
        <v>13916000</v>
      </c>
      <c r="J120" s="246"/>
      <c r="K120" s="247">
        <f t="shared" si="20"/>
        <v>13916000</v>
      </c>
      <c r="L120" s="246">
        <v>3493271</v>
      </c>
      <c r="M120" s="246"/>
      <c r="N120" s="247">
        <f t="shared" si="21"/>
        <v>3493271</v>
      </c>
    </row>
    <row r="121" spans="1:14" x14ac:dyDescent="0.25">
      <c r="A121" s="61" t="s">
        <v>217</v>
      </c>
      <c r="B121" s="62" t="s">
        <v>218</v>
      </c>
      <c r="C121" s="246">
        <v>9600000</v>
      </c>
      <c r="D121" s="246"/>
      <c r="E121" s="247">
        <f t="shared" si="15"/>
        <v>9600000</v>
      </c>
      <c r="F121" s="246">
        <v>9600000</v>
      </c>
      <c r="G121" s="246"/>
      <c r="H121" s="247">
        <f t="shared" si="19"/>
        <v>9600000</v>
      </c>
      <c r="I121" s="246">
        <v>11953338</v>
      </c>
      <c r="J121" s="246"/>
      <c r="K121" s="247">
        <f t="shared" si="20"/>
        <v>11953338</v>
      </c>
      <c r="L121" s="246">
        <f>10883052+1070286</f>
        <v>11953338</v>
      </c>
      <c r="M121" s="246"/>
      <c r="N121" s="247">
        <f t="shared" si="21"/>
        <v>11953338</v>
      </c>
    </row>
    <row r="122" spans="1:14" x14ac:dyDescent="0.25">
      <c r="A122" s="61" t="s">
        <v>219</v>
      </c>
      <c r="B122" s="62" t="s">
        <v>220</v>
      </c>
      <c r="C122" s="246">
        <v>4500000</v>
      </c>
      <c r="D122" s="246"/>
      <c r="E122" s="247">
        <f t="shared" si="15"/>
        <v>4500000</v>
      </c>
      <c r="F122" s="246">
        <v>4500000</v>
      </c>
      <c r="G122" s="246"/>
      <c r="H122" s="247">
        <f t="shared" si="19"/>
        <v>4500000</v>
      </c>
      <c r="I122" s="246">
        <f>4500000+553103</f>
        <v>5053103</v>
      </c>
      <c r="J122" s="246"/>
      <c r="K122" s="247">
        <f t="shared" si="20"/>
        <v>5053103</v>
      </c>
      <c r="L122" s="246">
        <v>3568740</v>
      </c>
      <c r="M122" s="246"/>
      <c r="N122" s="247">
        <f t="shared" si="21"/>
        <v>3568740</v>
      </c>
    </row>
    <row r="123" spans="1:14" x14ac:dyDescent="0.25">
      <c r="A123" s="61" t="s">
        <v>221</v>
      </c>
      <c r="B123" s="62" t="s">
        <v>222</v>
      </c>
      <c r="C123" s="246">
        <f>SUM(C124:C126)</f>
        <v>32906543</v>
      </c>
      <c r="D123" s="246">
        <f>SUM(D124:D126)</f>
        <v>0</v>
      </c>
      <c r="E123" s="247">
        <f t="shared" si="15"/>
        <v>32906543</v>
      </c>
      <c r="F123" s="246">
        <f>SUM(F124:F126)</f>
        <v>32906543</v>
      </c>
      <c r="G123" s="246">
        <f>SUM(G124:G126)</f>
        <v>0</v>
      </c>
      <c r="H123" s="247">
        <f t="shared" si="19"/>
        <v>32906543</v>
      </c>
      <c r="I123" s="246">
        <f>SUM(I124:I126)</f>
        <v>31042547</v>
      </c>
      <c r="J123" s="246">
        <f>SUM(J124:J126)</f>
        <v>0</v>
      </c>
      <c r="K123" s="247">
        <f t="shared" si="20"/>
        <v>31042547</v>
      </c>
      <c r="L123" s="246">
        <f>SUM(L124:L126)</f>
        <v>26088513</v>
      </c>
      <c r="M123" s="246">
        <f>SUM(M124:M126)</f>
        <v>0</v>
      </c>
      <c r="N123" s="247">
        <f t="shared" si="21"/>
        <v>26088513</v>
      </c>
    </row>
    <row r="124" spans="1:14" x14ac:dyDescent="0.25">
      <c r="A124" s="61"/>
      <c r="B124" s="62" t="s">
        <v>223</v>
      </c>
      <c r="C124" s="246">
        <f>(33695900-3000000)*0.27+10000000+5000000+4350268-48502+2228650</f>
        <v>29818309</v>
      </c>
      <c r="D124" s="246"/>
      <c r="E124" s="247">
        <f t="shared" si="15"/>
        <v>29818309</v>
      </c>
      <c r="F124" s="246">
        <f>(33695900-3000000)*0.27+10000000+5000000+4350268-48502+2228650</f>
        <v>29818309</v>
      </c>
      <c r="G124" s="246"/>
      <c r="H124" s="247">
        <f t="shared" si="19"/>
        <v>29818309</v>
      </c>
      <c r="I124" s="246">
        <f>(33695900-3000000)*0.27+10000000+5000000+4350268-48502+2228650</f>
        <v>29818309</v>
      </c>
      <c r="J124" s="246"/>
      <c r="K124" s="247">
        <f t="shared" si="20"/>
        <v>29818309</v>
      </c>
      <c r="L124" s="246">
        <f>2753723+22112548</f>
        <v>24866271</v>
      </c>
      <c r="M124" s="246"/>
      <c r="N124" s="247">
        <f t="shared" si="21"/>
        <v>24866271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>
        <v>4238</v>
      </c>
      <c r="J125" s="246"/>
      <c r="K125" s="247">
        <f t="shared" si="20"/>
        <v>4238</v>
      </c>
      <c r="L125" s="246">
        <v>3238</v>
      </c>
      <c r="M125" s="246"/>
      <c r="N125" s="247">
        <f t="shared" si="21"/>
        <v>3238</v>
      </c>
    </row>
    <row r="126" spans="1:14" ht="15.75" thickBot="1" x14ac:dyDescent="0.3">
      <c r="A126" s="63" t="s">
        <v>225</v>
      </c>
      <c r="B126" s="64" t="s">
        <v>226</v>
      </c>
      <c r="C126" s="248">
        <f>3000000+88234</f>
        <v>3088234</v>
      </c>
      <c r="D126" s="248"/>
      <c r="E126" s="249">
        <f t="shared" si="15"/>
        <v>3088234</v>
      </c>
      <c r="F126" s="248">
        <f>3000000+88234</f>
        <v>3088234</v>
      </c>
      <c r="G126" s="248"/>
      <c r="H126" s="249">
        <f t="shared" si="19"/>
        <v>3088234</v>
      </c>
      <c r="I126" s="248">
        <v>1220000</v>
      </c>
      <c r="J126" s="248"/>
      <c r="K126" s="249">
        <f t="shared" si="20"/>
        <v>1220000</v>
      </c>
      <c r="L126" s="248">
        <v>1219004</v>
      </c>
      <c r="M126" s="248"/>
      <c r="N126" s="249">
        <f t="shared" si="21"/>
        <v>1219004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109800000</v>
      </c>
      <c r="D128" s="244">
        <f>SUM(D129:D134)</f>
        <v>0</v>
      </c>
      <c r="E128" s="245">
        <f t="shared" si="15"/>
        <v>109800000</v>
      </c>
      <c r="F128" s="244">
        <f>SUM(F129:F134)</f>
        <v>69800000</v>
      </c>
      <c r="G128" s="244">
        <f>SUM(G129:G134)</f>
        <v>0</v>
      </c>
      <c r="H128" s="245">
        <f t="shared" si="19"/>
        <v>69800000</v>
      </c>
      <c r="I128" s="244">
        <f>SUM(I129:I134)</f>
        <v>72185082</v>
      </c>
      <c r="J128" s="244">
        <f>SUM(J129:J134)</f>
        <v>0</v>
      </c>
      <c r="K128" s="245">
        <f t="shared" si="20"/>
        <v>72185082</v>
      </c>
      <c r="L128" s="244">
        <f>SUM(L129:L134)</f>
        <v>9565000</v>
      </c>
      <c r="M128" s="244">
        <f>SUM(M129:M134)</f>
        <v>0</v>
      </c>
      <c r="N128" s="245">
        <f t="shared" si="21"/>
        <v>9565000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x14ac:dyDescent="0.25">
      <c r="A130" s="61" t="s">
        <v>548</v>
      </c>
      <c r="B130" s="62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>
        <v>2085000</v>
      </c>
      <c r="J130" s="246"/>
      <c r="K130" s="247">
        <f t="shared" si="20"/>
        <v>2085000</v>
      </c>
      <c r="L130" s="246">
        <v>2085000</v>
      </c>
      <c r="M130" s="246"/>
      <c r="N130" s="247">
        <f t="shared" si="21"/>
        <v>2085000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>
        <v>900000</v>
      </c>
      <c r="J132" s="246"/>
      <c r="K132" s="247">
        <f t="shared" si="20"/>
        <v>900000</v>
      </c>
      <c r="L132" s="246">
        <v>900000</v>
      </c>
      <c r="M132" s="246"/>
      <c r="N132" s="247">
        <f t="shared" si="21"/>
        <v>900000</v>
      </c>
    </row>
    <row r="133" spans="1:14" x14ac:dyDescent="0.25">
      <c r="A133" s="61" t="s">
        <v>235</v>
      </c>
      <c r="B133" s="62" t="s">
        <v>236</v>
      </c>
      <c r="C133" s="246">
        <f>1500000+400000+400000+500000+600000+4200000+2000000+150000+50000</f>
        <v>9800000</v>
      </c>
      <c r="D133" s="246"/>
      <c r="E133" s="247">
        <f t="shared" si="15"/>
        <v>9800000</v>
      </c>
      <c r="F133" s="246">
        <f>1500000+400000+400000+500000+600000+4200000+2000000+150000+50000</f>
        <v>9800000</v>
      </c>
      <c r="G133" s="246"/>
      <c r="H133" s="247">
        <f t="shared" si="19"/>
        <v>9800000</v>
      </c>
      <c r="I133" s="246">
        <f>1500000+400000+400000+500000+600000+4200000+2000000+150000+50000-599918</f>
        <v>9200082</v>
      </c>
      <c r="J133" s="246"/>
      <c r="K133" s="247">
        <f t="shared" si="20"/>
        <v>9200082</v>
      </c>
      <c r="L133" s="246">
        <f>4780000+1800000</f>
        <v>6580000</v>
      </c>
      <c r="M133" s="246"/>
      <c r="N133" s="247">
        <f t="shared" si="21"/>
        <v>6580000</v>
      </c>
    </row>
    <row r="134" spans="1:14" x14ac:dyDescent="0.25">
      <c r="A134" s="61" t="s">
        <v>237</v>
      </c>
      <c r="B134" s="62" t="s">
        <v>238</v>
      </c>
      <c r="C134" s="246">
        <f>SUM(C135:C136)</f>
        <v>100000000</v>
      </c>
      <c r="D134" s="246">
        <f>SUM(D135:D136)</f>
        <v>0</v>
      </c>
      <c r="E134" s="247">
        <f t="shared" si="15"/>
        <v>100000000</v>
      </c>
      <c r="F134" s="246">
        <f>SUM(F135:F136)</f>
        <v>60000000</v>
      </c>
      <c r="G134" s="246">
        <f>SUM(G135:G136)</f>
        <v>0</v>
      </c>
      <c r="H134" s="247">
        <f t="shared" si="19"/>
        <v>60000000</v>
      </c>
      <c r="I134" s="246">
        <f>SUM(I135:I136)</f>
        <v>60000000</v>
      </c>
      <c r="J134" s="246">
        <f>SUM(J135:J136)</f>
        <v>0</v>
      </c>
      <c r="K134" s="247">
        <f t="shared" si="20"/>
        <v>60000000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x14ac:dyDescent="0.25">
      <c r="A135" s="61"/>
      <c r="B135" s="62" t="s">
        <v>239</v>
      </c>
      <c r="C135" s="246">
        <v>100000000</v>
      </c>
      <c r="D135" s="246"/>
      <c r="E135" s="247">
        <f t="shared" si="15"/>
        <v>100000000</v>
      </c>
      <c r="F135" s="246">
        <f>100000000-40000000</f>
        <v>60000000</v>
      </c>
      <c r="G135" s="246"/>
      <c r="H135" s="247">
        <f t="shared" si="19"/>
        <v>60000000</v>
      </c>
      <c r="I135" s="246">
        <f>100000000-40000000</f>
        <v>60000000</v>
      </c>
      <c r="J135" s="246"/>
      <c r="K135" s="247">
        <f t="shared" si="20"/>
        <v>60000000</v>
      </c>
      <c r="L135" s="246"/>
      <c r="M135" s="246"/>
      <c r="N135" s="247">
        <f t="shared" si="21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>
        <f>17692913-787402-944882+6299212</f>
        <v>22259841</v>
      </c>
      <c r="D137" s="244"/>
      <c r="E137" s="245">
        <f t="shared" si="15"/>
        <v>22259841</v>
      </c>
      <c r="F137" s="244">
        <f>17692913-787402-944882+6299212+1050000-5809323-1574803+65950-708661</f>
        <v>15283004</v>
      </c>
      <c r="G137" s="244"/>
      <c r="H137" s="245">
        <f t="shared" si="19"/>
        <v>15283004</v>
      </c>
      <c r="I137" s="244">
        <v>14203580</v>
      </c>
      <c r="J137" s="244"/>
      <c r="K137" s="245">
        <f t="shared" si="20"/>
        <v>14203580</v>
      </c>
      <c r="L137" s="244">
        <f>67850+1050000+175512+2191625</f>
        <v>3484987</v>
      </c>
      <c r="M137" s="244"/>
      <c r="N137" s="245">
        <f t="shared" si="21"/>
        <v>3484987</v>
      </c>
    </row>
    <row r="138" spans="1:14" ht="15.75" thickBot="1" x14ac:dyDescent="0.3">
      <c r="A138" s="63" t="s">
        <v>242</v>
      </c>
      <c r="B138" s="64" t="s">
        <v>243</v>
      </c>
      <c r="C138" s="248">
        <f>4777087-212598-255118+1700788</f>
        <v>6010159</v>
      </c>
      <c r="D138" s="248"/>
      <c r="E138" s="249">
        <f t="shared" si="15"/>
        <v>6010159</v>
      </c>
      <c r="F138" s="248">
        <f>4777087-212598-255118+1700788+283500-1568517-425197+17807-191339</f>
        <v>4126413</v>
      </c>
      <c r="G138" s="248"/>
      <c r="H138" s="249">
        <f t="shared" si="19"/>
        <v>4126413</v>
      </c>
      <c r="I138" s="248">
        <v>3834966</v>
      </c>
      <c r="J138" s="248"/>
      <c r="K138" s="249">
        <f t="shared" si="20"/>
        <v>3834966</v>
      </c>
      <c r="L138" s="248">
        <v>811889</v>
      </c>
      <c r="M138" s="248"/>
      <c r="N138" s="249">
        <f t="shared" si="21"/>
        <v>811889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>
        <v>126478</v>
      </c>
      <c r="J139" s="244"/>
      <c r="K139" s="245">
        <f t="shared" si="20"/>
        <v>126478</v>
      </c>
      <c r="L139" s="244">
        <v>126478</v>
      </c>
      <c r="M139" s="244"/>
      <c r="N139" s="245">
        <f t="shared" si="21"/>
        <v>126478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>
        <v>34149</v>
      </c>
      <c r="J140" s="248"/>
      <c r="K140" s="249">
        <f t="shared" si="20"/>
        <v>34149</v>
      </c>
      <c r="L140" s="248">
        <v>34149</v>
      </c>
      <c r="M140" s="248"/>
      <c r="N140" s="249">
        <f t="shared" si="21"/>
        <v>34149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>
        <v>5122863</v>
      </c>
      <c r="G141" s="254"/>
      <c r="H141" s="255">
        <f t="shared" si="19"/>
        <v>5122863</v>
      </c>
      <c r="I141" s="254">
        <v>10702767</v>
      </c>
      <c r="J141" s="254"/>
      <c r="K141" s="255">
        <f t="shared" si="20"/>
        <v>10702767</v>
      </c>
      <c r="L141" s="254">
        <v>10702767</v>
      </c>
      <c r="M141" s="254"/>
      <c r="N141" s="255">
        <f t="shared" si="21"/>
        <v>10702767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235503002</v>
      </c>
      <c r="D142" s="250">
        <f>D141+D140+D139+D138+D137+D128+D127+D111+D105+D88</f>
        <v>0</v>
      </c>
      <c r="E142" s="251">
        <f t="shared" si="15"/>
        <v>235503002</v>
      </c>
      <c r="F142" s="250">
        <f>F141+F140+F139+F138+F137+F128+F127+F111+F105+F88</f>
        <v>191765282</v>
      </c>
      <c r="G142" s="250">
        <f>G141+G140+G139+G138+G137+G128+G127+G111+G105+G88</f>
        <v>0</v>
      </c>
      <c r="H142" s="251">
        <f t="shared" si="19"/>
        <v>191765282</v>
      </c>
      <c r="I142" s="250">
        <f>I141+I140+I139+I138+I137+I128+I127+I111+I105+I88</f>
        <v>206815039</v>
      </c>
      <c r="J142" s="250">
        <f>J141+J140+J139+J138+J137+J128+J127+J111+J105+J88</f>
        <v>0</v>
      </c>
      <c r="K142" s="251">
        <f t="shared" si="20"/>
        <v>206815039</v>
      </c>
      <c r="L142" s="250">
        <f>L141+L140+L139+L138+L137+L128+L127+L111+L105+L88</f>
        <v>111976377</v>
      </c>
      <c r="M142" s="250">
        <f>M141+M140+M139+M138+M137+M128+M127+M111+M105+M88</f>
        <v>0</v>
      </c>
      <c r="N142" s="251">
        <f t="shared" si="21"/>
        <v>111976377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235503002</v>
      </c>
      <c r="D151" s="257">
        <f>D143+D142</f>
        <v>0</v>
      </c>
      <c r="E151" s="258">
        <f>SUM(C151:D151)</f>
        <v>235503002</v>
      </c>
      <c r="F151" s="250">
        <f>F143+F142</f>
        <v>191765282</v>
      </c>
      <c r="G151" s="257">
        <f>G143+G142</f>
        <v>0</v>
      </c>
      <c r="H151" s="258">
        <f>SUM(F151:G151)</f>
        <v>191765282</v>
      </c>
      <c r="I151" s="250">
        <f>I143+I142</f>
        <v>206815039</v>
      </c>
      <c r="J151" s="257">
        <f>J143+J142</f>
        <v>0</v>
      </c>
      <c r="K151" s="258">
        <f>SUM(I151:J151)</f>
        <v>206815039</v>
      </c>
      <c r="L151" s="250">
        <f>L143+L142</f>
        <v>111976377</v>
      </c>
      <c r="M151" s="257">
        <f>M143+M142</f>
        <v>0</v>
      </c>
      <c r="N151" s="258">
        <f>SUM(L151:M151)</f>
        <v>111976377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110976069</v>
      </c>
      <c r="H153" s="148">
        <f>H85-H151</f>
        <v>163378725</v>
      </c>
      <c r="K153" s="148">
        <f>K85-K151</f>
        <v>148328968</v>
      </c>
      <c r="N153" s="148">
        <f>N85-N151</f>
        <v>238781025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45" orientation="portrait" horizontalDpi="300" verticalDpi="300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4" width="9.140625" style="44"/>
    <col min="5" max="5" width="9.85546875" style="44" customWidth="1"/>
    <col min="6" max="7" width="9.140625" style="179"/>
    <col min="8" max="8" width="9.85546875" style="179" customWidth="1"/>
    <col min="9" max="9" width="10.85546875" style="179" customWidth="1"/>
    <col min="10" max="10" width="9.140625" style="179"/>
    <col min="11" max="11" width="10.5703125" style="179" customWidth="1"/>
    <col min="12" max="12" width="10.85546875" style="179" customWidth="1"/>
    <col min="13" max="13" width="9.140625" style="179"/>
    <col min="14" max="14" width="10.570312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4.5" customHeight="1" x14ac:dyDescent="0.2"/>
    <row r="4" spans="1:14" s="44" customFormat="1" x14ac:dyDescent="0.25">
      <c r="A4" s="79" t="s">
        <v>270</v>
      </c>
      <c r="C4" s="45" t="str">
        <f>'7.1. igazg 011130'!C4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341</v>
      </c>
      <c r="B5" s="81" t="s">
        <v>340</v>
      </c>
    </row>
    <row r="6" spans="1:14" s="44" customFormat="1" x14ac:dyDescent="0.25">
      <c r="C6" s="519" t="s">
        <v>730</v>
      </c>
      <c r="D6" s="622" t="str">
        <f>'7.1. igazg 011130'!D6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customHeight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customHeight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customHeight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customHeight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customHeight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customHeight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customHeight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customHeight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customHeight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customHeight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customHeight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customHeight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customHeight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customHeight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customHeight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customHeight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customHeight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customHeight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customHeight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customHeight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customHeight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customHeight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customHeight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customHeight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customHeight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customHeight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customHeight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customHeight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customHeight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customHeight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customHeight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45720</v>
      </c>
      <c r="D45" s="244">
        <f>D46+D47+D48+D49+D54+D55+D56+D57+D58+D59+D60</f>
        <v>0</v>
      </c>
      <c r="E45" s="245">
        <f t="shared" si="0"/>
        <v>45720</v>
      </c>
      <c r="F45" s="244">
        <f>F46+F47+F48+F49+F54+F55+F56+F57+F58+F59+F60</f>
        <v>45720</v>
      </c>
      <c r="G45" s="244">
        <f>G46+G47+G48+G49+G54+G55+G56+G57+G58+G59+G60</f>
        <v>0</v>
      </c>
      <c r="H45" s="245">
        <f t="shared" si="1"/>
        <v>45720</v>
      </c>
      <c r="I45" s="244">
        <f>I46+I47+I48+I49+I54+I55+I56+I57+I58+I59+I60</f>
        <v>45720</v>
      </c>
      <c r="J45" s="244">
        <f>J46+J47+J48+J49+J54+J55+J56+J57+J58+J59+J60</f>
        <v>0</v>
      </c>
      <c r="K45" s="245">
        <f t="shared" si="2"/>
        <v>45720</v>
      </c>
      <c r="L45" s="244">
        <f>L46+L47+L48+L49+L54+L55+L56+L57+L58+L59+L60</f>
        <v>45720</v>
      </c>
      <c r="M45" s="244">
        <f>M46+M47+M48+M49+M54+M55+M56+M57+M58+M59+M60</f>
        <v>0</v>
      </c>
      <c r="N45" s="245">
        <f t="shared" si="3"/>
        <v>45720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>
        <v>36000</v>
      </c>
      <c r="D47" s="246"/>
      <c r="E47" s="247">
        <f t="shared" si="0"/>
        <v>36000</v>
      </c>
      <c r="F47" s="246">
        <v>36000</v>
      </c>
      <c r="G47" s="246"/>
      <c r="H47" s="247">
        <f t="shared" si="1"/>
        <v>36000</v>
      </c>
      <c r="I47" s="246">
        <v>36000</v>
      </c>
      <c r="J47" s="246"/>
      <c r="K47" s="247">
        <f t="shared" si="2"/>
        <v>36000</v>
      </c>
      <c r="L47" s="246">
        <v>36000</v>
      </c>
      <c r="M47" s="246"/>
      <c r="N47" s="247">
        <f t="shared" si="3"/>
        <v>36000</v>
      </c>
    </row>
    <row r="48" spans="1:14" ht="15" hidden="1" customHeight="1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" hidden="1" customHeight="1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" hidden="1" customHeight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" hidden="1" customHeight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" hidden="1" customHeight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" hidden="1" customHeight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" hidden="1" customHeight="1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thickBot="1" x14ac:dyDescent="0.3">
      <c r="A55" s="53" t="s">
        <v>109</v>
      </c>
      <c r="B55" s="62" t="s">
        <v>110</v>
      </c>
      <c r="C55" s="246">
        <v>9720</v>
      </c>
      <c r="D55" s="246"/>
      <c r="E55" s="247">
        <f t="shared" si="0"/>
        <v>9720</v>
      </c>
      <c r="F55" s="246">
        <v>9720</v>
      </c>
      <c r="G55" s="246"/>
      <c r="H55" s="247">
        <f t="shared" si="1"/>
        <v>9720</v>
      </c>
      <c r="I55" s="246">
        <v>9720</v>
      </c>
      <c r="J55" s="246"/>
      <c r="K55" s="247">
        <f t="shared" si="2"/>
        <v>9720</v>
      </c>
      <c r="L55" s="246">
        <v>9720</v>
      </c>
      <c r="M55" s="246"/>
      <c r="N55" s="247">
        <f t="shared" si="3"/>
        <v>9720</v>
      </c>
    </row>
    <row r="56" spans="1:14" ht="15.75" hidden="1" customHeight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customHeight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customHeight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customHeight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customHeight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customHeight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customHeight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customHeight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customHeight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customHeight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customHeight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customHeight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45720</v>
      </c>
      <c r="D73" s="250">
        <f>D9+D22+D25+D45+D61+D67+D70</f>
        <v>0</v>
      </c>
      <c r="E73" s="251">
        <f t="shared" si="0"/>
        <v>45720</v>
      </c>
      <c r="F73" s="250">
        <f>F9+F22+F25+F45+F61+F67+F70</f>
        <v>45720</v>
      </c>
      <c r="G73" s="250">
        <f>G9+G22+G25+G45+G61+G67+G70</f>
        <v>0</v>
      </c>
      <c r="H73" s="251">
        <f t="shared" si="1"/>
        <v>45720</v>
      </c>
      <c r="I73" s="250">
        <f>I9+I22+I25+I45+I61+I67+I70</f>
        <v>45720</v>
      </c>
      <c r="J73" s="250">
        <f>J9+J22+J25+J45+J61+J67+J70</f>
        <v>0</v>
      </c>
      <c r="K73" s="251">
        <f t="shared" si="2"/>
        <v>45720</v>
      </c>
      <c r="L73" s="250">
        <f>L9+L22+L25+L45+L61+L67+L70</f>
        <v>45720</v>
      </c>
      <c r="M73" s="250">
        <f>M9+M22+M25+M45+M61+M67+M70</f>
        <v>0</v>
      </c>
      <c r="N73" s="251">
        <f t="shared" si="3"/>
        <v>45720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customHeight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customHeight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customHeight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customHeight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customHeight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customHeight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customHeight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customHeight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customHeight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customHeight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45720</v>
      </c>
      <c r="D85" s="250">
        <f>D73+D74</f>
        <v>0</v>
      </c>
      <c r="E85" s="251">
        <f t="shared" si="4"/>
        <v>45720</v>
      </c>
      <c r="F85" s="250">
        <f>F73+F74</f>
        <v>45720</v>
      </c>
      <c r="G85" s="250">
        <f>G73+G74</f>
        <v>0</v>
      </c>
      <c r="H85" s="251">
        <f t="shared" si="12"/>
        <v>45720</v>
      </c>
      <c r="I85" s="250">
        <f>I73+I74</f>
        <v>45720</v>
      </c>
      <c r="J85" s="250">
        <f>J73+J74</f>
        <v>0</v>
      </c>
      <c r="K85" s="251">
        <f t="shared" si="13"/>
        <v>45720</v>
      </c>
      <c r="L85" s="250">
        <f>L73+L74</f>
        <v>45720</v>
      </c>
      <c r="M85" s="250">
        <f>M73+M74</f>
        <v>0</v>
      </c>
      <c r="N85" s="251">
        <f t="shared" si="14"/>
        <v>45720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customHeight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customHeight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customHeight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customHeight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customHeight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customHeight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customHeight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customHeight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customHeight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customHeight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customHeight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customHeight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customHeight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customHeight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customHeight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customHeight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customHeight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customHeight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customHeight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customHeight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customHeight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1581150</v>
      </c>
      <c r="D111" s="244">
        <f>SUM(D112:D113,D114,D123,D122)</f>
        <v>0</v>
      </c>
      <c r="E111" s="245">
        <f t="shared" si="15"/>
        <v>1581150</v>
      </c>
      <c r="F111" s="244">
        <f>SUM(F112:F113,F114,F123,F122)</f>
        <v>1581150</v>
      </c>
      <c r="G111" s="244">
        <f>SUM(G112:G113,G114,G123,G122)</f>
        <v>0</v>
      </c>
      <c r="H111" s="245">
        <f t="shared" si="19"/>
        <v>1581150</v>
      </c>
      <c r="I111" s="244">
        <f>SUM(I112:I113,I114,I123,I122)</f>
        <v>4686150</v>
      </c>
      <c r="J111" s="244">
        <f>SUM(J112:J113,J114,J123,J122)</f>
        <v>0</v>
      </c>
      <c r="K111" s="245">
        <f t="shared" si="20"/>
        <v>4686150</v>
      </c>
      <c r="L111" s="244">
        <f>SUM(L112:L113,L114,L123,L122)</f>
        <v>1779807</v>
      </c>
      <c r="M111" s="244">
        <f>SUM(M112:M113,M114,M123,M122)</f>
        <v>0</v>
      </c>
      <c r="N111" s="245">
        <f t="shared" si="21"/>
        <v>1779807</v>
      </c>
    </row>
    <row r="112" spans="1:14" x14ac:dyDescent="0.25">
      <c r="A112" s="61" t="s">
        <v>199</v>
      </c>
      <c r="B112" s="62" t="s">
        <v>200</v>
      </c>
      <c r="C112" s="246">
        <v>240000</v>
      </c>
      <c r="D112" s="246"/>
      <c r="E112" s="247">
        <f t="shared" si="15"/>
        <v>240000</v>
      </c>
      <c r="F112" s="246">
        <v>240000</v>
      </c>
      <c r="G112" s="246"/>
      <c r="H112" s="247">
        <f t="shared" si="19"/>
        <v>240000</v>
      </c>
      <c r="I112" s="246">
        <v>0</v>
      </c>
      <c r="J112" s="246"/>
      <c r="K112" s="247">
        <f t="shared" si="20"/>
        <v>0</v>
      </c>
      <c r="L112" s="246">
        <v>0</v>
      </c>
      <c r="M112" s="246"/>
      <c r="N112" s="247">
        <f t="shared" si="21"/>
        <v>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1005000</v>
      </c>
      <c r="D114" s="246">
        <f>SUM(D115:D121)</f>
        <v>0</v>
      </c>
      <c r="E114" s="247">
        <f t="shared" si="15"/>
        <v>1005000</v>
      </c>
      <c r="F114" s="246">
        <f>SUM(F115:F121)</f>
        <v>1005000</v>
      </c>
      <c r="G114" s="246">
        <f>SUM(G115:G121)</f>
        <v>0</v>
      </c>
      <c r="H114" s="247">
        <f t="shared" si="19"/>
        <v>1005000</v>
      </c>
      <c r="I114" s="246">
        <f>SUM(I115:I121)</f>
        <v>4350000</v>
      </c>
      <c r="J114" s="246">
        <f>SUM(J115:J121)</f>
        <v>0</v>
      </c>
      <c r="K114" s="247">
        <f t="shared" si="20"/>
        <v>4350000</v>
      </c>
      <c r="L114" s="246">
        <f>SUM(L115:L121)</f>
        <v>1401424</v>
      </c>
      <c r="M114" s="246">
        <f>SUM(M115:M121)</f>
        <v>0</v>
      </c>
      <c r="N114" s="247">
        <f t="shared" si="21"/>
        <v>1401424</v>
      </c>
    </row>
    <row r="115" spans="1:14" x14ac:dyDescent="0.25">
      <c r="A115" s="61" t="s">
        <v>205</v>
      </c>
      <c r="B115" s="62" t="s">
        <v>206</v>
      </c>
      <c r="C115" s="246">
        <v>45000</v>
      </c>
      <c r="D115" s="246"/>
      <c r="E115" s="247">
        <f t="shared" si="15"/>
        <v>45000</v>
      </c>
      <c r="F115" s="246">
        <v>45000</v>
      </c>
      <c r="G115" s="246"/>
      <c r="H115" s="247">
        <f t="shared" si="19"/>
        <v>45000</v>
      </c>
      <c r="I115" s="246">
        <v>50000</v>
      </c>
      <c r="J115" s="246"/>
      <c r="K115" s="247">
        <f t="shared" si="20"/>
        <v>50000</v>
      </c>
      <c r="L115" s="246">
        <v>49989</v>
      </c>
      <c r="M115" s="246"/>
      <c r="N115" s="247">
        <f t="shared" si="21"/>
        <v>49989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960000</v>
      </c>
      <c r="D121" s="246"/>
      <c r="E121" s="247">
        <f t="shared" si="15"/>
        <v>960000</v>
      </c>
      <c r="F121" s="246">
        <v>960000</v>
      </c>
      <c r="G121" s="246"/>
      <c r="H121" s="247">
        <f t="shared" si="19"/>
        <v>960000</v>
      </c>
      <c r="I121" s="246">
        <v>4300000</v>
      </c>
      <c r="J121" s="246"/>
      <c r="K121" s="247">
        <f t="shared" si="20"/>
        <v>4300000</v>
      </c>
      <c r="L121" s="246">
        <v>1351435</v>
      </c>
      <c r="M121" s="246"/>
      <c r="N121" s="247">
        <f t="shared" si="21"/>
        <v>1351435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336150</v>
      </c>
      <c r="D123" s="246">
        <f>SUM(D124:D126)</f>
        <v>0</v>
      </c>
      <c r="E123" s="247">
        <f t="shared" si="15"/>
        <v>336150</v>
      </c>
      <c r="F123" s="246">
        <f>SUM(F124:F126)</f>
        <v>336150</v>
      </c>
      <c r="G123" s="246">
        <f>SUM(G124:G126)</f>
        <v>0</v>
      </c>
      <c r="H123" s="247">
        <f t="shared" si="19"/>
        <v>336150</v>
      </c>
      <c r="I123" s="246">
        <f>SUM(I124:I126)</f>
        <v>336150</v>
      </c>
      <c r="J123" s="246">
        <f>SUM(J124:J126)</f>
        <v>0</v>
      </c>
      <c r="K123" s="247">
        <f t="shared" si="20"/>
        <v>336150</v>
      </c>
      <c r="L123" s="246">
        <f>SUM(L124:L126)</f>
        <v>378383</v>
      </c>
      <c r="M123" s="246">
        <f>SUM(M124:M126)</f>
        <v>0</v>
      </c>
      <c r="N123" s="247">
        <f t="shared" si="21"/>
        <v>378383</v>
      </c>
    </row>
    <row r="124" spans="1:14" x14ac:dyDescent="0.25">
      <c r="A124" s="61"/>
      <c r="B124" s="62" t="s">
        <v>223</v>
      </c>
      <c r="C124" s="246">
        <v>336150</v>
      </c>
      <c r="D124" s="246"/>
      <c r="E124" s="247">
        <f t="shared" si="15"/>
        <v>336150</v>
      </c>
      <c r="F124" s="246">
        <v>336150</v>
      </c>
      <c r="G124" s="246"/>
      <c r="H124" s="247">
        <f t="shared" si="19"/>
        <v>336150</v>
      </c>
      <c r="I124" s="246">
        <v>336150</v>
      </c>
      <c r="J124" s="246"/>
      <c r="K124" s="247">
        <f t="shared" si="20"/>
        <v>336150</v>
      </c>
      <c r="L124" s="246">
        <f>1125024-746641</f>
        <v>378383</v>
      </c>
      <c r="M124" s="246"/>
      <c r="N124" s="247">
        <f t="shared" si="21"/>
        <v>378383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customHeight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customHeight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customHeight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customHeight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customHeight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customHeight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customHeight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customHeight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>
        <v>3253800</v>
      </c>
      <c r="J137" s="244"/>
      <c r="K137" s="245">
        <f t="shared" si="20"/>
        <v>3253800</v>
      </c>
      <c r="L137" s="244">
        <v>3253800</v>
      </c>
      <c r="M137" s="244"/>
      <c r="N137" s="245">
        <f t="shared" si="21"/>
        <v>3253800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>
        <v>878526</v>
      </c>
      <c r="J138" s="248"/>
      <c r="K138" s="249">
        <f t="shared" si="20"/>
        <v>878526</v>
      </c>
      <c r="L138" s="248">
        <v>878526</v>
      </c>
      <c r="M138" s="248"/>
      <c r="N138" s="249">
        <f t="shared" si="21"/>
        <v>878526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>
        <v>6475118</v>
      </c>
      <c r="J139" s="244"/>
      <c r="K139" s="245">
        <f t="shared" si="20"/>
        <v>6475118</v>
      </c>
      <c r="L139" s="244">
        <v>6475118</v>
      </c>
      <c r="M139" s="244"/>
      <c r="N139" s="245">
        <f t="shared" si="21"/>
        <v>6475118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>
        <v>1660586</v>
      </c>
      <c r="J140" s="248"/>
      <c r="K140" s="249">
        <f t="shared" si="20"/>
        <v>1660586</v>
      </c>
      <c r="L140" s="248">
        <v>1660586</v>
      </c>
      <c r="M140" s="248"/>
      <c r="N140" s="249">
        <f t="shared" si="21"/>
        <v>1660586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1581150</v>
      </c>
      <c r="D142" s="250">
        <f>D141+D140+D139+D138+D137+D128+D127+D111+D105+D88</f>
        <v>0</v>
      </c>
      <c r="E142" s="251">
        <f t="shared" si="15"/>
        <v>1581150</v>
      </c>
      <c r="F142" s="250">
        <f>F141+F140+F139+F138+F137+F128+F127+F111+F105+F88</f>
        <v>1581150</v>
      </c>
      <c r="G142" s="250">
        <f>G141+G140+G139+G138+G137+G128+G127+G111+G105+G88</f>
        <v>0</v>
      </c>
      <c r="H142" s="251">
        <f t="shared" si="19"/>
        <v>1581150</v>
      </c>
      <c r="I142" s="250">
        <f>I141+I140+I139+I138+I137+I128+I127+I111+I105+I88</f>
        <v>16954180</v>
      </c>
      <c r="J142" s="250">
        <f>J141+J140+J139+J138+J137+J128+J127+J111+J105+J88</f>
        <v>0</v>
      </c>
      <c r="K142" s="251">
        <f t="shared" si="20"/>
        <v>16954180</v>
      </c>
      <c r="L142" s="250">
        <f>L141+L140+L139+L138+L137+L128+L127+L111+L105+L88</f>
        <v>14047837</v>
      </c>
      <c r="M142" s="250">
        <f>M141+M140+M139+M138+M137+M128+M127+M111+M105+M88</f>
        <v>0</v>
      </c>
      <c r="N142" s="251">
        <f t="shared" si="21"/>
        <v>14047837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customHeight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customHeight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customHeight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customHeight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customHeight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customHeight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customHeight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1581150</v>
      </c>
      <c r="D151" s="257">
        <f>D143+D142</f>
        <v>0</v>
      </c>
      <c r="E151" s="258">
        <f>SUM(C151:D151)</f>
        <v>1581150</v>
      </c>
      <c r="F151" s="250">
        <f>F143+F142</f>
        <v>1581150</v>
      </c>
      <c r="G151" s="257">
        <f>G143+G142</f>
        <v>0</v>
      </c>
      <c r="H151" s="258">
        <f>SUM(F151:G151)</f>
        <v>1581150</v>
      </c>
      <c r="I151" s="250">
        <f>I143+I142</f>
        <v>16954180</v>
      </c>
      <c r="J151" s="257">
        <f>J143+J142</f>
        <v>0</v>
      </c>
      <c r="K151" s="258">
        <f>SUM(I151:J151)</f>
        <v>16954180</v>
      </c>
      <c r="L151" s="250">
        <f>L143+L142</f>
        <v>14047837</v>
      </c>
      <c r="M151" s="257">
        <f>M143+M142</f>
        <v>0</v>
      </c>
      <c r="N151" s="258">
        <f>SUM(L151:M151)</f>
        <v>14047837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-1535430</v>
      </c>
      <c r="H153" s="148">
        <f>H85-H151</f>
        <v>-1535430</v>
      </c>
      <c r="K153" s="148">
        <f>K85-K151</f>
        <v>-16908460</v>
      </c>
      <c r="N153" s="148">
        <f>N85-N151</f>
        <v>-14002117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3" fitToHeight="0" orientation="portrait" horizontalDpi="300" verticalDpi="300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4"/>
  <sheetViews>
    <sheetView zoomScaleNormal="100" workbookViewId="0">
      <selection activeCell="C6" sqref="C6"/>
    </sheetView>
  </sheetViews>
  <sheetFormatPr defaultRowHeight="15" x14ac:dyDescent="0.25"/>
  <cols>
    <col min="2" max="2" width="42.140625" bestFit="1" customWidth="1"/>
    <col min="3" max="3" width="9.7109375" style="179" customWidth="1"/>
    <col min="4" max="4" width="15.42578125" bestFit="1" customWidth="1"/>
  </cols>
  <sheetData>
    <row r="1" spans="1:8" s="179" customFormat="1" x14ac:dyDescent="0.25">
      <c r="B1" s="45" t="str">
        <f>'1 címrend'!B1:C1</f>
        <v xml:space="preserve"> 12 / 2020. (VI.15) sz rendelet</v>
      </c>
      <c r="C1" s="45"/>
      <c r="D1" s="597"/>
    </row>
    <row r="2" spans="1:8" s="179" customFormat="1" x14ac:dyDescent="0.25"/>
    <row r="3" spans="1:8" s="179" customFormat="1" x14ac:dyDescent="0.25">
      <c r="A3" s="876" t="s">
        <v>19</v>
      </c>
      <c r="B3" s="876"/>
      <c r="C3" s="876"/>
      <c r="D3" s="876"/>
    </row>
    <row r="4" spans="1:8" x14ac:dyDescent="0.25">
      <c r="A4" s="1"/>
      <c r="B4" s="1"/>
      <c r="C4" s="512"/>
      <c r="D4" s="1"/>
    </row>
    <row r="5" spans="1:8" x14ac:dyDescent="0.25">
      <c r="A5" s="3"/>
      <c r="B5" s="3" t="s">
        <v>288</v>
      </c>
      <c r="C5" s="45" t="str">
        <f>'1 címrend'!C7</f>
        <v xml:space="preserve"> melléklet az 12/2020. (VI.15.) rendelethez</v>
      </c>
      <c r="D5" s="45"/>
      <c r="F5" s="1"/>
      <c r="G5" s="1"/>
      <c r="H5" s="1"/>
    </row>
    <row r="6" spans="1:8" x14ac:dyDescent="0.25">
      <c r="A6" s="2"/>
      <c r="B6" s="2"/>
      <c r="C6" s="2"/>
      <c r="F6" s="3"/>
      <c r="G6" s="883"/>
      <c r="H6" s="883"/>
    </row>
    <row r="7" spans="1:8" ht="15.75" thickBot="1" x14ac:dyDescent="0.3">
      <c r="A7" s="4"/>
      <c r="B7" s="4"/>
      <c r="C7" s="45"/>
    </row>
    <row r="8" spans="1:8" ht="15.75" thickBot="1" x14ac:dyDescent="0.3">
      <c r="A8" s="881" t="s">
        <v>9</v>
      </c>
      <c r="B8" s="884" t="s">
        <v>2</v>
      </c>
      <c r="C8" s="885"/>
      <c r="D8" s="14" t="s">
        <v>21</v>
      </c>
    </row>
    <row r="9" spans="1:8" ht="15.75" thickBot="1" x14ac:dyDescent="0.3">
      <c r="A9" s="882"/>
      <c r="B9" s="886"/>
      <c r="C9" s="887"/>
      <c r="D9" s="21" t="s">
        <v>22</v>
      </c>
    </row>
    <row r="10" spans="1:8" ht="15.75" thickBot="1" x14ac:dyDescent="0.3">
      <c r="A10" s="11" t="s">
        <v>3</v>
      </c>
      <c r="B10" s="7" t="s">
        <v>4</v>
      </c>
      <c r="C10" s="557"/>
      <c r="D10" s="563">
        <f>SUM(D11:D18)</f>
        <v>48</v>
      </c>
    </row>
    <row r="11" spans="1:8" x14ac:dyDescent="0.25">
      <c r="A11" s="11"/>
      <c r="B11" s="15" t="s">
        <v>10</v>
      </c>
      <c r="C11" s="558"/>
      <c r="D11" s="18">
        <v>5</v>
      </c>
    </row>
    <row r="12" spans="1:8" x14ac:dyDescent="0.25">
      <c r="A12" s="12"/>
      <c r="B12" s="15" t="s">
        <v>11</v>
      </c>
      <c r="C12" s="559"/>
      <c r="D12" s="19">
        <v>6</v>
      </c>
    </row>
    <row r="13" spans="1:8" x14ac:dyDescent="0.25">
      <c r="A13" s="12"/>
      <c r="B13" s="15" t="s">
        <v>12</v>
      </c>
      <c r="C13" s="559"/>
      <c r="D13" s="19">
        <v>5</v>
      </c>
    </row>
    <row r="14" spans="1:8" x14ac:dyDescent="0.25">
      <c r="A14" s="12"/>
      <c r="B14" s="15" t="s">
        <v>13</v>
      </c>
      <c r="C14" s="559"/>
      <c r="D14" s="19">
        <v>2</v>
      </c>
    </row>
    <row r="15" spans="1:8" s="179" customFormat="1" x14ac:dyDescent="0.25">
      <c r="A15" s="12"/>
      <c r="B15" s="180" t="s">
        <v>719</v>
      </c>
      <c r="C15" s="560"/>
      <c r="D15" s="19">
        <v>1</v>
      </c>
    </row>
    <row r="16" spans="1:8" x14ac:dyDescent="0.25">
      <c r="A16" s="12"/>
      <c r="B16" s="192" t="s">
        <v>14</v>
      </c>
      <c r="C16" s="560"/>
      <c r="D16" s="19">
        <v>6</v>
      </c>
    </row>
    <row r="17" spans="1:4" s="179" customFormat="1" x14ac:dyDescent="0.25">
      <c r="A17" s="561"/>
      <c r="B17" s="879" t="s">
        <v>560</v>
      </c>
      <c r="C17" s="880"/>
      <c r="D17" s="19">
        <v>1</v>
      </c>
    </row>
    <row r="18" spans="1:4" s="179" customFormat="1" ht="15.75" thickBot="1" x14ac:dyDescent="0.3">
      <c r="A18" s="561"/>
      <c r="B18" s="16" t="s">
        <v>779</v>
      </c>
      <c r="C18" s="315"/>
      <c r="D18" s="20">
        <v>22</v>
      </c>
    </row>
    <row r="19" spans="1:4" ht="15.75" thickBot="1" x14ac:dyDescent="0.3">
      <c r="A19" s="8" t="s">
        <v>5</v>
      </c>
      <c r="B19" s="7" t="s">
        <v>6</v>
      </c>
      <c r="C19" s="557"/>
      <c r="D19" s="562">
        <v>29</v>
      </c>
    </row>
    <row r="20" spans="1:4" x14ac:dyDescent="0.25">
      <c r="A20" s="11" t="s">
        <v>7</v>
      </c>
      <c r="B20" s="9" t="s">
        <v>8</v>
      </c>
      <c r="C20" s="203"/>
      <c r="D20" s="18">
        <f>SUM(D21:D23)</f>
        <v>11</v>
      </c>
    </row>
    <row r="21" spans="1:4" x14ac:dyDescent="0.25">
      <c r="A21" s="12"/>
      <c r="B21" s="15" t="s">
        <v>15</v>
      </c>
      <c r="C21" s="559"/>
      <c r="D21" s="19">
        <v>6</v>
      </c>
    </row>
    <row r="22" spans="1:4" x14ac:dyDescent="0.25">
      <c r="A22" s="12"/>
      <c r="B22" s="16" t="s">
        <v>16</v>
      </c>
      <c r="C22" s="315"/>
      <c r="D22" s="19">
        <v>2</v>
      </c>
    </row>
    <row r="23" spans="1:4" ht="15.75" thickBot="1" x14ac:dyDescent="0.3">
      <c r="A23" s="13"/>
      <c r="B23" s="50" t="s">
        <v>17</v>
      </c>
      <c r="C23" s="10"/>
      <c r="D23" s="20">
        <v>3</v>
      </c>
    </row>
    <row r="24" spans="1:4" ht="15.75" thickBot="1" x14ac:dyDescent="0.3">
      <c r="A24" s="6"/>
      <c r="B24" s="7" t="s">
        <v>18</v>
      </c>
      <c r="C24" s="557"/>
      <c r="D24" s="17">
        <f>D10+D19+D20</f>
        <v>88</v>
      </c>
    </row>
  </sheetData>
  <mergeCells count="5">
    <mergeCell ref="B17:C17"/>
    <mergeCell ref="A8:A9"/>
    <mergeCell ref="G6:H6"/>
    <mergeCell ref="A3:D3"/>
    <mergeCell ref="B8:C9"/>
  </mergeCells>
  <pageMargins left="0.55118110236220474" right="0.15748031496062992" top="0.27559055118110237" bottom="0.43307086614173229" header="0.31496062992125984" footer="0.31496062992125984"/>
  <pageSetup paperSize="9" scale="80" orientation="portrait" horizontalDpi="300" verticalDpi="300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1.5703125" style="44" customWidth="1"/>
    <col min="4" max="4" width="9.140625" style="44"/>
    <col min="5" max="5" width="12.7109375" style="44" customWidth="1"/>
    <col min="6" max="6" width="11.5703125" style="179" customWidth="1"/>
    <col min="7" max="7" width="9.140625" style="179"/>
    <col min="8" max="8" width="12.7109375" style="179" customWidth="1"/>
    <col min="9" max="9" width="11.5703125" style="179" customWidth="1"/>
    <col min="10" max="10" width="9.140625" style="179"/>
    <col min="11" max="11" width="12.7109375" style="179" customWidth="1"/>
    <col min="12" max="12" width="11.5703125" style="179" customWidth="1"/>
    <col min="13" max="13" width="9.140625" style="179"/>
    <col min="14" max="14" width="12.710937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.75" customHeight="1" x14ac:dyDescent="0.2"/>
    <row r="4" spans="1:14" s="44" customFormat="1" x14ac:dyDescent="0.25">
      <c r="A4" s="79" t="s">
        <v>270</v>
      </c>
      <c r="C4" s="45" t="str">
        <f>'7.2 temető 013320'!C4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342</v>
      </c>
      <c r="B5" s="81" t="s">
        <v>343</v>
      </c>
    </row>
    <row r="6" spans="1:14" s="44" customFormat="1" x14ac:dyDescent="0.25">
      <c r="C6" s="519" t="s">
        <v>731</v>
      </c>
      <c r="D6" s="622" t="str">
        <f>'7.2 temető 013320'!D6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81763</v>
      </c>
      <c r="M45" s="244">
        <f>M46+M47+M48+M49+M54+M55+M56+M57+M58+M59+M60</f>
        <v>0</v>
      </c>
      <c r="N45" s="245">
        <f t="shared" si="3"/>
        <v>81763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>
        <v>78019</v>
      </c>
      <c r="M47" s="246"/>
      <c r="N47" s="247">
        <f t="shared" si="3"/>
        <v>78019</v>
      </c>
    </row>
    <row r="48" spans="1:14" hidden="1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idden="1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idden="1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>
        <v>3744</v>
      </c>
      <c r="M57" s="246"/>
      <c r="N57" s="247">
        <f t="shared" si="3"/>
        <v>3744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x14ac:dyDescent="0.25">
      <c r="A61" s="52" t="s">
        <v>121</v>
      </c>
      <c r="B61" s="48" t="s">
        <v>28</v>
      </c>
      <c r="C61" s="244">
        <f>SUM(C62:C66)</f>
        <v>7695000</v>
      </c>
      <c r="D61" s="244">
        <f>SUM(D62:D66)</f>
        <v>0</v>
      </c>
      <c r="E61" s="245">
        <f t="shared" si="0"/>
        <v>7695000</v>
      </c>
      <c r="F61" s="244">
        <f>SUM(F62:F66)</f>
        <v>8626400</v>
      </c>
      <c r="G61" s="244">
        <f>SUM(G62:G66)</f>
        <v>0</v>
      </c>
      <c r="H61" s="245">
        <f t="shared" si="1"/>
        <v>8626400</v>
      </c>
      <c r="I61" s="244">
        <f>SUM(I62:I66)</f>
        <v>8626400</v>
      </c>
      <c r="J61" s="244">
        <f>SUM(J62:J66)</f>
        <v>0</v>
      </c>
      <c r="K61" s="245">
        <f t="shared" si="2"/>
        <v>8626400</v>
      </c>
      <c r="L61" s="244">
        <f>SUM(L62:L66)</f>
        <v>8626400</v>
      </c>
      <c r="M61" s="244">
        <f>SUM(M62:M66)</f>
        <v>0</v>
      </c>
      <c r="N61" s="245">
        <f t="shared" si="3"/>
        <v>8626400</v>
      </c>
    </row>
    <row r="62" spans="1:14" x14ac:dyDescent="0.25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x14ac:dyDescent="0.25">
      <c r="A63" s="53" t="s">
        <v>124</v>
      </c>
      <c r="B63" s="62" t="s">
        <v>125</v>
      </c>
      <c r="C63" s="246">
        <v>7695000</v>
      </c>
      <c r="D63" s="246"/>
      <c r="E63" s="247">
        <f t="shared" si="0"/>
        <v>7695000</v>
      </c>
      <c r="F63" s="246">
        <f>7695000+931400</f>
        <v>8626400</v>
      </c>
      <c r="G63" s="246"/>
      <c r="H63" s="247">
        <f t="shared" si="1"/>
        <v>8626400</v>
      </c>
      <c r="I63" s="246">
        <f>7695000+931400</f>
        <v>8626400</v>
      </c>
      <c r="J63" s="246"/>
      <c r="K63" s="247">
        <f t="shared" si="2"/>
        <v>8626400</v>
      </c>
      <c r="L63" s="246">
        <f>7695000+931400</f>
        <v>8626400</v>
      </c>
      <c r="M63" s="246"/>
      <c r="N63" s="247">
        <f t="shared" si="3"/>
        <v>8626400</v>
      </c>
    </row>
    <row r="64" spans="1:14" x14ac:dyDescent="0.25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x14ac:dyDescent="0.25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7695000</v>
      </c>
      <c r="D73" s="250">
        <f>D9+D22+D25+D45+D61+D67+D70</f>
        <v>0</v>
      </c>
      <c r="E73" s="251">
        <f t="shared" si="0"/>
        <v>7695000</v>
      </c>
      <c r="F73" s="250">
        <f>F9+F22+F25+F45+F61+F67+F70</f>
        <v>8626400</v>
      </c>
      <c r="G73" s="250">
        <f>G9+G22+G25+G45+G61+G67+G70</f>
        <v>0</v>
      </c>
      <c r="H73" s="251">
        <f t="shared" si="1"/>
        <v>8626400</v>
      </c>
      <c r="I73" s="250">
        <f>I9+I22+I25+I45+I61+I67+I70</f>
        <v>8626400</v>
      </c>
      <c r="J73" s="250">
        <f>J9+J22+J25+J45+J61+J67+J70</f>
        <v>0</v>
      </c>
      <c r="K73" s="251">
        <f t="shared" si="2"/>
        <v>8626400</v>
      </c>
      <c r="L73" s="250">
        <f>L9+L22+L25+L45+L61+L67+L70</f>
        <v>8708163</v>
      </c>
      <c r="M73" s="250">
        <f>M9+M22+M25+M45+M61+M67+M70</f>
        <v>0</v>
      </c>
      <c r="N73" s="251">
        <f t="shared" si="3"/>
        <v>8708163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7695000</v>
      </c>
      <c r="D85" s="250">
        <f>D73+D74</f>
        <v>0</v>
      </c>
      <c r="E85" s="251">
        <f t="shared" si="4"/>
        <v>7695000</v>
      </c>
      <c r="F85" s="250">
        <f>F73+F74</f>
        <v>8626400</v>
      </c>
      <c r="G85" s="250">
        <f>G73+G74</f>
        <v>0</v>
      </c>
      <c r="H85" s="251">
        <f t="shared" si="12"/>
        <v>8626400</v>
      </c>
      <c r="I85" s="250">
        <f>I73+I74</f>
        <v>8626400</v>
      </c>
      <c r="J85" s="250">
        <f>J73+J74</f>
        <v>0</v>
      </c>
      <c r="K85" s="251">
        <f t="shared" si="13"/>
        <v>8626400</v>
      </c>
      <c r="L85" s="250">
        <f>L73+L74</f>
        <v>8708163</v>
      </c>
      <c r="M85" s="250">
        <f>M73+M74</f>
        <v>0</v>
      </c>
      <c r="N85" s="251">
        <f t="shared" si="14"/>
        <v>8708163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idden="1" x14ac:dyDescent="0.25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idden="1" x14ac:dyDescent="0.25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idden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idden="1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idden="1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idden="1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idden="1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idden="1" x14ac:dyDescent="0.25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idden="1" x14ac:dyDescent="0.25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idden="1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idden="1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idden="1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idden="1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idden="1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idden="1" x14ac:dyDescent="0.25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339800</v>
      </c>
      <c r="M105" s="244">
        <f>SUM(M106:M110)</f>
        <v>0</v>
      </c>
      <c r="N105" s="245">
        <f t="shared" si="21"/>
        <v>339800</v>
      </c>
    </row>
    <row r="106" spans="1:14" x14ac:dyDescent="0.25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>
        <v>339800</v>
      </c>
      <c r="M106" s="246"/>
      <c r="N106" s="247">
        <f t="shared" si="21"/>
        <v>339800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137160</v>
      </c>
      <c r="J111" s="244">
        <f>SUM(J112:J113,J114,J123,J122)</f>
        <v>0</v>
      </c>
      <c r="K111" s="245">
        <f t="shared" si="20"/>
        <v>137160</v>
      </c>
      <c r="L111" s="244">
        <f>SUM(L112:L113,L114,L123,L122)</f>
        <v>137160</v>
      </c>
      <c r="M111" s="244">
        <f>SUM(M112:M113,M114,M123,M122)</f>
        <v>0</v>
      </c>
      <c r="N111" s="245">
        <f t="shared" si="21"/>
        <v>137160</v>
      </c>
    </row>
    <row r="112" spans="1:14" x14ac:dyDescent="0.25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>
        <v>108000</v>
      </c>
      <c r="J112" s="246"/>
      <c r="K112" s="247">
        <f t="shared" si="20"/>
        <v>108000</v>
      </c>
      <c r="L112" s="246">
        <v>108000</v>
      </c>
      <c r="M112" s="246"/>
      <c r="N112" s="247">
        <f t="shared" si="21"/>
        <v>108000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29160</v>
      </c>
      <c r="J123" s="246">
        <f>SUM(J124:J126)</f>
        <v>0</v>
      </c>
      <c r="K123" s="247">
        <f t="shared" si="20"/>
        <v>29160</v>
      </c>
      <c r="L123" s="246">
        <f>SUM(L124:L126)</f>
        <v>29160</v>
      </c>
      <c r="M123" s="246">
        <f>SUM(M124:M126)</f>
        <v>0</v>
      </c>
      <c r="N123" s="247">
        <f t="shared" si="21"/>
        <v>29160</v>
      </c>
    </row>
    <row r="124" spans="1:14" x14ac:dyDescent="0.25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>
        <v>29160</v>
      </c>
      <c r="J124" s="246"/>
      <c r="K124" s="247">
        <f t="shared" si="20"/>
        <v>29160</v>
      </c>
      <c r="L124" s="246">
        <v>29160</v>
      </c>
      <c r="M124" s="246"/>
      <c r="N124" s="247">
        <f t="shared" si="21"/>
        <v>29160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>
        <v>1968504</v>
      </c>
      <c r="D137" s="244"/>
      <c r="E137" s="245">
        <f t="shared" si="15"/>
        <v>1968504</v>
      </c>
      <c r="F137" s="244">
        <f>1968504+2000000-1496063+575590+3253800+4015748</f>
        <v>10317579</v>
      </c>
      <c r="G137" s="244"/>
      <c r="H137" s="245">
        <f t="shared" si="19"/>
        <v>10317579</v>
      </c>
      <c r="I137" s="244">
        <v>7196850</v>
      </c>
      <c r="J137" s="244"/>
      <c r="K137" s="245">
        <f t="shared" si="20"/>
        <v>7196850</v>
      </c>
      <c r="L137" s="244">
        <v>6853800</v>
      </c>
      <c r="M137" s="244"/>
      <c r="N137" s="245">
        <f t="shared" si="21"/>
        <v>6853800</v>
      </c>
    </row>
    <row r="138" spans="1:14" ht="15.75" thickBot="1" x14ac:dyDescent="0.3">
      <c r="A138" s="63" t="s">
        <v>242</v>
      </c>
      <c r="B138" s="64" t="s">
        <v>243</v>
      </c>
      <c r="C138" s="248">
        <v>531496</v>
      </c>
      <c r="D138" s="248"/>
      <c r="E138" s="249">
        <f t="shared" si="15"/>
        <v>531496</v>
      </c>
      <c r="F138" s="248">
        <f>531496+540000-403937+155410+878526+1084252</f>
        <v>2785747</v>
      </c>
      <c r="G138" s="248"/>
      <c r="H138" s="249">
        <f t="shared" si="19"/>
        <v>2785747</v>
      </c>
      <c r="I138" s="248">
        <v>1943150</v>
      </c>
      <c r="J138" s="248"/>
      <c r="K138" s="249">
        <f t="shared" si="20"/>
        <v>1943150</v>
      </c>
      <c r="L138" s="248">
        <v>1784376</v>
      </c>
      <c r="M138" s="248"/>
      <c r="N138" s="249">
        <f t="shared" si="21"/>
        <v>1784376</v>
      </c>
    </row>
    <row r="139" spans="1:14" x14ac:dyDescent="0.25">
      <c r="A139" s="60" t="s">
        <v>244</v>
      </c>
      <c r="B139" s="48" t="s">
        <v>39</v>
      </c>
      <c r="C139" s="244">
        <f>46103181-787401+20960630</f>
        <v>66276410</v>
      </c>
      <c r="D139" s="244"/>
      <c r="E139" s="245">
        <f t="shared" si="15"/>
        <v>66276410</v>
      </c>
      <c r="F139" s="244">
        <f>46103181-787401+20960630-13058031+551181+217323+149606+346024</f>
        <v>54482513</v>
      </c>
      <c r="G139" s="244"/>
      <c r="H139" s="245">
        <f t="shared" si="19"/>
        <v>54482513</v>
      </c>
      <c r="I139" s="244">
        <v>58414851</v>
      </c>
      <c r="J139" s="244"/>
      <c r="K139" s="245">
        <f t="shared" si="20"/>
        <v>58414851</v>
      </c>
      <c r="L139" s="244">
        <f>16465724+2906620</f>
        <v>19372344</v>
      </c>
      <c r="M139" s="244"/>
      <c r="N139" s="245">
        <f t="shared" si="21"/>
        <v>19372344</v>
      </c>
    </row>
    <row r="140" spans="1:14" ht="15.75" thickBot="1" x14ac:dyDescent="0.3">
      <c r="A140" s="63" t="s">
        <v>245</v>
      </c>
      <c r="B140" s="64" t="s">
        <v>246</v>
      </c>
      <c r="C140" s="248">
        <f>12447859-212599+5659370</f>
        <v>17894630</v>
      </c>
      <c r="D140" s="248"/>
      <c r="E140" s="249">
        <f t="shared" si="15"/>
        <v>17894630</v>
      </c>
      <c r="F140" s="248">
        <f>12447859-212599+5659370-3525669+148819+58677+40394+93426</f>
        <v>14710277</v>
      </c>
      <c r="G140" s="248"/>
      <c r="H140" s="249">
        <f t="shared" si="19"/>
        <v>14710277</v>
      </c>
      <c r="I140" s="248">
        <v>6867920</v>
      </c>
      <c r="J140" s="248"/>
      <c r="K140" s="249">
        <f t="shared" si="20"/>
        <v>6867920</v>
      </c>
      <c r="L140" s="248">
        <f>2797980+784788</f>
        <v>3582768</v>
      </c>
      <c r="M140" s="248"/>
      <c r="N140" s="249">
        <f t="shared" si="21"/>
        <v>3582768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86671040</v>
      </c>
      <c r="D142" s="250">
        <f>D141+D140+D139+D138+D137+D128+D127+D111+D105+D88</f>
        <v>0</v>
      </c>
      <c r="E142" s="251">
        <f t="shared" si="15"/>
        <v>86671040</v>
      </c>
      <c r="F142" s="250">
        <f>F141+F140+F139+F138+F137+F128+F127+F111+F105+F88</f>
        <v>82296116</v>
      </c>
      <c r="G142" s="250">
        <f>G141+G140+G139+G138+G137+G128+G127+G111+G105+G88</f>
        <v>0</v>
      </c>
      <c r="H142" s="251">
        <f t="shared" si="19"/>
        <v>82296116</v>
      </c>
      <c r="I142" s="250">
        <f>I141+I140+I139+I138+I137+I128+I127+I111+I105+I88</f>
        <v>74559931</v>
      </c>
      <c r="J142" s="250">
        <f>J141+J140+J139+J138+J137+J128+J127+J111+J105+J88</f>
        <v>0</v>
      </c>
      <c r="K142" s="251">
        <f t="shared" si="20"/>
        <v>74559931</v>
      </c>
      <c r="L142" s="250">
        <f>L141+L140+L139+L138+L137+L128+L127+L111+L105+L88</f>
        <v>32070248</v>
      </c>
      <c r="M142" s="250">
        <f>M141+M140+M139+M138+M137+M128+M127+M111+M105+M88</f>
        <v>0</v>
      </c>
      <c r="N142" s="251">
        <f t="shared" si="21"/>
        <v>32070248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86671040</v>
      </c>
      <c r="D151" s="257">
        <f>D143+D142</f>
        <v>0</v>
      </c>
      <c r="E151" s="258">
        <f>SUM(C151:D151)</f>
        <v>86671040</v>
      </c>
      <c r="F151" s="250">
        <f>F143+F142</f>
        <v>82296116</v>
      </c>
      <c r="G151" s="257">
        <f>G143+G142</f>
        <v>0</v>
      </c>
      <c r="H151" s="258">
        <f>SUM(F151:G151)</f>
        <v>82296116</v>
      </c>
      <c r="I151" s="250">
        <f>I143+I142</f>
        <v>74559931</v>
      </c>
      <c r="J151" s="257">
        <f>J143+J142</f>
        <v>0</v>
      </c>
      <c r="K151" s="258">
        <f>SUM(I151:J151)</f>
        <v>74559931</v>
      </c>
      <c r="L151" s="250">
        <f>L143+L142</f>
        <v>32070248</v>
      </c>
      <c r="M151" s="257">
        <f>M143+M142</f>
        <v>0</v>
      </c>
      <c r="N151" s="258">
        <f>SUM(L151:M151)</f>
        <v>32070248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-78976040</v>
      </c>
      <c r="H153" s="148">
        <f>H85-H151</f>
        <v>-73669716</v>
      </c>
      <c r="K153" s="148">
        <f>K85-K151</f>
        <v>-65933531</v>
      </c>
      <c r="N153" s="148">
        <f>N85-N151</f>
        <v>-23362085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48" fitToHeight="0" orientation="portrait" horizontalDpi="300" verticalDpi="300" r:id="rId1"/>
  <headerFoot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1.42578125" style="44" customWidth="1"/>
    <col min="4" max="4" width="9.140625" style="44"/>
    <col min="5" max="5" width="11.140625" style="44" customWidth="1"/>
    <col min="6" max="6" width="11.42578125" style="179" customWidth="1"/>
    <col min="7" max="7" width="9.140625" style="179"/>
    <col min="8" max="8" width="11.140625" style="179" customWidth="1"/>
    <col min="9" max="9" width="11.42578125" style="179" customWidth="1"/>
    <col min="10" max="10" width="9.140625" style="179"/>
    <col min="11" max="11" width="11.140625" style="179" customWidth="1"/>
    <col min="12" max="12" width="11.42578125" style="179" customWidth="1"/>
    <col min="13" max="13" width="9.140625" style="179"/>
    <col min="14" max="14" width="11.14062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'7.3. vagyon 013350'!C4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89" t="s">
        <v>344</v>
      </c>
      <c r="B5" s="81" t="s">
        <v>345</v>
      </c>
    </row>
    <row r="6" spans="1:14" s="44" customFormat="1" x14ac:dyDescent="0.25">
      <c r="C6" s="519" t="s">
        <v>732</v>
      </c>
      <c r="D6" s="622" t="str">
        <f>'7.3. vagyon 013350'!D6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475234735</v>
      </c>
      <c r="D9" s="244">
        <f>SUM(D10,D17,D18,D20,D21,D19)</f>
        <v>0</v>
      </c>
      <c r="E9" s="245">
        <f t="shared" ref="E9:E73" si="0">SUM(C9:D9)</f>
        <v>475234735</v>
      </c>
      <c r="F9" s="244">
        <f>SUM(F10,F17,F18,F20,F21,F19)</f>
        <v>485214421</v>
      </c>
      <c r="G9" s="244">
        <f>SUM(G10,G17,G18,G20,G21,G19)</f>
        <v>0</v>
      </c>
      <c r="H9" s="245">
        <f t="shared" ref="H9:H73" si="1">SUM(F9:G9)</f>
        <v>485214421</v>
      </c>
      <c r="I9" s="244">
        <f>SUM(I10,I17,I18,I20,I21,I19)</f>
        <v>493544130</v>
      </c>
      <c r="J9" s="244">
        <f>SUM(J10,J17,J18,J20,J21,J19)</f>
        <v>0</v>
      </c>
      <c r="K9" s="245">
        <f t="shared" ref="K9:K73" si="2">SUM(I9:J9)</f>
        <v>493544130</v>
      </c>
      <c r="L9" s="244">
        <f>SUM(L10,L17,L18,L20,L21,L19)</f>
        <v>493544130</v>
      </c>
      <c r="M9" s="244">
        <f>SUM(M10,M17,M18,M20,M21,M19)</f>
        <v>0</v>
      </c>
      <c r="N9" s="245">
        <f t="shared" ref="N9:N73" si="3">SUM(L9:M9)</f>
        <v>493544130</v>
      </c>
    </row>
    <row r="10" spans="1:14" x14ac:dyDescent="0.25">
      <c r="A10" s="53" t="s">
        <v>45</v>
      </c>
      <c r="B10" s="62" t="s">
        <v>46</v>
      </c>
      <c r="C10" s="246">
        <f>SUM(C11:C16)</f>
        <v>458484335</v>
      </c>
      <c r="D10" s="246">
        <f>SUM(D11:D16)</f>
        <v>0</v>
      </c>
      <c r="E10" s="247">
        <f t="shared" si="0"/>
        <v>458484335</v>
      </c>
      <c r="F10" s="246">
        <f>SUM(F11:F16)</f>
        <v>485214421</v>
      </c>
      <c r="G10" s="246">
        <f>SUM(G11:G16)</f>
        <v>0</v>
      </c>
      <c r="H10" s="247">
        <f t="shared" si="1"/>
        <v>485214421</v>
      </c>
      <c r="I10" s="246">
        <f>SUM(I11:I16)</f>
        <v>493544130</v>
      </c>
      <c r="J10" s="246">
        <f>SUM(J11:J16)</f>
        <v>0</v>
      </c>
      <c r="K10" s="247">
        <f t="shared" si="2"/>
        <v>493544130</v>
      </c>
      <c r="L10" s="246">
        <f>SUM(L11:L16)</f>
        <v>493544130</v>
      </c>
      <c r="M10" s="246">
        <f>SUM(M11:M16)</f>
        <v>0</v>
      </c>
      <c r="N10" s="247">
        <f t="shared" si="3"/>
        <v>493544130</v>
      </c>
    </row>
    <row r="11" spans="1:14" x14ac:dyDescent="0.25">
      <c r="A11" s="53" t="s">
        <v>47</v>
      </c>
      <c r="B11" s="62" t="s">
        <v>48</v>
      </c>
      <c r="C11" s="246">
        <v>251398914</v>
      </c>
      <c r="D11" s="246"/>
      <c r="E11" s="247">
        <f t="shared" si="0"/>
        <v>251398914</v>
      </c>
      <c r="F11" s="246">
        <f>251398914+98424+138624+2865000+16750400</f>
        <v>271251362</v>
      </c>
      <c r="G11" s="246"/>
      <c r="H11" s="247">
        <f t="shared" si="1"/>
        <v>271251362</v>
      </c>
      <c r="I11" s="246">
        <f>254719924-141053-358</f>
        <v>254578513</v>
      </c>
      <c r="J11" s="246"/>
      <c r="K11" s="247">
        <f t="shared" si="2"/>
        <v>254578513</v>
      </c>
      <c r="L11" s="246">
        <f>254719924-141053-358</f>
        <v>254578513</v>
      </c>
      <c r="M11" s="246"/>
      <c r="N11" s="247">
        <f t="shared" si="3"/>
        <v>254578513</v>
      </c>
    </row>
    <row r="12" spans="1:14" x14ac:dyDescent="0.25">
      <c r="A12" s="53" t="s">
        <v>49</v>
      </c>
      <c r="B12" s="62" t="s">
        <v>50</v>
      </c>
      <c r="C12" s="246">
        <v>108088484</v>
      </c>
      <c r="D12" s="246"/>
      <c r="E12" s="247">
        <f t="shared" si="0"/>
        <v>108088484</v>
      </c>
      <c r="F12" s="246">
        <f>108088484+1950000</f>
        <v>110038484</v>
      </c>
      <c r="G12" s="246"/>
      <c r="H12" s="247">
        <f t="shared" si="1"/>
        <v>110038484</v>
      </c>
      <c r="I12" s="246">
        <v>113359674</v>
      </c>
      <c r="J12" s="246"/>
      <c r="K12" s="247">
        <f t="shared" si="2"/>
        <v>113359674</v>
      </c>
      <c r="L12" s="246">
        <v>113359674</v>
      </c>
      <c r="M12" s="246"/>
      <c r="N12" s="247">
        <f t="shared" si="3"/>
        <v>113359674</v>
      </c>
    </row>
    <row r="13" spans="1:14" x14ac:dyDescent="0.25">
      <c r="A13" s="53" t="s">
        <v>51</v>
      </c>
      <c r="B13" s="62" t="s">
        <v>52</v>
      </c>
      <c r="C13" s="246">
        <v>93444247</v>
      </c>
      <c r="D13" s="246"/>
      <c r="E13" s="247">
        <f t="shared" si="0"/>
        <v>93444247</v>
      </c>
      <c r="F13" s="246">
        <f>93444247+550000+2174000+217358</f>
        <v>96385605</v>
      </c>
      <c r="G13" s="246"/>
      <c r="H13" s="247">
        <f t="shared" si="1"/>
        <v>96385605</v>
      </c>
      <c r="I13" s="246">
        <v>100209040</v>
      </c>
      <c r="J13" s="246"/>
      <c r="K13" s="247">
        <f t="shared" si="2"/>
        <v>100209040</v>
      </c>
      <c r="L13" s="246">
        <v>100209040</v>
      </c>
      <c r="M13" s="246"/>
      <c r="N13" s="247">
        <f t="shared" si="3"/>
        <v>100209040</v>
      </c>
    </row>
    <row r="14" spans="1:14" x14ac:dyDescent="0.25">
      <c r="A14" s="53" t="s">
        <v>53</v>
      </c>
      <c r="B14" s="62" t="s">
        <v>54</v>
      </c>
      <c r="C14" s="246">
        <v>5552690</v>
      </c>
      <c r="D14" s="246"/>
      <c r="E14" s="247">
        <f t="shared" si="0"/>
        <v>5552690</v>
      </c>
      <c r="F14" s="246">
        <v>5552690</v>
      </c>
      <c r="G14" s="246"/>
      <c r="H14" s="247">
        <f t="shared" si="1"/>
        <v>5552690</v>
      </c>
      <c r="I14" s="246">
        <f>7922751-2097828-134233-138000</f>
        <v>5552690</v>
      </c>
      <c r="J14" s="246"/>
      <c r="K14" s="247">
        <f t="shared" si="2"/>
        <v>5552690</v>
      </c>
      <c r="L14" s="246">
        <f>7922751-2097828-134233-138000</f>
        <v>5552690</v>
      </c>
      <c r="M14" s="246"/>
      <c r="N14" s="247">
        <f t="shared" si="3"/>
        <v>5552690</v>
      </c>
    </row>
    <row r="15" spans="1:14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>
        <v>1986280</v>
      </c>
      <c r="G15" s="246"/>
      <c r="H15" s="247">
        <f t="shared" si="1"/>
        <v>1986280</v>
      </c>
      <c r="I15" s="246">
        <v>18736680</v>
      </c>
      <c r="J15" s="246"/>
      <c r="K15" s="247">
        <f t="shared" si="2"/>
        <v>18736680</v>
      </c>
      <c r="L15" s="246">
        <v>18736680</v>
      </c>
      <c r="M15" s="246"/>
      <c r="N15" s="247">
        <f t="shared" si="3"/>
        <v>18736680</v>
      </c>
    </row>
    <row r="16" spans="1:14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>
        <v>1107533</v>
      </c>
      <c r="J16" s="246"/>
      <c r="K16" s="247">
        <f t="shared" si="2"/>
        <v>1107533</v>
      </c>
      <c r="L16" s="246">
        <v>1107533</v>
      </c>
      <c r="M16" s="246"/>
      <c r="N16" s="247">
        <f t="shared" si="3"/>
        <v>1107533</v>
      </c>
    </row>
    <row r="17" spans="1:14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16750400</v>
      </c>
      <c r="D21" s="248"/>
      <c r="E21" s="249">
        <f t="shared" si="0"/>
        <v>16750400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475234735</v>
      </c>
      <c r="D73" s="250">
        <f>D9+D22+D25+D45+D61+D67+D70</f>
        <v>0</v>
      </c>
      <c r="E73" s="251">
        <f t="shared" si="0"/>
        <v>475234735</v>
      </c>
      <c r="F73" s="250">
        <f>F9+F22+F25+F45+F61+F67+F70</f>
        <v>485214421</v>
      </c>
      <c r="G73" s="250">
        <f>G9+G22+G25+G45+G61+G67+G70</f>
        <v>0</v>
      </c>
      <c r="H73" s="251">
        <f t="shared" si="1"/>
        <v>485214421</v>
      </c>
      <c r="I73" s="250">
        <f>I9+I22+I25+I45+I61+I67+I70</f>
        <v>493544130</v>
      </c>
      <c r="J73" s="250">
        <f>J9+J22+J25+J45+J61+J67+J70</f>
        <v>0</v>
      </c>
      <c r="K73" s="251">
        <f t="shared" si="2"/>
        <v>493544130</v>
      </c>
      <c r="L73" s="250">
        <f>L9+L22+L25+L45+L61+L67+L70</f>
        <v>493544130</v>
      </c>
      <c r="M73" s="250">
        <f>M9+M22+M25+M45+M61+M67+M70</f>
        <v>0</v>
      </c>
      <c r="N73" s="251">
        <f t="shared" si="3"/>
        <v>493544130</v>
      </c>
    </row>
    <row r="74" spans="1:14" x14ac:dyDescent="0.25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19068717</v>
      </c>
      <c r="M74" s="244">
        <f>M75+M83</f>
        <v>0</v>
      </c>
      <c r="N74" s="245">
        <f t="shared" ref="N74:N81" si="7">SUM(L74:M74)</f>
        <v>19068717</v>
      </c>
    </row>
    <row r="75" spans="1:14" x14ac:dyDescent="0.25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19068717</v>
      </c>
      <c r="M75" s="246">
        <f t="shared" si="11"/>
        <v>0</v>
      </c>
      <c r="N75" s="247">
        <f t="shared" si="7"/>
        <v>19068717</v>
      </c>
    </row>
    <row r="76" spans="1:14" hidden="1" x14ac:dyDescent="0.25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idden="1" x14ac:dyDescent="0.25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idden="1" x14ac:dyDescent="0.25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idden="1" x14ac:dyDescent="0.25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idden="1" x14ac:dyDescent="0.25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idden="1" x14ac:dyDescent="0.25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>
        <v>19068717</v>
      </c>
      <c r="M82" s="246"/>
      <c r="N82" s="247"/>
    </row>
    <row r="83" spans="1:14" x14ac:dyDescent="0.25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475234735</v>
      </c>
      <c r="D85" s="250">
        <f>D73+D74</f>
        <v>0</v>
      </c>
      <c r="E85" s="251">
        <f t="shared" si="4"/>
        <v>475234735</v>
      </c>
      <c r="F85" s="250">
        <f>F73+F74</f>
        <v>485214421</v>
      </c>
      <c r="G85" s="250">
        <f>G73+G74</f>
        <v>0</v>
      </c>
      <c r="H85" s="251">
        <f t="shared" si="12"/>
        <v>485214421</v>
      </c>
      <c r="I85" s="250">
        <f>I73+I74</f>
        <v>493544130</v>
      </c>
      <c r="J85" s="250">
        <f>J73+J74</f>
        <v>0</v>
      </c>
      <c r="K85" s="251">
        <f t="shared" si="13"/>
        <v>493544130</v>
      </c>
      <c r="L85" s="250">
        <f>L73+L74</f>
        <v>512612847</v>
      </c>
      <c r="M85" s="250">
        <f>M73+M74</f>
        <v>0</v>
      </c>
      <c r="N85" s="251">
        <f t="shared" si="14"/>
        <v>512612847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22052</v>
      </c>
      <c r="J128" s="244">
        <f>SUM(J129:J134)</f>
        <v>0</v>
      </c>
      <c r="K128" s="245">
        <f t="shared" si="20"/>
        <v>22052</v>
      </c>
      <c r="L128" s="244">
        <f>SUM(L129:L134)</f>
        <v>22052</v>
      </c>
      <c r="M128" s="244">
        <f>SUM(M129:M134)</f>
        <v>0</v>
      </c>
      <c r="N128" s="245">
        <f t="shared" si="21"/>
        <v>22052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>
        <v>22052</v>
      </c>
      <c r="J129" s="246"/>
      <c r="K129" s="247">
        <f t="shared" si="20"/>
        <v>22052</v>
      </c>
      <c r="L129" s="246">
        <v>22052</v>
      </c>
      <c r="M129" s="246"/>
      <c r="N129" s="247">
        <f t="shared" si="21"/>
        <v>22052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x14ac:dyDescent="0.25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x14ac:dyDescent="0.25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0</v>
      </c>
      <c r="D142" s="250">
        <f>D141+D140+D139+D138+D137+D128+D127+D111+D105+D88</f>
        <v>0</v>
      </c>
      <c r="E142" s="251">
        <f t="shared" si="15"/>
        <v>0</v>
      </c>
      <c r="F142" s="250">
        <f>F141+F140+F139+F138+F137+F128+F127+F111+F105+F88</f>
        <v>0</v>
      </c>
      <c r="G142" s="250">
        <f>G141+G140+G139+G138+G137+G128+G127+G111+G105+G88</f>
        <v>0</v>
      </c>
      <c r="H142" s="251">
        <f t="shared" si="19"/>
        <v>0</v>
      </c>
      <c r="I142" s="250">
        <f>I141+I140+I139+I138+I137+I128+I127+I111+I105+I88</f>
        <v>22052</v>
      </c>
      <c r="J142" s="250">
        <f>J141+J140+J139+J138+J137+J128+J127+J111+J105+J88</f>
        <v>0</v>
      </c>
      <c r="K142" s="251">
        <f t="shared" si="20"/>
        <v>22052</v>
      </c>
      <c r="L142" s="250">
        <f>L141+L140+L139+L138+L137+L128+L127+L111+L105+L88</f>
        <v>22052</v>
      </c>
      <c r="M142" s="250">
        <f>M141+M140+M139+M138+M137+M128+M127+M111+M105+M88</f>
        <v>0</v>
      </c>
      <c r="N142" s="251">
        <f t="shared" si="21"/>
        <v>22052</v>
      </c>
    </row>
    <row r="143" spans="1:14" x14ac:dyDescent="0.25">
      <c r="A143" s="67" t="s">
        <v>250</v>
      </c>
      <c r="B143" s="68" t="s">
        <v>251</v>
      </c>
      <c r="C143" s="244">
        <f>SUM(C144:C150)</f>
        <v>16920538</v>
      </c>
      <c r="D143" s="244">
        <f>SUM(D144:D150)</f>
        <v>0</v>
      </c>
      <c r="E143" s="245">
        <f t="shared" si="15"/>
        <v>16920538</v>
      </c>
      <c r="F143" s="244">
        <f>SUM(F144:F150)</f>
        <v>16920538</v>
      </c>
      <c r="G143" s="244">
        <f>SUM(G144:G150)</f>
        <v>0</v>
      </c>
      <c r="H143" s="245">
        <f t="shared" si="19"/>
        <v>16920538</v>
      </c>
      <c r="I143" s="244">
        <f>SUM(I144:I150)</f>
        <v>16920538</v>
      </c>
      <c r="J143" s="244">
        <f>SUM(J144:J150)</f>
        <v>0</v>
      </c>
      <c r="K143" s="245">
        <f t="shared" si="20"/>
        <v>16920538</v>
      </c>
      <c r="L143" s="244">
        <f>SUM(L144:L150)</f>
        <v>16920538</v>
      </c>
      <c r="M143" s="244">
        <f>SUM(M144:M150)</f>
        <v>0</v>
      </c>
      <c r="N143" s="245">
        <f t="shared" si="21"/>
        <v>16920538</v>
      </c>
    </row>
    <row r="144" spans="1:14" hidden="1" x14ac:dyDescent="0.25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idden="1" x14ac:dyDescent="0.25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thickBot="1" x14ac:dyDescent="0.3">
      <c r="A146" s="190" t="s">
        <v>541</v>
      </c>
      <c r="B146" s="180" t="s">
        <v>542</v>
      </c>
      <c r="C146" s="316">
        <v>16920538</v>
      </c>
      <c r="D146" s="246"/>
      <c r="E146" s="247"/>
      <c r="F146" s="316">
        <v>16920538</v>
      </c>
      <c r="G146" s="246"/>
      <c r="H146" s="247"/>
      <c r="I146" s="316">
        <v>16920538</v>
      </c>
      <c r="J146" s="246"/>
      <c r="K146" s="247"/>
      <c r="L146" s="316">
        <v>16920538</v>
      </c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16920538</v>
      </c>
      <c r="D151" s="257">
        <f>D143+D142</f>
        <v>0</v>
      </c>
      <c r="E151" s="258">
        <f>SUM(C151:D151)</f>
        <v>16920538</v>
      </c>
      <c r="F151" s="250">
        <f>F143+F142</f>
        <v>16920538</v>
      </c>
      <c r="G151" s="257">
        <f>G143+G142</f>
        <v>0</v>
      </c>
      <c r="H151" s="258">
        <f>SUM(F151:G151)</f>
        <v>16920538</v>
      </c>
      <c r="I151" s="250">
        <f>I143+I142</f>
        <v>16942590</v>
      </c>
      <c r="J151" s="257">
        <f>J143+J142</f>
        <v>0</v>
      </c>
      <c r="K151" s="258">
        <f>SUM(I151:J151)</f>
        <v>16942590</v>
      </c>
      <c r="L151" s="250">
        <f>L143+L142</f>
        <v>16942590</v>
      </c>
      <c r="M151" s="257">
        <f>M143+M142</f>
        <v>0</v>
      </c>
      <c r="N151" s="258">
        <f>SUM(L151:M151)</f>
        <v>16942590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458314197</v>
      </c>
      <c r="H153" s="148">
        <f>H85-H151</f>
        <v>468293883</v>
      </c>
      <c r="K153" s="148">
        <f>K85-K151</f>
        <v>476601540</v>
      </c>
      <c r="N153" s="148">
        <f>N85-N151</f>
        <v>495670257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53"/>
  <sheetViews>
    <sheetView zoomScaleNormal="100" workbookViewId="0">
      <pane ySplit="8" topLeftCell="A127" activePane="bottomLeft" state="frozen"/>
      <selection activeCell="AB159" sqref="AB159"/>
      <selection pane="bottomLeft" activeCell="L151" sqref="L151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0.85546875" style="44" bestFit="1" customWidth="1"/>
    <col min="4" max="4" width="9.140625" style="44"/>
    <col min="5" max="5" width="11.5703125" style="44" bestFit="1" customWidth="1"/>
    <col min="6" max="6" width="10.85546875" style="179" bestFit="1" customWidth="1"/>
    <col min="7" max="7" width="9.140625" style="179"/>
    <col min="8" max="8" width="11.5703125" style="179" bestFit="1" customWidth="1"/>
    <col min="9" max="9" width="10.85546875" style="179" bestFit="1" customWidth="1"/>
    <col min="10" max="10" width="9.140625" style="179"/>
    <col min="11" max="11" width="11.5703125" style="179" bestFit="1" customWidth="1"/>
    <col min="12" max="12" width="10.85546875" style="179" bestFit="1" customWidth="1"/>
    <col min="13" max="13" width="9.140625" style="179"/>
    <col min="14" max="14" width="11.5703125" style="179" bestFit="1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'7.4 018010'!C4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346</v>
      </c>
      <c r="B5" s="81" t="s">
        <v>347</v>
      </c>
    </row>
    <row r="6" spans="1:14" s="44" customFormat="1" x14ac:dyDescent="0.25">
      <c r="C6" s="519" t="s">
        <v>733</v>
      </c>
      <c r="D6" s="622" t="str">
        <f>'7.4 018010'!D6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4800000</v>
      </c>
      <c r="D9" s="244">
        <f>SUM(D10,D17,D18,D20,D21,D19)</f>
        <v>0</v>
      </c>
      <c r="E9" s="245">
        <f t="shared" ref="E9:E73" si="0">SUM(C9:D9)</f>
        <v>4800000</v>
      </c>
      <c r="F9" s="244">
        <f>SUM(F10,F17,F18,F20,F21,F19)</f>
        <v>4800000</v>
      </c>
      <c r="G9" s="244">
        <f>SUM(G10,G17,G18,G20,G21,G19)</f>
        <v>0</v>
      </c>
      <c r="H9" s="245">
        <f t="shared" ref="H9:H73" si="1">SUM(F9:G9)</f>
        <v>4800000</v>
      </c>
      <c r="I9" s="244">
        <f>SUM(I10,I17,I18,I20,I21,I19)</f>
        <v>4800000</v>
      </c>
      <c r="J9" s="244">
        <f>SUM(J10,J17,J18,J20,J21,J19)</f>
        <v>0</v>
      </c>
      <c r="K9" s="245">
        <f t="shared" ref="K9:K73" si="2">SUM(I9:J9)</f>
        <v>4800000</v>
      </c>
      <c r="L9" s="244">
        <f>SUM(L10,L17,L18,L20,L21,L19)</f>
        <v>6004500</v>
      </c>
      <c r="M9" s="244">
        <f>SUM(M10,M17,M18,M20,M21,M19)</f>
        <v>0</v>
      </c>
      <c r="N9" s="245">
        <f t="shared" ref="N9:N73" si="3">SUM(L9:M9)</f>
        <v>6004500</v>
      </c>
    </row>
    <row r="10" spans="1:14" hidden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4800000</v>
      </c>
      <c r="D21" s="248"/>
      <c r="E21" s="249">
        <f t="shared" si="0"/>
        <v>4800000</v>
      </c>
      <c r="F21" s="248">
        <v>4800000</v>
      </c>
      <c r="G21" s="248"/>
      <c r="H21" s="249">
        <f t="shared" si="1"/>
        <v>4800000</v>
      </c>
      <c r="I21" s="248">
        <v>4800000</v>
      </c>
      <c r="J21" s="248"/>
      <c r="K21" s="249">
        <f t="shared" si="2"/>
        <v>4800000</v>
      </c>
      <c r="L21" s="317">
        <v>6004500</v>
      </c>
      <c r="M21" s="248"/>
      <c r="N21" s="249">
        <f t="shared" si="3"/>
        <v>6004500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4800000</v>
      </c>
      <c r="D73" s="250">
        <f>D9+D22+D25+D45+D61+D67+D70</f>
        <v>0</v>
      </c>
      <c r="E73" s="251">
        <f t="shared" si="0"/>
        <v>4800000</v>
      </c>
      <c r="F73" s="250">
        <f>F9+F22+F25+F45+F61+F67+F70</f>
        <v>4800000</v>
      </c>
      <c r="G73" s="250">
        <f>G9+G22+G25+G45+G61+G67+G70</f>
        <v>0</v>
      </c>
      <c r="H73" s="251">
        <f t="shared" si="1"/>
        <v>4800000</v>
      </c>
      <c r="I73" s="250">
        <f>I9+I22+I25+I45+I61+I67+I70</f>
        <v>4800000</v>
      </c>
      <c r="J73" s="250">
        <f>J9+J22+J25+J45+J61+J67+J70</f>
        <v>0</v>
      </c>
      <c r="K73" s="251">
        <f t="shared" si="2"/>
        <v>4800000</v>
      </c>
      <c r="L73" s="250">
        <f>L9+L22+L25+L45+L61+L67+L70</f>
        <v>6004500</v>
      </c>
      <c r="M73" s="250">
        <f>M9+M22+M25+M45+M61+M67+M70</f>
        <v>0</v>
      </c>
      <c r="N73" s="251">
        <f t="shared" si="3"/>
        <v>6004500</v>
      </c>
    </row>
    <row r="74" spans="1:14" x14ac:dyDescent="0.25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x14ac:dyDescent="0.25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idden="1" x14ac:dyDescent="0.25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idden="1" x14ac:dyDescent="0.25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idden="1" x14ac:dyDescent="0.25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x14ac:dyDescent="0.25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x14ac:dyDescent="0.25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4800000</v>
      </c>
      <c r="D85" s="250">
        <f>D73+D74</f>
        <v>0</v>
      </c>
      <c r="E85" s="251">
        <f t="shared" si="4"/>
        <v>4800000</v>
      </c>
      <c r="F85" s="250">
        <f>F73+F74</f>
        <v>4800000</v>
      </c>
      <c r="G85" s="250">
        <f>G73+G74</f>
        <v>0</v>
      </c>
      <c r="H85" s="251">
        <f t="shared" si="12"/>
        <v>4800000</v>
      </c>
      <c r="I85" s="250">
        <f>I73+I74</f>
        <v>4800000</v>
      </c>
      <c r="J85" s="250">
        <f>J73+J74</f>
        <v>0</v>
      </c>
      <c r="K85" s="251">
        <f t="shared" si="13"/>
        <v>4800000</v>
      </c>
      <c r="L85" s="250">
        <f>L73+L74</f>
        <v>6004500</v>
      </c>
      <c r="M85" s="250">
        <f>M73+M74</f>
        <v>0</v>
      </c>
      <c r="N85" s="251">
        <f t="shared" si="14"/>
        <v>6004500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208731344</v>
      </c>
      <c r="D128" s="244">
        <f>SUM(D129:D134)</f>
        <v>0</v>
      </c>
      <c r="E128" s="245">
        <f t="shared" si="15"/>
        <v>208731344</v>
      </c>
      <c r="F128" s="244">
        <f>SUM(F129:F134)</f>
        <v>213211326</v>
      </c>
      <c r="G128" s="244">
        <f>SUM(G129:G134)</f>
        <v>0</v>
      </c>
      <c r="H128" s="245">
        <f t="shared" si="19"/>
        <v>213211326</v>
      </c>
      <c r="I128" s="244">
        <f>SUM(I129:I134)</f>
        <v>213211326</v>
      </c>
      <c r="J128" s="244">
        <f>SUM(J129:J134)</f>
        <v>0</v>
      </c>
      <c r="K128" s="245">
        <f t="shared" si="20"/>
        <v>213211326</v>
      </c>
      <c r="L128" s="244">
        <f>SUM(L129:L134)</f>
        <v>211999757</v>
      </c>
      <c r="M128" s="244">
        <f>SUM(M129:M134)</f>
        <v>0</v>
      </c>
      <c r="N128" s="245">
        <f t="shared" si="21"/>
        <v>211999757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x14ac:dyDescent="0.25">
      <c r="A131" s="61" t="s">
        <v>231</v>
      </c>
      <c r="B131" s="62" t="s">
        <v>232</v>
      </c>
      <c r="C131" s="246">
        <f>203296000+4474707+960637</f>
        <v>208731344</v>
      </c>
      <c r="D131" s="246"/>
      <c r="E131" s="247">
        <f t="shared" si="15"/>
        <v>208731344</v>
      </c>
      <c r="F131" s="246">
        <f>203296000+4474707+960637+4479982</f>
        <v>213211326</v>
      </c>
      <c r="G131" s="246"/>
      <c r="H131" s="247">
        <f t="shared" si="19"/>
        <v>213211326</v>
      </c>
      <c r="I131" s="246">
        <f>203296000+4474707+960637+4479982</f>
        <v>213211326</v>
      </c>
      <c r="J131" s="246"/>
      <c r="K131" s="247">
        <f t="shared" si="20"/>
        <v>213211326</v>
      </c>
      <c r="L131" s="246">
        <v>211999757</v>
      </c>
      <c r="M131" s="246"/>
      <c r="N131" s="247">
        <f t="shared" si="21"/>
        <v>211999757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x14ac:dyDescent="0.25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x14ac:dyDescent="0.25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208731344</v>
      </c>
      <c r="D142" s="250">
        <f>D141+D140+D139+D138+D137+D128+D127+D111+D105+D88</f>
        <v>0</v>
      </c>
      <c r="E142" s="251">
        <f t="shared" si="15"/>
        <v>208731344</v>
      </c>
      <c r="F142" s="250">
        <f>F141+F140+F139+F138+F137+F128+F127+F111+F105+F88</f>
        <v>213211326</v>
      </c>
      <c r="G142" s="250">
        <f>G141+G140+G139+G138+G137+G128+G127+G111+G105+G88</f>
        <v>0</v>
      </c>
      <c r="H142" s="251">
        <f t="shared" si="19"/>
        <v>213211326</v>
      </c>
      <c r="I142" s="250">
        <f>I141+I140+I139+I138+I137+I128+I127+I111+I105+I88</f>
        <v>213211326</v>
      </c>
      <c r="J142" s="250">
        <f>J141+J140+J139+J138+J137+J128+J127+J111+J105+J88</f>
        <v>0</v>
      </c>
      <c r="K142" s="251">
        <f t="shared" si="20"/>
        <v>213211326</v>
      </c>
      <c r="L142" s="250">
        <f>L141+L140+L139+L138+L137+L128+L127+L111+L105+L88</f>
        <v>211999757</v>
      </c>
      <c r="M142" s="250">
        <f>M141+M140+M139+M138+M137+M128+M127+M111+M105+M88</f>
        <v>0</v>
      </c>
      <c r="N142" s="251">
        <f t="shared" si="21"/>
        <v>211999757</v>
      </c>
    </row>
    <row r="143" spans="1:14" x14ac:dyDescent="0.25">
      <c r="A143" s="67" t="s">
        <v>250</v>
      </c>
      <c r="B143" s="68" t="s">
        <v>251</v>
      </c>
      <c r="C143" s="244">
        <f>SUM(C144:C150)</f>
        <v>264978886</v>
      </c>
      <c r="D143" s="244">
        <f>SUM(D144:D150)</f>
        <v>0</v>
      </c>
      <c r="E143" s="245">
        <f t="shared" si="15"/>
        <v>264978886</v>
      </c>
      <c r="F143" s="244">
        <f>SUM(F144:F150)</f>
        <v>274426056</v>
      </c>
      <c r="G143" s="244">
        <f>SUM(G144:G150)</f>
        <v>0</v>
      </c>
      <c r="H143" s="245">
        <f t="shared" si="19"/>
        <v>274426056</v>
      </c>
      <c r="I143" s="244">
        <f>SUM(I144:I150)</f>
        <v>276207847</v>
      </c>
      <c r="J143" s="244">
        <f>SUM(J144:J150)</f>
        <v>0</v>
      </c>
      <c r="K143" s="245">
        <f t="shared" si="20"/>
        <v>276207847</v>
      </c>
      <c r="L143" s="244">
        <f ca="1">SUM(L144:L150)</f>
        <v>254848284</v>
      </c>
      <c r="M143" s="244">
        <f>SUM(M144:M150)</f>
        <v>0</v>
      </c>
      <c r="N143" s="245">
        <f t="shared" ca="1" si="21"/>
        <v>254848284</v>
      </c>
    </row>
    <row r="144" spans="1:14" hidden="1" x14ac:dyDescent="0.25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idden="1" x14ac:dyDescent="0.25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idden="1" x14ac:dyDescent="0.25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thickBot="1" x14ac:dyDescent="0.3">
      <c r="A147" s="61" t="s">
        <v>256</v>
      </c>
      <c r="B147" s="62" t="s">
        <v>257</v>
      </c>
      <c r="C147" s="246">
        <f>195476714+82730822-13228650</f>
        <v>264978886</v>
      </c>
      <c r="D147" s="246"/>
      <c r="E147" s="247">
        <f t="shared" si="15"/>
        <v>264978886</v>
      </c>
      <c r="F147" s="246">
        <f>195476714+82730822-13228650+9447170</f>
        <v>274426056</v>
      </c>
      <c r="G147" s="246"/>
      <c r="H147" s="247">
        <f t="shared" ref="H147:H150" si="22">SUM(F147:G147)</f>
        <v>274426056</v>
      </c>
      <c r="I147" s="246">
        <f>195476714+82730822-13228650+9447170+4293263-2097828-93002-182642-138000</f>
        <v>276207847</v>
      </c>
      <c r="J147" s="246"/>
      <c r="K147" s="247">
        <f t="shared" ref="K147:K150" si="23">SUM(I147:J147)</f>
        <v>276207847</v>
      </c>
      <c r="L147" s="246">
        <f ca="1">268076934-'7.33 pályázatok összesen'!N147</f>
        <v>254848284</v>
      </c>
      <c r="M147" s="246"/>
      <c r="N147" s="247">
        <f t="shared" ref="N147:N150" ca="1" si="24">SUM(L147:M147)</f>
        <v>254848284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473710230</v>
      </c>
      <c r="D151" s="257">
        <f>D143+D142</f>
        <v>0</v>
      </c>
      <c r="E151" s="258">
        <f>SUM(C151:D151)</f>
        <v>473710230</v>
      </c>
      <c r="F151" s="250">
        <f>F143+F142</f>
        <v>487637382</v>
      </c>
      <c r="G151" s="257">
        <f>G143+G142</f>
        <v>0</v>
      </c>
      <c r="H151" s="258">
        <f>SUM(F151:G151)</f>
        <v>487637382</v>
      </c>
      <c r="I151" s="250">
        <f>I143+I142</f>
        <v>489419173</v>
      </c>
      <c r="J151" s="257">
        <f>J143+J142</f>
        <v>0</v>
      </c>
      <c r="K151" s="258">
        <f>SUM(I151:J151)</f>
        <v>489419173</v>
      </c>
      <c r="L151" s="250">
        <f ca="1">L143+L142</f>
        <v>466848041</v>
      </c>
      <c r="M151" s="257">
        <f>M143+M142</f>
        <v>0</v>
      </c>
      <c r="N151" s="258">
        <f ca="1">SUM(L151:M151)</f>
        <v>466848041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-468910230</v>
      </c>
      <c r="H153" s="148">
        <f>H85-H151</f>
        <v>-482837382</v>
      </c>
      <c r="K153" s="148">
        <f>K85-K151</f>
        <v>-484619173</v>
      </c>
      <c r="N153" s="148">
        <f ca="1">N85-N151</f>
        <v>-460843541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74" fitToHeight="0" orientation="portrait" horizontalDpi="300" verticalDpi="300" r:id="rId1"/>
  <headerFooter>
    <oddFooter>&amp;R&amp;P</oddFooter>
  </headerFooter>
  <colBreaks count="1" manualBreakCount="1">
    <brk id="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N153"/>
  <sheetViews>
    <sheetView topLeftCell="A22" zoomScaleNormal="100" workbookViewId="0">
      <selection activeCell="H159" sqref="G159:H159"/>
    </sheetView>
  </sheetViews>
  <sheetFormatPr defaultRowHeight="15" x14ac:dyDescent="0.25"/>
  <cols>
    <col min="1" max="1" width="9.140625" style="179"/>
    <col min="2" max="2" width="60" style="179" customWidth="1"/>
    <col min="3" max="3" width="11.5703125" style="179" customWidth="1"/>
    <col min="4" max="4" width="9.140625" style="179"/>
    <col min="5" max="5" width="10.5703125" style="179" customWidth="1"/>
    <col min="6" max="6" width="9.85546875" style="179" bestFit="1" customWidth="1"/>
    <col min="7" max="7" width="9.140625" style="179"/>
    <col min="8" max="8" width="10.5703125" style="179" customWidth="1"/>
    <col min="9" max="9" width="9.85546875" style="179" bestFit="1" customWidth="1"/>
    <col min="10" max="10" width="9.140625" style="179"/>
    <col min="11" max="11" width="10.5703125" style="179" customWidth="1"/>
    <col min="12" max="12" width="9.85546875" style="179" bestFit="1" customWidth="1"/>
    <col min="13" max="13" width="9.140625" style="179"/>
    <col min="14" max="14" width="10.5703125" style="179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x14ac:dyDescent="0.25">
      <c r="A4" s="79" t="s">
        <v>270</v>
      </c>
      <c r="C4" s="45" t="str">
        <f>'7.5 finansz műveletek 018030'!C4</f>
        <v xml:space="preserve"> 12 / 2020. (VI.15) sz rendelet</v>
      </c>
    </row>
    <row r="5" spans="1:14" s="81" customFormat="1" ht="12.75" x14ac:dyDescent="0.2">
      <c r="A5" s="90" t="s">
        <v>623</v>
      </c>
      <c r="B5" s="81" t="s">
        <v>624</v>
      </c>
    </row>
    <row r="6" spans="1:14" x14ac:dyDescent="0.25">
      <c r="C6" s="519" t="s">
        <v>734</v>
      </c>
      <c r="D6" s="622" t="str">
        <f>'7.5 finansz műveletek 018030'!D6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413">
        <f>SUM(C10,C17,C18,C20,C21,C19)</f>
        <v>0</v>
      </c>
      <c r="D9" s="413">
        <f>SUM(D10,D17,D18,D20,D21,D19)</f>
        <v>0</v>
      </c>
      <c r="E9" s="414">
        <f t="shared" ref="E9:E73" si="0">SUM(C9:D9)</f>
        <v>0</v>
      </c>
      <c r="F9" s="413">
        <f>SUM(F10,F17,F18,F20,F21,F19)</f>
        <v>0</v>
      </c>
      <c r="G9" s="413">
        <f>SUM(G10,G17,G18,G20,G21,G19)</f>
        <v>0</v>
      </c>
      <c r="H9" s="414">
        <f t="shared" ref="H9:H73" si="1">SUM(F9:G9)</f>
        <v>0</v>
      </c>
      <c r="I9" s="413">
        <f>SUM(I10,I17,I18,I20,I21,I19)</f>
        <v>0</v>
      </c>
      <c r="J9" s="413">
        <f>SUM(J10,J17,J18,J20,J21,J19)</f>
        <v>0</v>
      </c>
      <c r="K9" s="414">
        <f t="shared" ref="K9:K73" si="2">SUM(I9:J9)</f>
        <v>0</v>
      </c>
      <c r="L9" s="413">
        <f>SUM(L10,L17,L18,L20,L21,L19)</f>
        <v>0</v>
      </c>
      <c r="M9" s="413">
        <f>SUM(M10,M17,M18,M20,M21,M19)</f>
        <v>0</v>
      </c>
      <c r="N9" s="414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415">
        <f>SUM(C11:C16)</f>
        <v>0</v>
      </c>
      <c r="D10" s="415">
        <f>SUM(D11:D16)</f>
        <v>0</v>
      </c>
      <c r="E10" s="416">
        <f t="shared" si="0"/>
        <v>0</v>
      </c>
      <c r="F10" s="415">
        <f>SUM(F11:F16)</f>
        <v>0</v>
      </c>
      <c r="G10" s="415">
        <f>SUM(G11:G16)</f>
        <v>0</v>
      </c>
      <c r="H10" s="416">
        <f t="shared" si="1"/>
        <v>0</v>
      </c>
      <c r="I10" s="415">
        <f>SUM(I11:I16)</f>
        <v>0</v>
      </c>
      <c r="J10" s="415">
        <f>SUM(J11:J16)</f>
        <v>0</v>
      </c>
      <c r="K10" s="416">
        <f t="shared" si="2"/>
        <v>0</v>
      </c>
      <c r="L10" s="415">
        <f>SUM(L11:L16)</f>
        <v>0</v>
      </c>
      <c r="M10" s="415">
        <f>SUM(M11:M16)</f>
        <v>0</v>
      </c>
      <c r="N10" s="416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415"/>
      <c r="D11" s="415"/>
      <c r="E11" s="416">
        <f t="shared" si="0"/>
        <v>0</v>
      </c>
      <c r="F11" s="415"/>
      <c r="G11" s="415"/>
      <c r="H11" s="416">
        <f t="shared" si="1"/>
        <v>0</v>
      </c>
      <c r="I11" s="415"/>
      <c r="J11" s="415"/>
      <c r="K11" s="416">
        <f t="shared" si="2"/>
        <v>0</v>
      </c>
      <c r="L11" s="415"/>
      <c r="M11" s="415"/>
      <c r="N11" s="416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415"/>
      <c r="D12" s="415"/>
      <c r="E12" s="416">
        <f t="shared" si="0"/>
        <v>0</v>
      </c>
      <c r="F12" s="415"/>
      <c r="G12" s="415"/>
      <c r="H12" s="416">
        <f t="shared" si="1"/>
        <v>0</v>
      </c>
      <c r="I12" s="415"/>
      <c r="J12" s="415"/>
      <c r="K12" s="416">
        <f t="shared" si="2"/>
        <v>0</v>
      </c>
      <c r="L12" s="415"/>
      <c r="M12" s="415"/>
      <c r="N12" s="416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415"/>
      <c r="D13" s="415"/>
      <c r="E13" s="416">
        <f t="shared" si="0"/>
        <v>0</v>
      </c>
      <c r="F13" s="415"/>
      <c r="G13" s="415"/>
      <c r="H13" s="416">
        <f t="shared" si="1"/>
        <v>0</v>
      </c>
      <c r="I13" s="415"/>
      <c r="J13" s="415"/>
      <c r="K13" s="416">
        <f t="shared" si="2"/>
        <v>0</v>
      </c>
      <c r="L13" s="415"/>
      <c r="M13" s="415"/>
      <c r="N13" s="416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415"/>
      <c r="D14" s="415"/>
      <c r="E14" s="416">
        <f t="shared" si="0"/>
        <v>0</v>
      </c>
      <c r="F14" s="415"/>
      <c r="G14" s="415"/>
      <c r="H14" s="416">
        <f t="shared" si="1"/>
        <v>0</v>
      </c>
      <c r="I14" s="415"/>
      <c r="J14" s="415"/>
      <c r="K14" s="416">
        <f t="shared" si="2"/>
        <v>0</v>
      </c>
      <c r="L14" s="415"/>
      <c r="M14" s="415"/>
      <c r="N14" s="416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415"/>
      <c r="D15" s="415"/>
      <c r="E15" s="416">
        <f t="shared" si="0"/>
        <v>0</v>
      </c>
      <c r="F15" s="415"/>
      <c r="G15" s="415"/>
      <c r="H15" s="416">
        <f t="shared" si="1"/>
        <v>0</v>
      </c>
      <c r="I15" s="415"/>
      <c r="J15" s="415"/>
      <c r="K15" s="416">
        <f t="shared" si="2"/>
        <v>0</v>
      </c>
      <c r="L15" s="415"/>
      <c r="M15" s="415"/>
      <c r="N15" s="416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415"/>
      <c r="D16" s="415"/>
      <c r="E16" s="416">
        <f t="shared" si="0"/>
        <v>0</v>
      </c>
      <c r="F16" s="415"/>
      <c r="G16" s="415"/>
      <c r="H16" s="416">
        <f t="shared" si="1"/>
        <v>0</v>
      </c>
      <c r="I16" s="415"/>
      <c r="J16" s="415"/>
      <c r="K16" s="416">
        <f t="shared" si="2"/>
        <v>0</v>
      </c>
      <c r="L16" s="415"/>
      <c r="M16" s="415"/>
      <c r="N16" s="416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415"/>
      <c r="D17" s="415"/>
      <c r="E17" s="416">
        <f t="shared" si="0"/>
        <v>0</v>
      </c>
      <c r="F17" s="415"/>
      <c r="G17" s="415"/>
      <c r="H17" s="416">
        <f t="shared" si="1"/>
        <v>0</v>
      </c>
      <c r="I17" s="415"/>
      <c r="J17" s="415"/>
      <c r="K17" s="416">
        <f t="shared" si="2"/>
        <v>0</v>
      </c>
      <c r="L17" s="415"/>
      <c r="M17" s="415"/>
      <c r="N17" s="416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415"/>
      <c r="D18" s="415"/>
      <c r="E18" s="416">
        <f t="shared" si="0"/>
        <v>0</v>
      </c>
      <c r="F18" s="415"/>
      <c r="G18" s="415"/>
      <c r="H18" s="416">
        <f t="shared" si="1"/>
        <v>0</v>
      </c>
      <c r="I18" s="415"/>
      <c r="J18" s="415"/>
      <c r="K18" s="416">
        <f t="shared" si="2"/>
        <v>0</v>
      </c>
      <c r="L18" s="415"/>
      <c r="M18" s="415"/>
      <c r="N18" s="416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415"/>
      <c r="D19" s="415"/>
      <c r="E19" s="416">
        <f t="shared" si="0"/>
        <v>0</v>
      </c>
      <c r="F19" s="415"/>
      <c r="G19" s="415"/>
      <c r="H19" s="416">
        <f t="shared" si="1"/>
        <v>0</v>
      </c>
      <c r="I19" s="415"/>
      <c r="J19" s="415"/>
      <c r="K19" s="416">
        <f t="shared" si="2"/>
        <v>0</v>
      </c>
      <c r="L19" s="415"/>
      <c r="M19" s="415"/>
      <c r="N19" s="416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415"/>
      <c r="D20" s="415"/>
      <c r="E20" s="416">
        <f t="shared" si="0"/>
        <v>0</v>
      </c>
      <c r="F20" s="415"/>
      <c r="G20" s="415"/>
      <c r="H20" s="416">
        <f t="shared" si="1"/>
        <v>0</v>
      </c>
      <c r="I20" s="415"/>
      <c r="J20" s="415"/>
      <c r="K20" s="416">
        <f t="shared" si="2"/>
        <v>0</v>
      </c>
      <c r="L20" s="415"/>
      <c r="M20" s="415"/>
      <c r="N20" s="416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417"/>
      <c r="D21" s="417"/>
      <c r="E21" s="418">
        <f t="shared" si="0"/>
        <v>0</v>
      </c>
      <c r="F21" s="417"/>
      <c r="G21" s="417"/>
      <c r="H21" s="418">
        <f t="shared" si="1"/>
        <v>0</v>
      </c>
      <c r="I21" s="417"/>
      <c r="J21" s="417"/>
      <c r="K21" s="418">
        <f t="shared" si="2"/>
        <v>0</v>
      </c>
      <c r="L21" s="417"/>
      <c r="M21" s="417"/>
      <c r="N21" s="418">
        <f t="shared" si="3"/>
        <v>0</v>
      </c>
    </row>
    <row r="22" spans="1:14" x14ac:dyDescent="0.25">
      <c r="A22" s="75" t="s">
        <v>67</v>
      </c>
      <c r="B22" s="196" t="s">
        <v>27</v>
      </c>
      <c r="C22" s="413">
        <f>SUM(C23:C24)</f>
        <v>0</v>
      </c>
      <c r="D22" s="413">
        <f>SUM(D23:D24)</f>
        <v>0</v>
      </c>
      <c r="E22" s="414">
        <f t="shared" si="0"/>
        <v>0</v>
      </c>
      <c r="F22" s="413">
        <f>SUM(F23:F24)</f>
        <v>0</v>
      </c>
      <c r="G22" s="413">
        <f>SUM(G23:G24)</f>
        <v>0</v>
      </c>
      <c r="H22" s="414">
        <f t="shared" si="1"/>
        <v>0</v>
      </c>
      <c r="I22" s="413">
        <f>SUM(I23:I24)</f>
        <v>0</v>
      </c>
      <c r="J22" s="413">
        <f>SUM(J23:J24)</f>
        <v>0</v>
      </c>
      <c r="K22" s="414">
        <f t="shared" si="2"/>
        <v>0</v>
      </c>
      <c r="L22" s="413">
        <f>SUM(L23:L24)</f>
        <v>0</v>
      </c>
      <c r="M22" s="413">
        <f>SUM(M23:M24)</f>
        <v>0</v>
      </c>
      <c r="N22" s="414">
        <f t="shared" si="3"/>
        <v>0</v>
      </c>
    </row>
    <row r="23" spans="1:14" hidden="1" x14ac:dyDescent="0.25">
      <c r="A23" s="76"/>
      <c r="B23" s="201" t="s">
        <v>268</v>
      </c>
      <c r="C23" s="415"/>
      <c r="D23" s="415"/>
      <c r="E23" s="416">
        <f t="shared" si="0"/>
        <v>0</v>
      </c>
      <c r="F23" s="415"/>
      <c r="G23" s="415"/>
      <c r="H23" s="416">
        <f t="shared" si="1"/>
        <v>0</v>
      </c>
      <c r="I23" s="415"/>
      <c r="J23" s="415"/>
      <c r="K23" s="416">
        <f t="shared" si="2"/>
        <v>0</v>
      </c>
      <c r="L23" s="415"/>
      <c r="M23" s="415"/>
      <c r="N23" s="416">
        <f t="shared" si="3"/>
        <v>0</v>
      </c>
    </row>
    <row r="24" spans="1:14" ht="15.75" hidden="1" thickBot="1" x14ac:dyDescent="0.3">
      <c r="A24" s="77"/>
      <c r="B24" s="206" t="s">
        <v>269</v>
      </c>
      <c r="C24" s="417"/>
      <c r="D24" s="417"/>
      <c r="E24" s="418">
        <f t="shared" si="0"/>
        <v>0</v>
      </c>
      <c r="F24" s="417"/>
      <c r="G24" s="417"/>
      <c r="H24" s="418">
        <f t="shared" si="1"/>
        <v>0</v>
      </c>
      <c r="I24" s="417"/>
      <c r="J24" s="417"/>
      <c r="K24" s="418">
        <f t="shared" si="2"/>
        <v>0</v>
      </c>
      <c r="L24" s="417"/>
      <c r="M24" s="417"/>
      <c r="N24" s="418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413">
        <f>C26+C30+C38</f>
        <v>0</v>
      </c>
      <c r="D25" s="413">
        <f>D26+D30+D38</f>
        <v>0</v>
      </c>
      <c r="E25" s="414">
        <f t="shared" si="0"/>
        <v>0</v>
      </c>
      <c r="F25" s="413">
        <f>F26+F30+F38</f>
        <v>0</v>
      </c>
      <c r="G25" s="413">
        <f>G26+G30+G38</f>
        <v>0</v>
      </c>
      <c r="H25" s="414">
        <f t="shared" si="1"/>
        <v>0</v>
      </c>
      <c r="I25" s="413">
        <f>I26+I30+I38</f>
        <v>0</v>
      </c>
      <c r="J25" s="413">
        <f>J26+J30+J38</f>
        <v>0</v>
      </c>
      <c r="K25" s="414">
        <f t="shared" si="2"/>
        <v>0</v>
      </c>
      <c r="L25" s="413">
        <f>L26+L30+L38</f>
        <v>0</v>
      </c>
      <c r="M25" s="413">
        <f>M26+M30+M38</f>
        <v>0</v>
      </c>
      <c r="N25" s="414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415">
        <f>SUM(C27:C29)</f>
        <v>0</v>
      </c>
      <c r="D26" s="415">
        <f>SUM(D27:D29)</f>
        <v>0</v>
      </c>
      <c r="E26" s="416">
        <f t="shared" si="0"/>
        <v>0</v>
      </c>
      <c r="F26" s="415">
        <f>SUM(F27:F29)</f>
        <v>0</v>
      </c>
      <c r="G26" s="415">
        <f>SUM(G27:G29)</f>
        <v>0</v>
      </c>
      <c r="H26" s="416">
        <f t="shared" si="1"/>
        <v>0</v>
      </c>
      <c r="I26" s="415">
        <f>SUM(I27:I29)</f>
        <v>0</v>
      </c>
      <c r="J26" s="415">
        <f>SUM(J27:J29)</f>
        <v>0</v>
      </c>
      <c r="K26" s="416">
        <f t="shared" si="2"/>
        <v>0</v>
      </c>
      <c r="L26" s="415">
        <f>SUM(L27:L29)</f>
        <v>0</v>
      </c>
      <c r="M26" s="415">
        <f>SUM(M27:M29)</f>
        <v>0</v>
      </c>
      <c r="N26" s="416">
        <f t="shared" si="3"/>
        <v>0</v>
      </c>
    </row>
    <row r="27" spans="1:14" ht="15.75" hidden="1" thickBot="1" x14ac:dyDescent="0.3">
      <c r="A27" s="184"/>
      <c r="B27" s="180" t="s">
        <v>71</v>
      </c>
      <c r="C27" s="415"/>
      <c r="D27" s="415"/>
      <c r="E27" s="416">
        <f t="shared" si="0"/>
        <v>0</v>
      </c>
      <c r="F27" s="415"/>
      <c r="G27" s="415"/>
      <c r="H27" s="416">
        <f t="shared" si="1"/>
        <v>0</v>
      </c>
      <c r="I27" s="415"/>
      <c r="J27" s="415"/>
      <c r="K27" s="416">
        <f t="shared" si="2"/>
        <v>0</v>
      </c>
      <c r="L27" s="415"/>
      <c r="M27" s="415"/>
      <c r="N27" s="416">
        <f t="shared" si="3"/>
        <v>0</v>
      </c>
    </row>
    <row r="28" spans="1:14" ht="15.75" hidden="1" thickBot="1" x14ac:dyDescent="0.3">
      <c r="A28" s="184"/>
      <c r="B28" s="180" t="s">
        <v>72</v>
      </c>
      <c r="C28" s="415"/>
      <c r="D28" s="415"/>
      <c r="E28" s="416">
        <f t="shared" si="0"/>
        <v>0</v>
      </c>
      <c r="F28" s="415"/>
      <c r="G28" s="415"/>
      <c r="H28" s="416">
        <f t="shared" si="1"/>
        <v>0</v>
      </c>
      <c r="I28" s="415"/>
      <c r="J28" s="415"/>
      <c r="K28" s="416">
        <f t="shared" si="2"/>
        <v>0</v>
      </c>
      <c r="L28" s="415"/>
      <c r="M28" s="415"/>
      <c r="N28" s="416">
        <f t="shared" si="3"/>
        <v>0</v>
      </c>
    </row>
    <row r="29" spans="1:14" ht="15.75" hidden="1" thickBot="1" x14ac:dyDescent="0.3">
      <c r="A29" s="184"/>
      <c r="B29" s="180" t="s">
        <v>73</v>
      </c>
      <c r="C29" s="415"/>
      <c r="D29" s="415"/>
      <c r="E29" s="416">
        <f t="shared" si="0"/>
        <v>0</v>
      </c>
      <c r="F29" s="415"/>
      <c r="G29" s="415"/>
      <c r="H29" s="416">
        <f t="shared" si="1"/>
        <v>0</v>
      </c>
      <c r="I29" s="415"/>
      <c r="J29" s="415"/>
      <c r="K29" s="416">
        <f t="shared" si="2"/>
        <v>0</v>
      </c>
      <c r="L29" s="415"/>
      <c r="M29" s="415"/>
      <c r="N29" s="416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415">
        <f>C31+C33+C34</f>
        <v>0</v>
      </c>
      <c r="D30" s="415">
        <f>D31+D33+D34</f>
        <v>0</v>
      </c>
      <c r="E30" s="416">
        <f t="shared" si="0"/>
        <v>0</v>
      </c>
      <c r="F30" s="415">
        <f>F31+F33+F34</f>
        <v>0</v>
      </c>
      <c r="G30" s="415">
        <f>G31+G33+G34</f>
        <v>0</v>
      </c>
      <c r="H30" s="416">
        <f t="shared" si="1"/>
        <v>0</v>
      </c>
      <c r="I30" s="415">
        <f>I31+I33+I34</f>
        <v>0</v>
      </c>
      <c r="J30" s="415">
        <f>J31+J33+J34</f>
        <v>0</v>
      </c>
      <c r="K30" s="416">
        <f t="shared" si="2"/>
        <v>0</v>
      </c>
      <c r="L30" s="415">
        <f>L31+L33+L34</f>
        <v>0</v>
      </c>
      <c r="M30" s="415">
        <f>M31+M33+M34</f>
        <v>0</v>
      </c>
      <c r="N30" s="416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415">
        <f>C32</f>
        <v>0</v>
      </c>
      <c r="D31" s="415">
        <f>D32</f>
        <v>0</v>
      </c>
      <c r="E31" s="416">
        <f t="shared" si="0"/>
        <v>0</v>
      </c>
      <c r="F31" s="415">
        <f>F32</f>
        <v>0</v>
      </c>
      <c r="G31" s="415">
        <f>G32</f>
        <v>0</v>
      </c>
      <c r="H31" s="416">
        <f t="shared" si="1"/>
        <v>0</v>
      </c>
      <c r="I31" s="415">
        <f>I32</f>
        <v>0</v>
      </c>
      <c r="J31" s="415">
        <f>J32</f>
        <v>0</v>
      </c>
      <c r="K31" s="416">
        <f t="shared" si="2"/>
        <v>0</v>
      </c>
      <c r="L31" s="415">
        <f>L32</f>
        <v>0</v>
      </c>
      <c r="M31" s="415">
        <f>M32</f>
        <v>0</v>
      </c>
      <c r="N31" s="416">
        <f t="shared" si="3"/>
        <v>0</v>
      </c>
    </row>
    <row r="32" spans="1:14" ht="15.75" hidden="1" thickBot="1" x14ac:dyDescent="0.3">
      <c r="A32" s="184"/>
      <c r="B32" s="180" t="s">
        <v>78</v>
      </c>
      <c r="C32" s="415"/>
      <c r="D32" s="415"/>
      <c r="E32" s="416">
        <f t="shared" si="0"/>
        <v>0</v>
      </c>
      <c r="F32" s="415"/>
      <c r="G32" s="415"/>
      <c r="H32" s="416">
        <f t="shared" si="1"/>
        <v>0</v>
      </c>
      <c r="I32" s="415"/>
      <c r="J32" s="415"/>
      <c r="K32" s="416">
        <f t="shared" si="2"/>
        <v>0</v>
      </c>
      <c r="L32" s="415"/>
      <c r="M32" s="415"/>
      <c r="N32" s="416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415"/>
      <c r="D33" s="415"/>
      <c r="E33" s="416">
        <f t="shared" si="0"/>
        <v>0</v>
      </c>
      <c r="F33" s="415"/>
      <c r="G33" s="415"/>
      <c r="H33" s="416">
        <f t="shared" si="1"/>
        <v>0</v>
      </c>
      <c r="I33" s="415"/>
      <c r="J33" s="415"/>
      <c r="K33" s="416">
        <f t="shared" si="2"/>
        <v>0</v>
      </c>
      <c r="L33" s="415"/>
      <c r="M33" s="415"/>
      <c r="N33" s="416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415">
        <f>SUM(C35:C37)</f>
        <v>0</v>
      </c>
      <c r="D34" s="415">
        <f>SUM(D35:D37)</f>
        <v>0</v>
      </c>
      <c r="E34" s="416">
        <f t="shared" si="0"/>
        <v>0</v>
      </c>
      <c r="F34" s="415">
        <f>SUM(F35:F37)</f>
        <v>0</v>
      </c>
      <c r="G34" s="415">
        <f>SUM(G35:G37)</f>
        <v>0</v>
      </c>
      <c r="H34" s="416">
        <f t="shared" si="1"/>
        <v>0</v>
      </c>
      <c r="I34" s="415">
        <f>SUM(I35:I37)</f>
        <v>0</v>
      </c>
      <c r="J34" s="415">
        <f>SUM(J35:J37)</f>
        <v>0</v>
      </c>
      <c r="K34" s="416">
        <f t="shared" si="2"/>
        <v>0</v>
      </c>
      <c r="L34" s="415">
        <f>SUM(L35:L37)</f>
        <v>0</v>
      </c>
      <c r="M34" s="415">
        <f>SUM(M35:M37)</f>
        <v>0</v>
      </c>
      <c r="N34" s="416">
        <f t="shared" si="3"/>
        <v>0</v>
      </c>
    </row>
    <row r="35" spans="1:14" ht="15.75" hidden="1" thickBot="1" x14ac:dyDescent="0.3">
      <c r="A35" s="184"/>
      <c r="B35" s="180" t="s">
        <v>83</v>
      </c>
      <c r="C35" s="415"/>
      <c r="D35" s="415"/>
      <c r="E35" s="416">
        <f t="shared" si="0"/>
        <v>0</v>
      </c>
      <c r="F35" s="415"/>
      <c r="G35" s="415"/>
      <c r="H35" s="416">
        <f t="shared" si="1"/>
        <v>0</v>
      </c>
      <c r="I35" s="415"/>
      <c r="J35" s="415"/>
      <c r="K35" s="416">
        <f t="shared" si="2"/>
        <v>0</v>
      </c>
      <c r="L35" s="415"/>
      <c r="M35" s="415"/>
      <c r="N35" s="416">
        <f t="shared" si="3"/>
        <v>0</v>
      </c>
    </row>
    <row r="36" spans="1:14" ht="15.75" hidden="1" thickBot="1" x14ac:dyDescent="0.3">
      <c r="A36" s="184"/>
      <c r="B36" s="180" t="s">
        <v>84</v>
      </c>
      <c r="C36" s="415"/>
      <c r="D36" s="415"/>
      <c r="E36" s="416">
        <f t="shared" si="0"/>
        <v>0</v>
      </c>
      <c r="F36" s="415"/>
      <c r="G36" s="415"/>
      <c r="H36" s="416">
        <f t="shared" si="1"/>
        <v>0</v>
      </c>
      <c r="I36" s="415"/>
      <c r="J36" s="415"/>
      <c r="K36" s="416">
        <f t="shared" si="2"/>
        <v>0</v>
      </c>
      <c r="L36" s="415"/>
      <c r="M36" s="415"/>
      <c r="N36" s="416">
        <f t="shared" si="3"/>
        <v>0</v>
      </c>
    </row>
    <row r="37" spans="1:14" ht="15.75" hidden="1" thickBot="1" x14ac:dyDescent="0.3">
      <c r="A37" s="184"/>
      <c r="B37" s="180" t="s">
        <v>85</v>
      </c>
      <c r="C37" s="415"/>
      <c r="D37" s="415"/>
      <c r="E37" s="416">
        <f t="shared" si="0"/>
        <v>0</v>
      </c>
      <c r="F37" s="415"/>
      <c r="G37" s="415"/>
      <c r="H37" s="416">
        <f t="shared" si="1"/>
        <v>0</v>
      </c>
      <c r="I37" s="415"/>
      <c r="J37" s="415"/>
      <c r="K37" s="416">
        <f t="shared" si="2"/>
        <v>0</v>
      </c>
      <c r="L37" s="415"/>
      <c r="M37" s="415"/>
      <c r="N37" s="416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415">
        <f>SUM(C39:C44)</f>
        <v>0</v>
      </c>
      <c r="D38" s="415">
        <f>SUM(D39:D44)</f>
        <v>0</v>
      </c>
      <c r="E38" s="416">
        <f t="shared" si="0"/>
        <v>0</v>
      </c>
      <c r="F38" s="415">
        <f>SUM(F39:F44)</f>
        <v>0</v>
      </c>
      <c r="G38" s="415">
        <f>SUM(G39:G44)</f>
        <v>0</v>
      </c>
      <c r="H38" s="416">
        <f t="shared" si="1"/>
        <v>0</v>
      </c>
      <c r="I38" s="415">
        <f>SUM(I39:I44)</f>
        <v>0</v>
      </c>
      <c r="J38" s="415">
        <f>SUM(J39:J44)</f>
        <v>0</v>
      </c>
      <c r="K38" s="416">
        <f t="shared" si="2"/>
        <v>0</v>
      </c>
      <c r="L38" s="415">
        <f>SUM(L39:L44)</f>
        <v>0</v>
      </c>
      <c r="M38" s="415">
        <f>SUM(M39:M44)</f>
        <v>0</v>
      </c>
      <c r="N38" s="416">
        <f t="shared" si="3"/>
        <v>0</v>
      </c>
    </row>
    <row r="39" spans="1:14" ht="15.75" hidden="1" thickBot="1" x14ac:dyDescent="0.3">
      <c r="A39" s="184"/>
      <c r="B39" s="180" t="s">
        <v>88</v>
      </c>
      <c r="C39" s="415"/>
      <c r="D39" s="415"/>
      <c r="E39" s="416">
        <f t="shared" si="0"/>
        <v>0</v>
      </c>
      <c r="F39" s="415"/>
      <c r="G39" s="415"/>
      <c r="H39" s="416">
        <f t="shared" si="1"/>
        <v>0</v>
      </c>
      <c r="I39" s="415"/>
      <c r="J39" s="415"/>
      <c r="K39" s="416">
        <f t="shared" si="2"/>
        <v>0</v>
      </c>
      <c r="L39" s="415"/>
      <c r="M39" s="415"/>
      <c r="N39" s="416">
        <f t="shared" si="3"/>
        <v>0</v>
      </c>
    </row>
    <row r="40" spans="1:14" ht="15.75" hidden="1" thickBot="1" x14ac:dyDescent="0.3">
      <c r="A40" s="184"/>
      <c r="B40" s="180" t="s">
        <v>89</v>
      </c>
      <c r="C40" s="415"/>
      <c r="D40" s="415"/>
      <c r="E40" s="416">
        <f t="shared" si="0"/>
        <v>0</v>
      </c>
      <c r="F40" s="415"/>
      <c r="G40" s="415"/>
      <c r="H40" s="416">
        <f t="shared" si="1"/>
        <v>0</v>
      </c>
      <c r="I40" s="415"/>
      <c r="J40" s="415"/>
      <c r="K40" s="416">
        <f t="shared" si="2"/>
        <v>0</v>
      </c>
      <c r="L40" s="415"/>
      <c r="M40" s="415"/>
      <c r="N40" s="416">
        <f t="shared" si="3"/>
        <v>0</v>
      </c>
    </row>
    <row r="41" spans="1:14" ht="15.75" hidden="1" thickBot="1" x14ac:dyDescent="0.3">
      <c r="A41" s="184"/>
      <c r="B41" s="180" t="s">
        <v>90</v>
      </c>
      <c r="C41" s="415"/>
      <c r="D41" s="415"/>
      <c r="E41" s="416">
        <f t="shared" si="0"/>
        <v>0</v>
      </c>
      <c r="F41" s="415"/>
      <c r="G41" s="415"/>
      <c r="H41" s="416">
        <f t="shared" si="1"/>
        <v>0</v>
      </c>
      <c r="I41" s="415"/>
      <c r="J41" s="415"/>
      <c r="K41" s="416">
        <f t="shared" si="2"/>
        <v>0</v>
      </c>
      <c r="L41" s="415"/>
      <c r="M41" s="415"/>
      <c r="N41" s="416">
        <f t="shared" si="3"/>
        <v>0</v>
      </c>
    </row>
    <row r="42" spans="1:14" ht="15.75" hidden="1" thickBot="1" x14ac:dyDescent="0.3">
      <c r="A42" s="184"/>
      <c r="B42" s="180" t="s">
        <v>91</v>
      </c>
      <c r="C42" s="415"/>
      <c r="D42" s="415"/>
      <c r="E42" s="416">
        <f t="shared" si="0"/>
        <v>0</v>
      </c>
      <c r="F42" s="415"/>
      <c r="G42" s="415"/>
      <c r="H42" s="416">
        <f t="shared" si="1"/>
        <v>0</v>
      </c>
      <c r="I42" s="415"/>
      <c r="J42" s="415"/>
      <c r="K42" s="416">
        <f t="shared" si="2"/>
        <v>0</v>
      </c>
      <c r="L42" s="415"/>
      <c r="M42" s="415"/>
      <c r="N42" s="416">
        <f t="shared" si="3"/>
        <v>0</v>
      </c>
    </row>
    <row r="43" spans="1:14" ht="15.75" hidden="1" thickBot="1" x14ac:dyDescent="0.3">
      <c r="A43" s="184"/>
      <c r="B43" s="180" t="s">
        <v>92</v>
      </c>
      <c r="C43" s="415"/>
      <c r="D43" s="415"/>
      <c r="E43" s="416">
        <f t="shared" si="0"/>
        <v>0</v>
      </c>
      <c r="F43" s="415"/>
      <c r="G43" s="415"/>
      <c r="H43" s="416">
        <f t="shared" si="1"/>
        <v>0</v>
      </c>
      <c r="I43" s="415"/>
      <c r="J43" s="415"/>
      <c r="K43" s="416">
        <f t="shared" si="2"/>
        <v>0</v>
      </c>
      <c r="L43" s="415"/>
      <c r="M43" s="415"/>
      <c r="N43" s="416">
        <f t="shared" si="3"/>
        <v>0</v>
      </c>
    </row>
    <row r="44" spans="1:14" ht="15.75" hidden="1" thickBot="1" x14ac:dyDescent="0.3">
      <c r="A44" s="185"/>
      <c r="B44" s="192" t="s">
        <v>93</v>
      </c>
      <c r="C44" s="417"/>
      <c r="D44" s="417"/>
      <c r="E44" s="418">
        <f t="shared" si="0"/>
        <v>0</v>
      </c>
      <c r="F44" s="417"/>
      <c r="G44" s="417"/>
      <c r="H44" s="418">
        <f t="shared" si="1"/>
        <v>0</v>
      </c>
      <c r="I44" s="417"/>
      <c r="J44" s="417"/>
      <c r="K44" s="418">
        <f t="shared" si="2"/>
        <v>0</v>
      </c>
      <c r="L44" s="417"/>
      <c r="M44" s="417"/>
      <c r="N44" s="418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413">
        <f>C46+C47+C48+C49+C54+C55+C56+C57+C58+C59+C60</f>
        <v>0</v>
      </c>
      <c r="D45" s="413">
        <f>D46+D47+D48+D49+D54+D55+D56+D57+D58+D59+D60</f>
        <v>0</v>
      </c>
      <c r="E45" s="414">
        <f t="shared" si="0"/>
        <v>0</v>
      </c>
      <c r="F45" s="413">
        <f>F46+F47+F48+F49+F54+F55+F56+F57+F58+F59+F60</f>
        <v>0</v>
      </c>
      <c r="G45" s="413">
        <f>G46+G47+G48+G49+G54+G55+G56+G57+G58+G59+G60</f>
        <v>0</v>
      </c>
      <c r="H45" s="414">
        <f t="shared" si="1"/>
        <v>0</v>
      </c>
      <c r="I45" s="413">
        <f>I46+I47+I48+I49+I54+I55+I56+I57+I58+I59+I60</f>
        <v>0</v>
      </c>
      <c r="J45" s="413">
        <f>J46+J47+J48+J49+J54+J55+J56+J57+J58+J59+J60</f>
        <v>0</v>
      </c>
      <c r="K45" s="414">
        <f t="shared" si="2"/>
        <v>0</v>
      </c>
      <c r="L45" s="413">
        <f>L46+L47+L48+L49+L54+L55+L56+L57+L58+L59+L60</f>
        <v>0</v>
      </c>
      <c r="M45" s="413">
        <f>M46+M47+M48+M49+M54+M55+M56+M57+M58+M59+M60</f>
        <v>0</v>
      </c>
      <c r="N45" s="414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415"/>
      <c r="D46" s="415"/>
      <c r="E46" s="416">
        <f t="shared" si="0"/>
        <v>0</v>
      </c>
      <c r="F46" s="415"/>
      <c r="G46" s="415"/>
      <c r="H46" s="416">
        <f t="shared" si="1"/>
        <v>0</v>
      </c>
      <c r="I46" s="415"/>
      <c r="J46" s="415"/>
      <c r="K46" s="416">
        <f t="shared" si="2"/>
        <v>0</v>
      </c>
      <c r="L46" s="415"/>
      <c r="M46" s="415"/>
      <c r="N46" s="416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415"/>
      <c r="D47" s="415"/>
      <c r="E47" s="416">
        <f t="shared" si="0"/>
        <v>0</v>
      </c>
      <c r="F47" s="415"/>
      <c r="G47" s="415"/>
      <c r="H47" s="416">
        <f t="shared" si="1"/>
        <v>0</v>
      </c>
      <c r="I47" s="415"/>
      <c r="J47" s="415"/>
      <c r="K47" s="416">
        <f t="shared" si="2"/>
        <v>0</v>
      </c>
      <c r="L47" s="415"/>
      <c r="M47" s="415"/>
      <c r="N47" s="416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415"/>
      <c r="D48" s="415"/>
      <c r="E48" s="416">
        <f t="shared" si="0"/>
        <v>0</v>
      </c>
      <c r="F48" s="415"/>
      <c r="G48" s="415"/>
      <c r="H48" s="416">
        <f t="shared" si="1"/>
        <v>0</v>
      </c>
      <c r="I48" s="415"/>
      <c r="J48" s="415"/>
      <c r="K48" s="416">
        <f t="shared" si="2"/>
        <v>0</v>
      </c>
      <c r="L48" s="415"/>
      <c r="M48" s="415"/>
      <c r="N48" s="416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415">
        <f>SUM(C50:C53)</f>
        <v>0</v>
      </c>
      <c r="D49" s="415">
        <f>SUM(D50:D53)</f>
        <v>0</v>
      </c>
      <c r="E49" s="416">
        <f t="shared" si="0"/>
        <v>0</v>
      </c>
      <c r="F49" s="415">
        <f>SUM(F50:F53)</f>
        <v>0</v>
      </c>
      <c r="G49" s="415">
        <f>SUM(G50:G53)</f>
        <v>0</v>
      </c>
      <c r="H49" s="416">
        <f t="shared" si="1"/>
        <v>0</v>
      </c>
      <c r="I49" s="415">
        <f>SUM(I50:I53)</f>
        <v>0</v>
      </c>
      <c r="J49" s="415">
        <f>SUM(J50:J53)</f>
        <v>0</v>
      </c>
      <c r="K49" s="416">
        <f t="shared" si="2"/>
        <v>0</v>
      </c>
      <c r="L49" s="415">
        <f>SUM(L50:L53)</f>
        <v>0</v>
      </c>
      <c r="M49" s="415">
        <f>SUM(M50:M53)</f>
        <v>0</v>
      </c>
      <c r="N49" s="416">
        <f t="shared" si="3"/>
        <v>0</v>
      </c>
    </row>
    <row r="50" spans="1:14" ht="15.75" hidden="1" thickBot="1" x14ac:dyDescent="0.3">
      <c r="A50" s="184"/>
      <c r="B50" s="180" t="s">
        <v>103</v>
      </c>
      <c r="C50" s="415"/>
      <c r="D50" s="415"/>
      <c r="E50" s="416">
        <f t="shared" si="0"/>
        <v>0</v>
      </c>
      <c r="F50" s="415"/>
      <c r="G50" s="415"/>
      <c r="H50" s="416">
        <f t="shared" si="1"/>
        <v>0</v>
      </c>
      <c r="I50" s="415"/>
      <c r="J50" s="415"/>
      <c r="K50" s="416">
        <f t="shared" si="2"/>
        <v>0</v>
      </c>
      <c r="L50" s="415"/>
      <c r="M50" s="415"/>
      <c r="N50" s="416">
        <f t="shared" si="3"/>
        <v>0</v>
      </c>
    </row>
    <row r="51" spans="1:14" ht="15.75" hidden="1" thickBot="1" x14ac:dyDescent="0.3">
      <c r="A51" s="184"/>
      <c r="B51" s="180" t="s">
        <v>104</v>
      </c>
      <c r="C51" s="415"/>
      <c r="D51" s="415"/>
      <c r="E51" s="416">
        <f t="shared" si="0"/>
        <v>0</v>
      </c>
      <c r="F51" s="415"/>
      <c r="G51" s="415"/>
      <c r="H51" s="416">
        <f t="shared" si="1"/>
        <v>0</v>
      </c>
      <c r="I51" s="415"/>
      <c r="J51" s="415"/>
      <c r="K51" s="416">
        <f t="shared" si="2"/>
        <v>0</v>
      </c>
      <c r="L51" s="415"/>
      <c r="M51" s="415"/>
      <c r="N51" s="416">
        <f t="shared" si="3"/>
        <v>0</v>
      </c>
    </row>
    <row r="52" spans="1:14" ht="15.75" hidden="1" thickBot="1" x14ac:dyDescent="0.3">
      <c r="A52" s="184"/>
      <c r="B52" s="180" t="s">
        <v>105</v>
      </c>
      <c r="C52" s="415"/>
      <c r="D52" s="415"/>
      <c r="E52" s="416">
        <f t="shared" si="0"/>
        <v>0</v>
      </c>
      <c r="F52" s="415"/>
      <c r="G52" s="415"/>
      <c r="H52" s="416">
        <f t="shared" si="1"/>
        <v>0</v>
      </c>
      <c r="I52" s="415"/>
      <c r="J52" s="415"/>
      <c r="K52" s="416">
        <f t="shared" si="2"/>
        <v>0</v>
      </c>
      <c r="L52" s="415"/>
      <c r="M52" s="415"/>
      <c r="N52" s="416">
        <f t="shared" si="3"/>
        <v>0</v>
      </c>
    </row>
    <row r="53" spans="1:14" ht="15.75" hidden="1" thickBot="1" x14ac:dyDescent="0.3">
      <c r="A53" s="184"/>
      <c r="B53" s="180" t="s">
        <v>106</v>
      </c>
      <c r="C53" s="415"/>
      <c r="D53" s="415"/>
      <c r="E53" s="416">
        <f t="shared" si="0"/>
        <v>0</v>
      </c>
      <c r="F53" s="415"/>
      <c r="G53" s="415"/>
      <c r="H53" s="416">
        <f t="shared" si="1"/>
        <v>0</v>
      </c>
      <c r="I53" s="415"/>
      <c r="J53" s="415"/>
      <c r="K53" s="416">
        <f t="shared" si="2"/>
        <v>0</v>
      </c>
      <c r="L53" s="415"/>
      <c r="M53" s="415"/>
      <c r="N53" s="416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415"/>
      <c r="D54" s="415"/>
      <c r="E54" s="416">
        <f t="shared" si="0"/>
        <v>0</v>
      </c>
      <c r="F54" s="415"/>
      <c r="G54" s="415"/>
      <c r="H54" s="416">
        <f t="shared" si="1"/>
        <v>0</v>
      </c>
      <c r="I54" s="415"/>
      <c r="J54" s="415"/>
      <c r="K54" s="416">
        <f t="shared" si="2"/>
        <v>0</v>
      </c>
      <c r="L54" s="415"/>
      <c r="M54" s="415"/>
      <c r="N54" s="416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415"/>
      <c r="D55" s="415"/>
      <c r="E55" s="416">
        <f t="shared" si="0"/>
        <v>0</v>
      </c>
      <c r="F55" s="415"/>
      <c r="G55" s="415"/>
      <c r="H55" s="416">
        <f t="shared" si="1"/>
        <v>0</v>
      </c>
      <c r="I55" s="415"/>
      <c r="J55" s="415"/>
      <c r="K55" s="416">
        <f t="shared" si="2"/>
        <v>0</v>
      </c>
      <c r="L55" s="415"/>
      <c r="M55" s="415"/>
      <c r="N55" s="416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415"/>
      <c r="D56" s="415"/>
      <c r="E56" s="416">
        <f t="shared" si="0"/>
        <v>0</v>
      </c>
      <c r="F56" s="415"/>
      <c r="G56" s="415"/>
      <c r="H56" s="416">
        <f t="shared" si="1"/>
        <v>0</v>
      </c>
      <c r="I56" s="415"/>
      <c r="J56" s="415"/>
      <c r="K56" s="416">
        <f t="shared" si="2"/>
        <v>0</v>
      </c>
      <c r="L56" s="415"/>
      <c r="M56" s="415"/>
      <c r="N56" s="416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415"/>
      <c r="D57" s="415"/>
      <c r="E57" s="416">
        <f t="shared" si="0"/>
        <v>0</v>
      </c>
      <c r="F57" s="415"/>
      <c r="G57" s="415"/>
      <c r="H57" s="416">
        <f t="shared" si="1"/>
        <v>0</v>
      </c>
      <c r="I57" s="415"/>
      <c r="J57" s="415"/>
      <c r="K57" s="416">
        <f t="shared" si="2"/>
        <v>0</v>
      </c>
      <c r="L57" s="415"/>
      <c r="M57" s="415"/>
      <c r="N57" s="416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415"/>
      <c r="D58" s="415"/>
      <c r="E58" s="416">
        <f t="shared" si="0"/>
        <v>0</v>
      </c>
      <c r="F58" s="415"/>
      <c r="G58" s="415"/>
      <c r="H58" s="416">
        <f t="shared" si="1"/>
        <v>0</v>
      </c>
      <c r="I58" s="415"/>
      <c r="J58" s="415"/>
      <c r="K58" s="416">
        <f t="shared" si="2"/>
        <v>0</v>
      </c>
      <c r="L58" s="415"/>
      <c r="M58" s="415"/>
      <c r="N58" s="416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415"/>
      <c r="D59" s="415"/>
      <c r="E59" s="416">
        <f t="shared" si="0"/>
        <v>0</v>
      </c>
      <c r="F59" s="415"/>
      <c r="G59" s="415"/>
      <c r="H59" s="416">
        <f t="shared" si="1"/>
        <v>0</v>
      </c>
      <c r="I59" s="415"/>
      <c r="J59" s="415"/>
      <c r="K59" s="416">
        <f t="shared" si="2"/>
        <v>0</v>
      </c>
      <c r="L59" s="415"/>
      <c r="M59" s="415"/>
      <c r="N59" s="416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417"/>
      <c r="D60" s="417"/>
      <c r="E60" s="418">
        <f t="shared" si="0"/>
        <v>0</v>
      </c>
      <c r="F60" s="417"/>
      <c r="G60" s="417"/>
      <c r="H60" s="418">
        <f t="shared" si="1"/>
        <v>0</v>
      </c>
      <c r="I60" s="417"/>
      <c r="J60" s="417"/>
      <c r="K60" s="418">
        <f t="shared" si="2"/>
        <v>0</v>
      </c>
      <c r="L60" s="417"/>
      <c r="M60" s="417"/>
      <c r="N60" s="418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413">
        <f>SUM(C62:C66)</f>
        <v>0</v>
      </c>
      <c r="D61" s="413">
        <f>SUM(D62:D66)</f>
        <v>0</v>
      </c>
      <c r="E61" s="414">
        <f t="shared" si="0"/>
        <v>0</v>
      </c>
      <c r="F61" s="413">
        <f>SUM(F62:F66)</f>
        <v>0</v>
      </c>
      <c r="G61" s="413">
        <f>SUM(G62:G66)</f>
        <v>0</v>
      </c>
      <c r="H61" s="414">
        <f t="shared" si="1"/>
        <v>0</v>
      </c>
      <c r="I61" s="413">
        <f>SUM(I62:I66)</f>
        <v>0</v>
      </c>
      <c r="J61" s="413">
        <f>SUM(J62:J66)</f>
        <v>0</v>
      </c>
      <c r="K61" s="414">
        <f t="shared" si="2"/>
        <v>0</v>
      </c>
      <c r="L61" s="413">
        <f>SUM(L62:L66)</f>
        <v>0</v>
      </c>
      <c r="M61" s="413">
        <f>SUM(M62:M66)</f>
        <v>0</v>
      </c>
      <c r="N61" s="414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415"/>
      <c r="D62" s="415"/>
      <c r="E62" s="416">
        <f t="shared" si="0"/>
        <v>0</v>
      </c>
      <c r="F62" s="415"/>
      <c r="G62" s="415"/>
      <c r="H62" s="416">
        <f t="shared" si="1"/>
        <v>0</v>
      </c>
      <c r="I62" s="415"/>
      <c r="J62" s="415"/>
      <c r="K62" s="416">
        <f t="shared" si="2"/>
        <v>0</v>
      </c>
      <c r="L62" s="415"/>
      <c r="M62" s="415"/>
      <c r="N62" s="416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415"/>
      <c r="D63" s="415"/>
      <c r="E63" s="416">
        <f t="shared" si="0"/>
        <v>0</v>
      </c>
      <c r="F63" s="415"/>
      <c r="G63" s="415"/>
      <c r="H63" s="416">
        <f t="shared" si="1"/>
        <v>0</v>
      </c>
      <c r="I63" s="415"/>
      <c r="J63" s="415"/>
      <c r="K63" s="416">
        <f t="shared" si="2"/>
        <v>0</v>
      </c>
      <c r="L63" s="415"/>
      <c r="M63" s="415"/>
      <c r="N63" s="416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415"/>
      <c r="D64" s="415"/>
      <c r="E64" s="416">
        <f t="shared" si="0"/>
        <v>0</v>
      </c>
      <c r="F64" s="415"/>
      <c r="G64" s="415"/>
      <c r="H64" s="416">
        <f t="shared" si="1"/>
        <v>0</v>
      </c>
      <c r="I64" s="415"/>
      <c r="J64" s="415"/>
      <c r="K64" s="416">
        <f t="shared" si="2"/>
        <v>0</v>
      </c>
      <c r="L64" s="415"/>
      <c r="M64" s="415"/>
      <c r="N64" s="416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415"/>
      <c r="D65" s="415"/>
      <c r="E65" s="416">
        <f t="shared" si="0"/>
        <v>0</v>
      </c>
      <c r="F65" s="415"/>
      <c r="G65" s="415"/>
      <c r="H65" s="416">
        <f t="shared" si="1"/>
        <v>0</v>
      </c>
      <c r="I65" s="415"/>
      <c r="J65" s="415"/>
      <c r="K65" s="416">
        <f t="shared" si="2"/>
        <v>0</v>
      </c>
      <c r="L65" s="415"/>
      <c r="M65" s="415"/>
      <c r="N65" s="416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417"/>
      <c r="D66" s="417"/>
      <c r="E66" s="418">
        <f t="shared" si="0"/>
        <v>0</v>
      </c>
      <c r="F66" s="417"/>
      <c r="G66" s="417"/>
      <c r="H66" s="418">
        <f t="shared" si="1"/>
        <v>0</v>
      </c>
      <c r="I66" s="417"/>
      <c r="J66" s="417"/>
      <c r="K66" s="418">
        <f t="shared" si="2"/>
        <v>0</v>
      </c>
      <c r="L66" s="417"/>
      <c r="M66" s="417"/>
      <c r="N66" s="418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413">
        <f>SUM(C68:C69)</f>
        <v>0</v>
      </c>
      <c r="D67" s="413">
        <f>SUM(D68:D69)</f>
        <v>0</v>
      </c>
      <c r="E67" s="414">
        <f t="shared" si="0"/>
        <v>0</v>
      </c>
      <c r="F67" s="413">
        <f>SUM(F68:F69)</f>
        <v>0</v>
      </c>
      <c r="G67" s="413">
        <f>SUM(G68:G69)</f>
        <v>0</v>
      </c>
      <c r="H67" s="414">
        <f t="shared" si="1"/>
        <v>0</v>
      </c>
      <c r="I67" s="413">
        <f>SUM(I68:I69)</f>
        <v>0</v>
      </c>
      <c r="J67" s="413">
        <f>SUM(J68:J69)</f>
        <v>0</v>
      </c>
      <c r="K67" s="414">
        <f t="shared" si="2"/>
        <v>0</v>
      </c>
      <c r="L67" s="413">
        <f>SUM(L68:L69)</f>
        <v>0</v>
      </c>
      <c r="M67" s="413">
        <f>SUM(M68:M69)</f>
        <v>0</v>
      </c>
      <c r="N67" s="414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415"/>
      <c r="D68" s="415"/>
      <c r="E68" s="416">
        <f t="shared" si="0"/>
        <v>0</v>
      </c>
      <c r="F68" s="415"/>
      <c r="G68" s="415"/>
      <c r="H68" s="416">
        <f t="shared" si="1"/>
        <v>0</v>
      </c>
      <c r="I68" s="415"/>
      <c r="J68" s="415"/>
      <c r="K68" s="416">
        <f t="shared" si="2"/>
        <v>0</v>
      </c>
      <c r="L68" s="415"/>
      <c r="M68" s="415"/>
      <c r="N68" s="416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417"/>
      <c r="D69" s="417"/>
      <c r="E69" s="418">
        <f t="shared" si="0"/>
        <v>0</v>
      </c>
      <c r="F69" s="417"/>
      <c r="G69" s="417"/>
      <c r="H69" s="418">
        <f t="shared" si="1"/>
        <v>0</v>
      </c>
      <c r="I69" s="417"/>
      <c r="J69" s="417"/>
      <c r="K69" s="418">
        <f t="shared" si="2"/>
        <v>0</v>
      </c>
      <c r="L69" s="417"/>
      <c r="M69" s="417"/>
      <c r="N69" s="418">
        <f t="shared" si="3"/>
        <v>0</v>
      </c>
    </row>
    <row r="70" spans="1:14" x14ac:dyDescent="0.25">
      <c r="A70" s="183" t="s">
        <v>138</v>
      </c>
      <c r="B70" s="189" t="s">
        <v>139</v>
      </c>
      <c r="C70" s="413">
        <f>C71</f>
        <v>0</v>
      </c>
      <c r="D70" s="413">
        <f>D71</f>
        <v>0</v>
      </c>
      <c r="E70" s="414">
        <f t="shared" si="0"/>
        <v>0</v>
      </c>
      <c r="F70" s="413">
        <f>F71</f>
        <v>0</v>
      </c>
      <c r="G70" s="413">
        <f>G71</f>
        <v>0</v>
      </c>
      <c r="H70" s="414">
        <f t="shared" si="1"/>
        <v>0</v>
      </c>
      <c r="I70" s="413">
        <f>I71</f>
        <v>0</v>
      </c>
      <c r="J70" s="413">
        <f>J71</f>
        <v>0</v>
      </c>
      <c r="K70" s="414">
        <f t="shared" si="2"/>
        <v>0</v>
      </c>
      <c r="L70" s="413">
        <f>L71</f>
        <v>0</v>
      </c>
      <c r="M70" s="413">
        <f>M71</f>
        <v>0</v>
      </c>
      <c r="N70" s="414">
        <f t="shared" si="3"/>
        <v>0</v>
      </c>
    </row>
    <row r="71" spans="1:14" ht="15.75" thickBot="1" x14ac:dyDescent="0.3">
      <c r="A71" s="185"/>
      <c r="B71" s="192" t="s">
        <v>140</v>
      </c>
      <c r="C71" s="417"/>
      <c r="D71" s="417"/>
      <c r="E71" s="418">
        <f t="shared" si="0"/>
        <v>0</v>
      </c>
      <c r="F71" s="417"/>
      <c r="G71" s="417"/>
      <c r="H71" s="418">
        <f t="shared" si="1"/>
        <v>0</v>
      </c>
      <c r="I71" s="417"/>
      <c r="J71" s="417"/>
      <c r="K71" s="418">
        <f t="shared" si="2"/>
        <v>0</v>
      </c>
      <c r="L71" s="417"/>
      <c r="M71" s="417"/>
      <c r="N71" s="418">
        <f t="shared" si="3"/>
        <v>0</v>
      </c>
    </row>
    <row r="72" spans="1:14" ht="15.75" thickBot="1" x14ac:dyDescent="0.3">
      <c r="A72" s="625"/>
      <c r="B72" s="180" t="s">
        <v>831</v>
      </c>
      <c r="C72" s="426"/>
      <c r="D72" s="426"/>
      <c r="E72" s="427"/>
      <c r="F72" s="426"/>
      <c r="G72" s="426"/>
      <c r="H72" s="418">
        <f t="shared" si="1"/>
        <v>0</v>
      </c>
      <c r="I72" s="426"/>
      <c r="J72" s="426"/>
      <c r="K72" s="418">
        <f t="shared" si="2"/>
        <v>0</v>
      </c>
      <c r="L72" s="426"/>
      <c r="M72" s="426"/>
      <c r="N72" s="418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419">
        <f>C9+C22+C25+C45+C61+C67+C70</f>
        <v>0</v>
      </c>
      <c r="D73" s="419">
        <f>D9+D22+D25+D45+D61+D67+D70</f>
        <v>0</v>
      </c>
      <c r="E73" s="420">
        <f t="shared" si="0"/>
        <v>0</v>
      </c>
      <c r="F73" s="419">
        <f>F9+F22+F25+F45+F61+F67+F70</f>
        <v>0</v>
      </c>
      <c r="G73" s="419">
        <f>G9+G22+G25+G45+G61+G67+G70</f>
        <v>0</v>
      </c>
      <c r="H73" s="420">
        <f t="shared" si="1"/>
        <v>0</v>
      </c>
      <c r="I73" s="419">
        <f>I9+I22+I25+I45+I61+I67+I70</f>
        <v>0</v>
      </c>
      <c r="J73" s="419">
        <f>J9+J22+J25+J45+J61+J67+J70</f>
        <v>0</v>
      </c>
      <c r="K73" s="420">
        <f t="shared" si="2"/>
        <v>0</v>
      </c>
      <c r="L73" s="419">
        <f>L9+L22+L25+L45+L61+L67+L70</f>
        <v>0</v>
      </c>
      <c r="M73" s="419">
        <f>M9+M22+M25+M45+M61+M67+M70</f>
        <v>0</v>
      </c>
      <c r="N73" s="420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413">
        <f>C75+C83</f>
        <v>0</v>
      </c>
      <c r="D74" s="413">
        <f>D75+D83</f>
        <v>0</v>
      </c>
      <c r="E74" s="414">
        <f t="shared" ref="E74:E85" si="4">SUM(C74:D74)</f>
        <v>0</v>
      </c>
      <c r="F74" s="413">
        <f>F75+F83</f>
        <v>0</v>
      </c>
      <c r="G74" s="413">
        <f>G75+G83</f>
        <v>0</v>
      </c>
      <c r="H74" s="414">
        <f t="shared" ref="H74:H81" si="5">SUM(F74:G74)</f>
        <v>0</v>
      </c>
      <c r="I74" s="413">
        <f>I75+I83</f>
        <v>0</v>
      </c>
      <c r="J74" s="413">
        <f>J75+J83</f>
        <v>0</v>
      </c>
      <c r="K74" s="414">
        <f t="shared" ref="K74:K81" si="6">SUM(I74:J74)</f>
        <v>0</v>
      </c>
      <c r="L74" s="413">
        <f>L75+L83</f>
        <v>0</v>
      </c>
      <c r="M74" s="413">
        <f>M75+M83</f>
        <v>0</v>
      </c>
      <c r="N74" s="414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415">
        <f t="shared" ref="C75:D75" si="8">SUM(C76:C77,C78,C79,C83,C82)</f>
        <v>0</v>
      </c>
      <c r="D75" s="415">
        <f t="shared" si="8"/>
        <v>0</v>
      </c>
      <c r="E75" s="416">
        <f t="shared" si="4"/>
        <v>0</v>
      </c>
      <c r="F75" s="415">
        <f t="shared" ref="F75:G75" si="9">SUM(F76:F77,F78,F79,F83,F82)</f>
        <v>0</v>
      </c>
      <c r="G75" s="415">
        <f t="shared" si="9"/>
        <v>0</v>
      </c>
      <c r="H75" s="416">
        <f t="shared" si="5"/>
        <v>0</v>
      </c>
      <c r="I75" s="415">
        <f t="shared" ref="I75:J75" si="10">SUM(I76:I77,I78,I79,I83,I82)</f>
        <v>0</v>
      </c>
      <c r="J75" s="415">
        <f t="shared" si="10"/>
        <v>0</v>
      </c>
      <c r="K75" s="416">
        <f t="shared" si="6"/>
        <v>0</v>
      </c>
      <c r="L75" s="415">
        <f t="shared" ref="L75:M75" si="11">SUM(L76:L77,L78,L79,L83,L82)</f>
        <v>0</v>
      </c>
      <c r="M75" s="415">
        <f t="shared" si="11"/>
        <v>0</v>
      </c>
      <c r="N75" s="416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415"/>
      <c r="D76" s="415"/>
      <c r="E76" s="416">
        <f t="shared" si="4"/>
        <v>0</v>
      </c>
      <c r="F76" s="415"/>
      <c r="G76" s="415"/>
      <c r="H76" s="416">
        <f t="shared" si="5"/>
        <v>0</v>
      </c>
      <c r="I76" s="415"/>
      <c r="J76" s="415"/>
      <c r="K76" s="416">
        <f t="shared" si="6"/>
        <v>0</v>
      </c>
      <c r="L76" s="415"/>
      <c r="M76" s="415"/>
      <c r="N76" s="416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415"/>
      <c r="D77" s="415"/>
      <c r="E77" s="416">
        <f t="shared" si="4"/>
        <v>0</v>
      </c>
      <c r="F77" s="415"/>
      <c r="G77" s="415"/>
      <c r="H77" s="416">
        <f t="shared" si="5"/>
        <v>0</v>
      </c>
      <c r="I77" s="415"/>
      <c r="J77" s="415"/>
      <c r="K77" s="416">
        <f t="shared" si="6"/>
        <v>0</v>
      </c>
      <c r="L77" s="415"/>
      <c r="M77" s="415"/>
      <c r="N77" s="416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415"/>
      <c r="D78" s="415"/>
      <c r="E78" s="416">
        <f t="shared" si="4"/>
        <v>0</v>
      </c>
      <c r="F78" s="415"/>
      <c r="G78" s="415"/>
      <c r="H78" s="416">
        <f t="shared" si="5"/>
        <v>0</v>
      </c>
      <c r="I78" s="415"/>
      <c r="J78" s="415"/>
      <c r="K78" s="416">
        <f t="shared" si="6"/>
        <v>0</v>
      </c>
      <c r="L78" s="415"/>
      <c r="M78" s="415"/>
      <c r="N78" s="416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415">
        <f>SUM(C80:C81)</f>
        <v>0</v>
      </c>
      <c r="D79" s="415">
        <f>SUM(D80:D81)</f>
        <v>0</v>
      </c>
      <c r="E79" s="416">
        <f t="shared" si="4"/>
        <v>0</v>
      </c>
      <c r="F79" s="415">
        <f>SUM(F80:F81)</f>
        <v>0</v>
      </c>
      <c r="G79" s="415">
        <f>SUM(G80:G81)</f>
        <v>0</v>
      </c>
      <c r="H79" s="416">
        <f t="shared" si="5"/>
        <v>0</v>
      </c>
      <c r="I79" s="415">
        <f>SUM(I80:I81)</f>
        <v>0</v>
      </c>
      <c r="J79" s="415">
        <f>SUM(J80:J81)</f>
        <v>0</v>
      </c>
      <c r="K79" s="416">
        <f t="shared" si="6"/>
        <v>0</v>
      </c>
      <c r="L79" s="415">
        <f>SUM(L80:L81)</f>
        <v>0</v>
      </c>
      <c r="M79" s="415">
        <f>SUM(M80:M81)</f>
        <v>0</v>
      </c>
      <c r="N79" s="416">
        <f t="shared" si="7"/>
        <v>0</v>
      </c>
    </row>
    <row r="80" spans="1:14" ht="15.75" hidden="1" thickBot="1" x14ac:dyDescent="0.3">
      <c r="A80" s="184"/>
      <c r="B80" s="180" t="s">
        <v>29</v>
      </c>
      <c r="C80" s="415"/>
      <c r="D80" s="415"/>
      <c r="E80" s="416">
        <f t="shared" si="4"/>
        <v>0</v>
      </c>
      <c r="F80" s="415"/>
      <c r="G80" s="415"/>
      <c r="H80" s="416">
        <f t="shared" si="5"/>
        <v>0</v>
      </c>
      <c r="I80" s="415"/>
      <c r="J80" s="415"/>
      <c r="K80" s="416">
        <f t="shared" si="6"/>
        <v>0</v>
      </c>
      <c r="L80" s="415"/>
      <c r="M80" s="415"/>
      <c r="N80" s="416">
        <f t="shared" si="7"/>
        <v>0</v>
      </c>
    </row>
    <row r="81" spans="1:14" ht="15.75" hidden="1" thickBot="1" x14ac:dyDescent="0.3">
      <c r="A81" s="184"/>
      <c r="B81" s="180" t="s">
        <v>30</v>
      </c>
      <c r="C81" s="415"/>
      <c r="D81" s="415"/>
      <c r="E81" s="416">
        <f t="shared" si="4"/>
        <v>0</v>
      </c>
      <c r="F81" s="415"/>
      <c r="G81" s="415"/>
      <c r="H81" s="416">
        <f t="shared" si="5"/>
        <v>0</v>
      </c>
      <c r="I81" s="415"/>
      <c r="J81" s="415"/>
      <c r="K81" s="416">
        <f t="shared" si="6"/>
        <v>0</v>
      </c>
      <c r="L81" s="415"/>
      <c r="M81" s="415"/>
      <c r="N81" s="416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415"/>
      <c r="D82" s="415"/>
      <c r="E82" s="416"/>
      <c r="F82" s="415"/>
      <c r="G82" s="415"/>
      <c r="H82" s="416"/>
      <c r="I82" s="415"/>
      <c r="J82" s="415"/>
      <c r="K82" s="416"/>
      <c r="L82" s="415"/>
      <c r="M82" s="415"/>
      <c r="N82" s="416"/>
    </row>
    <row r="83" spans="1:14" ht="15.75" hidden="1" thickBot="1" x14ac:dyDescent="0.3">
      <c r="A83" s="184" t="s">
        <v>155</v>
      </c>
      <c r="B83" s="180" t="s">
        <v>156</v>
      </c>
      <c r="C83" s="415"/>
      <c r="D83" s="415"/>
      <c r="E83" s="416">
        <f t="shared" si="4"/>
        <v>0</v>
      </c>
      <c r="F83" s="415"/>
      <c r="G83" s="415"/>
      <c r="H83" s="416">
        <f t="shared" ref="H83:H85" si="12">SUM(F83:G83)</f>
        <v>0</v>
      </c>
      <c r="I83" s="415"/>
      <c r="J83" s="415"/>
      <c r="K83" s="416">
        <f t="shared" ref="K83:K85" si="13">SUM(I83:J83)</f>
        <v>0</v>
      </c>
      <c r="L83" s="415"/>
      <c r="M83" s="415"/>
      <c r="N83" s="416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417"/>
      <c r="D84" s="417"/>
      <c r="E84" s="418">
        <f t="shared" si="4"/>
        <v>0</v>
      </c>
      <c r="F84" s="417"/>
      <c r="G84" s="417"/>
      <c r="H84" s="418">
        <f t="shared" si="12"/>
        <v>0</v>
      </c>
      <c r="I84" s="417"/>
      <c r="J84" s="417"/>
      <c r="K84" s="418">
        <f t="shared" si="13"/>
        <v>0</v>
      </c>
      <c r="L84" s="417"/>
      <c r="M84" s="417"/>
      <c r="N84" s="418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419">
        <f>C73+C74</f>
        <v>0</v>
      </c>
      <c r="D85" s="419">
        <f>D73+D74</f>
        <v>0</v>
      </c>
      <c r="E85" s="420">
        <f t="shared" si="4"/>
        <v>0</v>
      </c>
      <c r="F85" s="419">
        <f>F73+F74</f>
        <v>0</v>
      </c>
      <c r="G85" s="419">
        <f>G73+G74</f>
        <v>0</v>
      </c>
      <c r="H85" s="420">
        <f t="shared" si="12"/>
        <v>0</v>
      </c>
      <c r="I85" s="419">
        <f>I73+I74</f>
        <v>0</v>
      </c>
      <c r="J85" s="419">
        <f>J73+J74</f>
        <v>0</v>
      </c>
      <c r="K85" s="420">
        <f t="shared" si="13"/>
        <v>0</v>
      </c>
      <c r="L85" s="419">
        <f>L73+L74</f>
        <v>0</v>
      </c>
      <c r="M85" s="419">
        <f>M73+M74</f>
        <v>0</v>
      </c>
      <c r="N85" s="420">
        <f t="shared" si="14"/>
        <v>0</v>
      </c>
    </row>
    <row r="86" spans="1:14" x14ac:dyDescent="0.25">
      <c r="A86" s="202"/>
      <c r="B86" s="20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</row>
    <row r="87" spans="1:14" ht="15.75" thickBot="1" x14ac:dyDescent="0.3">
      <c r="A87" s="204"/>
      <c r="B87" s="205"/>
      <c r="C87" s="424"/>
      <c r="D87" s="424"/>
      <c r="E87" s="424"/>
      <c r="F87" s="424"/>
      <c r="G87" s="424"/>
      <c r="H87" s="424"/>
      <c r="I87" s="424"/>
      <c r="J87" s="424"/>
      <c r="K87" s="424"/>
      <c r="L87" s="424"/>
      <c r="M87" s="424"/>
      <c r="N87" s="424"/>
    </row>
    <row r="88" spans="1:14" ht="15.75" thickBot="1" x14ac:dyDescent="0.3">
      <c r="A88" s="188" t="s">
        <v>160</v>
      </c>
      <c r="B88" s="189" t="s">
        <v>34</v>
      </c>
      <c r="C88" s="413">
        <f>C89+C101</f>
        <v>0</v>
      </c>
      <c r="D88" s="413">
        <f>D89+D101</f>
        <v>0</v>
      </c>
      <c r="E88" s="425">
        <f t="shared" ref="E88:E150" si="15">SUM(C88:D88)</f>
        <v>0</v>
      </c>
      <c r="F88" s="413">
        <f>F89+F101</f>
        <v>0</v>
      </c>
      <c r="G88" s="413">
        <f>G89+G101</f>
        <v>0</v>
      </c>
      <c r="H88" s="425">
        <f t="shared" ref="H88:H90" si="16">SUM(F88:G88)</f>
        <v>0</v>
      </c>
      <c r="I88" s="413">
        <f>I89+I101</f>
        <v>0</v>
      </c>
      <c r="J88" s="413">
        <f>J89+J101</f>
        <v>0</v>
      </c>
      <c r="K88" s="425">
        <f t="shared" ref="K88:K90" si="17">SUM(I88:J88)</f>
        <v>0</v>
      </c>
      <c r="L88" s="413">
        <f>L89+L101</f>
        <v>0</v>
      </c>
      <c r="M88" s="413">
        <f>M89+M101</f>
        <v>0</v>
      </c>
      <c r="N88" s="425">
        <f t="shared" ref="N88:N90" si="18">SUM(L88:M88)</f>
        <v>0</v>
      </c>
    </row>
    <row r="89" spans="1:14" ht="15.75" hidden="1" thickBot="1" x14ac:dyDescent="0.3">
      <c r="A89" s="190" t="s">
        <v>161</v>
      </c>
      <c r="B89" s="180" t="s">
        <v>162</v>
      </c>
      <c r="C89" s="415">
        <f>SUM(C90:C100)</f>
        <v>0</v>
      </c>
      <c r="D89" s="415">
        <f>SUM(D90:D100)</f>
        <v>0</v>
      </c>
      <c r="E89" s="416">
        <f t="shared" si="15"/>
        <v>0</v>
      </c>
      <c r="F89" s="415">
        <f>SUM(F90:F100)</f>
        <v>0</v>
      </c>
      <c r="G89" s="415">
        <f>SUM(G90:G100)</f>
        <v>0</v>
      </c>
      <c r="H89" s="416">
        <f t="shared" si="16"/>
        <v>0</v>
      </c>
      <c r="I89" s="415">
        <f>SUM(I90:I100)</f>
        <v>0</v>
      </c>
      <c r="J89" s="415">
        <f>SUM(J90:J100)</f>
        <v>0</v>
      </c>
      <c r="K89" s="416">
        <f t="shared" si="17"/>
        <v>0</v>
      </c>
      <c r="L89" s="415">
        <f>SUM(L90:L100)</f>
        <v>0</v>
      </c>
      <c r="M89" s="415">
        <f>SUM(M90:M100)</f>
        <v>0</v>
      </c>
      <c r="N89" s="416">
        <f t="shared" si="18"/>
        <v>0</v>
      </c>
    </row>
    <row r="90" spans="1:14" ht="15.75" hidden="1" thickBot="1" x14ac:dyDescent="0.3">
      <c r="A90" s="190" t="s">
        <v>163</v>
      </c>
      <c r="B90" s="180" t="s">
        <v>164</v>
      </c>
      <c r="C90" s="415"/>
      <c r="D90" s="415"/>
      <c r="E90" s="416">
        <f t="shared" si="15"/>
        <v>0</v>
      </c>
      <c r="F90" s="415"/>
      <c r="G90" s="415"/>
      <c r="H90" s="416">
        <f t="shared" si="16"/>
        <v>0</v>
      </c>
      <c r="I90" s="415"/>
      <c r="J90" s="415"/>
      <c r="K90" s="416">
        <f t="shared" si="17"/>
        <v>0</v>
      </c>
      <c r="L90" s="415"/>
      <c r="M90" s="415"/>
      <c r="N90" s="416">
        <f t="shared" si="18"/>
        <v>0</v>
      </c>
    </row>
    <row r="91" spans="1:14" ht="15.75" hidden="1" thickBot="1" x14ac:dyDescent="0.3">
      <c r="A91" s="190" t="s">
        <v>533</v>
      </c>
      <c r="B91" s="180" t="s">
        <v>534</v>
      </c>
      <c r="C91" s="415"/>
      <c r="D91" s="415"/>
      <c r="E91" s="416"/>
      <c r="F91" s="415"/>
      <c r="G91" s="415"/>
      <c r="H91" s="416"/>
      <c r="I91" s="415"/>
      <c r="J91" s="415"/>
      <c r="K91" s="416"/>
      <c r="L91" s="415"/>
      <c r="M91" s="415"/>
      <c r="N91" s="416"/>
    </row>
    <row r="92" spans="1:14" ht="15.75" hidden="1" thickBot="1" x14ac:dyDescent="0.3">
      <c r="A92" s="190" t="s">
        <v>165</v>
      </c>
      <c r="B92" s="180" t="s">
        <v>166</v>
      </c>
      <c r="C92" s="415"/>
      <c r="D92" s="415"/>
      <c r="E92" s="416">
        <f t="shared" si="15"/>
        <v>0</v>
      </c>
      <c r="F92" s="415"/>
      <c r="G92" s="415"/>
      <c r="H92" s="416">
        <f t="shared" ref="H92:H145" si="19">SUM(F92:G92)</f>
        <v>0</v>
      </c>
      <c r="I92" s="415"/>
      <c r="J92" s="415"/>
      <c r="K92" s="416">
        <f t="shared" ref="K92:K145" si="20">SUM(I92:J92)</f>
        <v>0</v>
      </c>
      <c r="L92" s="415"/>
      <c r="M92" s="415"/>
      <c r="N92" s="416">
        <f t="shared" ref="N92:N145" si="21">SUM(L92:M92)</f>
        <v>0</v>
      </c>
    </row>
    <row r="93" spans="1:14" ht="15.75" hidden="1" thickBot="1" x14ac:dyDescent="0.3">
      <c r="A93" s="190" t="s">
        <v>167</v>
      </c>
      <c r="B93" s="180" t="s">
        <v>168</v>
      </c>
      <c r="C93" s="415"/>
      <c r="D93" s="415"/>
      <c r="E93" s="416">
        <f t="shared" si="15"/>
        <v>0</v>
      </c>
      <c r="F93" s="415"/>
      <c r="G93" s="415"/>
      <c r="H93" s="416">
        <f t="shared" si="19"/>
        <v>0</v>
      </c>
      <c r="I93" s="415"/>
      <c r="J93" s="415"/>
      <c r="K93" s="416">
        <f t="shared" si="20"/>
        <v>0</v>
      </c>
      <c r="L93" s="415"/>
      <c r="M93" s="415"/>
      <c r="N93" s="416">
        <f t="shared" si="21"/>
        <v>0</v>
      </c>
    </row>
    <row r="94" spans="1:14" ht="15.75" hidden="1" thickBot="1" x14ac:dyDescent="0.3">
      <c r="A94" s="190" t="s">
        <v>169</v>
      </c>
      <c r="B94" s="180" t="s">
        <v>170</v>
      </c>
      <c r="C94" s="415"/>
      <c r="D94" s="415"/>
      <c r="E94" s="416">
        <f t="shared" si="15"/>
        <v>0</v>
      </c>
      <c r="F94" s="415"/>
      <c r="G94" s="415"/>
      <c r="H94" s="416">
        <f t="shared" si="19"/>
        <v>0</v>
      </c>
      <c r="I94" s="415"/>
      <c r="J94" s="415"/>
      <c r="K94" s="416">
        <f t="shared" si="20"/>
        <v>0</v>
      </c>
      <c r="L94" s="415"/>
      <c r="M94" s="415"/>
      <c r="N94" s="416">
        <f t="shared" si="21"/>
        <v>0</v>
      </c>
    </row>
    <row r="95" spans="1:14" ht="15.75" hidden="1" thickBot="1" x14ac:dyDescent="0.3">
      <c r="A95" s="190" t="s">
        <v>171</v>
      </c>
      <c r="B95" s="180" t="s">
        <v>172</v>
      </c>
      <c r="C95" s="415"/>
      <c r="D95" s="415"/>
      <c r="E95" s="416">
        <f t="shared" si="15"/>
        <v>0</v>
      </c>
      <c r="F95" s="415"/>
      <c r="G95" s="415"/>
      <c r="H95" s="416">
        <f t="shared" si="19"/>
        <v>0</v>
      </c>
      <c r="I95" s="415"/>
      <c r="J95" s="415"/>
      <c r="K95" s="416">
        <f t="shared" si="20"/>
        <v>0</v>
      </c>
      <c r="L95" s="415"/>
      <c r="M95" s="415"/>
      <c r="N95" s="416">
        <f t="shared" si="21"/>
        <v>0</v>
      </c>
    </row>
    <row r="96" spans="1:14" ht="15.75" hidden="1" thickBot="1" x14ac:dyDescent="0.3">
      <c r="A96" s="190" t="s">
        <v>173</v>
      </c>
      <c r="B96" s="180" t="s">
        <v>174</v>
      </c>
      <c r="C96" s="415"/>
      <c r="D96" s="415"/>
      <c r="E96" s="416">
        <f t="shared" si="15"/>
        <v>0</v>
      </c>
      <c r="F96" s="415"/>
      <c r="G96" s="415"/>
      <c r="H96" s="416">
        <f t="shared" si="19"/>
        <v>0</v>
      </c>
      <c r="I96" s="415"/>
      <c r="J96" s="415"/>
      <c r="K96" s="416">
        <f t="shared" si="20"/>
        <v>0</v>
      </c>
      <c r="L96" s="415"/>
      <c r="M96" s="415"/>
      <c r="N96" s="416">
        <f t="shared" si="21"/>
        <v>0</v>
      </c>
    </row>
    <row r="97" spans="1:14" ht="15.75" hidden="1" thickBot="1" x14ac:dyDescent="0.3">
      <c r="A97" s="190" t="s">
        <v>175</v>
      </c>
      <c r="B97" s="180" t="s">
        <v>176</v>
      </c>
      <c r="C97" s="415"/>
      <c r="D97" s="415"/>
      <c r="E97" s="416">
        <f t="shared" si="15"/>
        <v>0</v>
      </c>
      <c r="F97" s="415"/>
      <c r="G97" s="415"/>
      <c r="H97" s="416">
        <f t="shared" si="19"/>
        <v>0</v>
      </c>
      <c r="I97" s="415"/>
      <c r="J97" s="415"/>
      <c r="K97" s="416">
        <f t="shared" si="20"/>
        <v>0</v>
      </c>
      <c r="L97" s="415"/>
      <c r="M97" s="415"/>
      <c r="N97" s="416">
        <f t="shared" si="21"/>
        <v>0</v>
      </c>
    </row>
    <row r="98" spans="1:14" ht="15.75" hidden="1" thickBot="1" x14ac:dyDescent="0.3">
      <c r="A98" s="190" t="s">
        <v>177</v>
      </c>
      <c r="B98" s="180" t="s">
        <v>178</v>
      </c>
      <c r="C98" s="415"/>
      <c r="D98" s="415"/>
      <c r="E98" s="416">
        <f t="shared" si="15"/>
        <v>0</v>
      </c>
      <c r="F98" s="415"/>
      <c r="G98" s="415"/>
      <c r="H98" s="416">
        <f t="shared" si="19"/>
        <v>0</v>
      </c>
      <c r="I98" s="415"/>
      <c r="J98" s="415"/>
      <c r="K98" s="416">
        <f t="shared" si="20"/>
        <v>0</v>
      </c>
      <c r="L98" s="415"/>
      <c r="M98" s="415"/>
      <c r="N98" s="416">
        <f t="shared" si="21"/>
        <v>0</v>
      </c>
    </row>
    <row r="99" spans="1:14" ht="15.75" hidden="1" thickBot="1" x14ac:dyDescent="0.3">
      <c r="A99" s="190" t="s">
        <v>179</v>
      </c>
      <c r="B99" s="180" t="s">
        <v>180</v>
      </c>
      <c r="C99" s="415"/>
      <c r="D99" s="415"/>
      <c r="E99" s="416">
        <f t="shared" si="15"/>
        <v>0</v>
      </c>
      <c r="F99" s="415"/>
      <c r="G99" s="415"/>
      <c r="H99" s="416">
        <f t="shared" si="19"/>
        <v>0</v>
      </c>
      <c r="I99" s="415"/>
      <c r="J99" s="415"/>
      <c r="K99" s="416">
        <f t="shared" si="20"/>
        <v>0</v>
      </c>
      <c r="L99" s="415"/>
      <c r="M99" s="415"/>
      <c r="N99" s="416">
        <f t="shared" si="21"/>
        <v>0</v>
      </c>
    </row>
    <row r="100" spans="1:14" ht="15.75" hidden="1" thickBot="1" x14ac:dyDescent="0.3">
      <c r="A100" s="190" t="s">
        <v>181</v>
      </c>
      <c r="B100" s="180" t="s">
        <v>182</v>
      </c>
      <c r="C100" s="415"/>
      <c r="D100" s="415"/>
      <c r="E100" s="416">
        <f t="shared" si="15"/>
        <v>0</v>
      </c>
      <c r="F100" s="415"/>
      <c r="G100" s="415"/>
      <c r="H100" s="416">
        <f t="shared" si="19"/>
        <v>0</v>
      </c>
      <c r="I100" s="415"/>
      <c r="J100" s="415"/>
      <c r="K100" s="416">
        <f t="shared" si="20"/>
        <v>0</v>
      </c>
      <c r="L100" s="415"/>
      <c r="M100" s="415"/>
      <c r="N100" s="416">
        <f t="shared" si="21"/>
        <v>0</v>
      </c>
    </row>
    <row r="101" spans="1:14" ht="15.75" hidden="1" thickBot="1" x14ac:dyDescent="0.3">
      <c r="A101" s="190" t="s">
        <v>183</v>
      </c>
      <c r="B101" s="180" t="s">
        <v>184</v>
      </c>
      <c r="C101" s="415">
        <f>SUM(C102:C104)</f>
        <v>0</v>
      </c>
      <c r="D101" s="415">
        <f>SUM(D102:D104)</f>
        <v>0</v>
      </c>
      <c r="E101" s="416">
        <f t="shared" si="15"/>
        <v>0</v>
      </c>
      <c r="F101" s="415">
        <f>SUM(F102:F104)</f>
        <v>0</v>
      </c>
      <c r="G101" s="415">
        <f>SUM(G102:G104)</f>
        <v>0</v>
      </c>
      <c r="H101" s="416">
        <f t="shared" si="19"/>
        <v>0</v>
      </c>
      <c r="I101" s="415">
        <f>SUM(I102:I104)</f>
        <v>0</v>
      </c>
      <c r="J101" s="415">
        <f>SUM(J102:J104)</f>
        <v>0</v>
      </c>
      <c r="K101" s="416">
        <f t="shared" si="20"/>
        <v>0</v>
      </c>
      <c r="L101" s="415">
        <f>SUM(L102:L104)</f>
        <v>0</v>
      </c>
      <c r="M101" s="415">
        <f>SUM(M102:M104)</f>
        <v>0</v>
      </c>
      <c r="N101" s="416">
        <f t="shared" si="21"/>
        <v>0</v>
      </c>
    </row>
    <row r="102" spans="1:14" ht="15.75" hidden="1" thickBot="1" x14ac:dyDescent="0.3">
      <c r="A102" s="190" t="s">
        <v>185</v>
      </c>
      <c r="B102" s="180" t="s">
        <v>186</v>
      </c>
      <c r="C102" s="415"/>
      <c r="D102" s="415"/>
      <c r="E102" s="416">
        <f t="shared" si="15"/>
        <v>0</v>
      </c>
      <c r="F102" s="415"/>
      <c r="G102" s="415"/>
      <c r="H102" s="416">
        <f t="shared" si="19"/>
        <v>0</v>
      </c>
      <c r="I102" s="415"/>
      <c r="J102" s="415"/>
      <c r="K102" s="416">
        <f t="shared" si="20"/>
        <v>0</v>
      </c>
      <c r="L102" s="415"/>
      <c r="M102" s="415"/>
      <c r="N102" s="416">
        <f t="shared" si="21"/>
        <v>0</v>
      </c>
    </row>
    <row r="103" spans="1:14" ht="15.75" hidden="1" thickBot="1" x14ac:dyDescent="0.3">
      <c r="A103" s="190" t="s">
        <v>187</v>
      </c>
      <c r="B103" s="180" t="s">
        <v>188</v>
      </c>
      <c r="C103" s="415"/>
      <c r="D103" s="415"/>
      <c r="E103" s="416">
        <f t="shared" si="15"/>
        <v>0</v>
      </c>
      <c r="F103" s="415"/>
      <c r="G103" s="415"/>
      <c r="H103" s="416">
        <f t="shared" si="19"/>
        <v>0</v>
      </c>
      <c r="I103" s="415"/>
      <c r="J103" s="415"/>
      <c r="K103" s="416">
        <f t="shared" si="20"/>
        <v>0</v>
      </c>
      <c r="L103" s="415"/>
      <c r="M103" s="415"/>
      <c r="N103" s="416">
        <f t="shared" si="21"/>
        <v>0</v>
      </c>
    </row>
    <row r="104" spans="1:14" ht="15.75" hidden="1" thickBot="1" x14ac:dyDescent="0.3">
      <c r="A104" s="191" t="s">
        <v>189</v>
      </c>
      <c r="B104" s="192" t="s">
        <v>190</v>
      </c>
      <c r="C104" s="417"/>
      <c r="D104" s="417"/>
      <c r="E104" s="418">
        <f t="shared" si="15"/>
        <v>0</v>
      </c>
      <c r="F104" s="417"/>
      <c r="G104" s="417"/>
      <c r="H104" s="418">
        <f t="shared" si="19"/>
        <v>0</v>
      </c>
      <c r="I104" s="417"/>
      <c r="J104" s="417"/>
      <c r="K104" s="418">
        <f t="shared" si="20"/>
        <v>0</v>
      </c>
      <c r="L104" s="417"/>
      <c r="M104" s="417"/>
      <c r="N104" s="418">
        <f t="shared" si="21"/>
        <v>0</v>
      </c>
    </row>
    <row r="105" spans="1:14" ht="15.75" thickBot="1" x14ac:dyDescent="0.3">
      <c r="A105" s="188" t="s">
        <v>191</v>
      </c>
      <c r="B105" s="189" t="s">
        <v>192</v>
      </c>
      <c r="C105" s="413">
        <f>SUM(C106:C110)</f>
        <v>0</v>
      </c>
      <c r="D105" s="413">
        <f>SUM(D106:D110)</f>
        <v>0</v>
      </c>
      <c r="E105" s="414">
        <f t="shared" si="15"/>
        <v>0</v>
      </c>
      <c r="F105" s="413">
        <f>SUM(F106:F110)</f>
        <v>0</v>
      </c>
      <c r="G105" s="413">
        <f>SUM(G106:G110)</f>
        <v>0</v>
      </c>
      <c r="H105" s="414">
        <f t="shared" si="19"/>
        <v>0</v>
      </c>
      <c r="I105" s="413">
        <f>SUM(I106:I110)</f>
        <v>0</v>
      </c>
      <c r="J105" s="413">
        <f>SUM(J106:J110)</f>
        <v>0</v>
      </c>
      <c r="K105" s="414">
        <f t="shared" si="20"/>
        <v>0</v>
      </c>
      <c r="L105" s="413">
        <f>SUM(L106:L110)</f>
        <v>0</v>
      </c>
      <c r="M105" s="413">
        <f>SUM(M106:M110)</f>
        <v>0</v>
      </c>
      <c r="N105" s="414">
        <f t="shared" si="21"/>
        <v>0</v>
      </c>
    </row>
    <row r="106" spans="1:14" ht="15.75" hidden="1" thickBot="1" x14ac:dyDescent="0.3">
      <c r="A106" s="190"/>
      <c r="B106" s="180" t="s">
        <v>193</v>
      </c>
      <c r="C106" s="415"/>
      <c r="D106" s="415"/>
      <c r="E106" s="416">
        <f t="shared" si="15"/>
        <v>0</v>
      </c>
      <c r="F106" s="415"/>
      <c r="G106" s="415"/>
      <c r="H106" s="416">
        <f t="shared" si="19"/>
        <v>0</v>
      </c>
      <c r="I106" s="415"/>
      <c r="J106" s="415"/>
      <c r="K106" s="416">
        <f t="shared" si="20"/>
        <v>0</v>
      </c>
      <c r="L106" s="415"/>
      <c r="M106" s="415"/>
      <c r="N106" s="416">
        <f t="shared" si="21"/>
        <v>0</v>
      </c>
    </row>
    <row r="107" spans="1:14" ht="15.75" hidden="1" thickBot="1" x14ac:dyDescent="0.3">
      <c r="A107" s="190"/>
      <c r="B107" s="180" t="s">
        <v>194</v>
      </c>
      <c r="C107" s="415"/>
      <c r="D107" s="415"/>
      <c r="E107" s="416">
        <f t="shared" si="15"/>
        <v>0</v>
      </c>
      <c r="F107" s="415"/>
      <c r="G107" s="415"/>
      <c r="H107" s="416">
        <f t="shared" si="19"/>
        <v>0</v>
      </c>
      <c r="I107" s="415"/>
      <c r="J107" s="415"/>
      <c r="K107" s="416">
        <f t="shared" si="20"/>
        <v>0</v>
      </c>
      <c r="L107" s="415"/>
      <c r="M107" s="415"/>
      <c r="N107" s="416">
        <f t="shared" si="21"/>
        <v>0</v>
      </c>
    </row>
    <row r="108" spans="1:14" ht="15.75" hidden="1" thickBot="1" x14ac:dyDescent="0.3">
      <c r="A108" s="191"/>
      <c r="B108" s="192" t="s">
        <v>195</v>
      </c>
      <c r="C108" s="415"/>
      <c r="D108" s="415"/>
      <c r="E108" s="416">
        <f t="shared" si="15"/>
        <v>0</v>
      </c>
      <c r="F108" s="415"/>
      <c r="G108" s="415"/>
      <c r="H108" s="416">
        <f t="shared" si="19"/>
        <v>0</v>
      </c>
      <c r="I108" s="415"/>
      <c r="J108" s="415"/>
      <c r="K108" s="416">
        <f t="shared" si="20"/>
        <v>0</v>
      </c>
      <c r="L108" s="415"/>
      <c r="M108" s="415"/>
      <c r="N108" s="416">
        <f t="shared" si="21"/>
        <v>0</v>
      </c>
    </row>
    <row r="109" spans="1:14" ht="15.75" hidden="1" thickBot="1" x14ac:dyDescent="0.3">
      <c r="A109" s="191"/>
      <c r="B109" s="192" t="s">
        <v>196</v>
      </c>
      <c r="C109" s="415"/>
      <c r="D109" s="415"/>
      <c r="E109" s="416">
        <f t="shared" si="15"/>
        <v>0</v>
      </c>
      <c r="F109" s="415"/>
      <c r="G109" s="415"/>
      <c r="H109" s="416">
        <f t="shared" si="19"/>
        <v>0</v>
      </c>
      <c r="I109" s="415"/>
      <c r="J109" s="415"/>
      <c r="K109" s="416">
        <f t="shared" si="20"/>
        <v>0</v>
      </c>
      <c r="L109" s="415"/>
      <c r="M109" s="415"/>
      <c r="N109" s="416">
        <f t="shared" si="21"/>
        <v>0</v>
      </c>
    </row>
    <row r="110" spans="1:14" ht="15.75" hidden="1" thickBot="1" x14ac:dyDescent="0.3">
      <c r="A110" s="191"/>
      <c r="B110" s="192" t="s">
        <v>197</v>
      </c>
      <c r="C110" s="417"/>
      <c r="D110" s="417"/>
      <c r="E110" s="418">
        <f t="shared" si="15"/>
        <v>0</v>
      </c>
      <c r="F110" s="417"/>
      <c r="G110" s="417"/>
      <c r="H110" s="418">
        <f t="shared" si="19"/>
        <v>0</v>
      </c>
      <c r="I110" s="417"/>
      <c r="J110" s="417"/>
      <c r="K110" s="418">
        <f t="shared" si="20"/>
        <v>0</v>
      </c>
      <c r="L110" s="417"/>
      <c r="M110" s="417"/>
      <c r="N110" s="418">
        <f t="shared" si="21"/>
        <v>0</v>
      </c>
    </row>
    <row r="111" spans="1:14" ht="15.75" thickBot="1" x14ac:dyDescent="0.3">
      <c r="A111" s="188" t="s">
        <v>198</v>
      </c>
      <c r="B111" s="189" t="s">
        <v>35</v>
      </c>
      <c r="C111" s="870">
        <f>SUM(C112:C113,C114,C123,C122)</f>
        <v>0</v>
      </c>
      <c r="D111" s="413">
        <f>SUM(D112:D113,D114,D123,D122)</f>
        <v>0</v>
      </c>
      <c r="E111" s="414">
        <f t="shared" si="15"/>
        <v>0</v>
      </c>
      <c r="F111" s="870">
        <f>SUM(F112:F113,F114,F123,F122)</f>
        <v>0</v>
      </c>
      <c r="G111" s="413">
        <f>SUM(G112:G113,G114,G123,G122)</f>
        <v>0</v>
      </c>
      <c r="H111" s="414">
        <f t="shared" si="19"/>
        <v>0</v>
      </c>
      <c r="I111" s="870">
        <f>SUM(I112:I113,I114,I123,I122)</f>
        <v>0</v>
      </c>
      <c r="J111" s="413">
        <f>SUM(J112:J113,J114,J123,J122)</f>
        <v>0</v>
      </c>
      <c r="K111" s="414">
        <f t="shared" si="20"/>
        <v>0</v>
      </c>
      <c r="L111" s="870">
        <f>SUM(L112:L113,L114,L123,L122)</f>
        <v>0</v>
      </c>
      <c r="M111" s="413">
        <f>SUM(M112:M113,M114,M123,M122)</f>
        <v>0</v>
      </c>
      <c r="N111" s="414">
        <f t="shared" si="21"/>
        <v>0</v>
      </c>
    </row>
    <row r="112" spans="1:14" ht="15.75" hidden="1" thickBot="1" x14ac:dyDescent="0.3">
      <c r="A112" s="190" t="s">
        <v>199</v>
      </c>
      <c r="B112" s="180" t="s">
        <v>200</v>
      </c>
      <c r="C112" s="415"/>
      <c r="D112" s="415"/>
      <c r="E112" s="416">
        <f t="shared" si="15"/>
        <v>0</v>
      </c>
      <c r="F112" s="415"/>
      <c r="G112" s="415"/>
      <c r="H112" s="416">
        <f t="shared" si="19"/>
        <v>0</v>
      </c>
      <c r="I112" s="415"/>
      <c r="J112" s="415"/>
      <c r="K112" s="416">
        <f t="shared" si="20"/>
        <v>0</v>
      </c>
      <c r="L112" s="415"/>
      <c r="M112" s="415"/>
      <c r="N112" s="416">
        <f t="shared" si="21"/>
        <v>0</v>
      </c>
    </row>
    <row r="113" spans="1:14" ht="15.75" hidden="1" thickBot="1" x14ac:dyDescent="0.3">
      <c r="A113" s="190" t="s">
        <v>201</v>
      </c>
      <c r="B113" s="180" t="s">
        <v>202</v>
      </c>
      <c r="C113" s="415"/>
      <c r="D113" s="415"/>
      <c r="E113" s="416">
        <f t="shared" si="15"/>
        <v>0</v>
      </c>
      <c r="F113" s="415"/>
      <c r="G113" s="415"/>
      <c r="H113" s="416">
        <f t="shared" si="19"/>
        <v>0</v>
      </c>
      <c r="I113" s="415"/>
      <c r="J113" s="415"/>
      <c r="K113" s="416">
        <f t="shared" si="20"/>
        <v>0</v>
      </c>
      <c r="L113" s="415"/>
      <c r="M113" s="415"/>
      <c r="N113" s="416">
        <f t="shared" si="21"/>
        <v>0</v>
      </c>
    </row>
    <row r="114" spans="1:14" ht="15.75" hidden="1" thickBot="1" x14ac:dyDescent="0.3">
      <c r="A114" s="190" t="s">
        <v>203</v>
      </c>
      <c r="B114" s="180" t="s">
        <v>204</v>
      </c>
      <c r="C114" s="415">
        <f>SUM(C115:C121)</f>
        <v>0</v>
      </c>
      <c r="D114" s="415">
        <f>SUM(D115:D121)</f>
        <v>0</v>
      </c>
      <c r="E114" s="416">
        <f t="shared" si="15"/>
        <v>0</v>
      </c>
      <c r="F114" s="415">
        <f>SUM(F115:F121)</f>
        <v>0</v>
      </c>
      <c r="G114" s="415">
        <f>SUM(G115:G121)</f>
        <v>0</v>
      </c>
      <c r="H114" s="416">
        <f t="shared" si="19"/>
        <v>0</v>
      </c>
      <c r="I114" s="415">
        <f>SUM(I115:I121)</f>
        <v>0</v>
      </c>
      <c r="J114" s="415">
        <f>SUM(J115:J121)</f>
        <v>0</v>
      </c>
      <c r="K114" s="416">
        <f t="shared" si="20"/>
        <v>0</v>
      </c>
      <c r="L114" s="415">
        <f>SUM(L115:L121)</f>
        <v>0</v>
      </c>
      <c r="M114" s="415">
        <f>SUM(M115:M121)</f>
        <v>0</v>
      </c>
      <c r="N114" s="416">
        <f t="shared" si="21"/>
        <v>0</v>
      </c>
    </row>
    <row r="115" spans="1:14" ht="15.75" hidden="1" thickBot="1" x14ac:dyDescent="0.3">
      <c r="A115" s="190" t="s">
        <v>205</v>
      </c>
      <c r="B115" s="180" t="s">
        <v>206</v>
      </c>
      <c r="C115" s="415"/>
      <c r="D115" s="415"/>
      <c r="E115" s="416">
        <f t="shared" si="15"/>
        <v>0</v>
      </c>
      <c r="F115" s="415"/>
      <c r="G115" s="415"/>
      <c r="H115" s="416">
        <f t="shared" si="19"/>
        <v>0</v>
      </c>
      <c r="I115" s="415"/>
      <c r="J115" s="415"/>
      <c r="K115" s="416">
        <f t="shared" si="20"/>
        <v>0</v>
      </c>
      <c r="L115" s="415"/>
      <c r="M115" s="415"/>
      <c r="N115" s="416">
        <f t="shared" si="21"/>
        <v>0</v>
      </c>
    </row>
    <row r="116" spans="1:14" ht="15.75" hidden="1" thickBot="1" x14ac:dyDescent="0.3">
      <c r="A116" s="190" t="s">
        <v>207</v>
      </c>
      <c r="B116" s="180" t="s">
        <v>208</v>
      </c>
      <c r="C116" s="415"/>
      <c r="D116" s="415"/>
      <c r="E116" s="416">
        <f t="shared" si="15"/>
        <v>0</v>
      </c>
      <c r="F116" s="415"/>
      <c r="G116" s="415"/>
      <c r="H116" s="416">
        <f t="shared" si="19"/>
        <v>0</v>
      </c>
      <c r="I116" s="415"/>
      <c r="J116" s="415"/>
      <c r="K116" s="416">
        <f t="shared" si="20"/>
        <v>0</v>
      </c>
      <c r="L116" s="415"/>
      <c r="M116" s="415"/>
      <c r="N116" s="416">
        <f t="shared" si="21"/>
        <v>0</v>
      </c>
    </row>
    <row r="117" spans="1:14" ht="15.75" hidden="1" thickBot="1" x14ac:dyDescent="0.3">
      <c r="A117" s="190" t="s">
        <v>209</v>
      </c>
      <c r="B117" s="180" t="s">
        <v>210</v>
      </c>
      <c r="C117" s="415"/>
      <c r="D117" s="415"/>
      <c r="E117" s="416">
        <f t="shared" si="15"/>
        <v>0</v>
      </c>
      <c r="F117" s="415"/>
      <c r="G117" s="415"/>
      <c r="H117" s="416">
        <f t="shared" si="19"/>
        <v>0</v>
      </c>
      <c r="I117" s="415"/>
      <c r="J117" s="415"/>
      <c r="K117" s="416">
        <f t="shared" si="20"/>
        <v>0</v>
      </c>
      <c r="L117" s="415"/>
      <c r="M117" s="415"/>
      <c r="N117" s="416">
        <f t="shared" si="21"/>
        <v>0</v>
      </c>
    </row>
    <row r="118" spans="1:14" ht="15.75" hidden="1" thickBot="1" x14ac:dyDescent="0.3">
      <c r="A118" s="190" t="s">
        <v>211</v>
      </c>
      <c r="B118" s="180" t="s">
        <v>212</v>
      </c>
      <c r="C118" s="415"/>
      <c r="D118" s="415"/>
      <c r="E118" s="416">
        <f t="shared" si="15"/>
        <v>0</v>
      </c>
      <c r="F118" s="415"/>
      <c r="G118" s="415"/>
      <c r="H118" s="416">
        <f t="shared" si="19"/>
        <v>0</v>
      </c>
      <c r="I118" s="415"/>
      <c r="J118" s="415"/>
      <c r="K118" s="416">
        <f t="shared" si="20"/>
        <v>0</v>
      </c>
      <c r="L118" s="415"/>
      <c r="M118" s="415"/>
      <c r="N118" s="416">
        <f t="shared" si="21"/>
        <v>0</v>
      </c>
    </row>
    <row r="119" spans="1:14" ht="15.75" hidden="1" thickBot="1" x14ac:dyDescent="0.3">
      <c r="A119" s="190" t="s">
        <v>213</v>
      </c>
      <c r="B119" s="180" t="s">
        <v>214</v>
      </c>
      <c r="C119" s="415"/>
      <c r="D119" s="415"/>
      <c r="E119" s="416">
        <f t="shared" si="15"/>
        <v>0</v>
      </c>
      <c r="F119" s="415"/>
      <c r="G119" s="415"/>
      <c r="H119" s="416">
        <f t="shared" si="19"/>
        <v>0</v>
      </c>
      <c r="I119" s="415"/>
      <c r="J119" s="415"/>
      <c r="K119" s="416">
        <f t="shared" si="20"/>
        <v>0</v>
      </c>
      <c r="L119" s="415"/>
      <c r="M119" s="415"/>
      <c r="N119" s="416">
        <f t="shared" si="21"/>
        <v>0</v>
      </c>
    </row>
    <row r="120" spans="1:14" ht="15.75" hidden="1" thickBot="1" x14ac:dyDescent="0.3">
      <c r="A120" s="190" t="s">
        <v>215</v>
      </c>
      <c r="B120" s="180" t="s">
        <v>216</v>
      </c>
      <c r="C120" s="415"/>
      <c r="D120" s="415"/>
      <c r="E120" s="416">
        <f t="shared" si="15"/>
        <v>0</v>
      </c>
      <c r="F120" s="415"/>
      <c r="G120" s="415"/>
      <c r="H120" s="416">
        <f t="shared" si="19"/>
        <v>0</v>
      </c>
      <c r="I120" s="415"/>
      <c r="J120" s="415"/>
      <c r="K120" s="416">
        <f t="shared" si="20"/>
        <v>0</v>
      </c>
      <c r="L120" s="415"/>
      <c r="M120" s="415"/>
      <c r="N120" s="416">
        <f t="shared" si="21"/>
        <v>0</v>
      </c>
    </row>
    <row r="121" spans="1:14" ht="15.75" hidden="1" thickBot="1" x14ac:dyDescent="0.3">
      <c r="A121" s="190" t="s">
        <v>217</v>
      </c>
      <c r="B121" s="180" t="s">
        <v>218</v>
      </c>
      <c r="C121" s="415"/>
      <c r="D121" s="415"/>
      <c r="E121" s="416">
        <f t="shared" si="15"/>
        <v>0</v>
      </c>
      <c r="F121" s="415"/>
      <c r="G121" s="415"/>
      <c r="H121" s="416">
        <f t="shared" si="19"/>
        <v>0</v>
      </c>
      <c r="I121" s="415"/>
      <c r="J121" s="415"/>
      <c r="K121" s="416">
        <f t="shared" si="20"/>
        <v>0</v>
      </c>
      <c r="L121" s="415"/>
      <c r="M121" s="415"/>
      <c r="N121" s="416">
        <f t="shared" si="21"/>
        <v>0</v>
      </c>
    </row>
    <row r="122" spans="1:14" ht="15.75" hidden="1" thickBot="1" x14ac:dyDescent="0.3">
      <c r="A122" s="190" t="s">
        <v>219</v>
      </c>
      <c r="B122" s="180" t="s">
        <v>220</v>
      </c>
      <c r="C122" s="415"/>
      <c r="D122" s="415"/>
      <c r="E122" s="416">
        <f t="shared" si="15"/>
        <v>0</v>
      </c>
      <c r="F122" s="415"/>
      <c r="G122" s="415"/>
      <c r="H122" s="416">
        <f t="shared" si="19"/>
        <v>0</v>
      </c>
      <c r="I122" s="415"/>
      <c r="J122" s="415"/>
      <c r="K122" s="416">
        <f t="shared" si="20"/>
        <v>0</v>
      </c>
      <c r="L122" s="415"/>
      <c r="M122" s="415"/>
      <c r="N122" s="416">
        <f t="shared" si="21"/>
        <v>0</v>
      </c>
    </row>
    <row r="123" spans="1:14" ht="15.75" hidden="1" thickBot="1" x14ac:dyDescent="0.3">
      <c r="A123" s="190" t="s">
        <v>221</v>
      </c>
      <c r="B123" s="180" t="s">
        <v>222</v>
      </c>
      <c r="C123" s="415">
        <f>SUM(C124:C126)</f>
        <v>0</v>
      </c>
      <c r="D123" s="415">
        <f>SUM(D124:D126)</f>
        <v>0</v>
      </c>
      <c r="E123" s="416">
        <f t="shared" si="15"/>
        <v>0</v>
      </c>
      <c r="F123" s="415">
        <f>SUM(F124:F126)</f>
        <v>0</v>
      </c>
      <c r="G123" s="415">
        <f>SUM(G124:G126)</f>
        <v>0</v>
      </c>
      <c r="H123" s="416">
        <f t="shared" si="19"/>
        <v>0</v>
      </c>
      <c r="I123" s="415">
        <f>SUM(I124:I126)</f>
        <v>0</v>
      </c>
      <c r="J123" s="415">
        <f>SUM(J124:J126)</f>
        <v>0</v>
      </c>
      <c r="K123" s="416">
        <f t="shared" si="20"/>
        <v>0</v>
      </c>
      <c r="L123" s="415">
        <f>SUM(L124:L126)</f>
        <v>0</v>
      </c>
      <c r="M123" s="415">
        <f>SUM(M124:M126)</f>
        <v>0</v>
      </c>
      <c r="N123" s="416">
        <f t="shared" si="21"/>
        <v>0</v>
      </c>
    </row>
    <row r="124" spans="1:14" ht="15.75" hidden="1" thickBot="1" x14ac:dyDescent="0.3">
      <c r="A124" s="190"/>
      <c r="B124" s="180" t="s">
        <v>223</v>
      </c>
      <c r="C124" s="415"/>
      <c r="D124" s="415"/>
      <c r="E124" s="416">
        <f t="shared" si="15"/>
        <v>0</v>
      </c>
      <c r="F124" s="415"/>
      <c r="G124" s="415"/>
      <c r="H124" s="416">
        <f t="shared" si="19"/>
        <v>0</v>
      </c>
      <c r="I124" s="415"/>
      <c r="J124" s="415"/>
      <c r="K124" s="416">
        <f t="shared" si="20"/>
        <v>0</v>
      </c>
      <c r="L124" s="415"/>
      <c r="M124" s="415"/>
      <c r="N124" s="416">
        <f t="shared" si="21"/>
        <v>0</v>
      </c>
    </row>
    <row r="125" spans="1:14" ht="15.75" hidden="1" thickBot="1" x14ac:dyDescent="0.3">
      <c r="A125" s="191"/>
      <c r="B125" s="192" t="s">
        <v>224</v>
      </c>
      <c r="C125" s="415"/>
      <c r="D125" s="415"/>
      <c r="E125" s="416">
        <f t="shared" si="15"/>
        <v>0</v>
      </c>
      <c r="F125" s="415"/>
      <c r="G125" s="415"/>
      <c r="H125" s="416">
        <f t="shared" si="19"/>
        <v>0</v>
      </c>
      <c r="I125" s="415"/>
      <c r="J125" s="415"/>
      <c r="K125" s="416">
        <f t="shared" si="20"/>
        <v>0</v>
      </c>
      <c r="L125" s="415"/>
      <c r="M125" s="415"/>
      <c r="N125" s="416">
        <f t="shared" si="21"/>
        <v>0</v>
      </c>
    </row>
    <row r="126" spans="1:14" ht="15.75" hidden="1" thickBot="1" x14ac:dyDescent="0.3">
      <c r="A126" s="191" t="s">
        <v>225</v>
      </c>
      <c r="B126" s="192" t="s">
        <v>226</v>
      </c>
      <c r="C126" s="417"/>
      <c r="D126" s="417"/>
      <c r="E126" s="418">
        <f t="shared" si="15"/>
        <v>0</v>
      </c>
      <c r="F126" s="417"/>
      <c r="G126" s="417"/>
      <c r="H126" s="418">
        <f t="shared" si="19"/>
        <v>0</v>
      </c>
      <c r="I126" s="417"/>
      <c r="J126" s="417"/>
      <c r="K126" s="418">
        <f t="shared" si="20"/>
        <v>0</v>
      </c>
      <c r="L126" s="417"/>
      <c r="M126" s="417"/>
      <c r="N126" s="418">
        <f t="shared" si="21"/>
        <v>0</v>
      </c>
    </row>
    <row r="127" spans="1:14" ht="15.75" thickBot="1" x14ac:dyDescent="0.3">
      <c r="A127" s="193" t="s">
        <v>227</v>
      </c>
      <c r="B127" s="194" t="s">
        <v>36</v>
      </c>
      <c r="C127" s="419"/>
      <c r="D127" s="419"/>
      <c r="E127" s="420">
        <f t="shared" si="15"/>
        <v>0</v>
      </c>
      <c r="F127" s="419"/>
      <c r="G127" s="419"/>
      <c r="H127" s="420">
        <f t="shared" si="19"/>
        <v>0</v>
      </c>
      <c r="I127" s="419"/>
      <c r="J127" s="419"/>
      <c r="K127" s="420">
        <f t="shared" si="20"/>
        <v>0</v>
      </c>
      <c r="L127" s="419"/>
      <c r="M127" s="419"/>
      <c r="N127" s="420">
        <f t="shared" si="21"/>
        <v>0</v>
      </c>
    </row>
    <row r="128" spans="1:14" ht="15.75" thickBot="1" x14ac:dyDescent="0.3">
      <c r="A128" s="188" t="s">
        <v>228</v>
      </c>
      <c r="B128" s="189" t="s">
        <v>37</v>
      </c>
      <c r="C128" s="413">
        <f>SUM(C129:C134)</f>
        <v>0</v>
      </c>
      <c r="D128" s="413">
        <f>SUM(D129:D134)</f>
        <v>0</v>
      </c>
      <c r="E128" s="414">
        <f t="shared" si="15"/>
        <v>0</v>
      </c>
      <c r="F128" s="413">
        <f>SUM(F129:F134)</f>
        <v>0</v>
      </c>
      <c r="G128" s="413">
        <f>SUM(G129:G134)</f>
        <v>0</v>
      </c>
      <c r="H128" s="414">
        <f t="shared" si="19"/>
        <v>0</v>
      </c>
      <c r="I128" s="413">
        <f>SUM(I129:I134)</f>
        <v>0</v>
      </c>
      <c r="J128" s="413">
        <f>SUM(J129:J134)</f>
        <v>0</v>
      </c>
      <c r="K128" s="414">
        <f t="shared" si="20"/>
        <v>0</v>
      </c>
      <c r="L128" s="413">
        <f>SUM(L129:L134)</f>
        <v>0</v>
      </c>
      <c r="M128" s="413">
        <f>SUM(M129:M134)</f>
        <v>0</v>
      </c>
      <c r="N128" s="414">
        <f t="shared" si="21"/>
        <v>0</v>
      </c>
    </row>
    <row r="129" spans="1:14" ht="15.75" hidden="1" thickBot="1" x14ac:dyDescent="0.3">
      <c r="A129" s="190" t="s">
        <v>229</v>
      </c>
      <c r="B129" s="180" t="s">
        <v>230</v>
      </c>
      <c r="C129" s="415"/>
      <c r="D129" s="415"/>
      <c r="E129" s="416">
        <f t="shared" si="15"/>
        <v>0</v>
      </c>
      <c r="F129" s="415"/>
      <c r="G129" s="415"/>
      <c r="H129" s="416">
        <f t="shared" si="19"/>
        <v>0</v>
      </c>
      <c r="I129" s="415"/>
      <c r="J129" s="415"/>
      <c r="K129" s="416">
        <f t="shared" si="20"/>
        <v>0</v>
      </c>
      <c r="L129" s="415"/>
      <c r="M129" s="415"/>
      <c r="N129" s="416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415"/>
      <c r="D130" s="415"/>
      <c r="E130" s="416">
        <f t="shared" si="15"/>
        <v>0</v>
      </c>
      <c r="F130" s="415"/>
      <c r="G130" s="415"/>
      <c r="H130" s="416">
        <f t="shared" si="19"/>
        <v>0</v>
      </c>
      <c r="I130" s="415"/>
      <c r="J130" s="415"/>
      <c r="K130" s="416">
        <f t="shared" si="20"/>
        <v>0</v>
      </c>
      <c r="L130" s="415"/>
      <c r="M130" s="415"/>
      <c r="N130" s="416">
        <f t="shared" si="21"/>
        <v>0</v>
      </c>
    </row>
    <row r="131" spans="1:14" ht="15.75" hidden="1" thickBot="1" x14ac:dyDescent="0.3">
      <c r="A131" s="190" t="s">
        <v>231</v>
      </c>
      <c r="B131" s="180" t="s">
        <v>232</v>
      </c>
      <c r="C131" s="415"/>
      <c r="D131" s="415"/>
      <c r="E131" s="416">
        <f t="shared" si="15"/>
        <v>0</v>
      </c>
      <c r="F131" s="415"/>
      <c r="G131" s="415"/>
      <c r="H131" s="416">
        <f t="shared" si="19"/>
        <v>0</v>
      </c>
      <c r="I131" s="415"/>
      <c r="J131" s="415"/>
      <c r="K131" s="416">
        <f t="shared" si="20"/>
        <v>0</v>
      </c>
      <c r="L131" s="415"/>
      <c r="M131" s="415"/>
      <c r="N131" s="416">
        <f t="shared" si="21"/>
        <v>0</v>
      </c>
    </row>
    <row r="132" spans="1:14" ht="15.75" hidden="1" thickBot="1" x14ac:dyDescent="0.3">
      <c r="A132" s="190" t="s">
        <v>233</v>
      </c>
      <c r="B132" s="180" t="s">
        <v>234</v>
      </c>
      <c r="C132" s="415"/>
      <c r="D132" s="415"/>
      <c r="E132" s="416">
        <f t="shared" si="15"/>
        <v>0</v>
      </c>
      <c r="F132" s="415"/>
      <c r="G132" s="415"/>
      <c r="H132" s="416">
        <f t="shared" si="19"/>
        <v>0</v>
      </c>
      <c r="I132" s="415"/>
      <c r="J132" s="415"/>
      <c r="K132" s="416">
        <f t="shared" si="20"/>
        <v>0</v>
      </c>
      <c r="L132" s="415"/>
      <c r="M132" s="415"/>
      <c r="N132" s="416">
        <f t="shared" si="21"/>
        <v>0</v>
      </c>
    </row>
    <row r="133" spans="1:14" ht="15.75" hidden="1" thickBot="1" x14ac:dyDescent="0.3">
      <c r="A133" s="190" t="s">
        <v>235</v>
      </c>
      <c r="B133" s="180" t="s">
        <v>236</v>
      </c>
      <c r="C133" s="415"/>
      <c r="D133" s="415"/>
      <c r="E133" s="416">
        <f t="shared" si="15"/>
        <v>0</v>
      </c>
      <c r="F133" s="415"/>
      <c r="G133" s="415"/>
      <c r="H133" s="416">
        <f t="shared" si="19"/>
        <v>0</v>
      </c>
      <c r="I133" s="415"/>
      <c r="J133" s="415"/>
      <c r="K133" s="416">
        <f t="shared" si="20"/>
        <v>0</v>
      </c>
      <c r="L133" s="415"/>
      <c r="M133" s="415"/>
      <c r="N133" s="416">
        <f t="shared" si="21"/>
        <v>0</v>
      </c>
    </row>
    <row r="134" spans="1:14" ht="15.75" hidden="1" thickBot="1" x14ac:dyDescent="0.3">
      <c r="A134" s="190" t="s">
        <v>237</v>
      </c>
      <c r="B134" s="180" t="s">
        <v>238</v>
      </c>
      <c r="C134" s="415">
        <f>SUM(C135:C136)</f>
        <v>0</v>
      </c>
      <c r="D134" s="415">
        <f>SUM(D135:D136)</f>
        <v>0</v>
      </c>
      <c r="E134" s="416">
        <f t="shared" si="15"/>
        <v>0</v>
      </c>
      <c r="F134" s="415">
        <f>SUM(F135:F136)</f>
        <v>0</v>
      </c>
      <c r="G134" s="415">
        <f>SUM(G135:G136)</f>
        <v>0</v>
      </c>
      <c r="H134" s="416">
        <f t="shared" si="19"/>
        <v>0</v>
      </c>
      <c r="I134" s="415">
        <f>SUM(I135:I136)</f>
        <v>0</v>
      </c>
      <c r="J134" s="415">
        <f>SUM(J135:J136)</f>
        <v>0</v>
      </c>
      <c r="K134" s="416">
        <f t="shared" si="20"/>
        <v>0</v>
      </c>
      <c r="L134" s="415">
        <f>SUM(L135:L136)</f>
        <v>0</v>
      </c>
      <c r="M134" s="415">
        <f>SUM(M135:M136)</f>
        <v>0</v>
      </c>
      <c r="N134" s="416">
        <f t="shared" si="21"/>
        <v>0</v>
      </c>
    </row>
    <row r="135" spans="1:14" ht="15.75" hidden="1" thickBot="1" x14ac:dyDescent="0.3">
      <c r="A135" s="190"/>
      <c r="B135" s="180" t="s">
        <v>239</v>
      </c>
      <c r="C135" s="415"/>
      <c r="D135" s="415"/>
      <c r="E135" s="416">
        <f t="shared" si="15"/>
        <v>0</v>
      </c>
      <c r="F135" s="415"/>
      <c r="G135" s="415"/>
      <c r="H135" s="416">
        <f t="shared" si="19"/>
        <v>0</v>
      </c>
      <c r="I135" s="415"/>
      <c r="J135" s="415"/>
      <c r="K135" s="416">
        <f t="shared" si="20"/>
        <v>0</v>
      </c>
      <c r="L135" s="415"/>
      <c r="M135" s="415"/>
      <c r="N135" s="416">
        <f t="shared" si="21"/>
        <v>0</v>
      </c>
    </row>
    <row r="136" spans="1:14" ht="15.75" hidden="1" thickBot="1" x14ac:dyDescent="0.3">
      <c r="A136" s="191"/>
      <c r="B136" s="192" t="s">
        <v>240</v>
      </c>
      <c r="C136" s="417"/>
      <c r="D136" s="417"/>
      <c r="E136" s="418">
        <f t="shared" si="15"/>
        <v>0</v>
      </c>
      <c r="F136" s="417"/>
      <c r="G136" s="417"/>
      <c r="H136" s="418">
        <f t="shared" si="19"/>
        <v>0</v>
      </c>
      <c r="I136" s="417"/>
      <c r="J136" s="417"/>
      <c r="K136" s="418">
        <f t="shared" si="20"/>
        <v>0</v>
      </c>
      <c r="L136" s="417"/>
      <c r="M136" s="417"/>
      <c r="N136" s="418">
        <f t="shared" si="21"/>
        <v>0</v>
      </c>
    </row>
    <row r="137" spans="1:14" x14ac:dyDescent="0.25">
      <c r="A137" s="188" t="s">
        <v>241</v>
      </c>
      <c r="B137" s="189" t="s">
        <v>38</v>
      </c>
      <c r="C137" s="413">
        <v>19429134</v>
      </c>
      <c r="D137" s="413"/>
      <c r="E137" s="414">
        <f t="shared" si="15"/>
        <v>19429134</v>
      </c>
      <c r="F137" s="413">
        <f>19429134-1653543</f>
        <v>17775591</v>
      </c>
      <c r="G137" s="413"/>
      <c r="H137" s="414">
        <f t="shared" si="19"/>
        <v>17775591</v>
      </c>
      <c r="I137" s="413">
        <v>5785640</v>
      </c>
      <c r="J137" s="413"/>
      <c r="K137" s="414">
        <f t="shared" si="20"/>
        <v>5785640</v>
      </c>
      <c r="L137" s="413">
        <v>5785640</v>
      </c>
      <c r="M137" s="413"/>
      <c r="N137" s="414">
        <f t="shared" si="21"/>
        <v>5785640</v>
      </c>
    </row>
    <row r="138" spans="1:14" ht="15.75" thickBot="1" x14ac:dyDescent="0.3">
      <c r="A138" s="191" t="s">
        <v>242</v>
      </c>
      <c r="B138" s="192" t="s">
        <v>243</v>
      </c>
      <c r="C138" s="417">
        <v>5245866</v>
      </c>
      <c r="D138" s="417"/>
      <c r="E138" s="418">
        <f t="shared" si="15"/>
        <v>5245866</v>
      </c>
      <c r="F138" s="417">
        <f>5245866-446457</f>
        <v>4799409</v>
      </c>
      <c r="G138" s="417"/>
      <c r="H138" s="418">
        <f t="shared" si="19"/>
        <v>4799409</v>
      </c>
      <c r="I138" s="417">
        <v>1562123</v>
      </c>
      <c r="J138" s="417"/>
      <c r="K138" s="418">
        <f t="shared" si="20"/>
        <v>1562123</v>
      </c>
      <c r="L138" s="417">
        <v>1562123</v>
      </c>
      <c r="M138" s="417"/>
      <c r="N138" s="418">
        <f t="shared" si="21"/>
        <v>1562123</v>
      </c>
    </row>
    <row r="139" spans="1:14" x14ac:dyDescent="0.25">
      <c r="A139" s="188" t="s">
        <v>244</v>
      </c>
      <c r="B139" s="189" t="s">
        <v>39</v>
      </c>
      <c r="C139" s="413">
        <v>12204724</v>
      </c>
      <c r="D139" s="413"/>
      <c r="E139" s="414">
        <f t="shared" si="15"/>
        <v>12204724</v>
      </c>
      <c r="F139" s="413">
        <f>12204724+1574803</f>
        <v>13779527</v>
      </c>
      <c r="G139" s="413"/>
      <c r="H139" s="414">
        <f t="shared" si="19"/>
        <v>13779527</v>
      </c>
      <c r="I139" s="413">
        <v>4100000</v>
      </c>
      <c r="J139" s="413"/>
      <c r="K139" s="414">
        <f t="shared" si="20"/>
        <v>4100000</v>
      </c>
      <c r="L139" s="413">
        <v>4100000</v>
      </c>
      <c r="M139" s="413"/>
      <c r="N139" s="414">
        <f t="shared" si="21"/>
        <v>4100000</v>
      </c>
    </row>
    <row r="140" spans="1:14" ht="15.75" thickBot="1" x14ac:dyDescent="0.3">
      <c r="A140" s="191" t="s">
        <v>245</v>
      </c>
      <c r="B140" s="192" t="s">
        <v>246</v>
      </c>
      <c r="C140" s="417">
        <v>3295276</v>
      </c>
      <c r="D140" s="417"/>
      <c r="E140" s="418">
        <f t="shared" si="15"/>
        <v>3295276</v>
      </c>
      <c r="F140" s="417">
        <f>3295276+425197</f>
        <v>3720473</v>
      </c>
      <c r="G140" s="417"/>
      <c r="H140" s="418">
        <f t="shared" si="19"/>
        <v>3720473</v>
      </c>
      <c r="I140" s="417">
        <v>1107000</v>
      </c>
      <c r="J140" s="417"/>
      <c r="K140" s="418">
        <f t="shared" si="20"/>
        <v>1107000</v>
      </c>
      <c r="L140" s="417">
        <v>1107000</v>
      </c>
      <c r="M140" s="417"/>
      <c r="N140" s="418">
        <f t="shared" si="21"/>
        <v>1107000</v>
      </c>
    </row>
    <row r="141" spans="1:14" ht="15.75" thickBot="1" x14ac:dyDescent="0.3">
      <c r="A141" s="195" t="s">
        <v>247</v>
      </c>
      <c r="B141" s="196" t="s">
        <v>40</v>
      </c>
      <c r="C141" s="426"/>
      <c r="D141" s="426"/>
      <c r="E141" s="427">
        <f t="shared" si="15"/>
        <v>0</v>
      </c>
      <c r="F141" s="426"/>
      <c r="G141" s="426"/>
      <c r="H141" s="427">
        <f t="shared" si="19"/>
        <v>0</v>
      </c>
      <c r="I141" s="426"/>
      <c r="J141" s="426"/>
      <c r="K141" s="427">
        <f t="shared" si="20"/>
        <v>0</v>
      </c>
      <c r="L141" s="426"/>
      <c r="M141" s="426"/>
      <c r="N141" s="427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419">
        <f>C141+C140+C139+C138+C137+C128+C127+C111+C105+C88</f>
        <v>40175000</v>
      </c>
      <c r="D142" s="419">
        <f>D141+D140+D139+D138+D137+D128+D127+D111+D105+D88</f>
        <v>0</v>
      </c>
      <c r="E142" s="420">
        <f t="shared" si="15"/>
        <v>40175000</v>
      </c>
      <c r="F142" s="419">
        <f>F141+F140+F139+F138+F137+F128+F127+F111+F105+F88</f>
        <v>40075000</v>
      </c>
      <c r="G142" s="419">
        <f>G141+G140+G139+G138+G137+G128+G127+G111+G105+G88</f>
        <v>0</v>
      </c>
      <c r="H142" s="420">
        <f t="shared" si="19"/>
        <v>40075000</v>
      </c>
      <c r="I142" s="419">
        <f>I141+I140+I139+I138+I137+I128+I127+I111+I105+I88</f>
        <v>12554763</v>
      </c>
      <c r="J142" s="419">
        <f>J141+J140+J139+J138+J137+J128+J127+J111+J105+J88</f>
        <v>0</v>
      </c>
      <c r="K142" s="420">
        <f t="shared" si="20"/>
        <v>12554763</v>
      </c>
      <c r="L142" s="419">
        <f>L141+L140+L139+L138+L137+L128+L127+L111+L105+L88</f>
        <v>12554763</v>
      </c>
      <c r="M142" s="419">
        <f>M141+M140+M139+M138+M137+M128+M127+M111+M105+M88</f>
        <v>0</v>
      </c>
      <c r="N142" s="420">
        <f t="shared" si="21"/>
        <v>12554763</v>
      </c>
    </row>
    <row r="143" spans="1:14" ht="15.75" thickBot="1" x14ac:dyDescent="0.3">
      <c r="A143" s="197" t="s">
        <v>250</v>
      </c>
      <c r="B143" s="198" t="s">
        <v>251</v>
      </c>
      <c r="C143" s="413">
        <f>SUM(C144:C150)</f>
        <v>0</v>
      </c>
      <c r="D143" s="413">
        <f>SUM(D144:D150)</f>
        <v>0</v>
      </c>
      <c r="E143" s="414">
        <f t="shared" si="15"/>
        <v>0</v>
      </c>
      <c r="F143" s="413">
        <f>SUM(F144:F150)</f>
        <v>0</v>
      </c>
      <c r="G143" s="413">
        <f>SUM(G144:G150)</f>
        <v>0</v>
      </c>
      <c r="H143" s="414">
        <f t="shared" si="19"/>
        <v>0</v>
      </c>
      <c r="I143" s="413">
        <f>SUM(I144:I150)</f>
        <v>0</v>
      </c>
      <c r="J143" s="413">
        <f>SUM(J144:J150)</f>
        <v>0</v>
      </c>
      <c r="K143" s="414">
        <f t="shared" si="20"/>
        <v>0</v>
      </c>
      <c r="L143" s="413">
        <f>SUM(L144:L150)</f>
        <v>0</v>
      </c>
      <c r="M143" s="413">
        <f>SUM(M144:M150)</f>
        <v>0</v>
      </c>
      <c r="N143" s="414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415"/>
      <c r="D144" s="415"/>
      <c r="E144" s="416">
        <f t="shared" si="15"/>
        <v>0</v>
      </c>
      <c r="F144" s="415"/>
      <c r="G144" s="415"/>
      <c r="H144" s="416">
        <f t="shared" si="19"/>
        <v>0</v>
      </c>
      <c r="I144" s="415"/>
      <c r="J144" s="415"/>
      <c r="K144" s="416">
        <f t="shared" si="20"/>
        <v>0</v>
      </c>
      <c r="L144" s="415"/>
      <c r="M144" s="415"/>
      <c r="N144" s="416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415"/>
      <c r="D145" s="415"/>
      <c r="E145" s="416">
        <f t="shared" si="15"/>
        <v>0</v>
      </c>
      <c r="F145" s="415"/>
      <c r="G145" s="415"/>
      <c r="H145" s="416">
        <f t="shared" si="19"/>
        <v>0</v>
      </c>
      <c r="I145" s="415"/>
      <c r="J145" s="415"/>
      <c r="K145" s="416">
        <f t="shared" si="20"/>
        <v>0</v>
      </c>
      <c r="L145" s="415"/>
      <c r="M145" s="415"/>
      <c r="N145" s="416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415"/>
      <c r="D146" s="415"/>
      <c r="E146" s="416"/>
      <c r="F146" s="415"/>
      <c r="G146" s="415"/>
      <c r="H146" s="416"/>
      <c r="I146" s="415"/>
      <c r="J146" s="415"/>
      <c r="K146" s="416"/>
      <c r="L146" s="415"/>
      <c r="M146" s="415"/>
      <c r="N146" s="416"/>
    </row>
    <row r="147" spans="1:14" ht="15.75" hidden="1" thickBot="1" x14ac:dyDescent="0.3">
      <c r="A147" s="190" t="s">
        <v>256</v>
      </c>
      <c r="B147" s="180" t="s">
        <v>257</v>
      </c>
      <c r="C147" s="415"/>
      <c r="D147" s="415"/>
      <c r="E147" s="416">
        <f t="shared" si="15"/>
        <v>0</v>
      </c>
      <c r="F147" s="415"/>
      <c r="G147" s="415"/>
      <c r="H147" s="416">
        <f t="shared" ref="H147:H150" si="22">SUM(F147:G147)</f>
        <v>0</v>
      </c>
      <c r="I147" s="415"/>
      <c r="J147" s="415"/>
      <c r="K147" s="416">
        <f t="shared" ref="K147:K150" si="23">SUM(I147:J147)</f>
        <v>0</v>
      </c>
      <c r="L147" s="415"/>
      <c r="M147" s="415"/>
      <c r="N147" s="416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415"/>
      <c r="D148" s="415"/>
      <c r="E148" s="416">
        <f t="shared" si="15"/>
        <v>0</v>
      </c>
      <c r="F148" s="415"/>
      <c r="G148" s="415"/>
      <c r="H148" s="416">
        <f t="shared" si="22"/>
        <v>0</v>
      </c>
      <c r="I148" s="415"/>
      <c r="J148" s="415"/>
      <c r="K148" s="416">
        <f t="shared" si="23"/>
        <v>0</v>
      </c>
      <c r="L148" s="415"/>
      <c r="M148" s="415"/>
      <c r="N148" s="416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415"/>
      <c r="D149" s="415"/>
      <c r="E149" s="416">
        <f t="shared" si="15"/>
        <v>0</v>
      </c>
      <c r="F149" s="415"/>
      <c r="G149" s="415"/>
      <c r="H149" s="416">
        <f t="shared" si="22"/>
        <v>0</v>
      </c>
      <c r="I149" s="415"/>
      <c r="J149" s="415"/>
      <c r="K149" s="416">
        <f t="shared" si="23"/>
        <v>0</v>
      </c>
      <c r="L149" s="415"/>
      <c r="M149" s="415"/>
      <c r="N149" s="416">
        <f t="shared" si="24"/>
        <v>0</v>
      </c>
    </row>
    <row r="150" spans="1:14" ht="15.75" hidden="1" thickBot="1" x14ac:dyDescent="0.3">
      <c r="A150" s="191"/>
      <c r="B150" s="192" t="s">
        <v>262</v>
      </c>
      <c r="C150" s="428"/>
      <c r="D150" s="417"/>
      <c r="E150" s="418">
        <f t="shared" si="15"/>
        <v>0</v>
      </c>
      <c r="F150" s="428"/>
      <c r="G150" s="417"/>
      <c r="H150" s="418">
        <f t="shared" si="22"/>
        <v>0</v>
      </c>
      <c r="I150" s="428"/>
      <c r="J150" s="417"/>
      <c r="K150" s="418">
        <f t="shared" si="23"/>
        <v>0</v>
      </c>
      <c r="L150" s="428"/>
      <c r="M150" s="417"/>
      <c r="N150" s="418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419">
        <f>C143+C142</f>
        <v>40175000</v>
      </c>
      <c r="D151" s="871">
        <f>D143+D142</f>
        <v>0</v>
      </c>
      <c r="E151" s="872">
        <f>SUM(C151:D151)</f>
        <v>40175000</v>
      </c>
      <c r="F151" s="419">
        <f>F143+F142</f>
        <v>40075000</v>
      </c>
      <c r="G151" s="871">
        <f>G143+G142</f>
        <v>0</v>
      </c>
      <c r="H151" s="872">
        <f>SUM(F151:G151)</f>
        <v>40075000</v>
      </c>
      <c r="I151" s="419">
        <f>I143+I142</f>
        <v>12554763</v>
      </c>
      <c r="J151" s="871">
        <f>J143+J142</f>
        <v>0</v>
      </c>
      <c r="K151" s="872">
        <f>SUM(I151:J151)</f>
        <v>12554763</v>
      </c>
      <c r="L151" s="419">
        <f>L143+L142</f>
        <v>12554763</v>
      </c>
      <c r="M151" s="871">
        <f>M143+M142</f>
        <v>0</v>
      </c>
      <c r="N151" s="872">
        <f>SUM(L151:M151)</f>
        <v>12554763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423">
        <f>E85-E151</f>
        <v>-40175000</v>
      </c>
      <c r="F153" s="621"/>
      <c r="G153" s="621"/>
      <c r="H153" s="423">
        <f>H85-H151</f>
        <v>-40075000</v>
      </c>
      <c r="I153" s="621"/>
      <c r="J153" s="621"/>
      <c r="K153" s="423">
        <f>K85-K151</f>
        <v>-12554763</v>
      </c>
      <c r="L153" s="621"/>
      <c r="M153" s="621"/>
      <c r="N153" s="423">
        <f>N85-N151</f>
        <v>-12554763</v>
      </c>
    </row>
  </sheetData>
  <mergeCells count="4">
    <mergeCell ref="L6:N6"/>
    <mergeCell ref="A1:E1"/>
    <mergeCell ref="A2:E2"/>
    <mergeCell ref="I6:K6"/>
  </mergeCells>
  <phoneticPr fontId="56" type="noConversion"/>
  <pageMargins left="0.2" right="0.15748031496062992" top="0.27559055118110237" bottom="0.43307086614173229" header="0.31496062992125984" footer="0.31496062992125984"/>
  <pageSetup paperSize="9" scale="54" fitToHeight="0" orientation="portrait" horizontalDpi="300" verticalDpi="300" r:id="rId1"/>
  <headerFoot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6" sqref="D6:H6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9.85546875" style="44" bestFit="1" customWidth="1"/>
    <col min="4" max="4" width="9.140625" style="44"/>
    <col min="5" max="5" width="9.85546875" style="44" customWidth="1"/>
    <col min="6" max="6" width="9.85546875" style="179" bestFit="1" customWidth="1"/>
    <col min="7" max="7" width="9.140625" style="179"/>
    <col min="8" max="8" width="9.85546875" style="179" customWidth="1"/>
    <col min="9" max="9" width="9.85546875" style="179" bestFit="1" customWidth="1"/>
    <col min="10" max="10" width="9.140625" style="179"/>
    <col min="11" max="11" width="10.42578125" style="179" customWidth="1"/>
    <col min="12" max="12" width="9.85546875" style="179" bestFit="1" customWidth="1"/>
    <col min="13" max="13" width="9.140625" style="179"/>
    <col min="14" max="14" width="10.4257812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'7.6 út építés 045127'!C4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556</v>
      </c>
      <c r="B5" s="81" t="s">
        <v>348</v>
      </c>
    </row>
    <row r="6" spans="1:14" s="44" customFormat="1" x14ac:dyDescent="0.25">
      <c r="C6" s="519" t="s">
        <v>735</v>
      </c>
      <c r="D6" s="914" t="str">
        <f>'7.6 út építés 045127'!D6</f>
        <v xml:space="preserve"> melléklet az 12/2020. (VI.15.) rendelethez</v>
      </c>
      <c r="E6" s="914"/>
      <c r="F6" s="914"/>
      <c r="G6" s="914"/>
      <c r="H6" s="914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365">
        <f>SUM(C112:C113,C114,C123,C122)</f>
        <v>2489201</v>
      </c>
      <c r="D111" s="244">
        <f>SUM(D112:D113,D114,D123,D122)</f>
        <v>0</v>
      </c>
      <c r="E111" s="245">
        <f t="shared" si="15"/>
        <v>2489201</v>
      </c>
      <c r="F111" s="365">
        <f>SUM(F112:F113,F114,F123,F122)</f>
        <v>2489201</v>
      </c>
      <c r="G111" s="244">
        <f>SUM(G112:G113,G114,G123,G122)</f>
        <v>0</v>
      </c>
      <c r="H111" s="245">
        <f t="shared" si="19"/>
        <v>2489201</v>
      </c>
      <c r="I111" s="365">
        <f>SUM(I112:I113,I114,I123,I122)</f>
        <v>2319201</v>
      </c>
      <c r="J111" s="244">
        <f>SUM(J112:J113,J114,J123,J122)</f>
        <v>0</v>
      </c>
      <c r="K111" s="245">
        <f t="shared" si="20"/>
        <v>2319201</v>
      </c>
      <c r="L111" s="365">
        <f>SUM(L112:L113,L114,L123,L122)</f>
        <v>2054120</v>
      </c>
      <c r="M111" s="244">
        <f>SUM(M112:M113,M114,M123,M122)</f>
        <v>0</v>
      </c>
      <c r="N111" s="245">
        <f t="shared" si="21"/>
        <v>2054120</v>
      </c>
    </row>
    <row r="112" spans="1:14" x14ac:dyDescent="0.25">
      <c r="A112" s="61" t="s">
        <v>199</v>
      </c>
      <c r="B112" s="62" t="s">
        <v>200</v>
      </c>
      <c r="C112" s="246">
        <f>400000+400000</f>
        <v>800000</v>
      </c>
      <c r="D112" s="246"/>
      <c r="E112" s="247">
        <f t="shared" si="15"/>
        <v>800000</v>
      </c>
      <c r="F112" s="246">
        <f>400000+400000</f>
        <v>800000</v>
      </c>
      <c r="G112" s="246"/>
      <c r="H112" s="247">
        <f t="shared" si="19"/>
        <v>800000</v>
      </c>
      <c r="I112" s="246">
        <v>630000</v>
      </c>
      <c r="J112" s="246"/>
      <c r="K112" s="247">
        <f t="shared" si="20"/>
        <v>630000</v>
      </c>
      <c r="L112" s="246">
        <v>627417</v>
      </c>
      <c r="M112" s="246"/>
      <c r="N112" s="247">
        <f t="shared" si="21"/>
        <v>627417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1243701</v>
      </c>
      <c r="D114" s="246">
        <f>SUM(D115:D121)</f>
        <v>0</v>
      </c>
      <c r="E114" s="247">
        <f t="shared" si="15"/>
        <v>1243701</v>
      </c>
      <c r="F114" s="246">
        <f>SUM(F115:F121)</f>
        <v>1243701</v>
      </c>
      <c r="G114" s="246">
        <f>SUM(G115:G121)</f>
        <v>0</v>
      </c>
      <c r="H114" s="247">
        <f t="shared" si="19"/>
        <v>1243701</v>
      </c>
      <c r="I114" s="246">
        <f>SUM(I115:I121)</f>
        <v>1243701</v>
      </c>
      <c r="J114" s="246">
        <f>SUM(J115:J121)</f>
        <v>0</v>
      </c>
      <c r="K114" s="247">
        <f t="shared" si="20"/>
        <v>1243701</v>
      </c>
      <c r="L114" s="246">
        <f>SUM(L115:L121)</f>
        <v>990000</v>
      </c>
      <c r="M114" s="246">
        <f>SUM(M115:M121)</f>
        <v>0</v>
      </c>
      <c r="N114" s="247">
        <f t="shared" si="21"/>
        <v>990000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>
        <f>700000+393701</f>
        <v>1093701</v>
      </c>
      <c r="D118" s="246"/>
      <c r="E118" s="247">
        <f t="shared" si="15"/>
        <v>1093701</v>
      </c>
      <c r="F118" s="246">
        <f>700000+393701</f>
        <v>1093701</v>
      </c>
      <c r="G118" s="246"/>
      <c r="H118" s="247">
        <f t="shared" si="19"/>
        <v>1093701</v>
      </c>
      <c r="I118" s="246">
        <f>700000+393701</f>
        <v>1093701</v>
      </c>
      <c r="J118" s="246"/>
      <c r="K118" s="247">
        <f t="shared" si="20"/>
        <v>1093701</v>
      </c>
      <c r="L118" s="246">
        <v>800000</v>
      </c>
      <c r="M118" s="246"/>
      <c r="N118" s="247">
        <f t="shared" si="21"/>
        <v>800000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150000</v>
      </c>
      <c r="D121" s="246"/>
      <c r="E121" s="247">
        <f t="shared" si="15"/>
        <v>150000</v>
      </c>
      <c r="F121" s="246">
        <v>150000</v>
      </c>
      <c r="G121" s="246"/>
      <c r="H121" s="247">
        <f t="shared" si="19"/>
        <v>150000</v>
      </c>
      <c r="I121" s="246">
        <v>150000</v>
      </c>
      <c r="J121" s="246"/>
      <c r="K121" s="247">
        <f t="shared" si="20"/>
        <v>150000</v>
      </c>
      <c r="L121" s="246">
        <v>190000</v>
      </c>
      <c r="M121" s="246"/>
      <c r="N121" s="247">
        <f t="shared" si="21"/>
        <v>190000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445500</v>
      </c>
      <c r="D123" s="246">
        <f>SUM(D124:D126)</f>
        <v>0</v>
      </c>
      <c r="E123" s="247">
        <f t="shared" si="15"/>
        <v>445500</v>
      </c>
      <c r="F123" s="246">
        <f>SUM(F124:F126)</f>
        <v>445500</v>
      </c>
      <c r="G123" s="246">
        <f>SUM(G124:G126)</f>
        <v>0</v>
      </c>
      <c r="H123" s="247">
        <f t="shared" si="19"/>
        <v>445500</v>
      </c>
      <c r="I123" s="246">
        <f>SUM(I124:I126)</f>
        <v>445500</v>
      </c>
      <c r="J123" s="246">
        <f>SUM(J124:J126)</f>
        <v>0</v>
      </c>
      <c r="K123" s="247">
        <f t="shared" si="20"/>
        <v>445500</v>
      </c>
      <c r="L123" s="246">
        <f>SUM(L124:L126)</f>
        <v>436703</v>
      </c>
      <c r="M123" s="246">
        <f>SUM(M124:M126)</f>
        <v>0</v>
      </c>
      <c r="N123" s="247">
        <f t="shared" si="21"/>
        <v>436703</v>
      </c>
    </row>
    <row r="124" spans="1:14" ht="15.75" thickBot="1" x14ac:dyDescent="0.3">
      <c r="A124" s="61"/>
      <c r="B124" s="62" t="s">
        <v>223</v>
      </c>
      <c r="C124" s="246">
        <f>1050000*0.27+54000+108000</f>
        <v>445500</v>
      </c>
      <c r="D124" s="246"/>
      <c r="E124" s="247">
        <f t="shared" si="15"/>
        <v>445500</v>
      </c>
      <c r="F124" s="246">
        <f>1050000*0.27+54000+108000</f>
        <v>445500</v>
      </c>
      <c r="G124" s="246"/>
      <c r="H124" s="247">
        <f t="shared" si="19"/>
        <v>445500</v>
      </c>
      <c r="I124" s="246">
        <f>1050000*0.27+54000+108000</f>
        <v>445500</v>
      </c>
      <c r="J124" s="246"/>
      <c r="K124" s="247">
        <f t="shared" si="20"/>
        <v>445500</v>
      </c>
      <c r="L124" s="246">
        <v>436703</v>
      </c>
      <c r="M124" s="246"/>
      <c r="N124" s="247">
        <f t="shared" si="21"/>
        <v>436703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>
        <v>8588250</v>
      </c>
      <c r="J139" s="244"/>
      <c r="K139" s="245">
        <f t="shared" si="20"/>
        <v>8588250</v>
      </c>
      <c r="L139" s="244">
        <v>8588250</v>
      </c>
      <c r="M139" s="244"/>
      <c r="N139" s="245">
        <f t="shared" si="21"/>
        <v>8588250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>
        <v>2318829</v>
      </c>
      <c r="J140" s="248"/>
      <c r="K140" s="249">
        <f t="shared" si="20"/>
        <v>2318829</v>
      </c>
      <c r="L140" s="248">
        <v>2318829</v>
      </c>
      <c r="M140" s="248"/>
      <c r="N140" s="249">
        <f t="shared" si="21"/>
        <v>2318829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2489201</v>
      </c>
      <c r="D142" s="250">
        <f>D141+D140+D139+D138+D137+D128+D127+D111+D105+D88</f>
        <v>0</v>
      </c>
      <c r="E142" s="251">
        <f t="shared" si="15"/>
        <v>2489201</v>
      </c>
      <c r="F142" s="250">
        <f>F141+F140+F139+F138+F137+F128+F127+F111+F105+F88</f>
        <v>2489201</v>
      </c>
      <c r="G142" s="250">
        <f>G141+G140+G139+G138+G137+G128+G127+G111+G105+G88</f>
        <v>0</v>
      </c>
      <c r="H142" s="251">
        <f t="shared" si="19"/>
        <v>2489201</v>
      </c>
      <c r="I142" s="250">
        <f>I141+I140+I139+I138+I137+I128+I127+I111+I105+I88</f>
        <v>13226280</v>
      </c>
      <c r="J142" s="250">
        <f>J141+J140+J139+J138+J137+J128+J127+J111+J105+J88</f>
        <v>0</v>
      </c>
      <c r="K142" s="251">
        <f t="shared" si="20"/>
        <v>13226280</v>
      </c>
      <c r="L142" s="250">
        <f>L141+L140+L139+L138+L137+L128+L127+L111+L105+L88</f>
        <v>12961199</v>
      </c>
      <c r="M142" s="250">
        <f>M141+M140+M139+M138+M137+M128+M127+M111+M105+M88</f>
        <v>0</v>
      </c>
      <c r="N142" s="251">
        <f t="shared" si="21"/>
        <v>12961199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2489201</v>
      </c>
      <c r="D151" s="257">
        <f>D143+D142</f>
        <v>0</v>
      </c>
      <c r="E151" s="258">
        <f>SUM(C151:D151)</f>
        <v>2489201</v>
      </c>
      <c r="F151" s="250">
        <f>F143+F142</f>
        <v>2489201</v>
      </c>
      <c r="G151" s="257">
        <f>G143+G142</f>
        <v>0</v>
      </c>
      <c r="H151" s="258">
        <f>SUM(F151:G151)</f>
        <v>2489201</v>
      </c>
      <c r="I151" s="250">
        <f>I143+I142</f>
        <v>13226280</v>
      </c>
      <c r="J151" s="257">
        <f>J143+J142</f>
        <v>0</v>
      </c>
      <c r="K151" s="258">
        <f>SUM(I151:J151)</f>
        <v>13226280</v>
      </c>
      <c r="L151" s="250">
        <f>L143+L142</f>
        <v>12961199</v>
      </c>
      <c r="M151" s="257">
        <f>M143+M142</f>
        <v>0</v>
      </c>
      <c r="N151" s="258">
        <f>SUM(L151:M151)</f>
        <v>12961199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-2489201</v>
      </c>
      <c r="H153" s="148">
        <f>H85-H151</f>
        <v>-2489201</v>
      </c>
      <c r="K153" s="148">
        <f>K85-K151</f>
        <v>-13226280</v>
      </c>
      <c r="N153" s="148">
        <f>N85-N151</f>
        <v>-12961199</v>
      </c>
    </row>
  </sheetData>
  <mergeCells count="5">
    <mergeCell ref="L6:N6"/>
    <mergeCell ref="A1:E1"/>
    <mergeCell ref="A2:E2"/>
    <mergeCell ref="I6:K6"/>
    <mergeCell ref="D6:H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3" fitToHeight="0" orientation="portrait" horizontalDpi="300" verticalDpi="300" r:id="rId1"/>
  <headerFoot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8.42578125" style="44" customWidth="1"/>
    <col min="2" max="2" width="59.140625" style="44" bestFit="1" customWidth="1"/>
    <col min="3" max="3" width="11.140625" style="44" customWidth="1"/>
    <col min="4" max="4" width="9.140625" style="44"/>
    <col min="5" max="5" width="10.7109375" style="44" customWidth="1"/>
    <col min="6" max="6" width="11.140625" style="179" customWidth="1"/>
    <col min="7" max="7" width="9.140625" style="179"/>
    <col min="8" max="8" width="10.7109375" style="179" customWidth="1"/>
    <col min="9" max="9" width="11.140625" style="179" customWidth="1"/>
    <col min="10" max="10" width="9.140625" style="179"/>
    <col min="11" max="11" width="10.7109375" style="179" customWidth="1"/>
    <col min="12" max="12" width="11.140625" style="179" customWidth="1"/>
    <col min="13" max="13" width="9.140625" style="179"/>
    <col min="14" max="14" width="10.710937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'7.7 közütak működtetés 045160'!C4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557</v>
      </c>
      <c r="B5" s="81" t="s">
        <v>11</v>
      </c>
    </row>
    <row r="6" spans="1:14" s="44" customFormat="1" x14ac:dyDescent="0.25">
      <c r="B6" s="91"/>
      <c r="C6" s="713" t="s">
        <v>736</v>
      </c>
      <c r="D6" s="715" t="str">
        <f>'7.7 közütak működtetés 045160'!D6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x14ac:dyDescent="0.25">
      <c r="A25" s="57" t="s">
        <v>68</v>
      </c>
      <c r="B25" s="68" t="s">
        <v>25</v>
      </c>
      <c r="C25" s="244">
        <f>C26+C30+C38</f>
        <v>11000000</v>
      </c>
      <c r="D25" s="244">
        <f>D26+D30+D38</f>
        <v>0</v>
      </c>
      <c r="E25" s="245">
        <f t="shared" si="0"/>
        <v>11000000</v>
      </c>
      <c r="F25" s="244">
        <f>F26+F30+F38</f>
        <v>11000000</v>
      </c>
      <c r="G25" s="244">
        <f>G26+G30+G38</f>
        <v>0</v>
      </c>
      <c r="H25" s="245">
        <f t="shared" si="1"/>
        <v>11000000</v>
      </c>
      <c r="I25" s="244">
        <f>I26+I30+I38</f>
        <v>11000000</v>
      </c>
      <c r="J25" s="244">
        <f>J26+J30+J38</f>
        <v>0</v>
      </c>
      <c r="K25" s="245">
        <f t="shared" si="2"/>
        <v>11000000</v>
      </c>
      <c r="L25" s="244">
        <f>L26+L30+L38</f>
        <v>10370317</v>
      </c>
      <c r="M25" s="244">
        <f>M26+M30+M38</f>
        <v>0</v>
      </c>
      <c r="N25" s="245">
        <f t="shared" si="3"/>
        <v>10370317</v>
      </c>
    </row>
    <row r="26" spans="1:14" hidden="1" x14ac:dyDescent="0.25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idden="1" x14ac:dyDescent="0.25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idden="1" x14ac:dyDescent="0.25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idden="1" x14ac:dyDescent="0.25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idden="1" x14ac:dyDescent="0.25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idden="1" x14ac:dyDescent="0.25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idden="1" x14ac:dyDescent="0.25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idden="1" x14ac:dyDescent="0.25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idden="1" x14ac:dyDescent="0.25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idden="1" x14ac:dyDescent="0.25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idden="1" x14ac:dyDescent="0.25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idden="1" x14ac:dyDescent="0.25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x14ac:dyDescent="0.25">
      <c r="A38" s="53" t="s">
        <v>86</v>
      </c>
      <c r="B38" s="62" t="s">
        <v>87</v>
      </c>
      <c r="C38" s="246">
        <f>SUM(C39:C44)</f>
        <v>11000000</v>
      </c>
      <c r="D38" s="246">
        <f>SUM(D39:D44)</f>
        <v>0</v>
      </c>
      <c r="E38" s="247">
        <f t="shared" si="0"/>
        <v>11000000</v>
      </c>
      <c r="F38" s="246">
        <f>SUM(F39:F44)</f>
        <v>11000000</v>
      </c>
      <c r="G38" s="246">
        <f>SUM(G39:G44)</f>
        <v>0</v>
      </c>
      <c r="H38" s="247">
        <f t="shared" si="1"/>
        <v>11000000</v>
      </c>
      <c r="I38" s="246">
        <f>SUM(I39:I44)</f>
        <v>11000000</v>
      </c>
      <c r="J38" s="246">
        <f>SUM(J39:J44)</f>
        <v>0</v>
      </c>
      <c r="K38" s="247">
        <f t="shared" si="2"/>
        <v>11000000</v>
      </c>
      <c r="L38" s="246">
        <f>SUM(L39:L44)</f>
        <v>10370317</v>
      </c>
      <c r="M38" s="246">
        <f>SUM(M39:M44)</f>
        <v>0</v>
      </c>
      <c r="N38" s="247">
        <f t="shared" si="3"/>
        <v>10370317</v>
      </c>
    </row>
    <row r="39" spans="1:14" hidden="1" x14ac:dyDescent="0.25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idden="1" x14ac:dyDescent="0.25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idden="1" x14ac:dyDescent="0.25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thickBot="1" x14ac:dyDescent="0.3">
      <c r="A42" s="53"/>
      <c r="B42" s="62" t="s">
        <v>91</v>
      </c>
      <c r="C42" s="246">
        <v>11000000</v>
      </c>
      <c r="D42" s="246"/>
      <c r="E42" s="247">
        <f t="shared" si="0"/>
        <v>11000000</v>
      </c>
      <c r="F42" s="246">
        <v>11000000</v>
      </c>
      <c r="G42" s="246"/>
      <c r="H42" s="247">
        <f t="shared" si="1"/>
        <v>11000000</v>
      </c>
      <c r="I42" s="246">
        <v>11000000</v>
      </c>
      <c r="J42" s="246"/>
      <c r="K42" s="247">
        <f t="shared" si="2"/>
        <v>11000000</v>
      </c>
      <c r="L42" s="246">
        <v>10370317</v>
      </c>
      <c r="M42" s="246"/>
      <c r="N42" s="247">
        <f t="shared" si="3"/>
        <v>10370317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365">
        <f>C46+C47+C48+C49+C54+C55+C56+C57+C58+C59+C60</f>
        <v>54000000</v>
      </c>
      <c r="D45" s="244">
        <f>D46+D47+D48+D49+D54+D55+D56+D57+D58+D59+D60</f>
        <v>0</v>
      </c>
      <c r="E45" s="245">
        <f t="shared" si="0"/>
        <v>54000000</v>
      </c>
      <c r="F45" s="365">
        <f>F46+F47+F48+F49+F54+F55+F56+F57+F58+F59+F60</f>
        <v>54000000</v>
      </c>
      <c r="G45" s="244">
        <f>G46+G47+G48+G49+G54+G55+G56+G57+G58+G59+G60</f>
        <v>0</v>
      </c>
      <c r="H45" s="245">
        <f t="shared" si="1"/>
        <v>54000000</v>
      </c>
      <c r="I45" s="365">
        <f>I46+I47+I48+I49+I54+I55+I56+I57+I58+I59+I60</f>
        <v>56190830</v>
      </c>
      <c r="J45" s="244">
        <f>J46+J47+J48+J49+J54+J55+J56+J57+J58+J59+J60</f>
        <v>0</v>
      </c>
      <c r="K45" s="245">
        <f t="shared" si="2"/>
        <v>56190830</v>
      </c>
      <c r="L45" s="365">
        <f>L46+L47+L48+L49+L54+L55+L56+L57+L58+L59+L60</f>
        <v>57082154</v>
      </c>
      <c r="M45" s="244">
        <f>M46+M47+M48+M49+M54+M55+M56+M57+M58+M59+M60</f>
        <v>0</v>
      </c>
      <c r="N45" s="245">
        <f t="shared" si="3"/>
        <v>57082154</v>
      </c>
    </row>
    <row r="46" spans="1:14" x14ac:dyDescent="0.25">
      <c r="A46" s="53" t="s">
        <v>95</v>
      </c>
      <c r="B46" s="62" t="s">
        <v>96</v>
      </c>
      <c r="C46" s="316"/>
      <c r="D46" s="246"/>
      <c r="E46" s="247">
        <f t="shared" si="0"/>
        <v>0</v>
      </c>
      <c r="F46" s="316"/>
      <c r="G46" s="246"/>
      <c r="H46" s="247">
        <f t="shared" si="1"/>
        <v>0</v>
      </c>
      <c r="I46" s="316"/>
      <c r="J46" s="246"/>
      <c r="K46" s="247">
        <f t="shared" si="2"/>
        <v>0</v>
      </c>
      <c r="L46" s="31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v>42519685</v>
      </c>
      <c r="D47" s="246"/>
      <c r="E47" s="247">
        <f t="shared" si="0"/>
        <v>42519685</v>
      </c>
      <c r="F47" s="316">
        <v>42519685</v>
      </c>
      <c r="G47" s="246"/>
      <c r="H47" s="247">
        <f t="shared" si="1"/>
        <v>42519685</v>
      </c>
      <c r="I47" s="316">
        <f>42519685+2190830</f>
        <v>44710515</v>
      </c>
      <c r="J47" s="246"/>
      <c r="K47" s="247">
        <f t="shared" si="2"/>
        <v>44710515</v>
      </c>
      <c r="L47" s="316">
        <v>44970532</v>
      </c>
      <c r="M47" s="246"/>
      <c r="N47" s="247">
        <f t="shared" si="3"/>
        <v>44970532</v>
      </c>
    </row>
    <row r="48" spans="1:14" hidden="1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idden="1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idden="1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thickBot="1" x14ac:dyDescent="0.3">
      <c r="A55" s="53" t="s">
        <v>109</v>
      </c>
      <c r="B55" s="62" t="s">
        <v>110</v>
      </c>
      <c r="C55" s="246">
        <v>11480315</v>
      </c>
      <c r="D55" s="246"/>
      <c r="E55" s="247">
        <f t="shared" si="0"/>
        <v>11480315</v>
      </c>
      <c r="F55" s="246">
        <v>11480315</v>
      </c>
      <c r="G55" s="246"/>
      <c r="H55" s="247">
        <f t="shared" si="1"/>
        <v>11480315</v>
      </c>
      <c r="I55" s="246">
        <v>11480315</v>
      </c>
      <c r="J55" s="246"/>
      <c r="K55" s="247">
        <f t="shared" si="2"/>
        <v>11480315</v>
      </c>
      <c r="L55" s="246">
        <v>12111622</v>
      </c>
      <c r="M55" s="246"/>
      <c r="N55" s="247">
        <f t="shared" si="3"/>
        <v>12111622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65000000</v>
      </c>
      <c r="D73" s="250">
        <f>D9+D22+D25+D45+D61+D67+D70</f>
        <v>0</v>
      </c>
      <c r="E73" s="251">
        <f t="shared" si="0"/>
        <v>65000000</v>
      </c>
      <c r="F73" s="250">
        <f>F9+F22+F25+F45+F61+F67+F70</f>
        <v>65000000</v>
      </c>
      <c r="G73" s="250">
        <f>G9+G22+G25+G45+G61+G67+G70</f>
        <v>0</v>
      </c>
      <c r="H73" s="251">
        <f t="shared" si="1"/>
        <v>65000000</v>
      </c>
      <c r="I73" s="250">
        <f>I9+I22+I25+I45+I61+I67+I70</f>
        <v>67190830</v>
      </c>
      <c r="J73" s="250">
        <f>J9+J22+J25+J45+J61+J67+J70</f>
        <v>0</v>
      </c>
      <c r="K73" s="251">
        <f t="shared" si="2"/>
        <v>67190830</v>
      </c>
      <c r="L73" s="250">
        <f>L9+L22+L25+L45+L61+L67+L70</f>
        <v>67452471</v>
      </c>
      <c r="M73" s="250">
        <f>M9+M22+M25+M45+M61+M67+M70</f>
        <v>0</v>
      </c>
      <c r="N73" s="251">
        <f t="shared" si="3"/>
        <v>67452471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65000000</v>
      </c>
      <c r="D85" s="250">
        <f>D73+D74</f>
        <v>0</v>
      </c>
      <c r="E85" s="251">
        <f t="shared" si="4"/>
        <v>65000000</v>
      </c>
      <c r="F85" s="250">
        <f>F73+F74</f>
        <v>65000000</v>
      </c>
      <c r="G85" s="250">
        <f>G73+G74</f>
        <v>0</v>
      </c>
      <c r="H85" s="251">
        <f t="shared" si="12"/>
        <v>65000000</v>
      </c>
      <c r="I85" s="250">
        <f>I73+I74</f>
        <v>67190830</v>
      </c>
      <c r="J85" s="250">
        <f>J73+J74</f>
        <v>0</v>
      </c>
      <c r="K85" s="251">
        <f t="shared" si="13"/>
        <v>67190830</v>
      </c>
      <c r="L85" s="250">
        <f>L73+L74</f>
        <v>67452471</v>
      </c>
      <c r="M85" s="250">
        <f>M73+M74</f>
        <v>0</v>
      </c>
      <c r="N85" s="251">
        <f t="shared" si="14"/>
        <v>67452471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15732000</v>
      </c>
      <c r="D88" s="244">
        <f>D89+D101</f>
        <v>0</v>
      </c>
      <c r="E88" s="253">
        <f t="shared" ref="E88:E150" si="15">SUM(C88:D88)</f>
        <v>15732000</v>
      </c>
      <c r="F88" s="244">
        <f>F89+F101</f>
        <v>15732000</v>
      </c>
      <c r="G88" s="244">
        <f>G89+G101</f>
        <v>0</v>
      </c>
      <c r="H88" s="253">
        <f t="shared" ref="H88:H91" si="16">SUM(F88:G88)</f>
        <v>15732000</v>
      </c>
      <c r="I88" s="244">
        <f>I89+I101</f>
        <v>16783397</v>
      </c>
      <c r="J88" s="244">
        <f>J89+J101</f>
        <v>0</v>
      </c>
      <c r="K88" s="253">
        <f t="shared" ref="K88:K91" si="17">SUM(I88:J88)</f>
        <v>16783397</v>
      </c>
      <c r="L88" s="244">
        <f>L89+L101</f>
        <v>16715902</v>
      </c>
      <c r="M88" s="244">
        <f>M89+M101</f>
        <v>0</v>
      </c>
      <c r="N88" s="253">
        <f t="shared" ref="N88:N91" si="18">SUM(L88:M88)</f>
        <v>16715902</v>
      </c>
    </row>
    <row r="89" spans="1:14" x14ac:dyDescent="0.25">
      <c r="A89" s="61" t="s">
        <v>161</v>
      </c>
      <c r="B89" s="62" t="s">
        <v>162</v>
      </c>
      <c r="C89" s="246">
        <f>SUM(C90:C100)</f>
        <v>15732000</v>
      </c>
      <c r="D89" s="246">
        <f>SUM(D90:D100)</f>
        <v>0</v>
      </c>
      <c r="E89" s="247">
        <f t="shared" si="15"/>
        <v>15732000</v>
      </c>
      <c r="F89" s="246">
        <f>SUM(F90:F100)</f>
        <v>15732000</v>
      </c>
      <c r="G89" s="246">
        <f>SUM(G90:G100)</f>
        <v>0</v>
      </c>
      <c r="H89" s="247">
        <f t="shared" si="16"/>
        <v>15732000</v>
      </c>
      <c r="I89" s="246">
        <f>SUM(I90:I100)</f>
        <v>16748159</v>
      </c>
      <c r="J89" s="246">
        <f>SUM(J90:J100)</f>
        <v>0</v>
      </c>
      <c r="K89" s="247">
        <f t="shared" si="17"/>
        <v>16748159</v>
      </c>
      <c r="L89" s="246">
        <f>SUM(L90:L100)</f>
        <v>16680664</v>
      </c>
      <c r="M89" s="246">
        <f>SUM(M90:M100)</f>
        <v>0</v>
      </c>
      <c r="N89" s="247">
        <f t="shared" si="18"/>
        <v>16680664</v>
      </c>
    </row>
    <row r="90" spans="1:14" x14ac:dyDescent="0.25">
      <c r="A90" s="61" t="s">
        <v>163</v>
      </c>
      <c r="B90" s="62" t="s">
        <v>164</v>
      </c>
      <c r="C90" s="246">
        <v>11751000</v>
      </c>
      <c r="D90" s="246"/>
      <c r="E90" s="247">
        <f t="shared" si="15"/>
        <v>11751000</v>
      </c>
      <c r="F90" s="246">
        <v>11751000</v>
      </c>
      <c r="G90" s="246"/>
      <c r="H90" s="247">
        <f t="shared" si="16"/>
        <v>11751000</v>
      </c>
      <c r="I90" s="316">
        <f>11751000+549000-33483</f>
        <v>12266517</v>
      </c>
      <c r="J90" s="246"/>
      <c r="K90" s="247">
        <f t="shared" si="17"/>
        <v>12266517</v>
      </c>
      <c r="L90" s="316">
        <f>11751000+549000-33483</f>
        <v>12266517</v>
      </c>
      <c r="M90" s="246"/>
      <c r="N90" s="247">
        <f t="shared" si="18"/>
        <v>12266517</v>
      </c>
    </row>
    <row r="91" spans="1:14" s="179" customFormat="1" x14ac:dyDescent="0.25">
      <c r="A91" s="190" t="s">
        <v>533</v>
      </c>
      <c r="B91" s="180" t="s">
        <v>534</v>
      </c>
      <c r="C91" s="246">
        <v>2591000</v>
      </c>
      <c r="D91" s="246"/>
      <c r="E91" s="247"/>
      <c r="F91" s="246">
        <v>2591000</v>
      </c>
      <c r="G91" s="246"/>
      <c r="H91" s="247">
        <f t="shared" si="16"/>
        <v>2591000</v>
      </c>
      <c r="I91" s="316">
        <f>2591000+450000</f>
        <v>3041000</v>
      </c>
      <c r="J91" s="246"/>
      <c r="K91" s="247">
        <f t="shared" si="17"/>
        <v>3041000</v>
      </c>
      <c r="L91" s="316">
        <v>3040725</v>
      </c>
      <c r="M91" s="246"/>
      <c r="N91" s="247">
        <f t="shared" si="18"/>
        <v>3040725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316"/>
      <c r="J92" s="246"/>
      <c r="K92" s="247">
        <f t="shared" ref="K92:K145" si="20">SUM(I92:J92)</f>
        <v>0</v>
      </c>
      <c r="L92" s="316"/>
      <c r="M92" s="246"/>
      <c r="N92" s="247">
        <f t="shared" ref="N92:N145" si="21">SUM(L92:M92)</f>
        <v>0</v>
      </c>
    </row>
    <row r="93" spans="1:14" x14ac:dyDescent="0.25">
      <c r="A93" s="61" t="s">
        <v>167</v>
      </c>
      <c r="B93" s="62" t="s">
        <v>168</v>
      </c>
      <c r="C93" s="246">
        <v>850000</v>
      </c>
      <c r="D93" s="246"/>
      <c r="E93" s="247">
        <f t="shared" si="15"/>
        <v>850000</v>
      </c>
      <c r="F93" s="246">
        <v>850000</v>
      </c>
      <c r="G93" s="246"/>
      <c r="H93" s="247">
        <f t="shared" si="19"/>
        <v>850000</v>
      </c>
      <c r="I93" s="316">
        <v>710000</v>
      </c>
      <c r="J93" s="246"/>
      <c r="K93" s="247">
        <f t="shared" si="20"/>
        <v>710000</v>
      </c>
      <c r="L93" s="316">
        <v>710000</v>
      </c>
      <c r="M93" s="246"/>
      <c r="N93" s="247">
        <f t="shared" si="21"/>
        <v>710000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316"/>
      <c r="J94" s="246"/>
      <c r="K94" s="247">
        <f t="shared" si="20"/>
        <v>0</v>
      </c>
      <c r="L94" s="31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316"/>
      <c r="J95" s="246"/>
      <c r="K95" s="247">
        <f t="shared" si="20"/>
        <v>0</v>
      </c>
      <c r="L95" s="31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>
        <v>540000</v>
      </c>
      <c r="D96" s="246"/>
      <c r="E96" s="247">
        <f t="shared" si="15"/>
        <v>540000</v>
      </c>
      <c r="F96" s="246">
        <v>540000</v>
      </c>
      <c r="G96" s="246"/>
      <c r="H96" s="247">
        <f t="shared" si="19"/>
        <v>540000</v>
      </c>
      <c r="I96" s="316">
        <v>540000</v>
      </c>
      <c r="J96" s="246"/>
      <c r="K96" s="247">
        <f t="shared" si="20"/>
        <v>540000</v>
      </c>
      <c r="L96" s="316">
        <v>450000</v>
      </c>
      <c r="M96" s="246"/>
      <c r="N96" s="247">
        <f t="shared" si="21"/>
        <v>450000</v>
      </c>
    </row>
    <row r="97" spans="1:14" x14ac:dyDescent="0.25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316"/>
      <c r="J97" s="246"/>
      <c r="K97" s="247">
        <f t="shared" si="20"/>
        <v>0</v>
      </c>
      <c r="L97" s="316">
        <v>22780</v>
      </c>
      <c r="M97" s="246"/>
      <c r="N97" s="247">
        <f t="shared" si="21"/>
        <v>22780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316"/>
      <c r="J98" s="246"/>
      <c r="K98" s="247">
        <f t="shared" si="20"/>
        <v>0</v>
      </c>
      <c r="L98" s="31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316"/>
      <c r="J99" s="246"/>
      <c r="K99" s="247">
        <f t="shared" si="20"/>
        <v>0</v>
      </c>
      <c r="L99" s="31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316">
        <v>190642</v>
      </c>
      <c r="J100" s="246"/>
      <c r="K100" s="247">
        <f t="shared" si="20"/>
        <v>190642</v>
      </c>
      <c r="L100" s="316">
        <v>190642</v>
      </c>
      <c r="M100" s="246"/>
      <c r="N100" s="247">
        <f t="shared" si="21"/>
        <v>190642</v>
      </c>
    </row>
    <row r="101" spans="1:14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316">
        <f>SUM(I102:I104)</f>
        <v>35238</v>
      </c>
      <c r="J101" s="246">
        <f>SUM(J102:J104)</f>
        <v>0</v>
      </c>
      <c r="K101" s="247">
        <f t="shared" si="20"/>
        <v>35238</v>
      </c>
      <c r="L101" s="316">
        <f>SUM(L102:L104)</f>
        <v>35238</v>
      </c>
      <c r="M101" s="246">
        <f>SUM(M102:M104)</f>
        <v>0</v>
      </c>
      <c r="N101" s="247">
        <f t="shared" si="21"/>
        <v>35238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316"/>
      <c r="J102" s="246"/>
      <c r="K102" s="247">
        <f t="shared" si="20"/>
        <v>0</v>
      </c>
      <c r="L102" s="316"/>
      <c r="M102" s="246"/>
      <c r="N102" s="247">
        <f t="shared" si="21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316"/>
      <c r="J103" s="246"/>
      <c r="K103" s="247">
        <f t="shared" si="20"/>
        <v>0</v>
      </c>
      <c r="L103" s="316"/>
      <c r="M103" s="246"/>
      <c r="N103" s="247">
        <f t="shared" si="21"/>
        <v>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317">
        <v>35238</v>
      </c>
      <c r="J104" s="248"/>
      <c r="K104" s="249">
        <f t="shared" si="20"/>
        <v>35238</v>
      </c>
      <c r="L104" s="317">
        <v>35238</v>
      </c>
      <c r="M104" s="248"/>
      <c r="N104" s="249">
        <f t="shared" si="21"/>
        <v>35238</v>
      </c>
    </row>
    <row r="105" spans="1:14" x14ac:dyDescent="0.25">
      <c r="A105" s="60" t="s">
        <v>191</v>
      </c>
      <c r="B105" s="48" t="s">
        <v>192</v>
      </c>
      <c r="C105" s="244">
        <f>SUM(C106:C110)</f>
        <v>5950554</v>
      </c>
      <c r="D105" s="244">
        <f>SUM(D106:D110)</f>
        <v>0</v>
      </c>
      <c r="E105" s="245">
        <f t="shared" si="15"/>
        <v>5950554</v>
      </c>
      <c r="F105" s="244">
        <f>SUM(F106:F110)</f>
        <v>5950554</v>
      </c>
      <c r="G105" s="244">
        <f>SUM(G106:G110)</f>
        <v>0</v>
      </c>
      <c r="H105" s="245">
        <f t="shared" si="19"/>
        <v>5950554</v>
      </c>
      <c r="I105" s="244">
        <f>SUM(I106:I110)</f>
        <v>6053879</v>
      </c>
      <c r="J105" s="244">
        <f>SUM(J106:J110)</f>
        <v>0</v>
      </c>
      <c r="K105" s="245">
        <f t="shared" si="20"/>
        <v>6053879</v>
      </c>
      <c r="L105" s="244">
        <f>SUM(L106:L110)</f>
        <v>6025500</v>
      </c>
      <c r="M105" s="244">
        <f>SUM(M106:M110)</f>
        <v>0</v>
      </c>
      <c r="N105" s="245">
        <f t="shared" si="21"/>
        <v>6025500</v>
      </c>
    </row>
    <row r="106" spans="1:14" x14ac:dyDescent="0.25">
      <c r="A106" s="61"/>
      <c r="B106" s="62" t="s">
        <v>193</v>
      </c>
      <c r="C106" s="246">
        <v>2962440</v>
      </c>
      <c r="D106" s="246"/>
      <c r="E106" s="247">
        <f t="shared" si="15"/>
        <v>2962440</v>
      </c>
      <c r="F106" s="246">
        <v>2962440</v>
      </c>
      <c r="G106" s="246"/>
      <c r="H106" s="247">
        <f t="shared" si="19"/>
        <v>2962440</v>
      </c>
      <c r="I106" s="246">
        <v>4617581</v>
      </c>
      <c r="J106" s="246"/>
      <c r="K106" s="247">
        <f t="shared" si="20"/>
        <v>4617581</v>
      </c>
      <c r="L106" s="246">
        <v>4617581</v>
      </c>
      <c r="M106" s="246"/>
      <c r="N106" s="247">
        <f t="shared" si="21"/>
        <v>4617581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>
        <v>1688934</v>
      </c>
      <c r="D108" s="246"/>
      <c r="E108" s="247">
        <f t="shared" si="15"/>
        <v>1688934</v>
      </c>
      <c r="F108" s="246">
        <v>1688934</v>
      </c>
      <c r="G108" s="246"/>
      <c r="H108" s="247">
        <f t="shared" si="19"/>
        <v>1688934</v>
      </c>
      <c r="I108" s="246">
        <f>29016+28379</f>
        <v>57395</v>
      </c>
      <c r="J108" s="246"/>
      <c r="K108" s="247">
        <f t="shared" si="20"/>
        <v>57395</v>
      </c>
      <c r="L108" s="246">
        <v>29016</v>
      </c>
      <c r="M108" s="246"/>
      <c r="N108" s="247">
        <f t="shared" si="21"/>
        <v>29016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>
        <v>170601</v>
      </c>
      <c r="J109" s="246"/>
      <c r="K109" s="247">
        <f t="shared" si="20"/>
        <v>170601</v>
      </c>
      <c r="L109" s="246">
        <v>170601</v>
      </c>
      <c r="M109" s="246"/>
      <c r="N109" s="247">
        <f t="shared" si="21"/>
        <v>170601</v>
      </c>
    </row>
    <row r="110" spans="1:14" ht="15.75" thickBot="1" x14ac:dyDescent="0.3">
      <c r="A110" s="63"/>
      <c r="B110" s="64" t="s">
        <v>197</v>
      </c>
      <c r="C110" s="248">
        <v>1299180</v>
      </c>
      <c r="D110" s="248"/>
      <c r="E110" s="249">
        <f t="shared" si="15"/>
        <v>1299180</v>
      </c>
      <c r="F110" s="248">
        <v>1299180</v>
      </c>
      <c r="G110" s="248"/>
      <c r="H110" s="249">
        <f t="shared" si="19"/>
        <v>1299180</v>
      </c>
      <c r="I110" s="248">
        <v>1208302</v>
      </c>
      <c r="J110" s="248"/>
      <c r="K110" s="249">
        <f t="shared" si="20"/>
        <v>1208302</v>
      </c>
      <c r="L110" s="248">
        <v>1208302</v>
      </c>
      <c r="M110" s="248"/>
      <c r="N110" s="249">
        <f t="shared" si="21"/>
        <v>1208302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7638200</v>
      </c>
      <c r="D111" s="244">
        <f>SUM(D112:D113,D114,D123,D122)</f>
        <v>0</v>
      </c>
      <c r="E111" s="245">
        <f t="shared" si="15"/>
        <v>7638200</v>
      </c>
      <c r="F111" s="244">
        <f>SUM(F112:F113,F114,F123,F122)</f>
        <v>7638200</v>
      </c>
      <c r="G111" s="244">
        <f>SUM(G112:G113,G114,G123,G122)</f>
        <v>0</v>
      </c>
      <c r="H111" s="245">
        <f t="shared" si="19"/>
        <v>7638200</v>
      </c>
      <c r="I111" s="244">
        <f>SUM(I112:I113,I114,I123,I122)</f>
        <v>7526006</v>
      </c>
      <c r="J111" s="244">
        <f>SUM(J112:J113,J114,J123,J122)</f>
        <v>0</v>
      </c>
      <c r="K111" s="245">
        <f t="shared" si="20"/>
        <v>7526006</v>
      </c>
      <c r="L111" s="244">
        <f>SUM(L112:L113,L114,L123,L122)</f>
        <v>5445084</v>
      </c>
      <c r="M111" s="244">
        <f>SUM(M112:M113,M114,M123,M122)</f>
        <v>0</v>
      </c>
      <c r="N111" s="245">
        <f t="shared" si="21"/>
        <v>5445084</v>
      </c>
    </row>
    <row r="112" spans="1:14" x14ac:dyDescent="0.25">
      <c r="A112" s="61" t="s">
        <v>199</v>
      </c>
      <c r="B112" s="62" t="s">
        <v>200</v>
      </c>
      <c r="C112" s="246">
        <v>530000</v>
      </c>
      <c r="D112" s="246"/>
      <c r="E112" s="247">
        <f t="shared" si="15"/>
        <v>530000</v>
      </c>
      <c r="F112" s="246">
        <v>530000</v>
      </c>
      <c r="G112" s="246"/>
      <c r="H112" s="247">
        <f t="shared" si="19"/>
        <v>530000</v>
      </c>
      <c r="I112" s="246">
        <v>460000</v>
      </c>
      <c r="J112" s="246"/>
      <c r="K112" s="247">
        <f t="shared" si="20"/>
        <v>460000</v>
      </c>
      <c r="L112" s="246">
        <v>460564</v>
      </c>
      <c r="M112" s="246"/>
      <c r="N112" s="247">
        <f t="shared" si="21"/>
        <v>460564</v>
      </c>
    </row>
    <row r="113" spans="1:14" x14ac:dyDescent="0.25">
      <c r="A113" s="61" t="s">
        <v>201</v>
      </c>
      <c r="B113" s="62" t="s">
        <v>202</v>
      </c>
      <c r="C113" s="246">
        <v>440000</v>
      </c>
      <c r="D113" s="246"/>
      <c r="E113" s="247">
        <f t="shared" si="15"/>
        <v>440000</v>
      </c>
      <c r="F113" s="246">
        <v>440000</v>
      </c>
      <c r="G113" s="246"/>
      <c r="H113" s="247">
        <f t="shared" si="19"/>
        <v>440000</v>
      </c>
      <c r="I113" s="246">
        <v>535000</v>
      </c>
      <c r="J113" s="246"/>
      <c r="K113" s="247">
        <f t="shared" si="20"/>
        <v>535000</v>
      </c>
      <c r="L113" s="246">
        <v>534651</v>
      </c>
      <c r="M113" s="246"/>
      <c r="N113" s="247">
        <f t="shared" si="21"/>
        <v>534651</v>
      </c>
    </row>
    <row r="114" spans="1:14" x14ac:dyDescent="0.25">
      <c r="A114" s="61" t="s">
        <v>203</v>
      </c>
      <c r="B114" s="62" t="s">
        <v>204</v>
      </c>
      <c r="C114" s="246">
        <f>SUM(C115:C121)</f>
        <v>4450000</v>
      </c>
      <c r="D114" s="246">
        <f>SUM(D115:D121)</f>
        <v>0</v>
      </c>
      <c r="E114" s="247">
        <f t="shared" si="15"/>
        <v>4450000</v>
      </c>
      <c r="F114" s="246">
        <f>SUM(F115:F121)</f>
        <v>4450000</v>
      </c>
      <c r="G114" s="246">
        <f>SUM(G115:G121)</f>
        <v>0</v>
      </c>
      <c r="H114" s="247">
        <f t="shared" si="19"/>
        <v>4450000</v>
      </c>
      <c r="I114" s="246">
        <f>SUM(I115:I121)</f>
        <v>4212806</v>
      </c>
      <c r="J114" s="246">
        <f>SUM(J115:J121)</f>
        <v>0</v>
      </c>
      <c r="K114" s="247">
        <f t="shared" si="20"/>
        <v>4212806</v>
      </c>
      <c r="L114" s="246">
        <f>SUM(L115:L121)</f>
        <v>3931074</v>
      </c>
      <c r="M114" s="246">
        <f>SUM(M115:M121)</f>
        <v>0</v>
      </c>
      <c r="N114" s="247">
        <f t="shared" si="21"/>
        <v>3931074</v>
      </c>
    </row>
    <row r="115" spans="1:14" hidden="1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idden="1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idden="1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>
        <v>2700000</v>
      </c>
      <c r="D118" s="246"/>
      <c r="E118" s="247">
        <f t="shared" si="15"/>
        <v>2700000</v>
      </c>
      <c r="F118" s="246">
        <v>2700000</v>
      </c>
      <c r="G118" s="246"/>
      <c r="H118" s="247">
        <f t="shared" si="19"/>
        <v>2700000</v>
      </c>
      <c r="I118" s="246">
        <v>2962806</v>
      </c>
      <c r="J118" s="246"/>
      <c r="K118" s="247">
        <f t="shared" si="20"/>
        <v>2962806</v>
      </c>
      <c r="L118" s="246">
        <v>2689000</v>
      </c>
      <c r="M118" s="246"/>
      <c r="N118" s="247">
        <f t="shared" si="21"/>
        <v>2689000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1750000</v>
      </c>
      <c r="D121" s="246"/>
      <c r="E121" s="247">
        <f t="shared" si="15"/>
        <v>1750000</v>
      </c>
      <c r="F121" s="246">
        <v>1750000</v>
      </c>
      <c r="G121" s="246"/>
      <c r="H121" s="247">
        <f t="shared" si="19"/>
        <v>1750000</v>
      </c>
      <c r="I121" s="246">
        <v>1250000</v>
      </c>
      <c r="J121" s="246"/>
      <c r="K121" s="247">
        <f t="shared" si="20"/>
        <v>1250000</v>
      </c>
      <c r="L121" s="246">
        <v>1242074</v>
      </c>
      <c r="M121" s="246"/>
      <c r="N121" s="247">
        <f t="shared" si="21"/>
        <v>1242074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>
        <v>100000</v>
      </c>
      <c r="J122" s="246"/>
      <c r="K122" s="247">
        <f t="shared" si="20"/>
        <v>100000</v>
      </c>
      <c r="L122" s="246">
        <v>58155</v>
      </c>
      <c r="M122" s="246"/>
      <c r="N122" s="247">
        <f t="shared" si="21"/>
        <v>58155</v>
      </c>
    </row>
    <row r="123" spans="1:14" x14ac:dyDescent="0.25">
      <c r="A123" s="61" t="s">
        <v>221</v>
      </c>
      <c r="B123" s="62" t="s">
        <v>222</v>
      </c>
      <c r="C123" s="246">
        <f>SUM(C124:C126)</f>
        <v>2218200</v>
      </c>
      <c r="D123" s="246">
        <f>SUM(D124:D126)</f>
        <v>0</v>
      </c>
      <c r="E123" s="247">
        <f t="shared" si="15"/>
        <v>2218200</v>
      </c>
      <c r="F123" s="246">
        <f>SUM(F124:F126)</f>
        <v>2218200</v>
      </c>
      <c r="G123" s="246">
        <f>SUM(G124:G126)</f>
        <v>0</v>
      </c>
      <c r="H123" s="247">
        <f t="shared" si="19"/>
        <v>2218200</v>
      </c>
      <c r="I123" s="246">
        <f>SUM(I124:I126)</f>
        <v>2218200</v>
      </c>
      <c r="J123" s="246">
        <f>SUM(J124:J126)</f>
        <v>0</v>
      </c>
      <c r="K123" s="247">
        <f t="shared" si="20"/>
        <v>2218200</v>
      </c>
      <c r="L123" s="246">
        <f>SUM(L124:L126)</f>
        <v>460640</v>
      </c>
      <c r="M123" s="246">
        <f>SUM(M124:M126)</f>
        <v>0</v>
      </c>
      <c r="N123" s="247">
        <f t="shared" si="21"/>
        <v>460640</v>
      </c>
    </row>
    <row r="124" spans="1:14" x14ac:dyDescent="0.25">
      <c r="A124" s="61"/>
      <c r="B124" s="62" t="s">
        <v>223</v>
      </c>
      <c r="C124" s="246">
        <f>(5420000-2520000-240000)*0.27+1500000</f>
        <v>2218200</v>
      </c>
      <c r="D124" s="246"/>
      <c r="E124" s="247">
        <f t="shared" si="15"/>
        <v>2218200</v>
      </c>
      <c r="F124" s="246">
        <f>(5420000-2520000-240000)*0.27+1500000</f>
        <v>2218200</v>
      </c>
      <c r="G124" s="246"/>
      <c r="H124" s="247">
        <f t="shared" si="19"/>
        <v>2218200</v>
      </c>
      <c r="I124" s="246">
        <f>(5420000-2520000-240000)*0.27+1500000</f>
        <v>2218200</v>
      </c>
      <c r="J124" s="246"/>
      <c r="K124" s="247">
        <f t="shared" si="20"/>
        <v>2218200</v>
      </c>
      <c r="L124" s="246">
        <v>457884</v>
      </c>
      <c r="M124" s="246"/>
      <c r="N124" s="247">
        <f t="shared" si="21"/>
        <v>457884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>
        <v>2756</v>
      </c>
      <c r="M126" s="248"/>
      <c r="N126" s="249">
        <f t="shared" si="21"/>
        <v>2756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>
        <v>393701</v>
      </c>
      <c r="D137" s="244"/>
      <c r="E137" s="245">
        <f t="shared" si="15"/>
        <v>393701</v>
      </c>
      <c r="F137" s="244">
        <f>393701+708661</f>
        <v>1102362</v>
      </c>
      <c r="G137" s="244"/>
      <c r="H137" s="245">
        <f t="shared" si="19"/>
        <v>1102362</v>
      </c>
      <c r="I137" s="244">
        <f>393701+708661</f>
        <v>1102362</v>
      </c>
      <c r="J137" s="244"/>
      <c r="K137" s="245">
        <f t="shared" si="20"/>
        <v>1102362</v>
      </c>
      <c r="L137" s="244">
        <v>1138901</v>
      </c>
      <c r="M137" s="244"/>
      <c r="N137" s="245">
        <f t="shared" si="21"/>
        <v>1138901</v>
      </c>
    </row>
    <row r="138" spans="1:14" ht="15.75" thickBot="1" x14ac:dyDescent="0.3">
      <c r="A138" s="63" t="s">
        <v>242</v>
      </c>
      <c r="B138" s="64" t="s">
        <v>243</v>
      </c>
      <c r="C138" s="248">
        <v>106299</v>
      </c>
      <c r="D138" s="248"/>
      <c r="E138" s="249">
        <f t="shared" si="15"/>
        <v>106299</v>
      </c>
      <c r="F138" s="248">
        <f>106299+191339</f>
        <v>297638</v>
      </c>
      <c r="G138" s="248"/>
      <c r="H138" s="249">
        <f t="shared" si="19"/>
        <v>297638</v>
      </c>
      <c r="I138" s="248">
        <f>106299+191339</f>
        <v>297638</v>
      </c>
      <c r="J138" s="248"/>
      <c r="K138" s="249">
        <f t="shared" si="20"/>
        <v>297638</v>
      </c>
      <c r="L138" s="248">
        <v>307503</v>
      </c>
      <c r="M138" s="248"/>
      <c r="N138" s="249">
        <f t="shared" si="21"/>
        <v>307503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>
        <v>7020</v>
      </c>
      <c r="J139" s="244"/>
      <c r="K139" s="245">
        <f t="shared" si="20"/>
        <v>7020</v>
      </c>
      <c r="L139" s="244">
        <v>7020</v>
      </c>
      <c r="M139" s="244"/>
      <c r="N139" s="245">
        <f t="shared" si="21"/>
        <v>7020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>
        <v>1895</v>
      </c>
      <c r="J140" s="248"/>
      <c r="K140" s="249">
        <f t="shared" si="20"/>
        <v>1895</v>
      </c>
      <c r="L140" s="248">
        <v>1895</v>
      </c>
      <c r="M140" s="248"/>
      <c r="N140" s="249">
        <f t="shared" si="21"/>
        <v>1895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29820754</v>
      </c>
      <c r="D142" s="250">
        <f>D141+D140+D139+D138+D137+D128+D127+D111+D105+D88</f>
        <v>0</v>
      </c>
      <c r="E142" s="251">
        <f t="shared" si="15"/>
        <v>29820754</v>
      </c>
      <c r="F142" s="250">
        <f>F141+F140+F139+F138+F137+F128+F127+F111+F105+F88</f>
        <v>30720754</v>
      </c>
      <c r="G142" s="250">
        <f>G141+G140+G139+G138+G137+G128+G127+G111+G105+G88</f>
        <v>0</v>
      </c>
      <c r="H142" s="251">
        <f t="shared" si="19"/>
        <v>30720754</v>
      </c>
      <c r="I142" s="250">
        <f>I141+I140+I139+I138+I137+I128+I127+I111+I105+I88</f>
        <v>31772197</v>
      </c>
      <c r="J142" s="250">
        <f>J141+J140+J139+J138+J137+J128+J127+J111+J105+J88</f>
        <v>0</v>
      </c>
      <c r="K142" s="251">
        <f t="shared" si="20"/>
        <v>31772197</v>
      </c>
      <c r="L142" s="250">
        <f>L141+L140+L139+L138+L137+L128+L127+L111+L105+L88</f>
        <v>29641805</v>
      </c>
      <c r="M142" s="250">
        <f>M141+M140+M139+M138+M137+M128+M127+M111+M105+M88</f>
        <v>0</v>
      </c>
      <c r="N142" s="251">
        <f t="shared" si="21"/>
        <v>29641805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29820754</v>
      </c>
      <c r="D151" s="257">
        <f>D143+D142</f>
        <v>0</v>
      </c>
      <c r="E151" s="258">
        <f>SUM(C151:D151)</f>
        <v>29820754</v>
      </c>
      <c r="F151" s="250">
        <f>F143+F142</f>
        <v>30720754</v>
      </c>
      <c r="G151" s="257">
        <f>G143+G142</f>
        <v>0</v>
      </c>
      <c r="H151" s="258">
        <f>SUM(F151:G151)</f>
        <v>30720754</v>
      </c>
      <c r="I151" s="250">
        <f>I143+I142</f>
        <v>31772197</v>
      </c>
      <c r="J151" s="257">
        <f>J143+J142</f>
        <v>0</v>
      </c>
      <c r="K151" s="258">
        <f>SUM(I151:J151)</f>
        <v>31772197</v>
      </c>
      <c r="L151" s="250">
        <f>L143+L142</f>
        <v>29641805</v>
      </c>
      <c r="M151" s="257">
        <f>M143+M142</f>
        <v>0</v>
      </c>
      <c r="N151" s="258">
        <f>SUM(L151:M151)</f>
        <v>29641805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35179246</v>
      </c>
      <c r="H153" s="148">
        <f>H85-H151</f>
        <v>34279246</v>
      </c>
      <c r="K153" s="148">
        <f>K85-K151</f>
        <v>35418633</v>
      </c>
      <c r="N153" s="148">
        <f>N85-N151</f>
        <v>37810666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1" fitToHeight="0" orientation="portrait" horizontalDpi="300" verticalDpi="300" r:id="rId1"/>
  <headerFoot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N153"/>
  <sheetViews>
    <sheetView zoomScaleNormal="100" workbookViewId="0">
      <pane ySplit="8" topLeftCell="A140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179"/>
    <col min="2" max="2" width="42.85546875" style="179" customWidth="1"/>
    <col min="3" max="4" width="9.140625" style="179"/>
    <col min="5" max="5" width="9.85546875" style="179" customWidth="1"/>
    <col min="6" max="7" width="9.140625" style="179"/>
    <col min="8" max="8" width="9.85546875" style="179" customWidth="1"/>
    <col min="9" max="10" width="9.140625" style="179"/>
    <col min="11" max="11" width="9.85546875" style="179" customWidth="1"/>
    <col min="12" max="13" width="9.140625" style="179"/>
    <col min="14" max="14" width="9.85546875" style="179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x14ac:dyDescent="0.25">
      <c r="A4" s="79" t="s">
        <v>270</v>
      </c>
      <c r="C4" s="45" t="str">
        <f>'7.8 parkoló 045170'!C4</f>
        <v xml:space="preserve"> 12 / 2020. (VI.15) sz rendelet</v>
      </c>
    </row>
    <row r="5" spans="1:14" s="81" customFormat="1" ht="12.75" x14ac:dyDescent="0.2">
      <c r="A5" s="90" t="s">
        <v>551</v>
      </c>
      <c r="B5" s="81" t="s">
        <v>552</v>
      </c>
    </row>
    <row r="6" spans="1:14" x14ac:dyDescent="0.25">
      <c r="C6" s="714" t="s">
        <v>737</v>
      </c>
      <c r="D6" s="622" t="str">
        <f>'7.8 parkoló 045170'!D6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188" t="s">
        <v>160</v>
      </c>
      <c r="B88" s="189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190" t="s">
        <v>163</v>
      </c>
      <c r="B90" s="180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190" t="s">
        <v>165</v>
      </c>
      <c r="B92" s="180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190" t="s">
        <v>167</v>
      </c>
      <c r="B93" s="180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190" t="s">
        <v>169</v>
      </c>
      <c r="B94" s="180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190" t="s">
        <v>171</v>
      </c>
      <c r="B95" s="180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190" t="s">
        <v>173</v>
      </c>
      <c r="B96" s="180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190" t="s">
        <v>175</v>
      </c>
      <c r="B97" s="180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190" t="s">
        <v>177</v>
      </c>
      <c r="B98" s="180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190" t="s">
        <v>179</v>
      </c>
      <c r="B99" s="180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190" t="s">
        <v>181</v>
      </c>
      <c r="B100" s="180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190" t="s">
        <v>185</v>
      </c>
      <c r="B102" s="180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190" t="s">
        <v>187</v>
      </c>
      <c r="B103" s="180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191" t="s">
        <v>189</v>
      </c>
      <c r="B104" s="192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188" t="s">
        <v>191</v>
      </c>
      <c r="B105" s="189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190"/>
      <c r="B106" s="180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357000</v>
      </c>
      <c r="J111" s="244">
        <f>SUM(J112:J113,J114,J123,J122)</f>
        <v>0</v>
      </c>
      <c r="K111" s="245">
        <f t="shared" si="20"/>
        <v>357000</v>
      </c>
      <c r="L111" s="244">
        <f>SUM(L112:L113,L114,L123,L122)</f>
        <v>377175</v>
      </c>
      <c r="M111" s="244">
        <f>SUM(M112:M113,M114,M123,M122)</f>
        <v>0</v>
      </c>
      <c r="N111" s="245">
        <f t="shared" si="21"/>
        <v>377175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>
        <v>100000</v>
      </c>
      <c r="J112" s="246"/>
      <c r="K112" s="247">
        <f t="shared" si="20"/>
        <v>100000</v>
      </c>
      <c r="L112" s="246">
        <v>93500</v>
      </c>
      <c r="M112" s="246"/>
      <c r="N112" s="247">
        <f t="shared" si="21"/>
        <v>93500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137000</v>
      </c>
      <c r="J114" s="246">
        <f>SUM(J115:J121)</f>
        <v>0</v>
      </c>
      <c r="K114" s="247">
        <f t="shared" si="20"/>
        <v>137000</v>
      </c>
      <c r="L114" s="246">
        <f>SUM(L115:L121)</f>
        <v>109000</v>
      </c>
      <c r="M114" s="246">
        <f>SUM(M115:M121)</f>
        <v>0</v>
      </c>
      <c r="N114" s="247">
        <f t="shared" si="21"/>
        <v>109000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>
        <v>100000</v>
      </c>
      <c r="J118" s="246"/>
      <c r="K118" s="247">
        <f t="shared" si="20"/>
        <v>100000</v>
      </c>
      <c r="L118" s="246">
        <v>72000</v>
      </c>
      <c r="M118" s="246"/>
      <c r="N118" s="247">
        <f t="shared" si="21"/>
        <v>72000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>
        <v>37000</v>
      </c>
      <c r="J121" s="246"/>
      <c r="K121" s="247">
        <f t="shared" si="20"/>
        <v>37000</v>
      </c>
      <c r="L121" s="246">
        <v>37000</v>
      </c>
      <c r="M121" s="246"/>
      <c r="N121" s="247">
        <f t="shared" si="21"/>
        <v>37000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120000</v>
      </c>
      <c r="J123" s="246">
        <f>SUM(J124:J126)</f>
        <v>0</v>
      </c>
      <c r="K123" s="247">
        <f t="shared" si="20"/>
        <v>120000</v>
      </c>
      <c r="L123" s="246">
        <f>SUM(L124:L126)</f>
        <v>174675</v>
      </c>
      <c r="M123" s="246">
        <f>SUM(M124:M126)</f>
        <v>0</v>
      </c>
      <c r="N123" s="247">
        <f t="shared" si="21"/>
        <v>174675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>
        <v>54675</v>
      </c>
      <c r="M124" s="246"/>
      <c r="N124" s="247">
        <f t="shared" si="21"/>
        <v>54675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>
        <v>120000</v>
      </c>
      <c r="J126" s="248"/>
      <c r="K126" s="249">
        <f t="shared" si="20"/>
        <v>120000</v>
      </c>
      <c r="L126" s="248">
        <v>120000</v>
      </c>
      <c r="M126" s="248"/>
      <c r="N126" s="249">
        <f t="shared" si="21"/>
        <v>120000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0</v>
      </c>
      <c r="D142" s="250">
        <f>D141+D140+D139+D138+D137+D128+D127+D111+D105+D88</f>
        <v>0</v>
      </c>
      <c r="E142" s="251">
        <f t="shared" si="15"/>
        <v>0</v>
      </c>
      <c r="F142" s="250">
        <f>F141+F140+F139+F138+F137+F128+F127+F111+F105+F88</f>
        <v>0</v>
      </c>
      <c r="G142" s="250">
        <f>G141+G140+G139+G138+G137+G128+G127+G111+G105+G88</f>
        <v>0</v>
      </c>
      <c r="H142" s="251">
        <f t="shared" si="19"/>
        <v>0</v>
      </c>
      <c r="I142" s="250">
        <f>I141+I140+I139+I138+I137+I128+I127+I111+I105+I88</f>
        <v>357000</v>
      </c>
      <c r="J142" s="250">
        <f>J141+J140+J139+J138+J137+J128+J127+J111+J105+J88</f>
        <v>0</v>
      </c>
      <c r="K142" s="251">
        <f t="shared" si="20"/>
        <v>357000</v>
      </c>
      <c r="L142" s="250">
        <f>L141+L140+L139+L138+L137+L128+L127+L111+L105+L88</f>
        <v>377175</v>
      </c>
      <c r="M142" s="250">
        <f>M141+M140+M139+M138+M137+M128+M127+M111+M105+M88</f>
        <v>0</v>
      </c>
      <c r="N142" s="251">
        <f t="shared" si="21"/>
        <v>377175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0</v>
      </c>
      <c r="D151" s="257">
        <f>D143+D142</f>
        <v>0</v>
      </c>
      <c r="E151" s="258">
        <f>SUM(C151:D151)</f>
        <v>0</v>
      </c>
      <c r="F151" s="250">
        <f>F143+F142</f>
        <v>0</v>
      </c>
      <c r="G151" s="257">
        <f>G143+G142</f>
        <v>0</v>
      </c>
      <c r="H151" s="258">
        <f>SUM(F151:G151)</f>
        <v>0</v>
      </c>
      <c r="I151" s="250">
        <f>I143+I142</f>
        <v>357000</v>
      </c>
      <c r="J151" s="257">
        <f>J143+J142</f>
        <v>0</v>
      </c>
      <c r="K151" s="258">
        <f>SUM(I151:J151)</f>
        <v>357000</v>
      </c>
      <c r="L151" s="250">
        <f>L143+L142</f>
        <v>377175</v>
      </c>
      <c r="M151" s="257">
        <f>M143+M142</f>
        <v>0</v>
      </c>
      <c r="N151" s="258">
        <f>SUM(L151:M151)</f>
        <v>377175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0</v>
      </c>
      <c r="H153" s="148">
        <f>H85-H151</f>
        <v>0</v>
      </c>
      <c r="K153" s="148">
        <f>K85-K151</f>
        <v>-357000</v>
      </c>
      <c r="N153" s="148">
        <f>N85-N151</f>
        <v>-377175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9" fitToHeight="0" orientation="portrait" horizontalDpi="300" verticalDpi="300" r:id="rId1"/>
  <headerFoot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E6" sqref="E6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1.42578125" style="44" customWidth="1"/>
    <col min="4" max="4" width="9.140625" style="44"/>
    <col min="5" max="5" width="9.85546875" style="44" customWidth="1"/>
    <col min="6" max="6" width="11.42578125" style="179" customWidth="1"/>
    <col min="7" max="7" width="9.140625" style="179"/>
    <col min="8" max="8" width="9.85546875" style="179" customWidth="1"/>
    <col min="9" max="9" width="11.42578125" style="179" customWidth="1"/>
    <col min="10" max="10" width="9.140625" style="179"/>
    <col min="11" max="11" width="9.85546875" style="179" customWidth="1"/>
    <col min="12" max="12" width="11.42578125" style="179" customWidth="1"/>
    <col min="13" max="13" width="9.140625" style="179"/>
    <col min="14" max="14" width="9.8554687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'7.9 kábeltv 046020'!C4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349</v>
      </c>
      <c r="B5" s="81" t="s">
        <v>12</v>
      </c>
    </row>
    <row r="6" spans="1:14" s="44" customFormat="1" x14ac:dyDescent="0.25">
      <c r="C6" s="714" t="s">
        <v>738</v>
      </c>
      <c r="D6" s="622" t="str">
        <f>'7.9 kábeltv 046020'!D6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365">
        <f>C46+C47+C48+C49+C54+C55+C56+C57+C58+C59+C60</f>
        <v>37000000</v>
      </c>
      <c r="D45" s="244">
        <f>D46+D47+D48+D49+D54+D55+D56+D57+D58+D59+D60</f>
        <v>0</v>
      </c>
      <c r="E45" s="245">
        <f t="shared" si="0"/>
        <v>37000000</v>
      </c>
      <c r="F45" s="365">
        <f>F46+F47+F48+F49+F54+F55+F56+F57+F58+F59+F60</f>
        <v>37000000</v>
      </c>
      <c r="G45" s="244">
        <f>G46+G47+G48+G49+G54+G55+G56+G57+G58+G59+G60</f>
        <v>0</v>
      </c>
      <c r="H45" s="245">
        <f t="shared" si="1"/>
        <v>37000000</v>
      </c>
      <c r="I45" s="365">
        <f>I46+I47+I48+I49+I54+I55+I56+I57+I58+I59+I60</f>
        <v>37000000</v>
      </c>
      <c r="J45" s="244">
        <f>J46+J47+J48+J49+J54+J55+J56+J57+J58+J59+J60</f>
        <v>0</v>
      </c>
      <c r="K45" s="245">
        <f t="shared" si="2"/>
        <v>37000000</v>
      </c>
      <c r="L45" s="365">
        <f>L46+L47+L48+L49+L54+L55+L56+L57+L58+L59+L60</f>
        <v>37532485</v>
      </c>
      <c r="M45" s="244">
        <f>M46+M47+M48+M49+M54+M55+M56+M57+M58+M59+M60</f>
        <v>0</v>
      </c>
      <c r="N45" s="245">
        <f t="shared" si="3"/>
        <v>37532485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>
        <f>32600000+1732283-5000000+3500000</f>
        <v>32832283</v>
      </c>
      <c r="D47" s="246"/>
      <c r="E47" s="247">
        <f t="shared" si="0"/>
        <v>32832283</v>
      </c>
      <c r="F47" s="246">
        <f>32600000+1732283-5000000+3500000</f>
        <v>32832283</v>
      </c>
      <c r="G47" s="246"/>
      <c r="H47" s="247">
        <f t="shared" si="1"/>
        <v>32832283</v>
      </c>
      <c r="I47" s="246">
        <f>32600000+1732283-5000000+3500000</f>
        <v>32832283</v>
      </c>
      <c r="J47" s="246"/>
      <c r="K47" s="247">
        <f t="shared" si="2"/>
        <v>32832283</v>
      </c>
      <c r="L47" s="246">
        <v>33262779</v>
      </c>
      <c r="M47" s="246"/>
      <c r="N47" s="247">
        <f t="shared" si="3"/>
        <v>33262779</v>
      </c>
    </row>
    <row r="48" spans="1:14" x14ac:dyDescent="0.25">
      <c r="A48" s="53" t="s">
        <v>99</v>
      </c>
      <c r="B48" s="62" t="s">
        <v>100</v>
      </c>
      <c r="C48" s="246">
        <v>3400000</v>
      </c>
      <c r="D48" s="246"/>
      <c r="E48" s="247">
        <f t="shared" si="0"/>
        <v>3400000</v>
      </c>
      <c r="F48" s="246">
        <v>3400000</v>
      </c>
      <c r="G48" s="246"/>
      <c r="H48" s="247">
        <f t="shared" si="1"/>
        <v>3400000</v>
      </c>
      <c r="I48" s="246">
        <v>3400000</v>
      </c>
      <c r="J48" s="246"/>
      <c r="K48" s="247">
        <f t="shared" si="2"/>
        <v>3400000</v>
      </c>
      <c r="L48" s="246">
        <v>3540371</v>
      </c>
      <c r="M48" s="246"/>
      <c r="N48" s="247">
        <f t="shared" si="3"/>
        <v>3540371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>
        <v>467717</v>
      </c>
      <c r="D55" s="246"/>
      <c r="E55" s="247">
        <f t="shared" si="0"/>
        <v>467717</v>
      </c>
      <c r="F55" s="246">
        <v>467717</v>
      </c>
      <c r="G55" s="246"/>
      <c r="H55" s="247">
        <f t="shared" si="1"/>
        <v>467717</v>
      </c>
      <c r="I55" s="246">
        <v>467717</v>
      </c>
      <c r="J55" s="246"/>
      <c r="K55" s="247">
        <f t="shared" si="2"/>
        <v>467717</v>
      </c>
      <c r="L55" s="246">
        <v>527358</v>
      </c>
      <c r="M55" s="246"/>
      <c r="N55" s="247">
        <f t="shared" si="3"/>
        <v>527358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>
        <v>166973</v>
      </c>
      <c r="M57" s="246"/>
      <c r="N57" s="247">
        <f t="shared" si="3"/>
        <v>166973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>
        <v>300000</v>
      </c>
      <c r="D60" s="248"/>
      <c r="E60" s="249">
        <f t="shared" si="0"/>
        <v>300000</v>
      </c>
      <c r="F60" s="248">
        <v>300000</v>
      </c>
      <c r="G60" s="248"/>
      <c r="H60" s="249">
        <f t="shared" si="1"/>
        <v>300000</v>
      </c>
      <c r="I60" s="248">
        <v>300000</v>
      </c>
      <c r="J60" s="248"/>
      <c r="K60" s="249">
        <f t="shared" si="2"/>
        <v>300000</v>
      </c>
      <c r="L60" s="248">
        <v>35004</v>
      </c>
      <c r="M60" s="248"/>
      <c r="N60" s="249">
        <f t="shared" si="3"/>
        <v>35004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37000000</v>
      </c>
      <c r="D73" s="250">
        <f>D9+D22+D25+D45+D61+D67+D70</f>
        <v>0</v>
      </c>
      <c r="E73" s="251">
        <f t="shared" si="0"/>
        <v>37000000</v>
      </c>
      <c r="F73" s="250">
        <f>F9+F22+F25+F45+F61+F67+F70</f>
        <v>37000000</v>
      </c>
      <c r="G73" s="250">
        <f>G9+G22+G25+G45+G61+G67+G70</f>
        <v>0</v>
      </c>
      <c r="H73" s="251">
        <f t="shared" si="1"/>
        <v>37000000</v>
      </c>
      <c r="I73" s="250">
        <f>I9+I22+I25+I45+I61+I67+I70</f>
        <v>37000000</v>
      </c>
      <c r="J73" s="250">
        <f>J9+J22+J25+J45+J61+J67+J70</f>
        <v>0</v>
      </c>
      <c r="K73" s="251">
        <f t="shared" si="2"/>
        <v>37000000</v>
      </c>
      <c r="L73" s="250">
        <f>L9+L22+L25+L45+L61+L67+L70</f>
        <v>37532485</v>
      </c>
      <c r="M73" s="250">
        <f>M9+M22+M25+M45+M61+M67+M70</f>
        <v>0</v>
      </c>
      <c r="N73" s="251">
        <f t="shared" si="3"/>
        <v>37532485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37000000</v>
      </c>
      <c r="D85" s="250">
        <f>D73+D74</f>
        <v>0</v>
      </c>
      <c r="E85" s="251">
        <f t="shared" si="4"/>
        <v>37000000</v>
      </c>
      <c r="F85" s="250">
        <f>F73+F74</f>
        <v>37000000</v>
      </c>
      <c r="G85" s="250">
        <f>G73+G74</f>
        <v>0</v>
      </c>
      <c r="H85" s="251">
        <f t="shared" si="12"/>
        <v>37000000</v>
      </c>
      <c r="I85" s="250">
        <f>I73+I74</f>
        <v>37000000</v>
      </c>
      <c r="J85" s="250">
        <f>J73+J74</f>
        <v>0</v>
      </c>
      <c r="K85" s="251">
        <f t="shared" si="13"/>
        <v>37000000</v>
      </c>
      <c r="L85" s="250">
        <f>L73+L74</f>
        <v>37532485</v>
      </c>
      <c r="M85" s="250">
        <f>M73+M74</f>
        <v>0</v>
      </c>
      <c r="N85" s="251">
        <f t="shared" si="14"/>
        <v>37532485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10273920</v>
      </c>
      <c r="D88" s="244">
        <f>D89+D101</f>
        <v>0</v>
      </c>
      <c r="E88" s="253">
        <f t="shared" ref="E88:E150" si="15">SUM(C88:D88)</f>
        <v>10273920</v>
      </c>
      <c r="F88" s="244">
        <f>F89+F101</f>
        <v>10273920</v>
      </c>
      <c r="G88" s="244">
        <f>G89+G101</f>
        <v>0</v>
      </c>
      <c r="H88" s="253">
        <f t="shared" ref="H88:H90" si="16">SUM(F88:G88)</f>
        <v>10273920</v>
      </c>
      <c r="I88" s="244">
        <f>I89+I101</f>
        <v>10085017</v>
      </c>
      <c r="J88" s="244">
        <f>J89+J101</f>
        <v>0</v>
      </c>
      <c r="K88" s="253">
        <f t="shared" ref="K88:K90" si="17">SUM(I88:J88)</f>
        <v>10085017</v>
      </c>
      <c r="L88" s="244">
        <f>L89+L101</f>
        <v>9958628</v>
      </c>
      <c r="M88" s="244">
        <f>M89+M101</f>
        <v>0</v>
      </c>
      <c r="N88" s="253">
        <f t="shared" ref="N88:N90" si="18">SUM(L88:M88)</f>
        <v>9958628</v>
      </c>
    </row>
    <row r="89" spans="1:14" x14ac:dyDescent="0.25">
      <c r="A89" s="61" t="s">
        <v>161</v>
      </c>
      <c r="B89" s="62" t="s">
        <v>162</v>
      </c>
      <c r="C89" s="246">
        <f>SUM(C90:C100)</f>
        <v>10273920</v>
      </c>
      <c r="D89" s="246">
        <f>SUM(D90:D100)</f>
        <v>0</v>
      </c>
      <c r="E89" s="247">
        <f t="shared" si="15"/>
        <v>10273920</v>
      </c>
      <c r="F89" s="246">
        <f>SUM(F90:F100)</f>
        <v>10273920</v>
      </c>
      <c r="G89" s="246">
        <f>SUM(G90:G100)</f>
        <v>0</v>
      </c>
      <c r="H89" s="247">
        <f t="shared" si="16"/>
        <v>10273920</v>
      </c>
      <c r="I89" s="246">
        <f>SUM(I90:I100)</f>
        <v>10074017</v>
      </c>
      <c r="J89" s="246">
        <f>SUM(J90:J100)</f>
        <v>0</v>
      </c>
      <c r="K89" s="247">
        <f t="shared" si="17"/>
        <v>10074017</v>
      </c>
      <c r="L89" s="246">
        <f>SUM(L90:L100)</f>
        <v>9948095</v>
      </c>
      <c r="M89" s="246">
        <f>SUM(M90:M100)</f>
        <v>0</v>
      </c>
      <c r="N89" s="247">
        <f t="shared" si="18"/>
        <v>9948095</v>
      </c>
    </row>
    <row r="90" spans="1:14" x14ac:dyDescent="0.25">
      <c r="A90" s="61" t="s">
        <v>163</v>
      </c>
      <c r="B90" s="62" t="s">
        <v>164</v>
      </c>
      <c r="C90" s="246">
        <v>9150000</v>
      </c>
      <c r="D90" s="246"/>
      <c r="E90" s="247">
        <f t="shared" si="15"/>
        <v>9150000</v>
      </c>
      <c r="F90" s="246">
        <v>9150000</v>
      </c>
      <c r="G90" s="246"/>
      <c r="H90" s="247">
        <f t="shared" si="16"/>
        <v>9150000</v>
      </c>
      <c r="I90" s="316">
        <v>8627162</v>
      </c>
      <c r="J90" s="316"/>
      <c r="K90" s="247">
        <f t="shared" si="17"/>
        <v>8627162</v>
      </c>
      <c r="L90" s="316">
        <v>8627162</v>
      </c>
      <c r="M90" s="316"/>
      <c r="N90" s="247">
        <f t="shared" si="18"/>
        <v>8627162</v>
      </c>
    </row>
    <row r="91" spans="1:14" s="179" customFormat="1" x14ac:dyDescent="0.25">
      <c r="A91" s="190" t="s">
        <v>533</v>
      </c>
      <c r="B91" s="180" t="s">
        <v>534</v>
      </c>
      <c r="C91" s="246">
        <v>500000</v>
      </c>
      <c r="D91" s="246"/>
      <c r="E91" s="247"/>
      <c r="F91" s="246">
        <v>500000</v>
      </c>
      <c r="G91" s="246"/>
      <c r="H91" s="247"/>
      <c r="I91" s="316">
        <v>202233</v>
      </c>
      <c r="J91" s="316"/>
      <c r="K91" s="247"/>
      <c r="L91" s="316">
        <v>142048</v>
      </c>
      <c r="M91" s="316"/>
      <c r="N91" s="247"/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316"/>
      <c r="J92" s="316"/>
      <c r="K92" s="247">
        <f t="shared" ref="K92:K145" si="20">SUM(I92:J92)</f>
        <v>0</v>
      </c>
      <c r="L92" s="316"/>
      <c r="M92" s="316"/>
      <c r="N92" s="247">
        <f t="shared" ref="N92:N145" si="21">SUM(L92:M92)</f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316">
        <v>308226</v>
      </c>
      <c r="J93" s="316"/>
      <c r="K93" s="247">
        <f t="shared" si="20"/>
        <v>308226</v>
      </c>
      <c r="L93" s="316">
        <v>308226</v>
      </c>
      <c r="M93" s="316"/>
      <c r="N93" s="247">
        <f t="shared" si="21"/>
        <v>308226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316"/>
      <c r="J94" s="316"/>
      <c r="K94" s="247">
        <f t="shared" si="20"/>
        <v>0</v>
      </c>
      <c r="L94" s="316"/>
      <c r="M94" s="31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316"/>
      <c r="J95" s="316"/>
      <c r="K95" s="247">
        <f t="shared" si="20"/>
        <v>0</v>
      </c>
      <c r="L95" s="316"/>
      <c r="M95" s="31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>
        <v>450000</v>
      </c>
      <c r="D96" s="246"/>
      <c r="E96" s="247">
        <f t="shared" si="15"/>
        <v>450000</v>
      </c>
      <c r="F96" s="246">
        <v>450000</v>
      </c>
      <c r="G96" s="246"/>
      <c r="H96" s="247">
        <f t="shared" si="19"/>
        <v>450000</v>
      </c>
      <c r="I96" s="316">
        <v>450000</v>
      </c>
      <c r="J96" s="316"/>
      <c r="K96" s="247">
        <f t="shared" si="20"/>
        <v>450000</v>
      </c>
      <c r="L96" s="316">
        <v>388033</v>
      </c>
      <c r="M96" s="316"/>
      <c r="N96" s="247">
        <f t="shared" si="21"/>
        <v>388033</v>
      </c>
    </row>
    <row r="97" spans="1:14" x14ac:dyDescent="0.25">
      <c r="A97" s="61" t="s">
        <v>175</v>
      </c>
      <c r="B97" s="62" t="s">
        <v>176</v>
      </c>
      <c r="C97" s="246">
        <v>173920</v>
      </c>
      <c r="D97" s="246"/>
      <c r="E97" s="247">
        <f t="shared" si="15"/>
        <v>173920</v>
      </c>
      <c r="F97" s="246">
        <v>173920</v>
      </c>
      <c r="G97" s="246"/>
      <c r="H97" s="247">
        <f t="shared" si="19"/>
        <v>173920</v>
      </c>
      <c r="I97" s="316">
        <f>173920-160000</f>
        <v>13920</v>
      </c>
      <c r="J97" s="316"/>
      <c r="K97" s="247">
        <f t="shared" si="20"/>
        <v>13920</v>
      </c>
      <c r="L97" s="316">
        <v>10150</v>
      </c>
      <c r="M97" s="316"/>
      <c r="N97" s="247">
        <f t="shared" si="21"/>
        <v>10150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316"/>
      <c r="J98" s="316"/>
      <c r="K98" s="247">
        <f t="shared" si="20"/>
        <v>0</v>
      </c>
      <c r="L98" s="316"/>
      <c r="M98" s="31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316"/>
      <c r="J99" s="316"/>
      <c r="K99" s="247">
        <f t="shared" si="20"/>
        <v>0</v>
      </c>
      <c r="L99" s="316"/>
      <c r="M99" s="31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316">
        <v>472476</v>
      </c>
      <c r="J100" s="316"/>
      <c r="K100" s="247">
        <f t="shared" si="20"/>
        <v>472476</v>
      </c>
      <c r="L100" s="316">
        <v>472476</v>
      </c>
      <c r="M100" s="316"/>
      <c r="N100" s="247">
        <f t="shared" si="21"/>
        <v>472476</v>
      </c>
    </row>
    <row r="101" spans="1:14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316">
        <f>SUM(I102:I104)</f>
        <v>11000</v>
      </c>
      <c r="J101" s="316">
        <f>SUM(J102:J104)</f>
        <v>0</v>
      </c>
      <c r="K101" s="247">
        <f t="shared" si="20"/>
        <v>11000</v>
      </c>
      <c r="L101" s="316">
        <f>SUM(L102:L104)</f>
        <v>10533</v>
      </c>
      <c r="M101" s="316">
        <f>SUM(M102:M104)</f>
        <v>0</v>
      </c>
      <c r="N101" s="247">
        <f t="shared" si="21"/>
        <v>10533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317">
        <v>11000</v>
      </c>
      <c r="J104" s="248"/>
      <c r="K104" s="249">
        <f t="shared" si="20"/>
        <v>11000</v>
      </c>
      <c r="L104" s="317">
        <v>10533</v>
      </c>
      <c r="M104" s="248"/>
      <c r="N104" s="249">
        <f t="shared" si="21"/>
        <v>10533</v>
      </c>
    </row>
    <row r="105" spans="1:14" x14ac:dyDescent="0.25">
      <c r="A105" s="60" t="s">
        <v>191</v>
      </c>
      <c r="B105" s="48" t="s">
        <v>192</v>
      </c>
      <c r="C105" s="244">
        <f>SUM(C106:C110)</f>
        <v>2064945</v>
      </c>
      <c r="D105" s="244">
        <f>SUM(D106:D110)</f>
        <v>0</v>
      </c>
      <c r="E105" s="245">
        <f t="shared" si="15"/>
        <v>2064945</v>
      </c>
      <c r="F105" s="244">
        <f>SUM(F106:F110)</f>
        <v>2064945</v>
      </c>
      <c r="G105" s="244">
        <f>SUM(G106:G110)</f>
        <v>0</v>
      </c>
      <c r="H105" s="245">
        <f t="shared" si="19"/>
        <v>2064945</v>
      </c>
      <c r="I105" s="244">
        <f>SUM(I106:I110)</f>
        <v>1999683</v>
      </c>
      <c r="J105" s="244">
        <f>SUM(J106:J110)</f>
        <v>0</v>
      </c>
      <c r="K105" s="245">
        <f t="shared" si="20"/>
        <v>1999683</v>
      </c>
      <c r="L105" s="244">
        <f>SUM(L106:L110)</f>
        <v>1999683</v>
      </c>
      <c r="M105" s="244">
        <f>SUM(M106:M110)</f>
        <v>0</v>
      </c>
      <c r="N105" s="245">
        <f t="shared" si="21"/>
        <v>1999683</v>
      </c>
    </row>
    <row r="106" spans="1:14" x14ac:dyDescent="0.25">
      <c r="A106" s="61"/>
      <c r="B106" s="62" t="s">
        <v>193</v>
      </c>
      <c r="C106" s="336">
        <v>1881750</v>
      </c>
      <c r="D106" s="246"/>
      <c r="E106" s="247">
        <f t="shared" si="15"/>
        <v>1881750</v>
      </c>
      <c r="F106" s="336">
        <v>1881750</v>
      </c>
      <c r="G106" s="246"/>
      <c r="H106" s="247">
        <f t="shared" si="19"/>
        <v>1881750</v>
      </c>
      <c r="I106" s="336">
        <v>1754124</v>
      </c>
      <c r="J106" s="246"/>
      <c r="K106" s="247">
        <f t="shared" si="20"/>
        <v>1754124</v>
      </c>
      <c r="L106" s="336">
        <v>1754124</v>
      </c>
      <c r="M106" s="246"/>
      <c r="N106" s="247">
        <f t="shared" si="21"/>
        <v>1754124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>
        <v>103545</v>
      </c>
      <c r="D108" s="246"/>
      <c r="E108" s="247">
        <f t="shared" si="15"/>
        <v>103545</v>
      </c>
      <c r="F108" s="246">
        <v>103545</v>
      </c>
      <c r="G108" s="246"/>
      <c r="H108" s="247">
        <f t="shared" si="19"/>
        <v>103545</v>
      </c>
      <c r="I108" s="246">
        <v>15635</v>
      </c>
      <c r="J108" s="246"/>
      <c r="K108" s="247">
        <f t="shared" si="20"/>
        <v>15635</v>
      </c>
      <c r="L108" s="246">
        <v>15635</v>
      </c>
      <c r="M108" s="246"/>
      <c r="N108" s="247">
        <f t="shared" si="21"/>
        <v>15635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>
        <v>216649</v>
      </c>
      <c r="J109" s="246"/>
      <c r="K109" s="247">
        <f t="shared" si="20"/>
        <v>216649</v>
      </c>
      <c r="L109" s="246">
        <v>216649</v>
      </c>
      <c r="M109" s="246"/>
      <c r="N109" s="247">
        <f t="shared" si="21"/>
        <v>216649</v>
      </c>
    </row>
    <row r="110" spans="1:14" ht="15.75" thickBot="1" x14ac:dyDescent="0.3">
      <c r="A110" s="63"/>
      <c r="B110" s="64" t="s">
        <v>197</v>
      </c>
      <c r="C110" s="248">
        <v>79650</v>
      </c>
      <c r="D110" s="248"/>
      <c r="E110" s="249">
        <f t="shared" si="15"/>
        <v>79650</v>
      </c>
      <c r="F110" s="248">
        <v>79650</v>
      </c>
      <c r="G110" s="248"/>
      <c r="H110" s="249">
        <f t="shared" si="19"/>
        <v>79650</v>
      </c>
      <c r="I110" s="248">
        <v>13275</v>
      </c>
      <c r="J110" s="248"/>
      <c r="K110" s="249">
        <f t="shared" si="20"/>
        <v>13275</v>
      </c>
      <c r="L110" s="248">
        <v>13275</v>
      </c>
      <c r="M110" s="248"/>
      <c r="N110" s="249">
        <f t="shared" si="21"/>
        <v>13275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9685200</v>
      </c>
      <c r="D111" s="244">
        <f>SUM(D112:D113,D114,D123,D122)</f>
        <v>0</v>
      </c>
      <c r="E111" s="245">
        <f t="shared" si="15"/>
        <v>9685200</v>
      </c>
      <c r="F111" s="244">
        <f>SUM(F112:F113,F114,F123,F122)</f>
        <v>9685200</v>
      </c>
      <c r="G111" s="244">
        <f>SUM(G112:G113,G114,G123,G122)</f>
        <v>0</v>
      </c>
      <c r="H111" s="245">
        <f t="shared" si="19"/>
        <v>9685200</v>
      </c>
      <c r="I111" s="244">
        <f>SUM(I112:I113,I114,I123,I122)</f>
        <v>14025200</v>
      </c>
      <c r="J111" s="244">
        <f>SUM(J112:J113,J114,J123,J122)</f>
        <v>0</v>
      </c>
      <c r="K111" s="245">
        <f t="shared" si="20"/>
        <v>14025200</v>
      </c>
      <c r="L111" s="244">
        <f>SUM(L112:L113,L114,L123,L122)</f>
        <v>11163959</v>
      </c>
      <c r="M111" s="244">
        <f>SUM(M112:M113,M114,M123,M122)</f>
        <v>0</v>
      </c>
      <c r="N111" s="245">
        <f t="shared" si="21"/>
        <v>11163959</v>
      </c>
    </row>
    <row r="112" spans="1:14" x14ac:dyDescent="0.25">
      <c r="A112" s="61" t="s">
        <v>199</v>
      </c>
      <c r="B112" s="62" t="s">
        <v>200</v>
      </c>
      <c r="C112" s="246">
        <v>720000</v>
      </c>
      <c r="D112" s="246"/>
      <c r="E112" s="247">
        <f t="shared" si="15"/>
        <v>720000</v>
      </c>
      <c r="F112" s="246">
        <v>720000</v>
      </c>
      <c r="G112" s="246"/>
      <c r="H112" s="247">
        <f t="shared" si="19"/>
        <v>720000</v>
      </c>
      <c r="I112" s="246">
        <v>870000</v>
      </c>
      <c r="J112" s="246"/>
      <c r="K112" s="247">
        <f t="shared" si="20"/>
        <v>870000</v>
      </c>
      <c r="L112" s="246">
        <v>866476</v>
      </c>
      <c r="M112" s="246"/>
      <c r="N112" s="247">
        <f t="shared" si="21"/>
        <v>866476</v>
      </c>
    </row>
    <row r="113" spans="1:14" x14ac:dyDescent="0.25">
      <c r="A113" s="61" t="s">
        <v>201</v>
      </c>
      <c r="B113" s="62" t="s">
        <v>202</v>
      </c>
      <c r="C113" s="246">
        <v>160000</v>
      </c>
      <c r="D113" s="246"/>
      <c r="E113" s="247">
        <f t="shared" si="15"/>
        <v>160000</v>
      </c>
      <c r="F113" s="246">
        <v>160000</v>
      </c>
      <c r="G113" s="246"/>
      <c r="H113" s="247">
        <f t="shared" si="19"/>
        <v>160000</v>
      </c>
      <c r="I113" s="246">
        <v>160000</v>
      </c>
      <c r="J113" s="246"/>
      <c r="K113" s="247">
        <f t="shared" si="20"/>
        <v>160000</v>
      </c>
      <c r="L113" s="246">
        <v>159300</v>
      </c>
      <c r="M113" s="246"/>
      <c r="N113" s="247">
        <f t="shared" si="21"/>
        <v>159300</v>
      </c>
    </row>
    <row r="114" spans="1:14" x14ac:dyDescent="0.25">
      <c r="A114" s="61" t="s">
        <v>203</v>
      </c>
      <c r="B114" s="62" t="s">
        <v>204</v>
      </c>
      <c r="C114" s="246">
        <f>SUM(C115:C121)</f>
        <v>6980000</v>
      </c>
      <c r="D114" s="246">
        <f>SUM(D115:D121)</f>
        <v>0</v>
      </c>
      <c r="E114" s="247">
        <f t="shared" si="15"/>
        <v>6980000</v>
      </c>
      <c r="F114" s="246">
        <f>SUM(F115:F121)</f>
        <v>6980000</v>
      </c>
      <c r="G114" s="246">
        <f>SUM(G115:G121)</f>
        <v>0</v>
      </c>
      <c r="H114" s="247">
        <f t="shared" si="19"/>
        <v>6980000</v>
      </c>
      <c r="I114" s="246">
        <f>SUM(I115:I121)</f>
        <v>11170000</v>
      </c>
      <c r="J114" s="246">
        <f>SUM(J115:J121)</f>
        <v>0</v>
      </c>
      <c r="K114" s="247">
        <f t="shared" si="20"/>
        <v>11170000</v>
      </c>
      <c r="L114" s="246">
        <f>SUM(L115:L121)</f>
        <v>8209447</v>
      </c>
      <c r="M114" s="246">
        <f>SUM(M115:M121)</f>
        <v>0</v>
      </c>
      <c r="N114" s="247">
        <f t="shared" si="21"/>
        <v>8209447</v>
      </c>
    </row>
    <row r="115" spans="1:14" x14ac:dyDescent="0.25">
      <c r="A115" s="61" t="s">
        <v>205</v>
      </c>
      <c r="B115" s="62" t="s">
        <v>206</v>
      </c>
      <c r="C115" s="246">
        <v>6170000</v>
      </c>
      <c r="D115" s="246"/>
      <c r="E115" s="247">
        <f t="shared" si="15"/>
        <v>6170000</v>
      </c>
      <c r="F115" s="246">
        <v>6170000</v>
      </c>
      <c r="G115" s="246"/>
      <c r="H115" s="247">
        <f t="shared" si="19"/>
        <v>6170000</v>
      </c>
      <c r="I115" s="246">
        <v>8170000</v>
      </c>
      <c r="J115" s="246"/>
      <c r="K115" s="247">
        <f t="shared" si="20"/>
        <v>8170000</v>
      </c>
      <c r="L115" s="246">
        <v>5464480</v>
      </c>
      <c r="M115" s="246"/>
      <c r="N115" s="247">
        <f t="shared" si="21"/>
        <v>5464480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>
        <v>30000</v>
      </c>
      <c r="D118" s="246"/>
      <c r="E118" s="247">
        <f t="shared" si="15"/>
        <v>30000</v>
      </c>
      <c r="F118" s="246">
        <v>30000</v>
      </c>
      <c r="G118" s="246"/>
      <c r="H118" s="247">
        <f t="shared" si="19"/>
        <v>30000</v>
      </c>
      <c r="I118" s="246">
        <v>600000</v>
      </c>
      <c r="J118" s="246"/>
      <c r="K118" s="247">
        <f t="shared" si="20"/>
        <v>600000</v>
      </c>
      <c r="L118" s="246">
        <v>342562</v>
      </c>
      <c r="M118" s="246"/>
      <c r="N118" s="247">
        <f t="shared" si="21"/>
        <v>342562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780000</v>
      </c>
      <c r="D121" s="246"/>
      <c r="E121" s="247">
        <f t="shared" si="15"/>
        <v>780000</v>
      </c>
      <c r="F121" s="246">
        <v>780000</v>
      </c>
      <c r="G121" s="246"/>
      <c r="H121" s="247">
        <f t="shared" si="19"/>
        <v>780000</v>
      </c>
      <c r="I121" s="246">
        <v>2400000</v>
      </c>
      <c r="J121" s="246"/>
      <c r="K121" s="247">
        <f t="shared" si="20"/>
        <v>2400000</v>
      </c>
      <c r="L121" s="246">
        <v>2402405</v>
      </c>
      <c r="M121" s="246"/>
      <c r="N121" s="247">
        <f t="shared" si="21"/>
        <v>2402405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1825200.0000000002</v>
      </c>
      <c r="D123" s="246">
        <f>SUM(D124:D126)</f>
        <v>0</v>
      </c>
      <c r="E123" s="247">
        <f t="shared" si="15"/>
        <v>1825200.0000000002</v>
      </c>
      <c r="F123" s="246">
        <f>SUM(F124:F126)</f>
        <v>1825200.0000000002</v>
      </c>
      <c r="G123" s="246">
        <f>SUM(G124:G126)</f>
        <v>0</v>
      </c>
      <c r="H123" s="247">
        <f t="shared" si="19"/>
        <v>1825200.0000000002</v>
      </c>
      <c r="I123" s="246">
        <f>SUM(I124:I126)</f>
        <v>1825200.0000000002</v>
      </c>
      <c r="J123" s="246">
        <f>SUM(J124:J126)</f>
        <v>0</v>
      </c>
      <c r="K123" s="247">
        <f t="shared" si="20"/>
        <v>1825200.0000000002</v>
      </c>
      <c r="L123" s="246">
        <f>SUM(L124:L126)</f>
        <v>1928736</v>
      </c>
      <c r="M123" s="246">
        <f>SUM(M124:M126)</f>
        <v>0</v>
      </c>
      <c r="N123" s="247">
        <f t="shared" si="21"/>
        <v>1928736</v>
      </c>
    </row>
    <row r="124" spans="1:14" x14ac:dyDescent="0.25">
      <c r="A124" s="61"/>
      <c r="B124" s="62" t="s">
        <v>223</v>
      </c>
      <c r="C124" s="246">
        <f>(7860000-1100000)*0.27</f>
        <v>1825200.0000000002</v>
      </c>
      <c r="D124" s="246"/>
      <c r="E124" s="247">
        <f t="shared" si="15"/>
        <v>1825200.0000000002</v>
      </c>
      <c r="F124" s="246">
        <f>(7860000-1100000)*0.27</f>
        <v>1825200.0000000002</v>
      </c>
      <c r="G124" s="246"/>
      <c r="H124" s="247">
        <f t="shared" si="19"/>
        <v>1825200.0000000002</v>
      </c>
      <c r="I124" s="246">
        <f>(7860000-1100000)*0.27</f>
        <v>1825200.0000000002</v>
      </c>
      <c r="J124" s="246"/>
      <c r="K124" s="247">
        <f t="shared" si="20"/>
        <v>1825200.0000000002</v>
      </c>
      <c r="L124" s="246">
        <v>1928394</v>
      </c>
      <c r="M124" s="246"/>
      <c r="N124" s="247">
        <f t="shared" si="21"/>
        <v>1928394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>
        <v>342</v>
      </c>
      <c r="M126" s="248"/>
      <c r="N126" s="249">
        <f t="shared" si="21"/>
        <v>342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>
        <v>82000</v>
      </c>
      <c r="J137" s="244"/>
      <c r="K137" s="245">
        <f t="shared" si="20"/>
        <v>82000</v>
      </c>
      <c r="L137" s="244">
        <v>82000</v>
      </c>
      <c r="M137" s="244"/>
      <c r="N137" s="245">
        <f t="shared" si="21"/>
        <v>82000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>
        <v>22140</v>
      </c>
      <c r="J138" s="248"/>
      <c r="K138" s="249">
        <f t="shared" si="20"/>
        <v>22140</v>
      </c>
      <c r="L138" s="248">
        <v>22140</v>
      </c>
      <c r="M138" s="248"/>
      <c r="N138" s="249">
        <f t="shared" si="21"/>
        <v>22140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22024065</v>
      </c>
      <c r="D142" s="250">
        <f>D141+D140+D139+D138+D137+D128+D127+D111+D105+D88</f>
        <v>0</v>
      </c>
      <c r="E142" s="251">
        <f t="shared" si="15"/>
        <v>22024065</v>
      </c>
      <c r="F142" s="250">
        <f>F141+F140+F139+F138+F137+F128+F127+F111+F105+F88</f>
        <v>22024065</v>
      </c>
      <c r="G142" s="250">
        <f>G141+G140+G139+G138+G137+G128+G127+G111+G105+G88</f>
        <v>0</v>
      </c>
      <c r="H142" s="251">
        <f t="shared" si="19"/>
        <v>22024065</v>
      </c>
      <c r="I142" s="250">
        <f>I141+I140+I139+I138+I137+I128+I127+I111+I105+I88</f>
        <v>26214040</v>
      </c>
      <c r="J142" s="250">
        <f>J141+J140+J139+J138+J137+J128+J127+J111+J105+J88</f>
        <v>0</v>
      </c>
      <c r="K142" s="251">
        <f t="shared" si="20"/>
        <v>26214040</v>
      </c>
      <c r="L142" s="250">
        <f>L141+L140+L139+L138+L137+L128+L127+L111+L105+L88</f>
        <v>23226410</v>
      </c>
      <c r="M142" s="250">
        <f>M141+M140+M139+M138+M137+M128+M127+M111+M105+M88</f>
        <v>0</v>
      </c>
      <c r="N142" s="251">
        <f t="shared" si="21"/>
        <v>23226410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22024065</v>
      </c>
      <c r="D151" s="257">
        <f>D143+D142</f>
        <v>0</v>
      </c>
      <c r="E151" s="258">
        <f>SUM(C151:D151)</f>
        <v>22024065</v>
      </c>
      <c r="F151" s="250">
        <f>F143+F142</f>
        <v>22024065</v>
      </c>
      <c r="G151" s="257">
        <f>G143+G142</f>
        <v>0</v>
      </c>
      <c r="H151" s="258">
        <f>SUM(F151:G151)</f>
        <v>22024065</v>
      </c>
      <c r="I151" s="250">
        <f>I143+I142</f>
        <v>26214040</v>
      </c>
      <c r="J151" s="257">
        <f>J143+J142</f>
        <v>0</v>
      </c>
      <c r="K151" s="258">
        <f>SUM(I151:J151)</f>
        <v>26214040</v>
      </c>
      <c r="L151" s="250">
        <f>L143+L142</f>
        <v>23226410</v>
      </c>
      <c r="M151" s="257">
        <f>M143+M142</f>
        <v>0</v>
      </c>
      <c r="N151" s="258">
        <f>SUM(L151:M151)</f>
        <v>23226410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14975935</v>
      </c>
      <c r="H153" s="148">
        <f>H85-H151</f>
        <v>14975935</v>
      </c>
      <c r="K153" s="148">
        <f>K85-K151</f>
        <v>10785960</v>
      </c>
      <c r="N153" s="148">
        <f>N85-N151</f>
        <v>14306075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1" orientation="portrait" horizontalDpi="300" verticalDpi="300" r:id="rId1"/>
  <headerFoot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153"/>
  <sheetViews>
    <sheetView zoomScaleNormal="100" workbookViewId="0">
      <pane ySplit="8" topLeftCell="A151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4" width="9.85546875" style="44" bestFit="1" customWidth="1"/>
    <col min="5" max="5" width="10.7109375" style="44" customWidth="1"/>
    <col min="6" max="7" width="9.85546875" style="179" bestFit="1" customWidth="1"/>
    <col min="8" max="8" width="10.7109375" style="179" customWidth="1"/>
    <col min="9" max="10" width="9.85546875" style="179" bestFit="1" customWidth="1"/>
    <col min="11" max="11" width="10.7109375" style="179" customWidth="1"/>
    <col min="12" max="13" width="9.85546875" style="179" bestFit="1" customWidth="1"/>
    <col min="14" max="14" width="10.710937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6" customHeight="1" x14ac:dyDescent="0.2"/>
    <row r="4" spans="1:14" s="44" customFormat="1" x14ac:dyDescent="0.25">
      <c r="A4" s="79" t="s">
        <v>270</v>
      </c>
      <c r="C4" s="45" t="str">
        <f>'7.10 piac 047120'!C4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350</v>
      </c>
      <c r="B5" s="81" t="s">
        <v>351</v>
      </c>
    </row>
    <row r="6" spans="1:14" s="44" customFormat="1" x14ac:dyDescent="0.25">
      <c r="C6" s="714" t="s">
        <v>739</v>
      </c>
      <c r="D6" s="622" t="str">
        <f>'7.10 piac 047120'!D6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0</v>
      </c>
      <c r="D128" s="244">
        <f>SUM(D129:D134)</f>
        <v>48502082</v>
      </c>
      <c r="E128" s="245">
        <f t="shared" si="15"/>
        <v>48502082</v>
      </c>
      <c r="F128" s="244">
        <f>SUM(F129:F134)</f>
        <v>0</v>
      </c>
      <c r="G128" s="244">
        <f>SUM(G129:G134)</f>
        <v>48502082</v>
      </c>
      <c r="H128" s="245">
        <f t="shared" si="19"/>
        <v>48502082</v>
      </c>
      <c r="I128" s="244">
        <f>SUM(I129:I134)</f>
        <v>0</v>
      </c>
      <c r="J128" s="244">
        <f>SUM(J129:J134)</f>
        <v>48502000</v>
      </c>
      <c r="K128" s="245">
        <f t="shared" si="20"/>
        <v>48502000</v>
      </c>
      <c r="L128" s="244">
        <f>SUM(L129:L134)</f>
        <v>0</v>
      </c>
      <c r="M128" s="244">
        <f>SUM(M129:M134)</f>
        <v>48502000</v>
      </c>
      <c r="N128" s="245">
        <f t="shared" si="21"/>
        <v>48502000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61" t="s">
        <v>235</v>
      </c>
      <c r="B133" s="62" t="s">
        <v>236</v>
      </c>
      <c r="C133" s="246"/>
      <c r="D133" s="246">
        <v>48502082</v>
      </c>
      <c r="E133" s="247">
        <f t="shared" si="15"/>
        <v>48502082</v>
      </c>
      <c r="F133" s="246"/>
      <c r="G133" s="246">
        <v>48502082</v>
      </c>
      <c r="H133" s="247">
        <f t="shared" si="19"/>
        <v>48502082</v>
      </c>
      <c r="I133" s="246"/>
      <c r="J133" s="246">
        <f>48502082-82</f>
        <v>48502000</v>
      </c>
      <c r="K133" s="247">
        <f t="shared" si="20"/>
        <v>48502000</v>
      </c>
      <c r="L133" s="246"/>
      <c r="M133" s="246">
        <f>48502082-82</f>
        <v>48502000</v>
      </c>
      <c r="N133" s="247">
        <f t="shared" si="21"/>
        <v>48502000</v>
      </c>
    </row>
    <row r="134" spans="1:14" x14ac:dyDescent="0.25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x14ac:dyDescent="0.25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0</v>
      </c>
      <c r="D142" s="250">
        <f>D141+D140+D139+D138+D137+D128+D127+D111+D105+D88</f>
        <v>48502082</v>
      </c>
      <c r="E142" s="251">
        <f t="shared" si="15"/>
        <v>48502082</v>
      </c>
      <c r="F142" s="250">
        <f>F141+F140+F139+F138+F137+F128+F127+F111+F105+F88</f>
        <v>0</v>
      </c>
      <c r="G142" s="250">
        <f>G141+G140+G139+G138+G137+G128+G127+G111+G105+G88</f>
        <v>48502082</v>
      </c>
      <c r="H142" s="251">
        <f t="shared" si="19"/>
        <v>48502082</v>
      </c>
      <c r="I142" s="250">
        <f>I141+I140+I139+I138+I137+I128+I127+I111+I105+I88</f>
        <v>0</v>
      </c>
      <c r="J142" s="250">
        <f>J141+J140+J139+J138+J137+J128+J127+J111+J105+J88</f>
        <v>48502000</v>
      </c>
      <c r="K142" s="251">
        <f t="shared" si="20"/>
        <v>48502000</v>
      </c>
      <c r="L142" s="250">
        <f>L141+L140+L139+L138+L137+L128+L127+L111+L105+L88</f>
        <v>0</v>
      </c>
      <c r="M142" s="250">
        <f>M141+M140+M139+M138+M137+M128+M127+M111+M105+M88</f>
        <v>48502000</v>
      </c>
      <c r="N142" s="251">
        <f t="shared" si="21"/>
        <v>48502000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0</v>
      </c>
      <c r="D151" s="257">
        <f>D143+D142</f>
        <v>48502082</v>
      </c>
      <c r="E151" s="258">
        <f>SUM(C151:D151)</f>
        <v>48502082</v>
      </c>
      <c r="F151" s="250">
        <f>F143+F142</f>
        <v>0</v>
      </c>
      <c r="G151" s="257">
        <f>G143+G142</f>
        <v>48502082</v>
      </c>
      <c r="H151" s="258">
        <f>SUM(F151:G151)</f>
        <v>48502082</v>
      </c>
      <c r="I151" s="250">
        <f>I143+I142</f>
        <v>0</v>
      </c>
      <c r="J151" s="257">
        <f>J143+J142</f>
        <v>48502000</v>
      </c>
      <c r="K151" s="258">
        <f>SUM(I151:J151)</f>
        <v>48502000</v>
      </c>
      <c r="L151" s="250">
        <f>L143+L142</f>
        <v>0</v>
      </c>
      <c r="M151" s="257">
        <f>M143+M142</f>
        <v>48502000</v>
      </c>
      <c r="N151" s="258">
        <f>SUM(L151:M151)</f>
        <v>48502000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-48502082</v>
      </c>
      <c r="H153" s="148">
        <f>H85-H151</f>
        <v>-48502082</v>
      </c>
      <c r="K153" s="148">
        <f>K85-K151</f>
        <v>-48502000</v>
      </c>
      <c r="N153" s="148">
        <f>N85-N151</f>
        <v>-48502000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1" fitToHeight="0" orientation="portrait" horizontalDpi="300" verticalDpi="300" r:id="rId1"/>
  <headerFoot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1.140625" style="179" customWidth="1"/>
    <col min="4" max="4" width="9.140625" style="44"/>
    <col min="5" max="5" width="10.85546875" style="44" customWidth="1"/>
    <col min="6" max="6" width="11.140625" style="179" customWidth="1"/>
    <col min="7" max="7" width="9.140625" style="179"/>
    <col min="8" max="8" width="10.85546875" style="179" customWidth="1"/>
    <col min="9" max="9" width="11.140625" style="179" customWidth="1"/>
    <col min="10" max="10" width="9.140625" style="179"/>
    <col min="11" max="11" width="10.85546875" style="179" customWidth="1"/>
    <col min="12" max="12" width="11.140625" style="179" customWidth="1"/>
    <col min="13" max="13" width="9.140625" style="179"/>
    <col min="14" max="14" width="10.85546875" style="179" customWidth="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s="44" customFormat="1" x14ac:dyDescent="0.25">
      <c r="A4" s="79" t="s">
        <v>270</v>
      </c>
      <c r="C4" s="45" t="str">
        <f>'7.11 tdm tám047320'!C4</f>
        <v xml:space="preserve"> 12 / 2020. (VI.15) sz rendelet</v>
      </c>
      <c r="F4" s="179"/>
      <c r="G4" s="179"/>
      <c r="H4" s="179"/>
      <c r="I4" s="179"/>
      <c r="J4" s="179"/>
      <c r="K4" s="179"/>
      <c r="L4" s="179"/>
      <c r="M4" s="179"/>
      <c r="N4" s="179"/>
    </row>
    <row r="5" spans="1:14" s="81" customFormat="1" ht="12.75" x14ac:dyDescent="0.2">
      <c r="A5" s="90" t="s">
        <v>352</v>
      </c>
      <c r="B5" s="81" t="s">
        <v>353</v>
      </c>
    </row>
    <row r="6" spans="1:14" s="44" customFormat="1" x14ac:dyDescent="0.25">
      <c r="C6" s="714" t="s">
        <v>740</v>
      </c>
      <c r="D6" s="828" t="str">
        <f>'7.11 tdm tám047320'!D6</f>
        <v xml:space="preserve"> melléklet az 12/2020. (VI.15.) rendelethez</v>
      </c>
      <c r="E6" s="177"/>
      <c r="F6" s="614"/>
      <c r="G6" s="177"/>
      <c r="H6" s="177"/>
      <c r="I6" s="637"/>
      <c r="J6" s="177"/>
      <c r="K6" s="177"/>
      <c r="L6" s="698"/>
      <c r="M6" s="177"/>
      <c r="N6" s="17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181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40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SUM(E9:G9)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1" si="2">SUM(H9:J9)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1" si="3">SUM(K9:M9)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ref="E41:E71" si="4">SUM(C41:D41)</f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4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4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4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4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23523</v>
      </c>
      <c r="M45" s="244">
        <f>M46+M47+M48+M49+M54+M55+M56+M57+M58+M59+M60</f>
        <v>0</v>
      </c>
      <c r="N45" s="245">
        <f t="shared" si="3"/>
        <v>23523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4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/>
      <c r="D47" s="246"/>
      <c r="E47" s="247">
        <f t="shared" si="4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>
        <v>15417</v>
      </c>
      <c r="M47" s="246"/>
      <c r="N47" s="247">
        <f t="shared" si="3"/>
        <v>15417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4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4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x14ac:dyDescent="0.25">
      <c r="A50" s="53"/>
      <c r="B50" s="62" t="s">
        <v>103</v>
      </c>
      <c r="C50" s="246"/>
      <c r="D50" s="246"/>
      <c r="E50" s="247">
        <f t="shared" si="4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x14ac:dyDescent="0.25">
      <c r="A51" s="53"/>
      <c r="B51" s="62" t="s">
        <v>104</v>
      </c>
      <c r="C51" s="246"/>
      <c r="D51" s="246"/>
      <c r="E51" s="247">
        <f t="shared" si="4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x14ac:dyDescent="0.25">
      <c r="A52" s="53"/>
      <c r="B52" s="62" t="s">
        <v>105</v>
      </c>
      <c r="C52" s="246"/>
      <c r="D52" s="246"/>
      <c r="E52" s="247">
        <f t="shared" si="4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x14ac:dyDescent="0.25">
      <c r="A53" s="53"/>
      <c r="B53" s="62" t="s">
        <v>106</v>
      </c>
      <c r="C53" s="246"/>
      <c r="D53" s="246"/>
      <c r="E53" s="247">
        <f t="shared" si="4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4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/>
      <c r="D55" s="246"/>
      <c r="E55" s="247">
        <f t="shared" si="4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>
        <v>8106</v>
      </c>
      <c r="M55" s="246"/>
      <c r="N55" s="247">
        <f t="shared" si="3"/>
        <v>8106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4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4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4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4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4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4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4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4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4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4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4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4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4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4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4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4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ref="H72" si="5">SUM(F72:G72)</f>
        <v>0</v>
      </c>
      <c r="I72" s="254"/>
      <c r="J72" s="254"/>
      <c r="K72" s="249">
        <f t="shared" ref="K72" si="6">SUM(I72:J72)</f>
        <v>0</v>
      </c>
      <c r="L72" s="254"/>
      <c r="M72" s="254"/>
      <c r="N72" s="249">
        <f t="shared" ref="N72" si="7">SUM(L72:M72)</f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ref="E73:E81" si="8">SUM(C73:D73)</f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ref="K73:K81" si="9">SUM(H73:J73)</f>
        <v>0</v>
      </c>
      <c r="L73" s="250">
        <f>L9+L22+L25+L45+L61+L67+L70</f>
        <v>23523</v>
      </c>
      <c r="M73" s="250">
        <f>M9+M22+M25+M45+M61+M67+M70</f>
        <v>0</v>
      </c>
      <c r="N73" s="251">
        <f t="shared" ref="N73:N81" si="10">SUM(K73:M73)</f>
        <v>23523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si="8"/>
        <v>0</v>
      </c>
      <c r="F74" s="244">
        <f>F75+F83</f>
        <v>0</v>
      </c>
      <c r="G74" s="244">
        <f>G75+G83</f>
        <v>0</v>
      </c>
      <c r="H74" s="245">
        <f t="shared" ref="H74:H81" si="11">SUM(E74:G74)</f>
        <v>0</v>
      </c>
      <c r="I74" s="244">
        <f>I75+I83</f>
        <v>0</v>
      </c>
      <c r="J74" s="244">
        <f>J75+J83</f>
        <v>0</v>
      </c>
      <c r="K74" s="245">
        <f t="shared" si="9"/>
        <v>0</v>
      </c>
      <c r="L74" s="244">
        <f>L75+L83</f>
        <v>0</v>
      </c>
      <c r="M74" s="244">
        <f>M75+M83</f>
        <v>0</v>
      </c>
      <c r="N74" s="245">
        <f t="shared" si="10"/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12">SUM(C76:C77,C78,C79,C83,C82)</f>
        <v>0</v>
      </c>
      <c r="D75" s="246">
        <f t="shared" si="12"/>
        <v>0</v>
      </c>
      <c r="E75" s="247">
        <f t="shared" si="8"/>
        <v>0</v>
      </c>
      <c r="F75" s="246">
        <f t="shared" ref="F75:G75" si="13">SUM(F76:F77,F78,F79,F83,F82)</f>
        <v>0</v>
      </c>
      <c r="G75" s="246">
        <f t="shared" si="13"/>
        <v>0</v>
      </c>
      <c r="H75" s="247">
        <f t="shared" si="11"/>
        <v>0</v>
      </c>
      <c r="I75" s="246">
        <f t="shared" ref="I75:J75" si="14">SUM(I76:I77,I78,I79,I83,I82)</f>
        <v>0</v>
      </c>
      <c r="J75" s="246">
        <f t="shared" si="14"/>
        <v>0</v>
      </c>
      <c r="K75" s="247">
        <f t="shared" si="9"/>
        <v>0</v>
      </c>
      <c r="L75" s="246">
        <f t="shared" ref="L75:M75" si="15">SUM(L76:L77,L78,L79,L83,L82)</f>
        <v>0</v>
      </c>
      <c r="M75" s="246">
        <f t="shared" si="15"/>
        <v>0</v>
      </c>
      <c r="N75" s="247">
        <f t="shared" si="10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8"/>
        <v>0</v>
      </c>
      <c r="F76" s="246"/>
      <c r="G76" s="246"/>
      <c r="H76" s="247">
        <f t="shared" si="11"/>
        <v>0</v>
      </c>
      <c r="I76" s="246"/>
      <c r="J76" s="246"/>
      <c r="K76" s="247">
        <f t="shared" si="9"/>
        <v>0</v>
      </c>
      <c r="L76" s="246"/>
      <c r="M76" s="246"/>
      <c r="N76" s="247">
        <f t="shared" si="10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8"/>
        <v>0</v>
      </c>
      <c r="F77" s="246"/>
      <c r="G77" s="246"/>
      <c r="H77" s="247">
        <f t="shared" si="11"/>
        <v>0</v>
      </c>
      <c r="I77" s="246"/>
      <c r="J77" s="246"/>
      <c r="K77" s="247">
        <f t="shared" si="9"/>
        <v>0</v>
      </c>
      <c r="L77" s="246"/>
      <c r="M77" s="246"/>
      <c r="N77" s="247">
        <f t="shared" si="10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8"/>
        <v>0</v>
      </c>
      <c r="F78" s="246"/>
      <c r="G78" s="246"/>
      <c r="H78" s="247">
        <f t="shared" si="11"/>
        <v>0</v>
      </c>
      <c r="I78" s="246"/>
      <c r="J78" s="246"/>
      <c r="K78" s="247">
        <f t="shared" si="9"/>
        <v>0</v>
      </c>
      <c r="L78" s="246"/>
      <c r="M78" s="246"/>
      <c r="N78" s="247">
        <f t="shared" si="10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8"/>
        <v>0</v>
      </c>
      <c r="F79" s="246">
        <f>SUM(F80:F81)</f>
        <v>0</v>
      </c>
      <c r="G79" s="246">
        <f>SUM(G80:G81)</f>
        <v>0</v>
      </c>
      <c r="H79" s="247">
        <f t="shared" si="11"/>
        <v>0</v>
      </c>
      <c r="I79" s="246">
        <f>SUM(I80:I81)</f>
        <v>0</v>
      </c>
      <c r="J79" s="246">
        <f>SUM(J80:J81)</f>
        <v>0</v>
      </c>
      <c r="K79" s="247">
        <f t="shared" si="9"/>
        <v>0</v>
      </c>
      <c r="L79" s="246">
        <f>SUM(L80:L81)</f>
        <v>0</v>
      </c>
      <c r="M79" s="246">
        <f>SUM(M80:M81)</f>
        <v>0</v>
      </c>
      <c r="N79" s="247">
        <f t="shared" si="10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8"/>
        <v>0</v>
      </c>
      <c r="F80" s="246"/>
      <c r="G80" s="246"/>
      <c r="H80" s="247">
        <f t="shared" si="11"/>
        <v>0</v>
      </c>
      <c r="I80" s="246"/>
      <c r="J80" s="246"/>
      <c r="K80" s="247">
        <f t="shared" si="9"/>
        <v>0</v>
      </c>
      <c r="L80" s="246"/>
      <c r="M80" s="246"/>
      <c r="N80" s="247">
        <f t="shared" si="10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8"/>
        <v>0</v>
      </c>
      <c r="F81" s="246"/>
      <c r="G81" s="246"/>
      <c r="H81" s="247">
        <f t="shared" si="11"/>
        <v>0</v>
      </c>
      <c r="I81" s="246"/>
      <c r="J81" s="246"/>
      <c r="K81" s="247">
        <f t="shared" si="9"/>
        <v>0</v>
      </c>
      <c r="L81" s="246"/>
      <c r="M81" s="246"/>
      <c r="N81" s="247">
        <f t="shared" si="10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>SUM(C83:D83)</f>
        <v>0</v>
      </c>
      <c r="F83" s="246"/>
      <c r="G83" s="246"/>
      <c r="H83" s="247">
        <f t="shared" ref="H83:H85" si="16">SUM(E83:G83)</f>
        <v>0</v>
      </c>
      <c r="I83" s="246"/>
      <c r="J83" s="246"/>
      <c r="K83" s="247">
        <f t="shared" ref="K83:K85" si="17">SUM(H83:J83)</f>
        <v>0</v>
      </c>
      <c r="L83" s="246"/>
      <c r="M83" s="246"/>
      <c r="N83" s="247">
        <f t="shared" ref="N83:N85" si="18">SUM(K83:M83)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>SUM(C84:D84)</f>
        <v>0</v>
      </c>
      <c r="F84" s="248"/>
      <c r="G84" s="248"/>
      <c r="H84" s="249">
        <f t="shared" si="16"/>
        <v>0</v>
      </c>
      <c r="I84" s="248"/>
      <c r="J84" s="248"/>
      <c r="K84" s="249">
        <f t="shared" si="17"/>
        <v>0</v>
      </c>
      <c r="L84" s="248"/>
      <c r="M84" s="248"/>
      <c r="N84" s="249">
        <f t="shared" si="18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>SUM(C85:D85)</f>
        <v>0</v>
      </c>
      <c r="F85" s="250">
        <f>F73+F74</f>
        <v>0</v>
      </c>
      <c r="G85" s="250">
        <f>G73+G74</f>
        <v>0</v>
      </c>
      <c r="H85" s="251">
        <f t="shared" si="16"/>
        <v>0</v>
      </c>
      <c r="I85" s="250">
        <f>I73+I74</f>
        <v>0</v>
      </c>
      <c r="J85" s="250">
        <f>J73+J74</f>
        <v>0</v>
      </c>
      <c r="K85" s="251">
        <f t="shared" si="17"/>
        <v>0</v>
      </c>
      <c r="L85" s="250">
        <f>L73+L74</f>
        <v>23523</v>
      </c>
      <c r="M85" s="250">
        <f>M73+M74</f>
        <v>0</v>
      </c>
      <c r="N85" s="251">
        <f t="shared" si="18"/>
        <v>23523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314"/>
      <c r="I87" s="252"/>
      <c r="J87" s="252"/>
      <c r="K87" s="314"/>
      <c r="L87" s="252"/>
      <c r="M87" s="252"/>
      <c r="N87" s="314"/>
    </row>
    <row r="88" spans="1:14" x14ac:dyDescent="0.25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>SUM(C88:D88)</f>
        <v>0</v>
      </c>
      <c r="F88" s="244">
        <f>F89+F101</f>
        <v>0</v>
      </c>
      <c r="G88" s="244">
        <f>G89+G101</f>
        <v>0</v>
      </c>
      <c r="H88" s="253">
        <f>SUM(F88:G88)</f>
        <v>0</v>
      </c>
      <c r="I88" s="244">
        <f>I89+I101</f>
        <v>0</v>
      </c>
      <c r="J88" s="244">
        <f>J89+J101</f>
        <v>0</v>
      </c>
      <c r="K88" s="253">
        <f>SUM(I88:J88)</f>
        <v>0</v>
      </c>
      <c r="L88" s="244">
        <f>L89+L101</f>
        <v>0</v>
      </c>
      <c r="M88" s="244">
        <f>M89+M101</f>
        <v>0</v>
      </c>
      <c r="N88" s="253">
        <f>SUM(L88:M88)</f>
        <v>0</v>
      </c>
    </row>
    <row r="89" spans="1:14" x14ac:dyDescent="0.25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>SUM(C89:D89)</f>
        <v>0</v>
      </c>
      <c r="F89" s="246">
        <f>SUM(F90:F100)</f>
        <v>0</v>
      </c>
      <c r="G89" s="246">
        <f>SUM(G90:G100)</f>
        <v>0</v>
      </c>
      <c r="H89" s="247">
        <f t="shared" ref="H89:H151" si="19">SUM(F89:G89)</f>
        <v>0</v>
      </c>
      <c r="I89" s="246">
        <f>SUM(I90:I100)</f>
        <v>0</v>
      </c>
      <c r="J89" s="246">
        <f>SUM(J90:J100)</f>
        <v>0</v>
      </c>
      <c r="K89" s="247">
        <f t="shared" ref="K89:K151" si="20">SUM(I89:J89)</f>
        <v>0</v>
      </c>
      <c r="L89" s="246">
        <f>SUM(L90:L100)</f>
        <v>0</v>
      </c>
      <c r="M89" s="246">
        <f>SUM(M90:M100)</f>
        <v>0</v>
      </c>
      <c r="N89" s="247">
        <f t="shared" ref="N89:N151" si="21">SUM(L89:M89)</f>
        <v>0</v>
      </c>
    </row>
    <row r="90" spans="1:14" x14ac:dyDescent="0.25">
      <c r="A90" s="61" t="s">
        <v>163</v>
      </c>
      <c r="B90" s="62" t="s">
        <v>164</v>
      </c>
      <c r="C90" s="246"/>
      <c r="D90" s="246"/>
      <c r="E90" s="247">
        <f>SUM(C90:D90)</f>
        <v>0</v>
      </c>
      <c r="F90" s="246"/>
      <c r="G90" s="246"/>
      <c r="H90" s="247">
        <f t="shared" si="19"/>
        <v>0</v>
      </c>
      <c r="I90" s="246"/>
      <c r="J90" s="246"/>
      <c r="K90" s="247">
        <f t="shared" si="20"/>
        <v>0</v>
      </c>
      <c r="L90" s="246"/>
      <c r="M90" s="246"/>
      <c r="N90" s="247">
        <f t="shared" si="21"/>
        <v>0</v>
      </c>
    </row>
    <row r="91" spans="1:14" s="179" customFormat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>
        <f t="shared" si="19"/>
        <v>0</v>
      </c>
      <c r="I91" s="246"/>
      <c r="J91" s="246"/>
      <c r="K91" s="247">
        <f t="shared" si="20"/>
        <v>0</v>
      </c>
      <c r="L91" s="246"/>
      <c r="M91" s="246"/>
      <c r="N91" s="247">
        <f t="shared" si="21"/>
        <v>0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ref="E92:E123" si="22">SUM(C92:D92)</f>
        <v>0</v>
      </c>
      <c r="F92" s="246"/>
      <c r="G92" s="246"/>
      <c r="H92" s="247">
        <f t="shared" si="19"/>
        <v>0</v>
      </c>
      <c r="I92" s="246"/>
      <c r="J92" s="246"/>
      <c r="K92" s="247">
        <f t="shared" si="20"/>
        <v>0</v>
      </c>
      <c r="L92" s="246"/>
      <c r="M92" s="246"/>
      <c r="N92" s="247">
        <f t="shared" si="21"/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22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22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22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/>
      <c r="D96" s="246"/>
      <c r="E96" s="247">
        <f t="shared" si="22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x14ac:dyDescent="0.25">
      <c r="A97" s="61" t="s">
        <v>175</v>
      </c>
      <c r="B97" s="62" t="s">
        <v>176</v>
      </c>
      <c r="C97" s="246"/>
      <c r="D97" s="246"/>
      <c r="E97" s="247">
        <f t="shared" si="22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22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22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22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22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22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22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22"/>
        <v>0</v>
      </c>
      <c r="F104" s="248"/>
      <c r="G104" s="248"/>
      <c r="H104" s="258">
        <f t="shared" si="19"/>
        <v>0</v>
      </c>
      <c r="I104" s="248"/>
      <c r="J104" s="248"/>
      <c r="K104" s="258">
        <f t="shared" si="20"/>
        <v>0</v>
      </c>
      <c r="L104" s="248"/>
      <c r="M104" s="248"/>
      <c r="N104" s="258">
        <f t="shared" si="21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22"/>
        <v>0</v>
      </c>
      <c r="F105" s="244">
        <f>SUM(F106:F110)</f>
        <v>0</v>
      </c>
      <c r="G105" s="244">
        <f>SUM(G106:G110)</f>
        <v>0</v>
      </c>
      <c r="H105" s="253">
        <f t="shared" si="19"/>
        <v>0</v>
      </c>
      <c r="I105" s="244">
        <f>SUM(I106:I110)</f>
        <v>0</v>
      </c>
      <c r="J105" s="244">
        <f>SUM(J106:J110)</f>
        <v>0</v>
      </c>
      <c r="K105" s="253">
        <f t="shared" si="20"/>
        <v>0</v>
      </c>
      <c r="L105" s="244">
        <f>SUM(L106:L110)</f>
        <v>0</v>
      </c>
      <c r="M105" s="244">
        <f>SUM(M106:M110)</f>
        <v>0</v>
      </c>
      <c r="N105" s="253">
        <f t="shared" si="21"/>
        <v>0</v>
      </c>
    </row>
    <row r="106" spans="1:14" x14ac:dyDescent="0.25">
      <c r="A106" s="61"/>
      <c r="B106" s="62" t="s">
        <v>193</v>
      </c>
      <c r="C106" s="246"/>
      <c r="D106" s="246"/>
      <c r="E106" s="247">
        <f t="shared" si="22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x14ac:dyDescent="0.25">
      <c r="A107" s="61"/>
      <c r="B107" s="62" t="s">
        <v>194</v>
      </c>
      <c r="C107" s="246"/>
      <c r="D107" s="246"/>
      <c r="E107" s="247">
        <f t="shared" si="22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/>
      <c r="D108" s="246"/>
      <c r="E108" s="247">
        <f t="shared" si="22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x14ac:dyDescent="0.25">
      <c r="A109" s="63"/>
      <c r="B109" s="64" t="s">
        <v>196</v>
      </c>
      <c r="C109" s="246"/>
      <c r="D109" s="246"/>
      <c r="E109" s="247">
        <f t="shared" si="22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thickBot="1" x14ac:dyDescent="0.3">
      <c r="A110" s="63"/>
      <c r="B110" s="64" t="s">
        <v>197</v>
      </c>
      <c r="C110" s="248"/>
      <c r="D110" s="248"/>
      <c r="E110" s="249">
        <f t="shared" si="22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10922000</v>
      </c>
      <c r="D111" s="244">
        <f>SUM(D112:D113,D114,D123,D122)</f>
        <v>0</v>
      </c>
      <c r="E111" s="245">
        <f t="shared" si="22"/>
        <v>10922000</v>
      </c>
      <c r="F111" s="244">
        <f>SUM(F112:F113,F114,F123,F122)</f>
        <v>10922000</v>
      </c>
      <c r="G111" s="244">
        <f>SUM(G112:G113,G114,G123,G122)</f>
        <v>0</v>
      </c>
      <c r="H111" s="245">
        <f t="shared" si="19"/>
        <v>10922000</v>
      </c>
      <c r="I111" s="244">
        <f>SUM(I112:I113,I114,I123,I122)</f>
        <v>10882000</v>
      </c>
      <c r="J111" s="244">
        <f>SUM(J112:J113,J114,J123,J122)</f>
        <v>0</v>
      </c>
      <c r="K111" s="245">
        <f t="shared" si="20"/>
        <v>10882000</v>
      </c>
      <c r="L111" s="244">
        <f>SUM(L112:L113,L114,L123,L122)</f>
        <v>10729677</v>
      </c>
      <c r="M111" s="244">
        <f>SUM(M112:M113,M114,M123,M122)</f>
        <v>0</v>
      </c>
      <c r="N111" s="245">
        <f t="shared" si="21"/>
        <v>10729677</v>
      </c>
    </row>
    <row r="112" spans="1:14" x14ac:dyDescent="0.25">
      <c r="A112" s="61" t="s">
        <v>199</v>
      </c>
      <c r="B112" s="62" t="s">
        <v>200</v>
      </c>
      <c r="C112" s="246"/>
      <c r="D112" s="246"/>
      <c r="E112" s="247">
        <f t="shared" si="22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22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8600000</v>
      </c>
      <c r="D114" s="246">
        <f>SUM(D115:D121)</f>
        <v>0</v>
      </c>
      <c r="E114" s="247">
        <f t="shared" si="22"/>
        <v>8600000</v>
      </c>
      <c r="F114" s="246">
        <f>SUM(F115:F121)</f>
        <v>8600000</v>
      </c>
      <c r="G114" s="246">
        <f>SUM(G115:G121)</f>
        <v>0</v>
      </c>
      <c r="H114" s="247">
        <f t="shared" si="19"/>
        <v>8600000</v>
      </c>
      <c r="I114" s="246">
        <f>SUM(I115:I121)</f>
        <v>8560000</v>
      </c>
      <c r="J114" s="246">
        <f>SUM(J115:J121)</f>
        <v>0</v>
      </c>
      <c r="K114" s="247">
        <f t="shared" si="20"/>
        <v>8560000</v>
      </c>
      <c r="L114" s="246">
        <f>SUM(L115:L121)</f>
        <v>8448568</v>
      </c>
      <c r="M114" s="246">
        <f>SUM(M115:M121)</f>
        <v>0</v>
      </c>
      <c r="N114" s="247">
        <f t="shared" si="21"/>
        <v>8448568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22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22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22"/>
        <v>0</v>
      </c>
      <c r="F117" s="246"/>
      <c r="G117" s="246"/>
      <c r="H117" s="247">
        <f t="shared" si="19"/>
        <v>0</v>
      </c>
      <c r="I117" s="246">
        <v>160000</v>
      </c>
      <c r="J117" s="246"/>
      <c r="K117" s="247">
        <f t="shared" si="20"/>
        <v>160000</v>
      </c>
      <c r="L117" s="246">
        <v>154350</v>
      </c>
      <c r="M117" s="246"/>
      <c r="N117" s="247">
        <f t="shared" si="21"/>
        <v>154350</v>
      </c>
    </row>
    <row r="118" spans="1:14" ht="16.5" customHeight="1" x14ac:dyDescent="0.25">
      <c r="A118" s="61" t="s">
        <v>211</v>
      </c>
      <c r="B118" s="62" t="s">
        <v>212</v>
      </c>
      <c r="C118" s="246"/>
      <c r="D118" s="246"/>
      <c r="E118" s="247">
        <f t="shared" si="22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61" t="s">
        <v>213</v>
      </c>
      <c r="B119" s="62" t="s">
        <v>214</v>
      </c>
      <c r="C119" s="246">
        <v>8600000</v>
      </c>
      <c r="D119" s="246"/>
      <c r="E119" s="247">
        <f t="shared" si="22"/>
        <v>8600000</v>
      </c>
      <c r="F119" s="246"/>
      <c r="G119" s="246"/>
      <c r="H119" s="247">
        <f t="shared" si="19"/>
        <v>0</v>
      </c>
      <c r="I119" s="246">
        <v>300000</v>
      </c>
      <c r="J119" s="246"/>
      <c r="K119" s="247">
        <f t="shared" si="20"/>
        <v>300000</v>
      </c>
      <c r="L119" s="246">
        <v>217971</v>
      </c>
      <c r="M119" s="246"/>
      <c r="N119" s="247">
        <f t="shared" si="21"/>
        <v>217971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22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/>
      <c r="D121" s="246"/>
      <c r="E121" s="247">
        <f t="shared" si="22"/>
        <v>0</v>
      </c>
      <c r="F121" s="246">
        <v>8600000</v>
      </c>
      <c r="G121" s="246"/>
      <c r="H121" s="247">
        <f t="shared" si="19"/>
        <v>8600000</v>
      </c>
      <c r="I121" s="246">
        <v>8100000</v>
      </c>
      <c r="J121" s="246"/>
      <c r="K121" s="247">
        <f t="shared" si="20"/>
        <v>8100000</v>
      </c>
      <c r="L121" s="246">
        <v>8076247</v>
      </c>
      <c r="M121" s="246"/>
      <c r="N121" s="247">
        <f t="shared" si="21"/>
        <v>8076247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22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2322000</v>
      </c>
      <c r="D123" s="246">
        <f>SUM(D124:D126)</f>
        <v>0</v>
      </c>
      <c r="E123" s="247">
        <f t="shared" si="22"/>
        <v>2322000</v>
      </c>
      <c r="F123" s="246">
        <f>SUM(F124:F126)</f>
        <v>2322000</v>
      </c>
      <c r="G123" s="246">
        <f>SUM(G124:G126)</f>
        <v>0</v>
      </c>
      <c r="H123" s="247">
        <f t="shared" si="19"/>
        <v>2322000</v>
      </c>
      <c r="I123" s="246">
        <f>SUM(I124:I126)</f>
        <v>2322000</v>
      </c>
      <c r="J123" s="246">
        <f>SUM(J124:J126)</f>
        <v>0</v>
      </c>
      <c r="K123" s="247">
        <f t="shared" si="20"/>
        <v>2322000</v>
      </c>
      <c r="L123" s="246">
        <f>SUM(L124:L126)</f>
        <v>2281109</v>
      </c>
      <c r="M123" s="246">
        <f>SUM(M124:M126)</f>
        <v>0</v>
      </c>
      <c r="N123" s="247">
        <f t="shared" si="21"/>
        <v>2281109</v>
      </c>
    </row>
    <row r="124" spans="1:14" x14ac:dyDescent="0.25">
      <c r="A124" s="61"/>
      <c r="B124" s="62" t="s">
        <v>223</v>
      </c>
      <c r="C124" s="246">
        <f>8600000*0.27</f>
        <v>2322000</v>
      </c>
      <c r="D124" s="246"/>
      <c r="E124" s="247">
        <f t="shared" ref="E124:E145" si="23">SUM(C124:D124)</f>
        <v>2322000</v>
      </c>
      <c r="F124" s="246">
        <f>8600000*0.27</f>
        <v>2322000</v>
      </c>
      <c r="G124" s="246"/>
      <c r="H124" s="247">
        <f t="shared" si="19"/>
        <v>2322000</v>
      </c>
      <c r="I124" s="246">
        <f>8600000*0.27</f>
        <v>2322000</v>
      </c>
      <c r="J124" s="246"/>
      <c r="K124" s="247">
        <f t="shared" si="20"/>
        <v>2322000</v>
      </c>
      <c r="L124" s="246">
        <v>2281109</v>
      </c>
      <c r="M124" s="246"/>
      <c r="N124" s="247">
        <f t="shared" si="21"/>
        <v>2281109</v>
      </c>
    </row>
    <row r="125" spans="1:14" x14ac:dyDescent="0.25">
      <c r="A125" s="63"/>
      <c r="B125" s="64" t="s">
        <v>224</v>
      </c>
      <c r="C125" s="246"/>
      <c r="D125" s="246"/>
      <c r="E125" s="247">
        <f t="shared" si="23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23"/>
        <v>0</v>
      </c>
      <c r="F126" s="248"/>
      <c r="G126" s="248"/>
      <c r="H126" s="245">
        <f t="shared" si="19"/>
        <v>0</v>
      </c>
      <c r="I126" s="248"/>
      <c r="J126" s="248"/>
      <c r="K126" s="245">
        <f t="shared" si="20"/>
        <v>0</v>
      </c>
      <c r="L126" s="248"/>
      <c r="M126" s="248"/>
      <c r="N126" s="245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23"/>
        <v>0</v>
      </c>
      <c r="F127" s="250"/>
      <c r="G127" s="250"/>
      <c r="H127" s="253">
        <f t="shared" si="19"/>
        <v>0</v>
      </c>
      <c r="I127" s="250"/>
      <c r="J127" s="250"/>
      <c r="K127" s="253">
        <f t="shared" si="20"/>
        <v>0</v>
      </c>
      <c r="L127" s="250"/>
      <c r="M127" s="250"/>
      <c r="N127" s="253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23"/>
        <v>0</v>
      </c>
      <c r="F128" s="244">
        <f>SUM(F129:F134)</f>
        <v>0</v>
      </c>
      <c r="G128" s="244">
        <f>SUM(G129:G134)</f>
        <v>0</v>
      </c>
      <c r="H128" s="253">
        <f t="shared" si="19"/>
        <v>0</v>
      </c>
      <c r="I128" s="244">
        <f>SUM(I129:I134)</f>
        <v>0</v>
      </c>
      <c r="J128" s="244">
        <f>SUM(J129:J134)</f>
        <v>0</v>
      </c>
      <c r="K128" s="253">
        <f t="shared" si="20"/>
        <v>0</v>
      </c>
      <c r="L128" s="244">
        <f>SUM(L129:L134)</f>
        <v>0</v>
      </c>
      <c r="M128" s="244">
        <f>SUM(M129:M134)</f>
        <v>0</v>
      </c>
      <c r="N128" s="253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23"/>
        <v>0</v>
      </c>
      <c r="F129" s="246"/>
      <c r="G129" s="246"/>
      <c r="H129" s="253">
        <f t="shared" si="19"/>
        <v>0</v>
      </c>
      <c r="I129" s="246"/>
      <c r="J129" s="246"/>
      <c r="K129" s="253">
        <f t="shared" si="20"/>
        <v>0</v>
      </c>
      <c r="L129" s="246"/>
      <c r="M129" s="246"/>
      <c r="N129" s="253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23"/>
        <v>0</v>
      </c>
      <c r="F130" s="246"/>
      <c r="G130" s="246"/>
      <c r="H130" s="253">
        <f t="shared" si="19"/>
        <v>0</v>
      </c>
      <c r="I130" s="246"/>
      <c r="J130" s="246"/>
      <c r="K130" s="253">
        <f t="shared" si="20"/>
        <v>0</v>
      </c>
      <c r="L130" s="246"/>
      <c r="M130" s="246"/>
      <c r="N130" s="253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23"/>
        <v>0</v>
      </c>
      <c r="F131" s="246"/>
      <c r="G131" s="246"/>
      <c r="H131" s="253">
        <f t="shared" si="19"/>
        <v>0</v>
      </c>
      <c r="I131" s="246"/>
      <c r="J131" s="246"/>
      <c r="K131" s="253">
        <f t="shared" si="20"/>
        <v>0</v>
      </c>
      <c r="L131" s="246"/>
      <c r="M131" s="246"/>
      <c r="N131" s="253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23"/>
        <v>0</v>
      </c>
      <c r="F132" s="246"/>
      <c r="G132" s="246"/>
      <c r="H132" s="253">
        <f t="shared" si="19"/>
        <v>0</v>
      </c>
      <c r="I132" s="246"/>
      <c r="J132" s="246"/>
      <c r="K132" s="253">
        <f t="shared" si="20"/>
        <v>0</v>
      </c>
      <c r="L132" s="246"/>
      <c r="M132" s="246"/>
      <c r="N132" s="253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23"/>
        <v>0</v>
      </c>
      <c r="F133" s="246"/>
      <c r="G133" s="246"/>
      <c r="H133" s="253">
        <f t="shared" si="19"/>
        <v>0</v>
      </c>
      <c r="I133" s="246"/>
      <c r="J133" s="246"/>
      <c r="K133" s="253">
        <f t="shared" si="20"/>
        <v>0</v>
      </c>
      <c r="L133" s="246"/>
      <c r="M133" s="246"/>
      <c r="N133" s="253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23"/>
        <v>0</v>
      </c>
      <c r="F134" s="246">
        <f>SUM(F135:F136)</f>
        <v>0</v>
      </c>
      <c r="G134" s="246">
        <f>SUM(G135:G136)</f>
        <v>0</v>
      </c>
      <c r="H134" s="253">
        <f t="shared" si="19"/>
        <v>0</v>
      </c>
      <c r="I134" s="246">
        <f>SUM(I135:I136)</f>
        <v>0</v>
      </c>
      <c r="J134" s="246">
        <f>SUM(J135:J136)</f>
        <v>0</v>
      </c>
      <c r="K134" s="253">
        <f t="shared" si="20"/>
        <v>0</v>
      </c>
      <c r="L134" s="246">
        <f>SUM(L135:L136)</f>
        <v>0</v>
      </c>
      <c r="M134" s="246">
        <f>SUM(M135:M136)</f>
        <v>0</v>
      </c>
      <c r="N134" s="253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23"/>
        <v>0</v>
      </c>
      <c r="F135" s="246"/>
      <c r="G135" s="246"/>
      <c r="H135" s="253">
        <f t="shared" si="19"/>
        <v>0</v>
      </c>
      <c r="I135" s="246"/>
      <c r="J135" s="246"/>
      <c r="K135" s="253">
        <f t="shared" si="20"/>
        <v>0</v>
      </c>
      <c r="L135" s="246"/>
      <c r="M135" s="246"/>
      <c r="N135" s="253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23"/>
        <v>0</v>
      </c>
      <c r="F136" s="248"/>
      <c r="G136" s="248"/>
      <c r="H136" s="623">
        <f t="shared" si="19"/>
        <v>0</v>
      </c>
      <c r="I136" s="248"/>
      <c r="J136" s="248"/>
      <c r="K136" s="623">
        <f t="shared" si="20"/>
        <v>0</v>
      </c>
      <c r="L136" s="248"/>
      <c r="M136" s="248"/>
      <c r="N136" s="623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23"/>
        <v>0</v>
      </c>
      <c r="F137" s="244"/>
      <c r="G137" s="244"/>
      <c r="H137" s="247">
        <f t="shared" si="19"/>
        <v>0</v>
      </c>
      <c r="I137" s="244">
        <v>50055</v>
      </c>
      <c r="J137" s="244"/>
      <c r="K137" s="247">
        <f t="shared" si="20"/>
        <v>50055</v>
      </c>
      <c r="L137" s="244">
        <v>50055</v>
      </c>
      <c r="M137" s="244"/>
      <c r="N137" s="247">
        <f t="shared" si="21"/>
        <v>50055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23"/>
        <v>0</v>
      </c>
      <c r="F138" s="248"/>
      <c r="G138" s="248"/>
      <c r="H138" s="249">
        <f t="shared" si="19"/>
        <v>0</v>
      </c>
      <c r="I138" s="248">
        <v>13515</v>
      </c>
      <c r="J138" s="248"/>
      <c r="K138" s="249">
        <f t="shared" si="20"/>
        <v>13515</v>
      </c>
      <c r="L138" s="248">
        <v>13515</v>
      </c>
      <c r="M138" s="248"/>
      <c r="N138" s="249">
        <f t="shared" si="21"/>
        <v>13515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23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23"/>
        <v>0</v>
      </c>
      <c r="F140" s="248"/>
      <c r="G140" s="248"/>
      <c r="H140" s="579">
        <f t="shared" si="19"/>
        <v>0</v>
      </c>
      <c r="I140" s="248"/>
      <c r="J140" s="248"/>
      <c r="K140" s="579">
        <f t="shared" si="20"/>
        <v>0</v>
      </c>
      <c r="L140" s="248"/>
      <c r="M140" s="248"/>
      <c r="N140" s="57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23"/>
        <v>0</v>
      </c>
      <c r="F141" s="254"/>
      <c r="G141" s="254"/>
      <c r="H141" s="251">
        <f t="shared" si="19"/>
        <v>0</v>
      </c>
      <c r="I141" s="254"/>
      <c r="J141" s="254"/>
      <c r="K141" s="251">
        <f t="shared" si="20"/>
        <v>0</v>
      </c>
      <c r="L141" s="254"/>
      <c r="M141" s="254"/>
      <c r="N141" s="251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10922000</v>
      </c>
      <c r="D142" s="250">
        <f>D141+D140+D139+D138+D137+D128+D127+D111+D105+D88</f>
        <v>0</v>
      </c>
      <c r="E142" s="251">
        <f t="shared" si="23"/>
        <v>10922000</v>
      </c>
      <c r="F142" s="250">
        <f>F141+F140+F139+F138+F137+F128+F127+F111+F105+F88</f>
        <v>10922000</v>
      </c>
      <c r="G142" s="250">
        <f>G141+G140+G139+G138+G137+G128+G127+G111+G105+G88</f>
        <v>0</v>
      </c>
      <c r="H142" s="253">
        <f t="shared" si="19"/>
        <v>10922000</v>
      </c>
      <c r="I142" s="250">
        <f>I141+I140+I139+I138+I137+I128+I127+I111+I105+I88</f>
        <v>10945570</v>
      </c>
      <c r="J142" s="250">
        <f>J141+J140+J139+J138+J137+J128+J127+J111+J105+J88</f>
        <v>0</v>
      </c>
      <c r="K142" s="253">
        <f t="shared" si="20"/>
        <v>10945570</v>
      </c>
      <c r="L142" s="250">
        <f>L141+L140+L139+L138+L137+L128+L127+L111+L105+L88</f>
        <v>10793247</v>
      </c>
      <c r="M142" s="250">
        <f>M141+M140+M139+M138+M137+M128+M127+M111+M105+M88</f>
        <v>0</v>
      </c>
      <c r="N142" s="253">
        <f t="shared" si="21"/>
        <v>10793247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23"/>
        <v>0</v>
      </c>
      <c r="F143" s="244">
        <f>SUM(F144:F150)</f>
        <v>0</v>
      </c>
      <c r="G143" s="244">
        <f>SUM(G144:G150)</f>
        <v>0</v>
      </c>
      <c r="H143" s="253">
        <f t="shared" si="19"/>
        <v>0</v>
      </c>
      <c r="I143" s="244">
        <f>SUM(I144:I150)</f>
        <v>0</v>
      </c>
      <c r="J143" s="244">
        <f>SUM(J144:J150)</f>
        <v>0</v>
      </c>
      <c r="K143" s="253">
        <f t="shared" si="20"/>
        <v>0</v>
      </c>
      <c r="L143" s="244">
        <f>SUM(L144:L150)</f>
        <v>0</v>
      </c>
      <c r="M143" s="244">
        <f>SUM(M144:M150)</f>
        <v>0</v>
      </c>
      <c r="N143" s="253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23"/>
        <v>0</v>
      </c>
      <c r="F144" s="246"/>
      <c r="G144" s="246"/>
      <c r="H144" s="253">
        <f t="shared" si="19"/>
        <v>0</v>
      </c>
      <c r="I144" s="246"/>
      <c r="J144" s="246"/>
      <c r="K144" s="253">
        <f t="shared" si="20"/>
        <v>0</v>
      </c>
      <c r="L144" s="246"/>
      <c r="M144" s="246"/>
      <c r="N144" s="253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23"/>
        <v>0</v>
      </c>
      <c r="F145" s="246"/>
      <c r="G145" s="246"/>
      <c r="H145" s="253">
        <f t="shared" si="19"/>
        <v>0</v>
      </c>
      <c r="I145" s="246"/>
      <c r="J145" s="246"/>
      <c r="K145" s="253">
        <f t="shared" si="20"/>
        <v>0</v>
      </c>
      <c r="L145" s="246"/>
      <c r="M145" s="246"/>
      <c r="N145" s="253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53">
        <f t="shared" si="19"/>
        <v>0</v>
      </c>
      <c r="I146" s="246"/>
      <c r="J146" s="246"/>
      <c r="K146" s="253">
        <f t="shared" si="20"/>
        <v>0</v>
      </c>
      <c r="L146" s="246"/>
      <c r="M146" s="246"/>
      <c r="N146" s="253">
        <f t="shared" si="21"/>
        <v>0</v>
      </c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>SUM(C147:D147)</f>
        <v>0</v>
      </c>
      <c r="F147" s="246"/>
      <c r="G147" s="246"/>
      <c r="H147" s="253">
        <f t="shared" si="19"/>
        <v>0</v>
      </c>
      <c r="I147" s="246"/>
      <c r="J147" s="246"/>
      <c r="K147" s="253">
        <f t="shared" si="20"/>
        <v>0</v>
      </c>
      <c r="L147" s="246"/>
      <c r="M147" s="246"/>
      <c r="N147" s="253">
        <f t="shared" si="21"/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>SUM(C148:D148)</f>
        <v>0</v>
      </c>
      <c r="F148" s="246"/>
      <c r="G148" s="246"/>
      <c r="H148" s="253">
        <f t="shared" si="19"/>
        <v>0</v>
      </c>
      <c r="I148" s="246"/>
      <c r="J148" s="246"/>
      <c r="K148" s="253">
        <f t="shared" si="20"/>
        <v>0</v>
      </c>
      <c r="L148" s="246"/>
      <c r="M148" s="246"/>
      <c r="N148" s="253">
        <f t="shared" si="21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>SUM(C149:D149)</f>
        <v>0</v>
      </c>
      <c r="F149" s="246"/>
      <c r="G149" s="246"/>
      <c r="H149" s="253">
        <f t="shared" si="19"/>
        <v>0</v>
      </c>
      <c r="I149" s="246"/>
      <c r="J149" s="246"/>
      <c r="K149" s="253">
        <f t="shared" si="20"/>
        <v>0</v>
      </c>
      <c r="L149" s="246"/>
      <c r="M149" s="246"/>
      <c r="N149" s="253">
        <f t="shared" si="21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>SUM(C150:D150)</f>
        <v>0</v>
      </c>
      <c r="F150" s="256"/>
      <c r="G150" s="248"/>
      <c r="H150" s="253">
        <f t="shared" si="19"/>
        <v>0</v>
      </c>
      <c r="I150" s="256"/>
      <c r="J150" s="248"/>
      <c r="K150" s="253">
        <f t="shared" si="20"/>
        <v>0</v>
      </c>
      <c r="L150" s="256"/>
      <c r="M150" s="248"/>
      <c r="N150" s="253">
        <f t="shared" si="21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10922000</v>
      </c>
      <c r="D151" s="257">
        <f>D143+D142</f>
        <v>0</v>
      </c>
      <c r="E151" s="258">
        <f>SUM(C151:D151)</f>
        <v>10922000</v>
      </c>
      <c r="F151" s="250">
        <f>F143+F142</f>
        <v>10922000</v>
      </c>
      <c r="G151" s="257">
        <f>G143+G142</f>
        <v>0</v>
      </c>
      <c r="H151" s="253">
        <f t="shared" si="19"/>
        <v>10922000</v>
      </c>
      <c r="I151" s="250">
        <f>I143+I142</f>
        <v>10945570</v>
      </c>
      <c r="J151" s="257">
        <f>J143+J142</f>
        <v>0</v>
      </c>
      <c r="K151" s="253">
        <f t="shared" si="20"/>
        <v>10945570</v>
      </c>
      <c r="L151" s="250">
        <f>L143+L142</f>
        <v>10793247</v>
      </c>
      <c r="M151" s="257">
        <f>M143+M142</f>
        <v>0</v>
      </c>
      <c r="N151" s="253">
        <f t="shared" si="21"/>
        <v>10793247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-10922000</v>
      </c>
      <c r="H153" s="148">
        <f>H85-H151</f>
        <v>-10922000</v>
      </c>
      <c r="K153" s="148">
        <f>K85-K151</f>
        <v>-10945570</v>
      </c>
      <c r="N153" s="148">
        <f>N85-N151</f>
        <v>-10769724</v>
      </c>
    </row>
  </sheetData>
  <mergeCells count="2">
    <mergeCell ref="A1:E1"/>
    <mergeCell ref="A2:E2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7"/>
  <sheetViews>
    <sheetView zoomScaleNormal="100" workbookViewId="0">
      <selection activeCell="B53" sqref="B53:F53"/>
    </sheetView>
  </sheetViews>
  <sheetFormatPr defaultRowHeight="15" x14ac:dyDescent="0.25"/>
  <cols>
    <col min="7" max="7" width="15.140625" customWidth="1"/>
    <col min="8" max="8" width="17.28515625" customWidth="1"/>
    <col min="9" max="9" width="16.7109375" customWidth="1"/>
    <col min="10" max="10" width="16.7109375" style="179" customWidth="1"/>
    <col min="11" max="11" width="10.28515625" customWidth="1"/>
    <col min="12" max="12" width="13.140625" bestFit="1" customWidth="1"/>
    <col min="14" max="14" width="13.140625" bestFit="1" customWidth="1"/>
  </cols>
  <sheetData>
    <row r="1" spans="1:11" s="388" customFormat="1" x14ac:dyDescent="0.25">
      <c r="A1" s="901" t="s">
        <v>391</v>
      </c>
      <c r="B1" s="901"/>
      <c r="C1" s="901"/>
      <c r="D1" s="901"/>
      <c r="E1" s="901"/>
      <c r="F1" s="901"/>
      <c r="G1" s="901"/>
      <c r="H1" s="901"/>
    </row>
    <row r="2" spans="1:11" s="388" customFormat="1" ht="15" customHeight="1" x14ac:dyDescent="0.25">
      <c r="A2" s="902" t="s">
        <v>573</v>
      </c>
      <c r="B2" s="902"/>
      <c r="C2" s="902"/>
      <c r="D2" s="902"/>
      <c r="E2" s="902"/>
      <c r="F2" s="902"/>
      <c r="G2" s="902"/>
      <c r="H2" s="902"/>
    </row>
    <row r="3" spans="1:11" s="388" customFormat="1" x14ac:dyDescent="0.25">
      <c r="A3" s="387"/>
      <c r="B3" s="387"/>
      <c r="C3" s="387"/>
      <c r="E3" s="45"/>
      <c r="F3" s="45"/>
      <c r="G3" s="45"/>
      <c r="H3" s="45" t="str">
        <f>'1 címrend'!B1</f>
        <v xml:space="preserve"> 12 / 2020. (VI.15) sz rendelet</v>
      </c>
    </row>
    <row r="4" spans="1:11" s="388" customFormat="1" x14ac:dyDescent="0.25">
      <c r="A4" s="387"/>
      <c r="B4" s="387"/>
      <c r="C4" s="387"/>
      <c r="D4" s="387"/>
      <c r="E4" s="387"/>
      <c r="F4" s="387"/>
      <c r="G4" s="387"/>
    </row>
    <row r="5" spans="1:11" s="388" customFormat="1" x14ac:dyDescent="0.25">
      <c r="A5" s="387"/>
      <c r="B5" s="387"/>
      <c r="C5" s="387"/>
      <c r="D5" s="387"/>
      <c r="E5" s="387"/>
      <c r="G5" s="516" t="s">
        <v>41</v>
      </c>
      <c r="H5" s="622" t="str">
        <f>'2 létszámkeret'!C5</f>
        <v xml:space="preserve"> melléklet az 12/2020. (VI.15.) rendelethez</v>
      </c>
      <c r="I5" s="622"/>
      <c r="J5" s="622"/>
    </row>
    <row r="6" spans="1:11" s="179" customFormat="1" x14ac:dyDescent="0.25">
      <c r="A6" s="369"/>
      <c r="B6" s="369"/>
      <c r="C6" s="369"/>
      <c r="D6" s="369"/>
      <c r="E6" s="369"/>
      <c r="F6" s="369"/>
      <c r="G6" s="369"/>
    </row>
    <row r="7" spans="1:11" ht="15" customHeight="1" x14ac:dyDescent="0.25">
      <c r="A7" s="888" t="s">
        <v>319</v>
      </c>
      <c r="B7" s="888"/>
      <c r="C7" s="888"/>
      <c r="D7" s="888"/>
      <c r="E7" s="888"/>
      <c r="F7" s="888"/>
      <c r="G7" s="888" t="s">
        <v>614</v>
      </c>
      <c r="H7" s="888" t="s">
        <v>824</v>
      </c>
      <c r="I7" s="888" t="s">
        <v>860</v>
      </c>
      <c r="J7" s="888" t="s">
        <v>908</v>
      </c>
    </row>
    <row r="8" spans="1:11" ht="15" customHeight="1" x14ac:dyDescent="0.25">
      <c r="A8" s="888"/>
      <c r="B8" s="888"/>
      <c r="C8" s="888"/>
      <c r="D8" s="888"/>
      <c r="E8" s="888"/>
      <c r="F8" s="888"/>
      <c r="G8" s="888"/>
      <c r="H8" s="888"/>
      <c r="I8" s="888"/>
      <c r="J8" s="888"/>
    </row>
    <row r="9" spans="1:11" x14ac:dyDescent="0.25">
      <c r="A9" s="351" t="s">
        <v>287</v>
      </c>
      <c r="B9" s="890" t="s">
        <v>288</v>
      </c>
      <c r="C9" s="903"/>
      <c r="D9" s="903"/>
      <c r="E9" s="903"/>
      <c r="F9" s="903"/>
      <c r="G9" s="699" t="s">
        <v>289</v>
      </c>
      <c r="H9" s="699" t="s">
        <v>290</v>
      </c>
      <c r="I9" s="699" t="s">
        <v>291</v>
      </c>
      <c r="J9" s="699" t="s">
        <v>292</v>
      </c>
    </row>
    <row r="10" spans="1:11" x14ac:dyDescent="0.25">
      <c r="A10" s="352" t="s">
        <v>3</v>
      </c>
      <c r="B10" s="897" t="s">
        <v>320</v>
      </c>
      <c r="C10" s="897"/>
      <c r="D10" s="897"/>
      <c r="E10" s="897"/>
      <c r="F10" s="897"/>
      <c r="G10" s="146"/>
      <c r="H10" s="146"/>
      <c r="I10" s="146"/>
      <c r="J10" s="146"/>
    </row>
    <row r="11" spans="1:11" x14ac:dyDescent="0.25">
      <c r="A11" s="353" t="s">
        <v>321</v>
      </c>
      <c r="B11" s="889" t="s">
        <v>26</v>
      </c>
      <c r="C11" s="889"/>
      <c r="D11" s="889"/>
      <c r="E11" s="889"/>
      <c r="F11" s="889"/>
      <c r="G11" s="355">
        <f>'4. Önkormányzat+int összesen'!AO45</f>
        <v>161955490</v>
      </c>
      <c r="H11" s="355">
        <f>'4. Önkormányzat+int összesen'!AR45</f>
        <v>166987705</v>
      </c>
      <c r="I11" s="355">
        <f ca="1">'4. Önkormányzat+int összesen'!AU45</f>
        <v>169394537</v>
      </c>
      <c r="J11" s="355">
        <f ca="1">'4. Önkormányzat+int összesen'!AX45</f>
        <v>157006935</v>
      </c>
    </row>
    <row r="12" spans="1:11" x14ac:dyDescent="0.25">
      <c r="A12" s="353" t="s">
        <v>20</v>
      </c>
      <c r="B12" s="889" t="s">
        <v>25</v>
      </c>
      <c r="C12" s="889"/>
      <c r="D12" s="889"/>
      <c r="E12" s="889"/>
      <c r="F12" s="889"/>
      <c r="G12" s="355">
        <f>'4. Önkormányzat+int összesen'!AO25</f>
        <v>504000000</v>
      </c>
      <c r="H12" s="355">
        <f>'4. Önkormányzat+int összesen'!AR25</f>
        <v>504000000</v>
      </c>
      <c r="I12" s="355">
        <f ca="1">'4. Önkormányzat+int összesen'!AU25</f>
        <v>537389831</v>
      </c>
      <c r="J12" s="355">
        <f ca="1">'4. Önkormányzat+int összesen'!AX25</f>
        <v>570273424</v>
      </c>
    </row>
    <row r="13" spans="1:11" x14ac:dyDescent="0.25">
      <c r="A13" s="353" t="s">
        <v>322</v>
      </c>
      <c r="B13" s="889" t="s">
        <v>574</v>
      </c>
      <c r="C13" s="889"/>
      <c r="D13" s="889"/>
      <c r="E13" s="889"/>
      <c r="F13" s="889"/>
      <c r="G13" s="355">
        <f>'4. Önkormányzat+int összesen'!AO10</f>
        <v>458484335</v>
      </c>
      <c r="H13" s="355">
        <f>'4. Önkormányzat+int összesen'!AR10</f>
        <v>487405251</v>
      </c>
      <c r="I13" s="355">
        <f ca="1">'4. Önkormányzat+int összesen'!AU10</f>
        <v>496055602</v>
      </c>
      <c r="J13" s="355">
        <f ca="1">'4. Önkormányzat+int összesen'!AX10</f>
        <v>496055602</v>
      </c>
    </row>
    <row r="14" spans="1:11" ht="23.25" customHeight="1" x14ac:dyDescent="0.25">
      <c r="A14" s="353" t="s">
        <v>323</v>
      </c>
      <c r="B14" s="889" t="s">
        <v>575</v>
      </c>
      <c r="C14" s="889"/>
      <c r="D14" s="889"/>
      <c r="E14" s="889"/>
      <c r="F14" s="889"/>
      <c r="G14" s="355">
        <f>'4. Önkormányzat+int összesen'!AO17+'4. Önkormányzat+int összesen'!AO18+'4. Önkormányzat+int összesen'!AO20+'4. Önkormányzat+int összesen'!AO21</f>
        <v>266653870</v>
      </c>
      <c r="H14" s="355">
        <f>'4. Önkormányzat+int összesen'!AR17+'4. Önkormányzat+int összesen'!AR18+'4. Önkormányzat+int összesen'!AR20+'4. Önkormányzat+int összesen'!AR21</f>
        <v>257295448</v>
      </c>
      <c r="I14" s="355">
        <f ca="1">'4. Önkormányzat+int összesen'!AU17+'4. Önkormányzat+int összesen'!AU18+'4. Önkormányzat+int összesen'!AU20+'4. Önkormányzat+int összesen'!AU21</f>
        <v>255648997</v>
      </c>
      <c r="J14" s="355">
        <f ca="1">'4. Önkormányzat+int összesen'!AX17+'4. Önkormányzat+int összesen'!AX18+'4. Önkormányzat+int összesen'!AX20+'4. Önkormányzat+int összesen'!AX21</f>
        <v>207317806</v>
      </c>
      <c r="K14" s="148"/>
    </row>
    <row r="15" spans="1:11" ht="23.25" customHeight="1" x14ac:dyDescent="0.25">
      <c r="A15" s="353"/>
      <c r="B15" s="889" t="s">
        <v>576</v>
      </c>
      <c r="C15" s="889"/>
      <c r="D15" s="889"/>
      <c r="E15" s="889"/>
      <c r="F15" s="889"/>
      <c r="G15" s="355"/>
      <c r="H15" s="355"/>
      <c r="I15" s="355"/>
      <c r="J15" s="355"/>
    </row>
    <row r="16" spans="1:11" x14ac:dyDescent="0.25">
      <c r="A16" s="353" t="s">
        <v>290</v>
      </c>
      <c r="B16" s="889" t="s">
        <v>626</v>
      </c>
      <c r="C16" s="889"/>
      <c r="D16" s="889"/>
      <c r="E16" s="889"/>
      <c r="F16" s="889"/>
      <c r="G16" s="354">
        <f>'4. Önkormányzat+int összesen'!AO67</f>
        <v>0</v>
      </c>
      <c r="H16" s="354">
        <f>'4. Önkormányzat+int összesen'!AP67</f>
        <v>0</v>
      </c>
      <c r="I16" s="354">
        <f ca="1">'4. Önkormányzat+int összesen'!AU67</f>
        <v>100000</v>
      </c>
      <c r="J16" s="354">
        <f ca="1">'4. Önkormányzat+int összesen'!AX67</f>
        <v>268730</v>
      </c>
    </row>
    <row r="17" spans="1:11" x14ac:dyDescent="0.25">
      <c r="A17" s="353" t="s">
        <v>291</v>
      </c>
      <c r="B17" s="889" t="s">
        <v>577</v>
      </c>
      <c r="C17" s="889"/>
      <c r="D17" s="889"/>
      <c r="E17" s="889"/>
      <c r="F17" s="889"/>
      <c r="G17" s="354">
        <f>'4. Önkormányzat+int összesen'!AO19</f>
        <v>0</v>
      </c>
      <c r="H17" s="354">
        <f>'4. Önkormányzat+int összesen'!AP19</f>
        <v>0</v>
      </c>
      <c r="I17" s="354">
        <f>'4. Önkormányzat+int összesen'!AQ19</f>
        <v>0</v>
      </c>
      <c r="J17" s="354">
        <f>'4. Önkormányzat+int összesen'!AR19</f>
        <v>0</v>
      </c>
    </row>
    <row r="18" spans="1:11" x14ac:dyDescent="0.25">
      <c r="A18" s="356" t="s">
        <v>292</v>
      </c>
      <c r="B18" s="891" t="s">
        <v>578</v>
      </c>
      <c r="C18" s="891"/>
      <c r="D18" s="891"/>
      <c r="E18" s="891"/>
      <c r="F18" s="891"/>
      <c r="G18" s="357">
        <f>SUM(G11:G17)-G15</f>
        <v>1391093695</v>
      </c>
      <c r="H18" s="357">
        <f>SUM(H11:H17)-H15</f>
        <v>1415688404</v>
      </c>
      <c r="I18" s="357">
        <f ca="1">SUM(I11:I17)-I15</f>
        <v>1458588967</v>
      </c>
      <c r="J18" s="357">
        <f ca="1">SUM(J11:J17)-J15</f>
        <v>1430922497</v>
      </c>
    </row>
    <row r="19" spans="1:11" x14ac:dyDescent="0.25">
      <c r="A19" s="358" t="s">
        <v>293</v>
      </c>
      <c r="B19" s="889" t="s">
        <v>34</v>
      </c>
      <c r="C19" s="889"/>
      <c r="D19" s="889"/>
      <c r="E19" s="889"/>
      <c r="F19" s="889"/>
      <c r="G19" s="354">
        <f>'4. Önkormányzat+int összesen'!AO88</f>
        <v>364604052</v>
      </c>
      <c r="H19" s="354">
        <f>'4. Önkormányzat+int összesen'!AR88</f>
        <v>368932112</v>
      </c>
      <c r="I19" s="354">
        <f ca="1">'4. Önkormányzat+int összesen'!AU88</f>
        <v>379409118</v>
      </c>
      <c r="J19" s="354">
        <f ca="1">'4. Önkormányzat+int összesen'!AX88</f>
        <v>361790934</v>
      </c>
      <c r="K19" s="148"/>
    </row>
    <row r="20" spans="1:11" x14ac:dyDescent="0.25">
      <c r="A20" s="358" t="s">
        <v>294</v>
      </c>
      <c r="B20" s="889" t="s">
        <v>579</v>
      </c>
      <c r="C20" s="889"/>
      <c r="D20" s="889"/>
      <c r="E20" s="889"/>
      <c r="F20" s="889"/>
      <c r="G20" s="354">
        <f>'4. Önkormányzat+int összesen'!AO105</f>
        <v>80205642</v>
      </c>
      <c r="H20" s="354">
        <f>'4. Önkormányzat+int összesen'!AR105</f>
        <v>81702283</v>
      </c>
      <c r="I20" s="354">
        <f ca="1">'4. Önkormányzat+int összesen'!AU105</f>
        <v>81588283</v>
      </c>
      <c r="J20" s="354">
        <f ca="1">'4. Önkormányzat+int összesen'!AX105</f>
        <v>77209497</v>
      </c>
      <c r="K20" s="148"/>
    </row>
    <row r="21" spans="1:11" x14ac:dyDescent="0.25">
      <c r="A21" s="358" t="s">
        <v>295</v>
      </c>
      <c r="B21" s="889" t="s">
        <v>580</v>
      </c>
      <c r="C21" s="889"/>
      <c r="D21" s="889"/>
      <c r="E21" s="889"/>
      <c r="F21" s="889"/>
      <c r="G21" s="354">
        <f>'4. Önkormányzat+int összesen'!AO111</f>
        <v>860401761</v>
      </c>
      <c r="H21" s="354">
        <f>'4. Önkormányzat+int összesen'!AR111</f>
        <v>847790825</v>
      </c>
      <c r="I21" s="354">
        <f ca="1">'4. Önkormányzat+int összesen'!AU111</f>
        <v>864198866</v>
      </c>
      <c r="J21" s="354">
        <f ca="1">'4. Önkormányzat+int összesen'!AX111</f>
        <v>607597112</v>
      </c>
    </row>
    <row r="22" spans="1:11" ht="23.25" customHeight="1" x14ac:dyDescent="0.25">
      <c r="A22" s="358" t="s">
        <v>296</v>
      </c>
      <c r="B22" s="889" t="s">
        <v>232</v>
      </c>
      <c r="C22" s="889"/>
      <c r="D22" s="889"/>
      <c r="E22" s="889"/>
      <c r="F22" s="889"/>
      <c r="G22" s="354">
        <f>'4. Önkormányzat+int összesen'!AO131</f>
        <v>210731344</v>
      </c>
      <c r="H22" s="354">
        <f>'4. Önkormányzat+int összesen'!AR131</f>
        <v>215211326</v>
      </c>
      <c r="I22" s="354">
        <f ca="1">'4. Önkormányzat+int összesen'!AU131</f>
        <v>215211326</v>
      </c>
      <c r="J22" s="354">
        <f ca="1">'4. Önkormányzat+int összesen'!AX131</f>
        <v>211999757</v>
      </c>
    </row>
    <row r="23" spans="1:11" x14ac:dyDescent="0.25">
      <c r="A23" s="358" t="s">
        <v>297</v>
      </c>
      <c r="B23" s="889" t="s">
        <v>230</v>
      </c>
      <c r="C23" s="889"/>
      <c r="D23" s="889"/>
      <c r="E23" s="889"/>
      <c r="F23" s="889"/>
      <c r="G23" s="354"/>
      <c r="H23" s="354"/>
      <c r="I23" s="354">
        <f ca="1">'4. Önkormányzat+int összesen'!AU129</f>
        <v>22052</v>
      </c>
      <c r="J23" s="354">
        <f ca="1">'4. Önkormányzat+int összesen'!AX129</f>
        <v>22052</v>
      </c>
    </row>
    <row r="24" spans="1:11" ht="24" customHeight="1" x14ac:dyDescent="0.25">
      <c r="A24" s="358" t="s">
        <v>298</v>
      </c>
      <c r="B24" s="889" t="s">
        <v>236</v>
      </c>
      <c r="C24" s="889"/>
      <c r="D24" s="889"/>
      <c r="E24" s="889"/>
      <c r="F24" s="889"/>
      <c r="G24" s="354">
        <f>'4. Önkormányzat+int összesen'!AO133</f>
        <v>242802082</v>
      </c>
      <c r="H24" s="354">
        <f>'4. Önkormányzat+int összesen'!AR133</f>
        <v>243287082</v>
      </c>
      <c r="I24" s="354">
        <f ca="1">'4. Önkormányzat+int összesen'!AU133</f>
        <v>243124000</v>
      </c>
      <c r="J24" s="354">
        <f ca="1">'4. Önkormányzat+int összesen'!AX133</f>
        <v>239637000</v>
      </c>
    </row>
    <row r="25" spans="1:11" x14ac:dyDescent="0.25">
      <c r="A25" s="358" t="s">
        <v>299</v>
      </c>
      <c r="B25" s="889" t="s">
        <v>577</v>
      </c>
      <c r="C25" s="889"/>
      <c r="D25" s="889"/>
      <c r="E25" s="889"/>
      <c r="F25" s="889"/>
      <c r="G25" s="354">
        <f>'4. Önkormányzat+int összesen'!AO130+'4. Önkormányzat+int összesen'!AO132</f>
        <v>0</v>
      </c>
      <c r="H25" s="354">
        <f>'4. Önkormányzat+int összesen'!AP130+'4. Önkormányzat+int összesen'!AP132</f>
        <v>0</v>
      </c>
      <c r="I25" s="354">
        <f ca="1">'4. Önkormányzat+int összesen'!AU130+'4. Önkormányzat+int összesen'!AU132</f>
        <v>2985000</v>
      </c>
      <c r="J25" s="354">
        <f ca="1">'4. Önkormányzat+int összesen'!AX130+'4. Önkormányzat+int összesen'!AX132</f>
        <v>2985000</v>
      </c>
    </row>
    <row r="26" spans="1:11" x14ac:dyDescent="0.25">
      <c r="A26" s="358" t="s">
        <v>300</v>
      </c>
      <c r="B26" s="889" t="s">
        <v>581</v>
      </c>
      <c r="C26" s="889"/>
      <c r="D26" s="889"/>
      <c r="E26" s="889"/>
      <c r="F26" s="889"/>
      <c r="G26" s="354">
        <f>'4. Önkormányzat+int összesen'!AO127</f>
        <v>4000000</v>
      </c>
      <c r="H26" s="354">
        <f>'4. Önkormányzat+int összesen'!AR127</f>
        <v>4000000</v>
      </c>
      <c r="I26" s="354">
        <f ca="1">'4. Önkormányzat+int összesen'!AU127</f>
        <v>5388302</v>
      </c>
      <c r="J26" s="354">
        <f ca="1">'4. Önkormányzat+int összesen'!AX127</f>
        <v>5151302</v>
      </c>
    </row>
    <row r="27" spans="1:11" x14ac:dyDescent="0.25">
      <c r="A27" s="358" t="s">
        <v>301</v>
      </c>
      <c r="B27" s="889" t="s">
        <v>238</v>
      </c>
      <c r="C27" s="889"/>
      <c r="D27" s="889"/>
      <c r="E27" s="889"/>
      <c r="F27" s="889"/>
      <c r="G27" s="354">
        <f>'4. Önkormányzat+int összesen'!AO134</f>
        <v>100000000</v>
      </c>
      <c r="H27" s="354">
        <f>'4. Önkormányzat+int összesen'!AR134</f>
        <v>60000000</v>
      </c>
      <c r="I27" s="354">
        <f ca="1">'4. Önkormányzat+int összesen'!AU134</f>
        <v>60000000</v>
      </c>
      <c r="J27" s="354">
        <f ca="1">'4. Önkormányzat+int összesen'!AV134</f>
        <v>0</v>
      </c>
    </row>
    <row r="28" spans="1:11" x14ac:dyDescent="0.25">
      <c r="A28" s="356" t="s">
        <v>302</v>
      </c>
      <c r="B28" s="891" t="s">
        <v>582</v>
      </c>
      <c r="C28" s="891"/>
      <c r="D28" s="891"/>
      <c r="E28" s="891"/>
      <c r="F28" s="891"/>
      <c r="G28" s="357">
        <f>SUM(G19:G27)</f>
        <v>1862744881</v>
      </c>
      <c r="H28" s="357">
        <f>SUM(H19:H27)</f>
        <v>1820923628</v>
      </c>
      <c r="I28" s="357">
        <f ca="1">SUM(I19:I27)</f>
        <v>1851926947</v>
      </c>
      <c r="J28" s="357">
        <f ca="1">SUM(J19:J27)</f>
        <v>1506392654</v>
      </c>
    </row>
    <row r="29" spans="1:11" x14ac:dyDescent="0.25">
      <c r="A29" s="352" t="s">
        <v>5</v>
      </c>
      <c r="B29" s="897" t="s">
        <v>583</v>
      </c>
      <c r="C29" s="897"/>
      <c r="D29" s="897"/>
      <c r="E29" s="897"/>
      <c r="F29" s="897"/>
      <c r="G29" s="146"/>
      <c r="H29" s="146"/>
      <c r="I29" s="146"/>
      <c r="J29" s="146"/>
    </row>
    <row r="30" spans="1:11" x14ac:dyDescent="0.25">
      <c r="A30" s="353" t="s">
        <v>303</v>
      </c>
      <c r="B30" s="889" t="s">
        <v>584</v>
      </c>
      <c r="C30" s="889"/>
      <c r="D30" s="889"/>
      <c r="E30" s="889"/>
      <c r="F30" s="889"/>
      <c r="G30" s="354">
        <f>SUM(G31:G32)</f>
        <v>7695000</v>
      </c>
      <c r="H30" s="354">
        <f>SUM(H31:H32)</f>
        <v>9298826</v>
      </c>
      <c r="I30" s="354">
        <f ca="1">SUM(I31:I32)</f>
        <v>9327233</v>
      </c>
      <c r="J30" s="354">
        <f ca="1">SUM(J31:J32)</f>
        <v>9298826</v>
      </c>
    </row>
    <row r="31" spans="1:11" x14ac:dyDescent="0.25">
      <c r="A31" s="353" t="s">
        <v>304</v>
      </c>
      <c r="B31" s="889" t="s">
        <v>585</v>
      </c>
      <c r="C31" s="889"/>
      <c r="D31" s="889"/>
      <c r="E31" s="889"/>
      <c r="F31" s="889"/>
      <c r="G31" s="354">
        <f>'4. Önkormányzat+int összesen'!AO63</f>
        <v>7695000</v>
      </c>
      <c r="H31" s="354">
        <f>'4. Önkormányzat+int összesen'!AR63</f>
        <v>8626400</v>
      </c>
      <c r="I31" s="354">
        <f ca="1">'4. Önkormányzat+int összesen'!AU63</f>
        <v>8626400</v>
      </c>
      <c r="J31" s="354">
        <f ca="1">'4. Önkormányzat+int összesen'!AX63</f>
        <v>8626400</v>
      </c>
    </row>
    <row r="32" spans="1:11" x14ac:dyDescent="0.25">
      <c r="A32" s="353" t="s">
        <v>305</v>
      </c>
      <c r="B32" s="889" t="s">
        <v>586</v>
      </c>
      <c r="C32" s="889"/>
      <c r="D32" s="889"/>
      <c r="E32" s="889"/>
      <c r="F32" s="889"/>
      <c r="G32" s="354">
        <f>'4. Önkormányzat+int összesen'!AO64</f>
        <v>0</v>
      </c>
      <c r="H32" s="354">
        <f>'4. Önkormányzat+int összesen'!AP64</f>
        <v>672426</v>
      </c>
      <c r="I32" s="354">
        <f ca="1">'4. Önkormányzat+int összesen'!AU64</f>
        <v>700833</v>
      </c>
      <c r="J32" s="354">
        <f ca="1">'4. Önkormányzat+int összesen'!AX64</f>
        <v>672426</v>
      </c>
    </row>
    <row r="33" spans="1:10" x14ac:dyDescent="0.25">
      <c r="A33" s="353" t="s">
        <v>306</v>
      </c>
      <c r="B33" s="889" t="s">
        <v>587</v>
      </c>
      <c r="C33" s="889"/>
      <c r="D33" s="889"/>
      <c r="E33" s="889"/>
      <c r="F33" s="889"/>
      <c r="G33" s="354"/>
      <c r="H33" s="354"/>
      <c r="I33" s="354"/>
      <c r="J33" s="354"/>
    </row>
    <row r="34" spans="1:10" ht="23.25" customHeight="1" x14ac:dyDescent="0.25">
      <c r="A34" s="353" t="s">
        <v>307</v>
      </c>
      <c r="B34" s="889" t="s">
        <v>588</v>
      </c>
      <c r="C34" s="889"/>
      <c r="D34" s="889"/>
      <c r="E34" s="889"/>
      <c r="F34" s="889"/>
      <c r="G34" s="354">
        <f>'4. Önkormányzat+int összesen'!AO22</f>
        <v>1006762937</v>
      </c>
      <c r="H34" s="354">
        <f>'4. Önkormányzat+int összesen'!AR22</f>
        <v>1006762937</v>
      </c>
      <c r="I34" s="354">
        <f ca="1">'4. Önkormányzat+int összesen'!AU22</f>
        <v>1011738782</v>
      </c>
      <c r="J34" s="354">
        <f ca="1">'4. Önkormányzat+int összesen'!AX22</f>
        <v>957123845</v>
      </c>
    </row>
    <row r="35" spans="1:10" ht="24.75" customHeight="1" x14ac:dyDescent="0.25">
      <c r="A35" s="353" t="s">
        <v>308</v>
      </c>
      <c r="B35" s="889" t="s">
        <v>589</v>
      </c>
      <c r="C35" s="889"/>
      <c r="D35" s="889"/>
      <c r="E35" s="889"/>
      <c r="F35" s="889"/>
      <c r="G35" s="354">
        <f>'4. Önkormányzat+int összesen'!AO70</f>
        <v>375000</v>
      </c>
      <c r="H35" s="354">
        <f>'4. Önkormányzat+int összesen'!AR70</f>
        <v>375000</v>
      </c>
      <c r="I35" s="354">
        <f ca="1">'4. Önkormányzat+int összesen'!AU70</f>
        <v>375000</v>
      </c>
      <c r="J35" s="354">
        <f ca="1">'4. Önkormányzat+int összesen'!AX70</f>
        <v>406665</v>
      </c>
    </row>
    <row r="36" spans="1:10" ht="21.75" customHeight="1" x14ac:dyDescent="0.25">
      <c r="A36" s="353" t="s">
        <v>309</v>
      </c>
      <c r="B36" s="889" t="s">
        <v>590</v>
      </c>
      <c r="C36" s="889"/>
      <c r="D36" s="889"/>
      <c r="E36" s="889"/>
      <c r="F36" s="889"/>
      <c r="G36" s="354"/>
      <c r="H36" s="354">
        <f>'4. Önkormányzat+int összesen'!AR72</f>
        <v>5122863</v>
      </c>
      <c r="I36" s="354">
        <f ca="1">'4. Önkormányzat+int összesen'!AU72</f>
        <v>5122863</v>
      </c>
      <c r="J36" s="354">
        <f ca="1">'4. Önkormányzat+int összesen'!AV72</f>
        <v>0</v>
      </c>
    </row>
    <row r="37" spans="1:10" x14ac:dyDescent="0.25">
      <c r="A37" s="353" t="s">
        <v>310</v>
      </c>
      <c r="B37" s="891" t="s">
        <v>591</v>
      </c>
      <c r="C37" s="891"/>
      <c r="D37" s="891"/>
      <c r="E37" s="891"/>
      <c r="F37" s="891"/>
      <c r="G37" s="357">
        <f>SUM(G34:G36)+G30</f>
        <v>1014832937</v>
      </c>
      <c r="H37" s="357">
        <f>SUM(H34:H36)+H30</f>
        <v>1021559626</v>
      </c>
      <c r="I37" s="357">
        <f ca="1">SUM(I34:I36)+I30</f>
        <v>1026563878</v>
      </c>
      <c r="J37" s="357">
        <f ca="1">SUM(J34:J36)+J30</f>
        <v>966829336</v>
      </c>
    </row>
    <row r="38" spans="1:10" x14ac:dyDescent="0.25">
      <c r="A38" s="353" t="s">
        <v>311</v>
      </c>
      <c r="B38" s="889" t="s">
        <v>39</v>
      </c>
      <c r="C38" s="889"/>
      <c r="D38" s="889"/>
      <c r="E38" s="889"/>
      <c r="F38" s="889"/>
      <c r="G38" s="354">
        <f>'4. Önkormányzat+int összesen'!AO139+'4. Önkormányzat+int összesen'!AO140</f>
        <v>499768804</v>
      </c>
      <c r="H38" s="354">
        <f>'4. Önkormányzat+int összesen'!AR139+'4. Önkormányzat+int összesen'!AR140</f>
        <v>376978889</v>
      </c>
      <c r="I38" s="354">
        <f ca="1">'4. Önkormányzat+int összesen'!AU139+'4. Önkormányzat+int összesen'!AS140</f>
        <v>410374174</v>
      </c>
      <c r="J38" s="354">
        <f ca="1">'4. Önkormányzat+int összesen'!AX139+'4. Önkormányzat+int összesen'!AX140</f>
        <v>356911715</v>
      </c>
    </row>
    <row r="39" spans="1:10" x14ac:dyDescent="0.25">
      <c r="A39" s="353" t="s">
        <v>312</v>
      </c>
      <c r="B39" s="889" t="s">
        <v>38</v>
      </c>
      <c r="C39" s="889"/>
      <c r="D39" s="889"/>
      <c r="E39" s="889"/>
      <c r="F39" s="889"/>
      <c r="G39" s="355">
        <f>'4. Önkormányzat+int összesen'!AO137+'4. Önkormányzat+int összesen'!AO138</f>
        <v>2478055779</v>
      </c>
      <c r="H39" s="355">
        <f>'4. Önkormányzat+int összesen'!AR137+'4. Önkormányzat+int összesen'!AR138</f>
        <v>2675670651</v>
      </c>
      <c r="I39" s="355">
        <f ca="1">'4. Önkormányzat+int összesen'!AS137+'4. Önkormányzat+int összesen'!AU138</f>
        <v>2653596958</v>
      </c>
      <c r="J39" s="355">
        <f ca="1">'4. Önkormányzat+int összesen'!AX137+'4. Önkormányzat+int összesen'!AX138</f>
        <v>1536343937</v>
      </c>
    </row>
    <row r="40" spans="1:10" x14ac:dyDescent="0.25">
      <c r="A40" s="353" t="s">
        <v>313</v>
      </c>
      <c r="B40" s="889" t="s">
        <v>592</v>
      </c>
      <c r="C40" s="889"/>
      <c r="D40" s="889"/>
      <c r="E40" s="889"/>
      <c r="F40" s="889"/>
      <c r="G40" s="355"/>
      <c r="H40" s="355"/>
      <c r="I40" s="355"/>
      <c r="J40" s="355"/>
    </row>
    <row r="41" spans="1:10" ht="21.75" customHeight="1" x14ac:dyDescent="0.25">
      <c r="A41" s="353" t="s">
        <v>314</v>
      </c>
      <c r="B41" s="889" t="s">
        <v>593</v>
      </c>
      <c r="C41" s="889"/>
      <c r="D41" s="889"/>
      <c r="E41" s="889"/>
      <c r="F41" s="889"/>
      <c r="G41" s="355"/>
      <c r="H41" s="355"/>
      <c r="I41" s="355"/>
      <c r="J41" s="355"/>
    </row>
    <row r="42" spans="1:10" ht="21.75" customHeight="1" x14ac:dyDescent="0.25">
      <c r="A42" s="353" t="s">
        <v>315</v>
      </c>
      <c r="B42" s="889" t="s">
        <v>594</v>
      </c>
      <c r="C42" s="889"/>
      <c r="D42" s="889"/>
      <c r="E42" s="889"/>
      <c r="F42" s="889"/>
      <c r="G42" s="355"/>
      <c r="H42" s="355">
        <v>5122863</v>
      </c>
      <c r="I42" s="355">
        <v>5122864</v>
      </c>
      <c r="J42" s="355">
        <v>5122864</v>
      </c>
    </row>
    <row r="43" spans="1:10" ht="23.25" customHeight="1" x14ac:dyDescent="0.25">
      <c r="A43" s="353" t="s">
        <v>316</v>
      </c>
      <c r="B43" s="889" t="s">
        <v>595</v>
      </c>
      <c r="C43" s="889"/>
      <c r="D43" s="889"/>
      <c r="E43" s="889"/>
      <c r="F43" s="889"/>
      <c r="G43" s="355">
        <f>'4. Önkormányzat+int összesen'!AO141</f>
        <v>17912000</v>
      </c>
      <c r="H43" s="355">
        <f>'4. Önkormányzat+int összesen'!AR141-H42</f>
        <v>17912000</v>
      </c>
      <c r="I43" s="355">
        <f ca="1">'4. Önkormányzat+int összesen'!AU141-I42</f>
        <v>23491903</v>
      </c>
      <c r="J43" s="355">
        <f ca="1">'4. Önkormányzat+int összesen'!AX141-J42</f>
        <v>23491903</v>
      </c>
    </row>
    <row r="44" spans="1:10" x14ac:dyDescent="0.25">
      <c r="A44" s="356">
        <v>32</v>
      </c>
      <c r="B44" s="891" t="s">
        <v>596</v>
      </c>
      <c r="C44" s="891"/>
      <c r="D44" s="891"/>
      <c r="E44" s="891"/>
      <c r="F44" s="891"/>
      <c r="G44" s="357">
        <f>SUM(G38:G43)</f>
        <v>2995736583</v>
      </c>
      <c r="H44" s="357">
        <f>SUM(H38:H43)</f>
        <v>3075684403</v>
      </c>
      <c r="I44" s="357">
        <f ca="1">SUM(I38:I43)</f>
        <v>3092585899</v>
      </c>
      <c r="J44" s="357">
        <f ca="1">SUM(J38:J43)</f>
        <v>1921870419</v>
      </c>
    </row>
    <row r="45" spans="1:10" x14ac:dyDescent="0.25">
      <c r="A45" s="359"/>
      <c r="B45" s="894"/>
      <c r="C45" s="895"/>
      <c r="D45" s="895"/>
      <c r="E45" s="895"/>
      <c r="F45" s="895"/>
      <c r="G45" s="146"/>
      <c r="H45" s="146"/>
      <c r="I45" s="146"/>
      <c r="J45" s="146"/>
    </row>
    <row r="46" spans="1:10" x14ac:dyDescent="0.25">
      <c r="A46" s="356">
        <v>33</v>
      </c>
      <c r="B46" s="891" t="s">
        <v>597</v>
      </c>
      <c r="C46" s="891"/>
      <c r="D46" s="891"/>
      <c r="E46" s="891"/>
      <c r="F46" s="891"/>
      <c r="G46" s="360">
        <f>G18+G37</f>
        <v>2405926632</v>
      </c>
      <c r="H46" s="360">
        <f>H18+H37</f>
        <v>2437248030</v>
      </c>
      <c r="I46" s="360">
        <f ca="1">I18+I37</f>
        <v>2485152845</v>
      </c>
      <c r="J46" s="360">
        <f ca="1">J18+J37</f>
        <v>2397751833</v>
      </c>
    </row>
    <row r="47" spans="1:10" x14ac:dyDescent="0.25">
      <c r="A47" s="359"/>
      <c r="B47" s="890"/>
      <c r="C47" s="890"/>
      <c r="D47" s="890"/>
      <c r="E47" s="890"/>
      <c r="F47" s="890"/>
      <c r="G47" s="146"/>
      <c r="H47" s="146"/>
      <c r="I47" s="146"/>
      <c r="J47" s="146"/>
    </row>
    <row r="48" spans="1:10" x14ac:dyDescent="0.25">
      <c r="A48" s="356" t="s">
        <v>324</v>
      </c>
      <c r="B48" s="891" t="s">
        <v>598</v>
      </c>
      <c r="C48" s="891"/>
      <c r="D48" s="891"/>
      <c r="E48" s="891"/>
      <c r="F48" s="891"/>
      <c r="G48" s="360">
        <f>G28+G44</f>
        <v>4858481464</v>
      </c>
      <c r="H48" s="360">
        <f>H28+H44</f>
        <v>4896608031</v>
      </c>
      <c r="I48" s="360">
        <f ca="1">I28+I44</f>
        <v>4944512846</v>
      </c>
      <c r="J48" s="360">
        <f ca="1">J28+J44</f>
        <v>3428263073</v>
      </c>
    </row>
    <row r="49" spans="1:14" x14ac:dyDescent="0.25">
      <c r="A49" s="352" t="s">
        <v>7</v>
      </c>
      <c r="B49" s="892" t="s">
        <v>599</v>
      </c>
      <c r="C49" s="892"/>
      <c r="D49" s="892"/>
      <c r="E49" s="892"/>
      <c r="F49" s="892"/>
      <c r="G49" s="359"/>
      <c r="H49" s="359"/>
      <c r="I49" s="359"/>
      <c r="J49" s="359"/>
    </row>
    <row r="50" spans="1:14" x14ac:dyDescent="0.25">
      <c r="A50" s="353" t="s">
        <v>325</v>
      </c>
      <c r="B50" s="893" t="s">
        <v>600</v>
      </c>
      <c r="C50" s="893"/>
      <c r="D50" s="893"/>
      <c r="E50" s="893"/>
      <c r="F50" s="893"/>
      <c r="G50" s="354"/>
      <c r="H50" s="354"/>
      <c r="I50" s="354"/>
      <c r="J50" s="354"/>
    </row>
    <row r="51" spans="1:14" x14ac:dyDescent="0.25">
      <c r="A51" s="353" t="s">
        <v>326</v>
      </c>
      <c r="B51" s="889" t="s">
        <v>601</v>
      </c>
      <c r="C51" s="889"/>
      <c r="D51" s="889"/>
      <c r="E51" s="889"/>
      <c r="F51" s="889"/>
      <c r="G51" s="354"/>
      <c r="H51" s="354"/>
      <c r="I51" s="354"/>
      <c r="J51" s="354"/>
    </row>
    <row r="52" spans="1:14" x14ac:dyDescent="0.25">
      <c r="A52" s="353" t="s">
        <v>327</v>
      </c>
      <c r="B52" s="893" t="s">
        <v>602</v>
      </c>
      <c r="C52" s="893"/>
      <c r="D52" s="893"/>
      <c r="E52" s="893"/>
      <c r="F52" s="893"/>
      <c r="G52" s="355">
        <f>'4. Önkormányzat+int összesen'!AO79</f>
        <v>2469475370</v>
      </c>
      <c r="H52" s="355">
        <f>'4. Önkormányzat+int összesen'!AR79</f>
        <v>2476280539</v>
      </c>
      <c r="I52" s="355">
        <f ca="1">'4. Önkormányzat+int összesen'!AU79</f>
        <v>2476280539</v>
      </c>
      <c r="J52" s="355">
        <f ca="1">'4. Önkormányzat+int összesen'!AX79</f>
        <v>2476280539</v>
      </c>
    </row>
    <row r="53" spans="1:14" x14ac:dyDescent="0.25">
      <c r="A53" s="353" t="s">
        <v>328</v>
      </c>
      <c r="B53" s="889" t="s">
        <v>603</v>
      </c>
      <c r="C53" s="889"/>
      <c r="D53" s="889"/>
      <c r="E53" s="889"/>
      <c r="F53" s="889"/>
      <c r="G53" s="354">
        <f>'4. Önkormányzat+int összesen'!AO82</f>
        <v>0</v>
      </c>
      <c r="H53" s="354">
        <f>'4. Önkormányzat+int összesen'!AP82</f>
        <v>0</v>
      </c>
      <c r="I53" s="354">
        <f>'4. Önkormányzat+int összesen'!AQ82</f>
        <v>0</v>
      </c>
      <c r="J53" s="354">
        <f ca="1">'4. Önkormányzat+int összesen'!AX82</f>
        <v>19068717</v>
      </c>
    </row>
    <row r="54" spans="1:14" x14ac:dyDescent="0.25">
      <c r="A54" s="353" t="s">
        <v>329</v>
      </c>
      <c r="B54" s="893" t="s">
        <v>604</v>
      </c>
      <c r="C54" s="893"/>
      <c r="D54" s="893"/>
      <c r="E54" s="893"/>
      <c r="F54" s="893"/>
      <c r="G54" s="354"/>
      <c r="H54" s="354"/>
      <c r="I54" s="354"/>
      <c r="J54" s="354"/>
    </row>
    <row r="55" spans="1:14" x14ac:dyDescent="0.25">
      <c r="A55" s="353" t="s">
        <v>330</v>
      </c>
      <c r="B55" s="897" t="s">
        <v>605</v>
      </c>
      <c r="C55" s="897"/>
      <c r="D55" s="897"/>
      <c r="E55" s="897"/>
      <c r="F55" s="897"/>
      <c r="G55" s="362">
        <f>SUM(G49:G54)</f>
        <v>2469475370</v>
      </c>
      <c r="H55" s="362">
        <f>SUM(H49:H54)</f>
        <v>2476280539</v>
      </c>
      <c r="I55" s="362">
        <f ca="1">SUM(I49:I54)</f>
        <v>2476280539</v>
      </c>
      <c r="J55" s="362">
        <f ca="1">SUM(J49:J54)</f>
        <v>2495349256</v>
      </c>
    </row>
    <row r="56" spans="1:14" x14ac:dyDescent="0.25">
      <c r="A56" s="353" t="s">
        <v>331</v>
      </c>
      <c r="B56" s="889" t="s">
        <v>606</v>
      </c>
      <c r="C56" s="889"/>
      <c r="D56" s="889"/>
      <c r="E56" s="889"/>
      <c r="F56" s="889"/>
      <c r="G56" s="354"/>
      <c r="H56" s="354"/>
      <c r="I56" s="354"/>
      <c r="J56" s="354"/>
      <c r="L56" s="148"/>
      <c r="N56" s="148"/>
    </row>
    <row r="57" spans="1:14" x14ac:dyDescent="0.25">
      <c r="A57" s="353" t="s">
        <v>332</v>
      </c>
      <c r="B57" s="889" t="s">
        <v>607</v>
      </c>
      <c r="C57" s="889"/>
      <c r="D57" s="889"/>
      <c r="E57" s="889"/>
      <c r="F57" s="889"/>
      <c r="G57" s="354"/>
      <c r="H57" s="354"/>
      <c r="I57" s="354"/>
      <c r="J57" s="354"/>
      <c r="N57" s="148"/>
    </row>
    <row r="58" spans="1:14" x14ac:dyDescent="0.25">
      <c r="A58" s="353" t="s">
        <v>333</v>
      </c>
      <c r="B58" s="889" t="s">
        <v>608</v>
      </c>
      <c r="C58" s="889"/>
      <c r="D58" s="889"/>
      <c r="E58" s="889"/>
      <c r="F58" s="889"/>
      <c r="G58" s="354"/>
      <c r="H58" s="354"/>
      <c r="I58" s="354"/>
      <c r="J58" s="354"/>
      <c r="L58" s="148"/>
      <c r="N58" s="148"/>
    </row>
    <row r="59" spans="1:14" x14ac:dyDescent="0.25">
      <c r="A59" s="353" t="s">
        <v>334</v>
      </c>
      <c r="B59" s="889" t="s">
        <v>609</v>
      </c>
      <c r="C59" s="889"/>
      <c r="D59" s="889"/>
      <c r="E59" s="889"/>
      <c r="F59" s="889"/>
      <c r="G59" s="354">
        <f>'4. Önkormányzat+int összesen'!AO146</f>
        <v>16920538</v>
      </c>
      <c r="H59" s="354">
        <f>'4. Önkormányzat+int összesen'!AR146</f>
        <v>16920538</v>
      </c>
      <c r="I59" s="354">
        <f ca="1">'4. Önkormányzat+int összesen'!AS146</f>
        <v>16920538</v>
      </c>
      <c r="J59" s="354">
        <f ca="1">'4. Önkormányzat+int összesen'!AX146</f>
        <v>16920538</v>
      </c>
    </row>
    <row r="60" spans="1:14" x14ac:dyDescent="0.25">
      <c r="A60" s="353" t="s">
        <v>335</v>
      </c>
      <c r="B60" s="898" t="s">
        <v>610</v>
      </c>
      <c r="C60" s="898"/>
      <c r="D60" s="898"/>
      <c r="E60" s="898"/>
      <c r="F60" s="898"/>
      <c r="G60" s="361">
        <f>SUM(G56:G59)</f>
        <v>16920538</v>
      </c>
      <c r="H60" s="361">
        <f>SUM(H56:H59)</f>
        <v>16920538</v>
      </c>
      <c r="I60" s="361">
        <f ca="1">SUM(I56:I59)</f>
        <v>16920538</v>
      </c>
      <c r="J60" s="361">
        <f ca="1">SUM(J56:J59)</f>
        <v>16920538</v>
      </c>
    </row>
    <row r="61" spans="1:14" x14ac:dyDescent="0.25">
      <c r="A61" s="352"/>
      <c r="B61" s="899"/>
      <c r="C61" s="900"/>
      <c r="D61" s="900"/>
      <c r="E61" s="900"/>
      <c r="F61" s="900"/>
      <c r="G61" s="146"/>
      <c r="H61" s="146"/>
      <c r="I61" s="146"/>
      <c r="J61" s="146"/>
    </row>
    <row r="62" spans="1:14" x14ac:dyDescent="0.25">
      <c r="A62" s="356" t="s">
        <v>336</v>
      </c>
      <c r="B62" s="896" t="s">
        <v>611</v>
      </c>
      <c r="C62" s="896"/>
      <c r="D62" s="896"/>
      <c r="E62" s="896"/>
      <c r="F62" s="896"/>
      <c r="G62" s="363">
        <f>G46+G55</f>
        <v>4875402002</v>
      </c>
      <c r="H62" s="363">
        <f>H46+H55</f>
        <v>4913528569</v>
      </c>
      <c r="I62" s="363">
        <f ca="1">I46+I55</f>
        <v>4961433384</v>
      </c>
      <c r="J62" s="363">
        <f ca="1">J46+J55</f>
        <v>4893101089</v>
      </c>
      <c r="K62" s="148"/>
      <c r="L62" s="148"/>
    </row>
    <row r="63" spans="1:14" x14ac:dyDescent="0.25">
      <c r="A63" s="356" t="s">
        <v>612</v>
      </c>
      <c r="B63" s="896" t="s">
        <v>613</v>
      </c>
      <c r="C63" s="896"/>
      <c r="D63" s="896"/>
      <c r="E63" s="896"/>
      <c r="F63" s="896"/>
      <c r="G63" s="363">
        <f>G48+G60</f>
        <v>4875402002</v>
      </c>
      <c r="H63" s="363">
        <f>H48+H60</f>
        <v>4913528569</v>
      </c>
      <c r="I63" s="363">
        <f ca="1">I48+I60</f>
        <v>4961433384</v>
      </c>
      <c r="J63" s="363">
        <f ca="1">J48+J60</f>
        <v>3445183611</v>
      </c>
      <c r="K63" s="148"/>
    </row>
    <row r="65" spans="6:11" x14ac:dyDescent="0.25">
      <c r="F65" s="148"/>
      <c r="G65" s="148"/>
      <c r="H65" s="148"/>
    </row>
    <row r="66" spans="6:11" x14ac:dyDescent="0.25">
      <c r="F66" s="148"/>
      <c r="G66" s="148"/>
      <c r="H66" s="148"/>
    </row>
    <row r="67" spans="6:11" x14ac:dyDescent="0.25">
      <c r="F67" s="148"/>
      <c r="G67" s="148"/>
      <c r="H67" s="148"/>
      <c r="I67" s="148"/>
      <c r="J67" s="148"/>
      <c r="K67" s="148"/>
    </row>
    <row r="68" spans="6:11" x14ac:dyDescent="0.25">
      <c r="F68" s="148"/>
      <c r="G68" s="148"/>
      <c r="H68" s="148"/>
      <c r="I68" s="148"/>
      <c r="J68" s="148"/>
      <c r="K68" s="148"/>
    </row>
    <row r="69" spans="6:11" x14ac:dyDescent="0.25">
      <c r="F69" s="148"/>
      <c r="G69" s="148"/>
      <c r="H69" s="148"/>
    </row>
    <row r="70" spans="6:11" x14ac:dyDescent="0.25">
      <c r="F70" s="148"/>
      <c r="G70" s="148"/>
      <c r="H70" s="148"/>
    </row>
    <row r="71" spans="6:11" x14ac:dyDescent="0.25">
      <c r="F71" s="148"/>
      <c r="G71" s="148"/>
      <c r="H71" s="148"/>
    </row>
    <row r="72" spans="6:11" x14ac:dyDescent="0.25">
      <c r="F72" s="148"/>
      <c r="G72" s="148"/>
      <c r="H72" s="148"/>
    </row>
    <row r="73" spans="6:11" x14ac:dyDescent="0.25">
      <c r="F73" s="148"/>
      <c r="G73" s="148"/>
      <c r="H73" s="148"/>
    </row>
    <row r="74" spans="6:11" x14ac:dyDescent="0.25">
      <c r="F74" s="148"/>
      <c r="G74" s="148"/>
      <c r="H74" s="148"/>
    </row>
    <row r="75" spans="6:11" x14ac:dyDescent="0.25">
      <c r="F75" s="148"/>
      <c r="G75" s="148"/>
      <c r="H75" s="148"/>
    </row>
    <row r="76" spans="6:11" x14ac:dyDescent="0.25">
      <c r="F76" s="148"/>
      <c r="G76" s="148"/>
      <c r="H76" s="148"/>
    </row>
    <row r="77" spans="6:11" x14ac:dyDescent="0.25">
      <c r="F77" s="148"/>
      <c r="G77" s="148"/>
      <c r="H77" s="148"/>
    </row>
  </sheetData>
  <mergeCells count="62">
    <mergeCell ref="I7:I8"/>
    <mergeCell ref="H7:H8"/>
    <mergeCell ref="A1:H1"/>
    <mergeCell ref="A2:H2"/>
    <mergeCell ref="B15:F15"/>
    <mergeCell ref="A7:F8"/>
    <mergeCell ref="G7:G8"/>
    <mergeCell ref="B9:F9"/>
    <mergeCell ref="B10:F10"/>
    <mergeCell ref="B11:F11"/>
    <mergeCell ref="B12:F12"/>
    <mergeCell ref="B13:F13"/>
    <mergeCell ref="B14:F14"/>
    <mergeCell ref="B38:F38"/>
    <mergeCell ref="B27:F27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33:F33"/>
    <mergeCell ref="B34:F34"/>
    <mergeCell ref="B35:F35"/>
    <mergeCell ref="B28:F28"/>
    <mergeCell ref="B29:F29"/>
    <mergeCell ref="B30:F30"/>
    <mergeCell ref="B31:F31"/>
    <mergeCell ref="B32:F32"/>
    <mergeCell ref="B63:F63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J7:J8"/>
    <mergeCell ref="B51:F51"/>
    <mergeCell ref="B40:F40"/>
    <mergeCell ref="B41:F41"/>
    <mergeCell ref="B47:F47"/>
    <mergeCell ref="B48:F48"/>
    <mergeCell ref="B49:F49"/>
    <mergeCell ref="B50:F50"/>
    <mergeCell ref="B39:F39"/>
    <mergeCell ref="B42:F42"/>
    <mergeCell ref="B43:F43"/>
    <mergeCell ref="B44:F44"/>
    <mergeCell ref="B45:F45"/>
    <mergeCell ref="B46:F46"/>
    <mergeCell ref="B36:F36"/>
    <mergeCell ref="B37:F37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80" orientation="portrait" horizontalDpi="300" verticalDpi="300" r:id="rId1"/>
  <headerFoot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9.85546875" style="44" bestFit="1" customWidth="1"/>
    <col min="4" max="4" width="9.140625" style="44"/>
    <col min="5" max="5" width="9.85546875" style="44" customWidth="1"/>
    <col min="6" max="6" width="9.85546875" style="179" bestFit="1" customWidth="1"/>
    <col min="7" max="7" width="9.140625" style="179"/>
    <col min="8" max="8" width="9.85546875" style="179" customWidth="1"/>
    <col min="9" max="9" width="9.85546875" style="179" bestFit="1" customWidth="1"/>
    <col min="10" max="10" width="9.140625" style="179"/>
    <col min="11" max="11" width="9.85546875" style="179" customWidth="1"/>
    <col min="12" max="12" width="9.85546875" style="179" bestFit="1" customWidth="1"/>
    <col min="13" max="13" width="9.140625" style="179"/>
    <col min="14" max="14" width="9.85546875" style="179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'7.12 szemét 051030'!C4</f>
        <v xml:space="preserve"> 12 / 2020. (VI.15) sz rendelet</v>
      </c>
    </row>
    <row r="5" spans="1:14" s="81" customFormat="1" ht="12.75" x14ac:dyDescent="0.2">
      <c r="A5" s="90" t="s">
        <v>354</v>
      </c>
      <c r="B5" s="81" t="s">
        <v>355</v>
      </c>
    </row>
    <row r="6" spans="1:14" x14ac:dyDescent="0.25">
      <c r="C6" s="713" t="s">
        <v>741</v>
      </c>
      <c r="D6" s="715" t="str">
        <f>'7.12 szemét 051030'!D6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6724000</v>
      </c>
      <c r="D45" s="244">
        <f>D46+D47+D48+D49+D54+D55+D56+D57+D58+D59+D60</f>
        <v>0</v>
      </c>
      <c r="E45" s="245">
        <f t="shared" si="0"/>
        <v>6724000</v>
      </c>
      <c r="F45" s="244">
        <f>F46+F47+F48+F49+F54+F55+F56+F57+F58+F59+F60</f>
        <v>6724000</v>
      </c>
      <c r="G45" s="244">
        <f>G46+G47+G48+G49+G54+G55+G56+G57+G58+G59+G60</f>
        <v>0</v>
      </c>
      <c r="H45" s="245">
        <f t="shared" si="1"/>
        <v>6724000</v>
      </c>
      <c r="I45" s="244">
        <f>I46+I47+I48+I49+I54+I55+I56+I57+I58+I59+I60</f>
        <v>6724000</v>
      </c>
      <c r="J45" s="244">
        <f>J46+J47+J48+J49+J54+J55+J56+J57+J58+J59+J60</f>
        <v>0</v>
      </c>
      <c r="K45" s="245">
        <f t="shared" si="2"/>
        <v>6724000</v>
      </c>
      <c r="L45" s="244">
        <f>L46+L47+L48+L49+L54+L55+L56+L57+L58+L59+L60</f>
        <v>7731566</v>
      </c>
      <c r="M45" s="244">
        <f>M46+M47+M48+M49+M54+M55+M56+M57+M58+M59+M60</f>
        <v>0</v>
      </c>
      <c r="N45" s="245">
        <f t="shared" si="3"/>
        <v>7731566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v>1200000</v>
      </c>
      <c r="D47" s="246"/>
      <c r="E47" s="247">
        <f t="shared" si="0"/>
        <v>1200000</v>
      </c>
      <c r="F47" s="316">
        <v>1200000</v>
      </c>
      <c r="G47" s="246"/>
      <c r="H47" s="247">
        <f t="shared" si="1"/>
        <v>1200000</v>
      </c>
      <c r="I47" s="316">
        <v>1200000</v>
      </c>
      <c r="J47" s="246"/>
      <c r="K47" s="247">
        <f t="shared" si="2"/>
        <v>1200000</v>
      </c>
      <c r="L47" s="316">
        <v>1151571</v>
      </c>
      <c r="M47" s="246"/>
      <c r="N47" s="247">
        <f t="shared" si="3"/>
        <v>1151571</v>
      </c>
    </row>
    <row r="48" spans="1:14" x14ac:dyDescent="0.25">
      <c r="A48" s="53" t="s">
        <v>99</v>
      </c>
      <c r="B48" s="62" t="s">
        <v>100</v>
      </c>
      <c r="C48" s="316"/>
      <c r="D48" s="246"/>
      <c r="E48" s="247">
        <f t="shared" si="0"/>
        <v>0</v>
      </c>
      <c r="F48" s="316"/>
      <c r="G48" s="246"/>
      <c r="H48" s="247">
        <f t="shared" si="1"/>
        <v>0</v>
      </c>
      <c r="I48" s="316"/>
      <c r="J48" s="246"/>
      <c r="K48" s="247">
        <f t="shared" si="2"/>
        <v>0</v>
      </c>
      <c r="L48" s="31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316">
        <f>SUM(C50:C53)</f>
        <v>4094488</v>
      </c>
      <c r="D49" s="246">
        <f>SUM(D50:D53)</f>
        <v>0</v>
      </c>
      <c r="E49" s="247">
        <f t="shared" si="0"/>
        <v>4094488</v>
      </c>
      <c r="F49" s="316">
        <f>SUM(F50:F53)</f>
        <v>4094488</v>
      </c>
      <c r="G49" s="246">
        <f>SUM(G50:G53)</f>
        <v>0</v>
      </c>
      <c r="H49" s="247">
        <f t="shared" si="1"/>
        <v>4094488</v>
      </c>
      <c r="I49" s="316">
        <f>SUM(I50:I53)</f>
        <v>4094488</v>
      </c>
      <c r="J49" s="246">
        <f>SUM(J50:J53)</f>
        <v>0</v>
      </c>
      <c r="K49" s="247">
        <f t="shared" si="2"/>
        <v>4094488</v>
      </c>
      <c r="L49" s="316">
        <f>SUM(L50:L53)</f>
        <v>4939621</v>
      </c>
      <c r="M49" s="246">
        <f>SUM(M50:M53)</f>
        <v>0</v>
      </c>
      <c r="N49" s="247">
        <f t="shared" si="3"/>
        <v>4939621</v>
      </c>
    </row>
    <row r="50" spans="1:14" x14ac:dyDescent="0.25">
      <c r="A50" s="53"/>
      <c r="B50" s="62" t="s">
        <v>103</v>
      </c>
      <c r="C50" s="316"/>
      <c r="D50" s="246"/>
      <c r="E50" s="247">
        <f t="shared" si="0"/>
        <v>0</v>
      </c>
      <c r="F50" s="316"/>
      <c r="G50" s="246"/>
      <c r="H50" s="247">
        <f t="shared" si="1"/>
        <v>0</v>
      </c>
      <c r="I50" s="316"/>
      <c r="J50" s="246"/>
      <c r="K50" s="247">
        <f t="shared" si="2"/>
        <v>0</v>
      </c>
      <c r="L50" s="316"/>
      <c r="M50" s="246"/>
      <c r="N50" s="247">
        <f t="shared" si="3"/>
        <v>0</v>
      </c>
    </row>
    <row r="51" spans="1:14" x14ac:dyDescent="0.25">
      <c r="A51" s="53"/>
      <c r="B51" s="62" t="s">
        <v>104</v>
      </c>
      <c r="C51" s="316">
        <v>4094488</v>
      </c>
      <c r="D51" s="246"/>
      <c r="E51" s="247">
        <f t="shared" si="0"/>
        <v>4094488</v>
      </c>
      <c r="F51" s="316">
        <v>4094488</v>
      </c>
      <c r="G51" s="246"/>
      <c r="H51" s="247">
        <f t="shared" si="1"/>
        <v>4094488</v>
      </c>
      <c r="I51" s="316">
        <v>4094488</v>
      </c>
      <c r="J51" s="246"/>
      <c r="K51" s="247">
        <f t="shared" si="2"/>
        <v>4094488</v>
      </c>
      <c r="L51" s="316">
        <v>4939621</v>
      </c>
      <c r="M51" s="246"/>
      <c r="N51" s="247">
        <f t="shared" si="3"/>
        <v>4939621</v>
      </c>
    </row>
    <row r="52" spans="1:14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thickBot="1" x14ac:dyDescent="0.3">
      <c r="A55" s="53" t="s">
        <v>109</v>
      </c>
      <c r="B55" s="62" t="s">
        <v>110</v>
      </c>
      <c r="C55" s="246">
        <v>1429512</v>
      </c>
      <c r="D55" s="246"/>
      <c r="E55" s="247">
        <f t="shared" si="0"/>
        <v>1429512</v>
      </c>
      <c r="F55" s="246">
        <v>1429512</v>
      </c>
      <c r="G55" s="246"/>
      <c r="H55" s="247">
        <f t="shared" si="1"/>
        <v>1429512</v>
      </c>
      <c r="I55" s="246">
        <v>1429512</v>
      </c>
      <c r="J55" s="246"/>
      <c r="K55" s="247">
        <f t="shared" si="2"/>
        <v>1429512</v>
      </c>
      <c r="L55" s="246">
        <v>1640374</v>
      </c>
      <c r="M55" s="246"/>
      <c r="N55" s="247">
        <f t="shared" si="3"/>
        <v>1640374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375000</v>
      </c>
      <c r="D70" s="244">
        <f>D71</f>
        <v>0</v>
      </c>
      <c r="E70" s="245">
        <f t="shared" si="0"/>
        <v>375000</v>
      </c>
      <c r="F70" s="244">
        <f>F71</f>
        <v>375000</v>
      </c>
      <c r="G70" s="244">
        <f>G71</f>
        <v>0</v>
      </c>
      <c r="H70" s="245">
        <f t="shared" si="1"/>
        <v>375000</v>
      </c>
      <c r="I70" s="244">
        <f>I71</f>
        <v>375000</v>
      </c>
      <c r="J70" s="244">
        <f>J71</f>
        <v>0</v>
      </c>
      <c r="K70" s="245">
        <f t="shared" si="2"/>
        <v>375000</v>
      </c>
      <c r="L70" s="244">
        <f>L71</f>
        <v>360000</v>
      </c>
      <c r="M70" s="244">
        <f>M71</f>
        <v>0</v>
      </c>
      <c r="N70" s="245">
        <f t="shared" si="3"/>
        <v>360000</v>
      </c>
    </row>
    <row r="71" spans="1:14" ht="15.75" thickBot="1" x14ac:dyDescent="0.3">
      <c r="A71" s="55"/>
      <c r="B71" s="64" t="s">
        <v>140</v>
      </c>
      <c r="C71" s="317">
        <v>375000</v>
      </c>
      <c r="D71" s="248"/>
      <c r="E71" s="249">
        <f t="shared" si="0"/>
        <v>375000</v>
      </c>
      <c r="F71" s="317">
        <v>375000</v>
      </c>
      <c r="G71" s="248"/>
      <c r="H71" s="249">
        <f t="shared" si="1"/>
        <v>375000</v>
      </c>
      <c r="I71" s="317">
        <v>375000</v>
      </c>
      <c r="J71" s="248"/>
      <c r="K71" s="249">
        <f t="shared" si="2"/>
        <v>375000</v>
      </c>
      <c r="L71" s="317">
        <v>360000</v>
      </c>
      <c r="M71" s="248"/>
      <c r="N71" s="249">
        <f t="shared" si="3"/>
        <v>360000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7099000</v>
      </c>
      <c r="D73" s="250">
        <f>D9+D22+D25+D45+D61+D67+D70</f>
        <v>0</v>
      </c>
      <c r="E73" s="251">
        <f t="shared" si="0"/>
        <v>7099000</v>
      </c>
      <c r="F73" s="250">
        <f>F9+F22+F25+F45+F61+F67+F70</f>
        <v>7099000</v>
      </c>
      <c r="G73" s="250">
        <f>G9+G22+G25+G45+G61+G67+G70</f>
        <v>0</v>
      </c>
      <c r="H73" s="251">
        <f t="shared" si="1"/>
        <v>7099000</v>
      </c>
      <c r="I73" s="250">
        <f>I9+I22+I25+I45+I61+I67+I70</f>
        <v>7099000</v>
      </c>
      <c r="J73" s="250">
        <f>J9+J22+J25+J45+J61+J67+J70</f>
        <v>0</v>
      </c>
      <c r="K73" s="251">
        <f t="shared" si="2"/>
        <v>7099000</v>
      </c>
      <c r="L73" s="250">
        <f>L9+L22+L25+L45+L61+L67+L70</f>
        <v>8091566</v>
      </c>
      <c r="M73" s="250">
        <f>M9+M22+M25+M45+M61+M67+M70</f>
        <v>0</v>
      </c>
      <c r="N73" s="251">
        <f t="shared" si="3"/>
        <v>8091566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7099000</v>
      </c>
      <c r="D85" s="250">
        <f>D73+D74</f>
        <v>0</v>
      </c>
      <c r="E85" s="251">
        <f t="shared" si="4"/>
        <v>7099000</v>
      </c>
      <c r="F85" s="250">
        <f>F73+F74</f>
        <v>7099000</v>
      </c>
      <c r="G85" s="250">
        <f>G73+G74</f>
        <v>0</v>
      </c>
      <c r="H85" s="251">
        <f t="shared" si="12"/>
        <v>7099000</v>
      </c>
      <c r="I85" s="250">
        <f>I73+I74</f>
        <v>7099000</v>
      </c>
      <c r="J85" s="250">
        <f>J73+J74</f>
        <v>0</v>
      </c>
      <c r="K85" s="251">
        <f t="shared" si="13"/>
        <v>7099000</v>
      </c>
      <c r="L85" s="250">
        <f>L73+L74</f>
        <v>8091566</v>
      </c>
      <c r="M85" s="250">
        <f>M73+M74</f>
        <v>0</v>
      </c>
      <c r="N85" s="251">
        <f t="shared" si="14"/>
        <v>8091566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76200</v>
      </c>
      <c r="D111" s="244">
        <f>SUM(D112:D113,D114,D123,D122)</f>
        <v>0</v>
      </c>
      <c r="E111" s="245">
        <f t="shared" si="15"/>
        <v>76200</v>
      </c>
      <c r="F111" s="244">
        <f>SUM(F112:F113,F114,F123,F122)</f>
        <v>76200</v>
      </c>
      <c r="G111" s="244">
        <f>SUM(G112:G113,G114,G123,G122)</f>
        <v>0</v>
      </c>
      <c r="H111" s="245">
        <f t="shared" si="19"/>
        <v>76200</v>
      </c>
      <c r="I111" s="244">
        <f>SUM(I112:I113,I114,I123,I122)</f>
        <v>109200</v>
      </c>
      <c r="J111" s="244">
        <f>SUM(J112:J113,J114,J123,J122)</f>
        <v>0</v>
      </c>
      <c r="K111" s="245">
        <f t="shared" si="20"/>
        <v>109200</v>
      </c>
      <c r="L111" s="244">
        <f>SUM(L112:L113,L114,L123,L122)</f>
        <v>33300</v>
      </c>
      <c r="M111" s="244">
        <f>SUM(M112:M113,M114,M123,M122)</f>
        <v>0</v>
      </c>
      <c r="N111" s="245">
        <f t="shared" si="21"/>
        <v>33300</v>
      </c>
    </row>
    <row r="112" spans="1:14" x14ac:dyDescent="0.25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60000</v>
      </c>
      <c r="D114" s="246">
        <f>SUM(D115:D121)</f>
        <v>0</v>
      </c>
      <c r="E114" s="247">
        <f t="shared" si="15"/>
        <v>60000</v>
      </c>
      <c r="F114" s="246">
        <f>SUM(F115:F121)</f>
        <v>60000</v>
      </c>
      <c r="G114" s="246">
        <f>SUM(G115:G121)</f>
        <v>0</v>
      </c>
      <c r="H114" s="247">
        <f t="shared" si="19"/>
        <v>60000</v>
      </c>
      <c r="I114" s="246">
        <f>SUM(I115:I121)</f>
        <v>60000</v>
      </c>
      <c r="J114" s="246">
        <f>SUM(J115:J121)</f>
        <v>0</v>
      </c>
      <c r="K114" s="247">
        <f t="shared" si="20"/>
        <v>60000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idden="1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idden="1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idden="1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idden="1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idden="1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idden="1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60000</v>
      </c>
      <c r="D121" s="246"/>
      <c r="E121" s="247">
        <f t="shared" si="15"/>
        <v>60000</v>
      </c>
      <c r="F121" s="246">
        <v>60000</v>
      </c>
      <c r="G121" s="246"/>
      <c r="H121" s="247">
        <f t="shared" si="19"/>
        <v>60000</v>
      </c>
      <c r="I121" s="246">
        <v>60000</v>
      </c>
      <c r="J121" s="246"/>
      <c r="K121" s="247">
        <f t="shared" si="20"/>
        <v>60000</v>
      </c>
      <c r="L121" s="246"/>
      <c r="M121" s="246"/>
      <c r="N121" s="247">
        <f t="shared" si="21"/>
        <v>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16200.000000000002</v>
      </c>
      <c r="D123" s="246">
        <f>SUM(D124:D126)</f>
        <v>0</v>
      </c>
      <c r="E123" s="247">
        <f t="shared" si="15"/>
        <v>16200.000000000002</v>
      </c>
      <c r="F123" s="246">
        <f>SUM(F124:F126)</f>
        <v>16200.000000000002</v>
      </c>
      <c r="G123" s="246">
        <f>SUM(G124:G126)</f>
        <v>0</v>
      </c>
      <c r="H123" s="247">
        <f t="shared" si="19"/>
        <v>16200.000000000002</v>
      </c>
      <c r="I123" s="246">
        <f>SUM(I124:I126)</f>
        <v>49200</v>
      </c>
      <c r="J123" s="246">
        <f>SUM(J124:J126)</f>
        <v>0</v>
      </c>
      <c r="K123" s="247">
        <f t="shared" si="20"/>
        <v>49200</v>
      </c>
      <c r="L123" s="246">
        <f>SUM(L124:L126)</f>
        <v>33300</v>
      </c>
      <c r="M123" s="246">
        <f>SUM(M124:M126)</f>
        <v>0</v>
      </c>
      <c r="N123" s="247">
        <f t="shared" si="21"/>
        <v>33300</v>
      </c>
    </row>
    <row r="124" spans="1:14" x14ac:dyDescent="0.25">
      <c r="A124" s="61"/>
      <c r="B124" s="62" t="s">
        <v>223</v>
      </c>
      <c r="C124" s="246">
        <f>60000*0.27</f>
        <v>16200.000000000002</v>
      </c>
      <c r="D124" s="246"/>
      <c r="E124" s="247">
        <f t="shared" si="15"/>
        <v>16200.000000000002</v>
      </c>
      <c r="F124" s="246">
        <f>60000*0.27</f>
        <v>16200.000000000002</v>
      </c>
      <c r="G124" s="246"/>
      <c r="H124" s="247">
        <f t="shared" si="19"/>
        <v>16200.000000000002</v>
      </c>
      <c r="I124" s="246">
        <f>60000*0.27</f>
        <v>16200.000000000002</v>
      </c>
      <c r="J124" s="246"/>
      <c r="K124" s="247">
        <f t="shared" si="20"/>
        <v>16200.000000000002</v>
      </c>
      <c r="L124" s="246"/>
      <c r="M124" s="246"/>
      <c r="N124" s="247">
        <f t="shared" si="21"/>
        <v>0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>
        <v>33000</v>
      </c>
      <c r="J126" s="248"/>
      <c r="K126" s="249">
        <f t="shared" si="20"/>
        <v>33000</v>
      </c>
      <c r="L126" s="248">
        <v>33300</v>
      </c>
      <c r="M126" s="248"/>
      <c r="N126" s="249">
        <f t="shared" si="21"/>
        <v>33300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>
        <v>569803</v>
      </c>
      <c r="J137" s="244"/>
      <c r="K137" s="245">
        <f t="shared" si="20"/>
        <v>569803</v>
      </c>
      <c r="L137" s="244">
        <f>569803-190000</f>
        <v>379803</v>
      </c>
      <c r="M137" s="244"/>
      <c r="N137" s="245">
        <f t="shared" si="21"/>
        <v>379803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>
        <v>102547</v>
      </c>
      <c r="J138" s="248"/>
      <c r="K138" s="249">
        <f t="shared" si="20"/>
        <v>102547</v>
      </c>
      <c r="L138" s="248">
        <v>102547</v>
      </c>
      <c r="M138" s="248"/>
      <c r="N138" s="249">
        <f t="shared" si="21"/>
        <v>102547</v>
      </c>
    </row>
    <row r="139" spans="1:14" x14ac:dyDescent="0.25">
      <c r="A139" s="60" t="s">
        <v>244</v>
      </c>
      <c r="B139" s="48" t="s">
        <v>39</v>
      </c>
      <c r="C139" s="244">
        <v>4094488</v>
      </c>
      <c r="D139" s="244"/>
      <c r="E139" s="245">
        <f t="shared" si="15"/>
        <v>4094488</v>
      </c>
      <c r="F139" s="244">
        <f>4094488-2598425</f>
        <v>1496063</v>
      </c>
      <c r="G139" s="244"/>
      <c r="H139" s="245">
        <f t="shared" si="19"/>
        <v>1496063</v>
      </c>
      <c r="I139" s="244">
        <v>3094025</v>
      </c>
      <c r="J139" s="244"/>
      <c r="K139" s="245">
        <f t="shared" si="20"/>
        <v>3094025</v>
      </c>
      <c r="L139" s="244">
        <v>3094025</v>
      </c>
      <c r="M139" s="244"/>
      <c r="N139" s="245">
        <f t="shared" si="21"/>
        <v>3094025</v>
      </c>
    </row>
    <row r="140" spans="1:14" ht="15.75" thickBot="1" x14ac:dyDescent="0.3">
      <c r="A140" s="63" t="s">
        <v>245</v>
      </c>
      <c r="B140" s="64" t="s">
        <v>246</v>
      </c>
      <c r="C140" s="248">
        <v>1105512</v>
      </c>
      <c r="D140" s="248"/>
      <c r="E140" s="249">
        <f t="shared" si="15"/>
        <v>1105512</v>
      </c>
      <c r="F140" s="248">
        <f>1105512-701575</f>
        <v>403937</v>
      </c>
      <c r="G140" s="248"/>
      <c r="H140" s="249">
        <f t="shared" si="19"/>
        <v>403937</v>
      </c>
      <c r="I140" s="248">
        <v>835387</v>
      </c>
      <c r="J140" s="248"/>
      <c r="K140" s="249">
        <f t="shared" si="20"/>
        <v>835387</v>
      </c>
      <c r="L140" s="248">
        <v>835387</v>
      </c>
      <c r="M140" s="248"/>
      <c r="N140" s="249">
        <f t="shared" si="21"/>
        <v>835387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5276200</v>
      </c>
      <c r="D142" s="250">
        <f>D141+D140+D139+D138+D137+D128+D127+D111+D105+D88</f>
        <v>0</v>
      </c>
      <c r="E142" s="251">
        <f t="shared" si="15"/>
        <v>5276200</v>
      </c>
      <c r="F142" s="250">
        <f>F141+F140+F139+F138+F137+F128+F127+F111+F105+F88</f>
        <v>1976200</v>
      </c>
      <c r="G142" s="250">
        <f>G141+G140+G139+G138+G137+G128+G127+G111+G105+G88</f>
        <v>0</v>
      </c>
      <c r="H142" s="251">
        <f t="shared" si="19"/>
        <v>1976200</v>
      </c>
      <c r="I142" s="250">
        <f>I141+I140+I139+I138+I137+I128+I127+I111+I105+I88</f>
        <v>4710962</v>
      </c>
      <c r="J142" s="250">
        <f>J141+J140+J139+J138+J137+J128+J127+J111+J105+J88</f>
        <v>0</v>
      </c>
      <c r="K142" s="251">
        <f t="shared" si="20"/>
        <v>4710962</v>
      </c>
      <c r="L142" s="250">
        <f>L141+L140+L139+L138+L137+L128+L127+L111+L105+L88</f>
        <v>4445062</v>
      </c>
      <c r="M142" s="250">
        <f>M141+M140+M139+M138+M137+M128+M127+M111+M105+M88</f>
        <v>0</v>
      </c>
      <c r="N142" s="251">
        <f t="shared" si="21"/>
        <v>4445062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5276200</v>
      </c>
      <c r="D151" s="257">
        <f>D143+D142</f>
        <v>0</v>
      </c>
      <c r="E151" s="258">
        <f>SUM(C151:D151)</f>
        <v>5276200</v>
      </c>
      <c r="F151" s="250">
        <f>F143+F142</f>
        <v>1976200</v>
      </c>
      <c r="G151" s="257">
        <f>G143+G142</f>
        <v>0</v>
      </c>
      <c r="H151" s="258">
        <f>SUM(F151:G151)</f>
        <v>1976200</v>
      </c>
      <c r="I151" s="250">
        <f>I143+I142</f>
        <v>4710962</v>
      </c>
      <c r="J151" s="257">
        <f>J143+J142</f>
        <v>0</v>
      </c>
      <c r="K151" s="258">
        <f>SUM(I151:J151)</f>
        <v>4710962</v>
      </c>
      <c r="L151" s="250">
        <f>L143+L142</f>
        <v>4445062</v>
      </c>
      <c r="M151" s="257">
        <f>M143+M142</f>
        <v>0</v>
      </c>
      <c r="N151" s="258">
        <f>SUM(L151:M151)</f>
        <v>4445062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1822800</v>
      </c>
      <c r="H153" s="148">
        <f>H85-H151</f>
        <v>5122800</v>
      </c>
      <c r="K153" s="148">
        <f>K85-K151</f>
        <v>2388038</v>
      </c>
      <c r="N153" s="148">
        <f>N85-N151</f>
        <v>3646504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3" fitToHeight="0" orientation="portrait" horizontalDpi="300" verticalDpi="300" r:id="rId1"/>
  <headerFooter>
    <oddFooter>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2" style="44" bestFit="1" customWidth="1"/>
    <col min="4" max="4" width="9.140625" style="44"/>
    <col min="5" max="5" width="12" style="44" bestFit="1" customWidth="1"/>
    <col min="6" max="6" width="12" style="179" bestFit="1" customWidth="1"/>
    <col min="7" max="7" width="9.140625" style="179"/>
    <col min="8" max="9" width="12" style="179" bestFit="1" customWidth="1"/>
    <col min="10" max="10" width="9.140625" style="179"/>
    <col min="11" max="12" width="12" style="179" bestFit="1" customWidth="1"/>
    <col min="13" max="13" width="9.140625" style="179"/>
    <col min="14" max="14" width="12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'7.13 szennyvíz 052080'!C4</f>
        <v xml:space="preserve"> 12 / 2020. (VI.15) sz rendelet</v>
      </c>
    </row>
    <row r="5" spans="1:14" s="81" customFormat="1" ht="12.75" x14ac:dyDescent="0.2">
      <c r="A5" s="90" t="s">
        <v>356</v>
      </c>
      <c r="B5" s="81" t="s">
        <v>357</v>
      </c>
    </row>
    <row r="6" spans="1:14" x14ac:dyDescent="0.25">
      <c r="A6" s="90" t="s">
        <v>910</v>
      </c>
      <c r="C6" s="713" t="s">
        <v>742</v>
      </c>
      <c r="D6" s="715" t="str">
        <f>'7.13 szennyvíz 052080'!D6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365">
        <f>C46+C47+C48+C49+C54+C55+C56+C57+C58+C59+C60</f>
        <v>7723950</v>
      </c>
      <c r="D45" s="244">
        <f>D46+D47+D48+D49+D54+D55+D56+D57+D58+D59+D60</f>
        <v>0</v>
      </c>
      <c r="E45" s="245">
        <f t="shared" si="0"/>
        <v>7723950</v>
      </c>
      <c r="F45" s="365">
        <f>F46+F47+F48+F49+F54+F55+F56+F57+F58+F59+F60</f>
        <v>7723950</v>
      </c>
      <c r="G45" s="244">
        <f>G46+G47+G48+G49+G54+G55+G56+G57+G58+G59+G60</f>
        <v>0</v>
      </c>
      <c r="H45" s="245">
        <f t="shared" si="1"/>
        <v>7723950</v>
      </c>
      <c r="I45" s="365">
        <f>I46+I47+I48+I49+I54+I55+I56+I57+I58+I59+I60</f>
        <v>7723950</v>
      </c>
      <c r="J45" s="244">
        <f>J46+J47+J48+J49+J54+J55+J56+J57+J58+J59+J60</f>
        <v>0</v>
      </c>
      <c r="K45" s="245">
        <f t="shared" si="2"/>
        <v>7723950</v>
      </c>
      <c r="L45" s="365">
        <f>L46+L47+L48+L49+L54+L55+L56+L57+L58+L59+L60</f>
        <v>4782078</v>
      </c>
      <c r="M45" s="244">
        <f>M46+M47+M48+M49+M54+M55+M56+M57+M58+M59+M60</f>
        <v>0</v>
      </c>
      <c r="N45" s="245">
        <f t="shared" si="3"/>
        <v>4782078</v>
      </c>
    </row>
    <row r="46" spans="1:14" x14ac:dyDescent="0.25">
      <c r="A46" s="53" t="s">
        <v>95</v>
      </c>
      <c r="B46" s="62" t="s">
        <v>96</v>
      </c>
      <c r="C46" s="316"/>
      <c r="D46" s="246"/>
      <c r="E46" s="247">
        <f t="shared" si="0"/>
        <v>0</v>
      </c>
      <c r="F46" s="316"/>
      <c r="G46" s="246"/>
      <c r="H46" s="247">
        <f t="shared" si="1"/>
        <v>0</v>
      </c>
      <c r="I46" s="316"/>
      <c r="J46" s="246"/>
      <c r="K46" s="247">
        <f t="shared" si="2"/>
        <v>0</v>
      </c>
      <c r="L46" s="31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v>885000</v>
      </c>
      <c r="D47" s="246"/>
      <c r="E47" s="247">
        <f t="shared" si="0"/>
        <v>885000</v>
      </c>
      <c r="F47" s="316">
        <v>885000</v>
      </c>
      <c r="G47" s="246"/>
      <c r="H47" s="247">
        <f t="shared" si="1"/>
        <v>885000</v>
      </c>
      <c r="I47" s="316">
        <v>885000</v>
      </c>
      <c r="J47" s="246"/>
      <c r="K47" s="247">
        <f t="shared" si="2"/>
        <v>885000</v>
      </c>
      <c r="L47" s="316">
        <v>228346</v>
      </c>
      <c r="M47" s="246"/>
      <c r="N47" s="247">
        <f t="shared" si="3"/>
        <v>228346</v>
      </c>
    </row>
    <row r="48" spans="1:14" x14ac:dyDescent="0.25">
      <c r="A48" s="53" t="s">
        <v>99</v>
      </c>
      <c r="B48" s="62" t="s">
        <v>100</v>
      </c>
      <c r="C48" s="316"/>
      <c r="D48" s="246"/>
      <c r="E48" s="247">
        <f t="shared" si="0"/>
        <v>0</v>
      </c>
      <c r="F48" s="316"/>
      <c r="G48" s="246"/>
      <c r="H48" s="247">
        <f t="shared" si="1"/>
        <v>0</v>
      </c>
      <c r="I48" s="316"/>
      <c r="J48" s="246"/>
      <c r="K48" s="247">
        <f t="shared" si="2"/>
        <v>0</v>
      </c>
      <c r="L48" s="31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316">
        <f>SUM(C50:C53)</f>
        <v>5196850</v>
      </c>
      <c r="D49" s="246">
        <f>SUM(D50:D53)</f>
        <v>0</v>
      </c>
      <c r="E49" s="247">
        <f t="shared" si="0"/>
        <v>5196850</v>
      </c>
      <c r="F49" s="316">
        <f>SUM(F50:F53)</f>
        <v>5196850</v>
      </c>
      <c r="G49" s="246">
        <f>SUM(G50:G53)</f>
        <v>0</v>
      </c>
      <c r="H49" s="247">
        <f t="shared" si="1"/>
        <v>5196850</v>
      </c>
      <c r="I49" s="316">
        <f>SUM(I50:I53)</f>
        <v>5196850</v>
      </c>
      <c r="J49" s="246">
        <f>SUM(J50:J53)</f>
        <v>0</v>
      </c>
      <c r="K49" s="247">
        <f t="shared" si="2"/>
        <v>5196850</v>
      </c>
      <c r="L49" s="316">
        <f>SUM(L50:L53)</f>
        <v>3537069</v>
      </c>
      <c r="M49" s="246">
        <f>SUM(M50:M53)</f>
        <v>0</v>
      </c>
      <c r="N49" s="247">
        <f t="shared" si="3"/>
        <v>3537069</v>
      </c>
    </row>
    <row r="50" spans="1:14" x14ac:dyDescent="0.25">
      <c r="A50" s="53"/>
      <c r="B50" s="62" t="s">
        <v>103</v>
      </c>
      <c r="C50" s="316"/>
      <c r="D50" s="246"/>
      <c r="E50" s="247">
        <f t="shared" si="0"/>
        <v>0</v>
      </c>
      <c r="F50" s="316"/>
      <c r="G50" s="246"/>
      <c r="H50" s="247">
        <f t="shared" si="1"/>
        <v>0</v>
      </c>
      <c r="I50" s="316"/>
      <c r="J50" s="246"/>
      <c r="K50" s="247">
        <f t="shared" si="2"/>
        <v>0</v>
      </c>
      <c r="L50" s="316"/>
      <c r="M50" s="246"/>
      <c r="N50" s="247">
        <f t="shared" si="3"/>
        <v>0</v>
      </c>
    </row>
    <row r="51" spans="1:14" x14ac:dyDescent="0.25">
      <c r="A51" s="53"/>
      <c r="B51" s="62" t="s">
        <v>104</v>
      </c>
      <c r="C51" s="316">
        <v>5196850</v>
      </c>
      <c r="D51" s="246"/>
      <c r="E51" s="247">
        <f t="shared" si="0"/>
        <v>5196850</v>
      </c>
      <c r="F51" s="316">
        <v>5196850</v>
      </c>
      <c r="G51" s="246"/>
      <c r="H51" s="247">
        <f t="shared" si="1"/>
        <v>5196850</v>
      </c>
      <c r="I51" s="316">
        <v>5196850</v>
      </c>
      <c r="J51" s="246"/>
      <c r="K51" s="247">
        <f t="shared" si="2"/>
        <v>5196850</v>
      </c>
      <c r="L51" s="316">
        <v>3537069</v>
      </c>
      <c r="M51" s="246"/>
      <c r="N51" s="247">
        <f t="shared" si="3"/>
        <v>3537069</v>
      </c>
    </row>
    <row r="52" spans="1:14" x14ac:dyDescent="0.25">
      <c r="A52" s="53"/>
      <c r="B52" s="62" t="s">
        <v>105</v>
      </c>
      <c r="C52" s="316"/>
      <c r="D52" s="246"/>
      <c r="E52" s="247">
        <f t="shared" si="0"/>
        <v>0</v>
      </c>
      <c r="F52" s="316"/>
      <c r="G52" s="246"/>
      <c r="H52" s="247">
        <f t="shared" si="1"/>
        <v>0</v>
      </c>
      <c r="I52" s="316"/>
      <c r="J52" s="246"/>
      <c r="K52" s="247">
        <f t="shared" si="2"/>
        <v>0</v>
      </c>
      <c r="L52" s="316"/>
      <c r="M52" s="246"/>
      <c r="N52" s="247">
        <f t="shared" si="3"/>
        <v>0</v>
      </c>
    </row>
    <row r="53" spans="1:14" x14ac:dyDescent="0.25">
      <c r="A53" s="53"/>
      <c r="B53" s="62" t="s">
        <v>106</v>
      </c>
      <c r="C53" s="316"/>
      <c r="D53" s="246"/>
      <c r="E53" s="247">
        <f t="shared" si="0"/>
        <v>0</v>
      </c>
      <c r="F53" s="316"/>
      <c r="G53" s="246"/>
      <c r="H53" s="247">
        <f t="shared" si="1"/>
        <v>0</v>
      </c>
      <c r="I53" s="316"/>
      <c r="J53" s="246"/>
      <c r="K53" s="247">
        <f t="shared" si="2"/>
        <v>0</v>
      </c>
      <c r="L53" s="31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thickBot="1" x14ac:dyDescent="0.3">
      <c r="A55" s="53" t="s">
        <v>109</v>
      </c>
      <c r="B55" s="62" t="s">
        <v>110</v>
      </c>
      <c r="C55" s="246">
        <f>1403150+238950</f>
        <v>1642100</v>
      </c>
      <c r="D55" s="246"/>
      <c r="E55" s="247">
        <f t="shared" si="0"/>
        <v>1642100</v>
      </c>
      <c r="F55" s="246">
        <f>1403150+238950</f>
        <v>1642100</v>
      </c>
      <c r="G55" s="246"/>
      <c r="H55" s="247">
        <f t="shared" si="1"/>
        <v>1642100</v>
      </c>
      <c r="I55" s="246">
        <f>1403150+238950</f>
        <v>1642100</v>
      </c>
      <c r="J55" s="246"/>
      <c r="K55" s="247">
        <f t="shared" si="2"/>
        <v>1642100</v>
      </c>
      <c r="L55" s="246">
        <v>1016663</v>
      </c>
      <c r="M55" s="246"/>
      <c r="N55" s="247">
        <f t="shared" si="3"/>
        <v>1016663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7723950</v>
      </c>
      <c r="D73" s="250">
        <f>D9+D22+D25+D45+D61+D67+D70</f>
        <v>0</v>
      </c>
      <c r="E73" s="251">
        <f t="shared" si="0"/>
        <v>7723950</v>
      </c>
      <c r="F73" s="250">
        <f>F9+F22+F25+F45+F61+F67+F70</f>
        <v>7723950</v>
      </c>
      <c r="G73" s="250">
        <f>G9+G22+G25+G45+G61+G67+G70</f>
        <v>0</v>
      </c>
      <c r="H73" s="251">
        <f t="shared" si="1"/>
        <v>7723950</v>
      </c>
      <c r="I73" s="250">
        <f>I9+I22+I25+I45+I61+I67+I70</f>
        <v>7723950</v>
      </c>
      <c r="J73" s="250">
        <f>J9+J22+J25+J45+J61+J67+J70</f>
        <v>0</v>
      </c>
      <c r="K73" s="251">
        <f t="shared" si="2"/>
        <v>7723950</v>
      </c>
      <c r="L73" s="250">
        <f>L9+L22+L25+L45+L61+L67+L70</f>
        <v>4782078</v>
      </c>
      <c r="M73" s="250">
        <f>M9+M22+M25+M45+M61+M67+M70</f>
        <v>0</v>
      </c>
      <c r="N73" s="251">
        <f t="shared" si="3"/>
        <v>4782078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7723950</v>
      </c>
      <c r="D85" s="250">
        <f>D73+D74</f>
        <v>0</v>
      </c>
      <c r="E85" s="251">
        <f t="shared" si="4"/>
        <v>7723950</v>
      </c>
      <c r="F85" s="250">
        <f>F73+F74</f>
        <v>7723950</v>
      </c>
      <c r="G85" s="250">
        <f>G73+G74</f>
        <v>0</v>
      </c>
      <c r="H85" s="251">
        <f t="shared" si="12"/>
        <v>7723950</v>
      </c>
      <c r="I85" s="250">
        <f>I73+I74</f>
        <v>7723950</v>
      </c>
      <c r="J85" s="250">
        <f>J73+J74</f>
        <v>0</v>
      </c>
      <c r="K85" s="251">
        <f t="shared" si="13"/>
        <v>7723950</v>
      </c>
      <c r="L85" s="250">
        <f>L73+L74</f>
        <v>4782078</v>
      </c>
      <c r="M85" s="250">
        <f>M73+M74</f>
        <v>0</v>
      </c>
      <c r="N85" s="251">
        <f t="shared" si="14"/>
        <v>4782078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239000</v>
      </c>
      <c r="J111" s="244">
        <f>SUM(J112:J113,J114,J123,J122)</f>
        <v>0</v>
      </c>
      <c r="K111" s="245">
        <f t="shared" si="20"/>
        <v>239000</v>
      </c>
      <c r="L111" s="244">
        <f>SUM(L112:L113,L114,L123,L122)</f>
        <v>216838</v>
      </c>
      <c r="M111" s="244">
        <f>SUM(M112:M113,M114,M123,M122)</f>
        <v>0</v>
      </c>
      <c r="N111" s="245">
        <f t="shared" si="21"/>
        <v>216838</v>
      </c>
    </row>
    <row r="112" spans="1:14" x14ac:dyDescent="0.25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200000</v>
      </c>
      <c r="J114" s="246">
        <f>SUM(J115:J121)</f>
        <v>0</v>
      </c>
      <c r="K114" s="247">
        <f t="shared" si="20"/>
        <v>200000</v>
      </c>
      <c r="L114" s="246">
        <f>SUM(L115:L121)</f>
        <v>144518</v>
      </c>
      <c r="M114" s="246">
        <f>SUM(M115:M121)</f>
        <v>0</v>
      </c>
      <c r="N114" s="247">
        <f t="shared" si="21"/>
        <v>144518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>
        <v>200000</v>
      </c>
      <c r="J118" s="246"/>
      <c r="K118" s="247">
        <f t="shared" si="20"/>
        <v>200000</v>
      </c>
      <c r="L118" s="246">
        <v>144518</v>
      </c>
      <c r="M118" s="246"/>
      <c r="N118" s="247">
        <f t="shared" si="21"/>
        <v>144518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39000</v>
      </c>
      <c r="J123" s="246">
        <f>SUM(J124:J126)</f>
        <v>0</v>
      </c>
      <c r="K123" s="247">
        <f t="shared" si="20"/>
        <v>39000</v>
      </c>
      <c r="L123" s="246">
        <f>SUM(L124:L126)</f>
        <v>72320</v>
      </c>
      <c r="M123" s="246">
        <f>SUM(M124:M126)</f>
        <v>0</v>
      </c>
      <c r="N123" s="247">
        <f t="shared" si="21"/>
        <v>72320</v>
      </c>
    </row>
    <row r="124" spans="1:14" x14ac:dyDescent="0.25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>
        <v>39020</v>
      </c>
      <c r="M124" s="246"/>
      <c r="N124" s="247">
        <f t="shared" si="21"/>
        <v>39020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>
        <v>39000</v>
      </c>
      <c r="J126" s="248"/>
      <c r="K126" s="249">
        <f t="shared" si="20"/>
        <v>39000</v>
      </c>
      <c r="L126" s="248">
        <v>33300</v>
      </c>
      <c r="M126" s="248"/>
      <c r="N126" s="249">
        <f t="shared" si="21"/>
        <v>33300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>
        <v>4320000</v>
      </c>
      <c r="D137" s="244"/>
      <c r="E137" s="245">
        <f t="shared" si="15"/>
        <v>4320000</v>
      </c>
      <c r="F137" s="244">
        <f>4320000+5901703+6500000</f>
        <v>16721703</v>
      </c>
      <c r="G137" s="244"/>
      <c r="H137" s="245">
        <f t="shared" si="19"/>
        <v>16721703</v>
      </c>
      <c r="I137" s="244">
        <v>10380595</v>
      </c>
      <c r="J137" s="244"/>
      <c r="K137" s="245">
        <f t="shared" si="20"/>
        <v>10380595</v>
      </c>
      <c r="L137" s="244">
        <f>10380595-10221703</f>
        <v>158892</v>
      </c>
      <c r="M137" s="244"/>
      <c r="N137" s="245">
        <f t="shared" si="21"/>
        <v>158892</v>
      </c>
    </row>
    <row r="138" spans="1:14" ht="15.75" thickBot="1" x14ac:dyDescent="0.3">
      <c r="A138" s="63" t="s">
        <v>242</v>
      </c>
      <c r="B138" s="64" t="s">
        <v>243</v>
      </c>
      <c r="C138" s="248">
        <v>1166400</v>
      </c>
      <c r="D138" s="248"/>
      <c r="E138" s="249">
        <f t="shared" si="15"/>
        <v>1166400</v>
      </c>
      <c r="F138" s="248">
        <f>1166400+1593460+1755000</f>
        <v>4514860</v>
      </c>
      <c r="G138" s="248"/>
      <c r="H138" s="249">
        <f t="shared" si="19"/>
        <v>4514860</v>
      </c>
      <c r="I138" s="248">
        <v>2802761</v>
      </c>
      <c r="J138" s="248"/>
      <c r="K138" s="249">
        <f t="shared" si="20"/>
        <v>2802761</v>
      </c>
      <c r="L138" s="248">
        <v>42901</v>
      </c>
      <c r="M138" s="248"/>
      <c r="N138" s="249">
        <f t="shared" si="21"/>
        <v>42901</v>
      </c>
    </row>
    <row r="139" spans="1:14" x14ac:dyDescent="0.25">
      <c r="A139" s="60" t="s">
        <v>244</v>
      </c>
      <c r="B139" s="48" t="s">
        <v>39</v>
      </c>
      <c r="C139" s="244">
        <v>5196850</v>
      </c>
      <c r="D139" s="244"/>
      <c r="E139" s="245">
        <f t="shared" si="15"/>
        <v>5196850</v>
      </c>
      <c r="F139" s="244">
        <f>5196850-3303150</f>
        <v>1893700</v>
      </c>
      <c r="G139" s="244"/>
      <c r="H139" s="245">
        <f t="shared" si="19"/>
        <v>1893700</v>
      </c>
      <c r="I139" s="244">
        <v>40000</v>
      </c>
      <c r="J139" s="244"/>
      <c r="K139" s="245">
        <f t="shared" si="20"/>
        <v>40000</v>
      </c>
      <c r="L139" s="244">
        <v>40000</v>
      </c>
      <c r="M139" s="244"/>
      <c r="N139" s="245">
        <f t="shared" si="21"/>
        <v>40000</v>
      </c>
    </row>
    <row r="140" spans="1:14" ht="15.75" thickBot="1" x14ac:dyDescent="0.3">
      <c r="A140" s="63" t="s">
        <v>245</v>
      </c>
      <c r="B140" s="64" t="s">
        <v>246</v>
      </c>
      <c r="C140" s="248">
        <v>1403150</v>
      </c>
      <c r="D140" s="248"/>
      <c r="E140" s="249">
        <f t="shared" si="15"/>
        <v>1403150</v>
      </c>
      <c r="F140" s="248">
        <f>1403150-891850</f>
        <v>511300</v>
      </c>
      <c r="G140" s="248"/>
      <c r="H140" s="249">
        <f t="shared" si="19"/>
        <v>511300</v>
      </c>
      <c r="I140" s="248">
        <v>10800</v>
      </c>
      <c r="J140" s="248"/>
      <c r="K140" s="249">
        <f t="shared" si="20"/>
        <v>10800</v>
      </c>
      <c r="L140" s="248">
        <v>10800</v>
      </c>
      <c r="M140" s="248"/>
      <c r="N140" s="249">
        <f t="shared" si="21"/>
        <v>10800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12086400</v>
      </c>
      <c r="D142" s="250">
        <f>D141+D140+D139+D138+D137+D128+D127+D111+D105+D88</f>
        <v>0</v>
      </c>
      <c r="E142" s="251">
        <f t="shared" si="15"/>
        <v>12086400</v>
      </c>
      <c r="F142" s="250">
        <f>F141+F140+F139+F138+F137+F128+F127+F111+F105+F88</f>
        <v>23641563</v>
      </c>
      <c r="G142" s="250">
        <f>G141+G140+G139+G138+G137+G128+G127+G111+G105+G88</f>
        <v>0</v>
      </c>
      <c r="H142" s="251">
        <f t="shared" si="19"/>
        <v>23641563</v>
      </c>
      <c r="I142" s="250">
        <f>I141+I140+I139+I138+I137+I128+I127+I111+I105+I88</f>
        <v>13473156</v>
      </c>
      <c r="J142" s="250">
        <f>J141+J140+J139+J138+J137+J128+J127+J111+J105+J88</f>
        <v>0</v>
      </c>
      <c r="K142" s="251">
        <f t="shared" si="20"/>
        <v>13473156</v>
      </c>
      <c r="L142" s="250">
        <f>L141+L140+L139+L138+L137+L128+L127+L111+L105+L88</f>
        <v>469431</v>
      </c>
      <c r="M142" s="250">
        <f>M141+M140+M139+M138+M137+M128+M127+M111+M105+M88</f>
        <v>0</v>
      </c>
      <c r="N142" s="251">
        <f t="shared" si="21"/>
        <v>469431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12086400</v>
      </c>
      <c r="D151" s="257">
        <f>D143+D142</f>
        <v>0</v>
      </c>
      <c r="E151" s="258">
        <f>SUM(C151:D151)</f>
        <v>12086400</v>
      </c>
      <c r="F151" s="250">
        <f>F143+F142</f>
        <v>23641563</v>
      </c>
      <c r="G151" s="257">
        <f>G143+G142</f>
        <v>0</v>
      </c>
      <c r="H151" s="258">
        <f>SUM(F151:G151)</f>
        <v>23641563</v>
      </c>
      <c r="I151" s="250">
        <f>I143+I142</f>
        <v>13473156</v>
      </c>
      <c r="J151" s="257">
        <f>J143+J142</f>
        <v>0</v>
      </c>
      <c r="K151" s="258">
        <f>SUM(I151:J151)</f>
        <v>13473156</v>
      </c>
      <c r="L151" s="250">
        <f>L143+L142</f>
        <v>469431</v>
      </c>
      <c r="M151" s="257">
        <f>M143+M142</f>
        <v>0</v>
      </c>
      <c r="N151" s="258">
        <f>SUM(L151:M151)</f>
        <v>469431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-4362450</v>
      </c>
      <c r="H153" s="148">
        <f>H85-H151</f>
        <v>-15917613</v>
      </c>
      <c r="K153" s="148">
        <f>K85-K151</f>
        <v>-5749206</v>
      </c>
      <c r="N153" s="148">
        <f>N85-N151</f>
        <v>4312647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9" fitToHeight="0" orientation="portrait" horizontalDpi="300" verticalDpi="300" r:id="rId1"/>
  <headerFooter>
    <oddFooter>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N153"/>
  <sheetViews>
    <sheetView zoomScaleNormal="100" workbookViewId="0">
      <pane ySplit="8" topLeftCell="A137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0.42578125" style="44" customWidth="1"/>
    <col min="3" max="3" width="12" style="44" bestFit="1" customWidth="1"/>
    <col min="4" max="4" width="9.140625" style="44"/>
    <col min="5" max="5" width="12.7109375" style="44" bestFit="1" customWidth="1"/>
    <col min="6" max="6" width="12" style="179" bestFit="1" customWidth="1"/>
    <col min="7" max="7" width="9.140625" style="179"/>
    <col min="8" max="8" width="12.7109375" style="179" bestFit="1" customWidth="1"/>
    <col min="9" max="9" width="12" style="179" bestFit="1" customWidth="1"/>
    <col min="10" max="10" width="9.140625" style="179"/>
    <col min="11" max="11" width="12.7109375" style="179" bestFit="1" customWidth="1"/>
    <col min="12" max="12" width="12" style="179" bestFit="1" customWidth="1"/>
    <col min="13" max="13" width="9.140625" style="179"/>
    <col min="14" max="14" width="12.7109375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'7.14 víz 063080'!C4</f>
        <v xml:space="preserve"> 12 / 2020. (VI.15) sz rendelet</v>
      </c>
    </row>
    <row r="5" spans="1:14" s="81" customFormat="1" ht="12.75" x14ac:dyDescent="0.2">
      <c r="A5" s="90" t="s">
        <v>558</v>
      </c>
      <c r="B5" s="81" t="s">
        <v>358</v>
      </c>
    </row>
    <row r="6" spans="1:14" x14ac:dyDescent="0.25">
      <c r="C6" s="713" t="s">
        <v>743</v>
      </c>
      <c r="D6" s="715" t="str">
        <f>'7.14 víz 063080'!D6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28.5" customHeight="1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s="179" customFormat="1" ht="15.75" hidden="1" thickBot="1" x14ac:dyDescent="0.3">
      <c r="A92" s="190" t="s">
        <v>165</v>
      </c>
      <c r="B92" s="180" t="s">
        <v>166</v>
      </c>
      <c r="C92" s="246"/>
      <c r="D92" s="246"/>
      <c r="E92" s="247">
        <f t="shared" ref="E92" si="19">SUM(C92:D92)</f>
        <v>0</v>
      </c>
      <c r="F92" s="246"/>
      <c r="G92" s="246"/>
      <c r="H92" s="247">
        <f t="shared" ref="H92:H145" si="20">SUM(F92:G92)</f>
        <v>0</v>
      </c>
      <c r="I92" s="246"/>
      <c r="J92" s="246"/>
      <c r="K92" s="247">
        <f t="shared" ref="K92:K145" si="21">SUM(I92:J92)</f>
        <v>0</v>
      </c>
      <c r="L92" s="246"/>
      <c r="M92" s="246"/>
      <c r="N92" s="247">
        <f t="shared" ref="N92:N145" si="22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20"/>
        <v>0</v>
      </c>
      <c r="I93" s="246"/>
      <c r="J93" s="246"/>
      <c r="K93" s="247">
        <f t="shared" si="21"/>
        <v>0</v>
      </c>
      <c r="L93" s="246"/>
      <c r="M93" s="246"/>
      <c r="N93" s="247">
        <f t="shared" si="22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20"/>
        <v>0</v>
      </c>
      <c r="I94" s="246"/>
      <c r="J94" s="246"/>
      <c r="K94" s="247">
        <f t="shared" si="21"/>
        <v>0</v>
      </c>
      <c r="L94" s="246"/>
      <c r="M94" s="246"/>
      <c r="N94" s="247">
        <f t="shared" si="22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20"/>
        <v>0</v>
      </c>
      <c r="I95" s="246"/>
      <c r="J95" s="246"/>
      <c r="K95" s="247">
        <f t="shared" si="21"/>
        <v>0</v>
      </c>
      <c r="L95" s="246"/>
      <c r="M95" s="246"/>
      <c r="N95" s="247">
        <f t="shared" si="22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20"/>
        <v>0</v>
      </c>
      <c r="I96" s="246"/>
      <c r="J96" s="246"/>
      <c r="K96" s="247">
        <f t="shared" si="21"/>
        <v>0</v>
      </c>
      <c r="L96" s="246"/>
      <c r="M96" s="246"/>
      <c r="N96" s="247">
        <f t="shared" si="22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20"/>
        <v>0</v>
      </c>
      <c r="I97" s="246"/>
      <c r="J97" s="246"/>
      <c r="K97" s="247">
        <f t="shared" si="21"/>
        <v>0</v>
      </c>
      <c r="L97" s="246"/>
      <c r="M97" s="246"/>
      <c r="N97" s="247">
        <f t="shared" si="22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20"/>
        <v>0</v>
      </c>
      <c r="I98" s="246"/>
      <c r="J98" s="246"/>
      <c r="K98" s="247">
        <f t="shared" si="21"/>
        <v>0</v>
      </c>
      <c r="L98" s="246"/>
      <c r="M98" s="246"/>
      <c r="N98" s="247">
        <f t="shared" si="22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20"/>
        <v>0</v>
      </c>
      <c r="I99" s="246"/>
      <c r="J99" s="246"/>
      <c r="K99" s="247">
        <f t="shared" si="21"/>
        <v>0</v>
      </c>
      <c r="L99" s="246"/>
      <c r="M99" s="246"/>
      <c r="N99" s="247">
        <f t="shared" si="22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20"/>
        <v>0</v>
      </c>
      <c r="I100" s="246"/>
      <c r="J100" s="246"/>
      <c r="K100" s="247">
        <f t="shared" si="21"/>
        <v>0</v>
      </c>
      <c r="L100" s="246"/>
      <c r="M100" s="246"/>
      <c r="N100" s="247">
        <f t="shared" si="22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20"/>
        <v>0</v>
      </c>
      <c r="I101" s="246">
        <f>SUM(I102:I104)</f>
        <v>0</v>
      </c>
      <c r="J101" s="246">
        <f>SUM(J102:J104)</f>
        <v>0</v>
      </c>
      <c r="K101" s="247">
        <f t="shared" si="21"/>
        <v>0</v>
      </c>
      <c r="L101" s="246">
        <f>SUM(L102:L104)</f>
        <v>0</v>
      </c>
      <c r="M101" s="246">
        <f>SUM(M102:M104)</f>
        <v>0</v>
      </c>
      <c r="N101" s="247">
        <f t="shared" si="22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20"/>
        <v>0</v>
      </c>
      <c r="I102" s="246"/>
      <c r="J102" s="246"/>
      <c r="K102" s="247">
        <f t="shared" si="21"/>
        <v>0</v>
      </c>
      <c r="L102" s="246"/>
      <c r="M102" s="246"/>
      <c r="N102" s="247">
        <f t="shared" si="22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20"/>
        <v>0</v>
      </c>
      <c r="I103" s="246"/>
      <c r="J103" s="246"/>
      <c r="K103" s="247">
        <f t="shared" si="21"/>
        <v>0</v>
      </c>
      <c r="L103" s="246"/>
      <c r="M103" s="246"/>
      <c r="N103" s="247">
        <f t="shared" si="22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20"/>
        <v>0</v>
      </c>
      <c r="I104" s="248"/>
      <c r="J104" s="248"/>
      <c r="K104" s="249">
        <f t="shared" si="21"/>
        <v>0</v>
      </c>
      <c r="L104" s="248"/>
      <c r="M104" s="248"/>
      <c r="N104" s="249">
        <f t="shared" si="22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20"/>
        <v>0</v>
      </c>
      <c r="I105" s="244">
        <f>SUM(I106:I110)</f>
        <v>0</v>
      </c>
      <c r="J105" s="244">
        <f>SUM(J106:J110)</f>
        <v>0</v>
      </c>
      <c r="K105" s="245">
        <f t="shared" si="21"/>
        <v>0</v>
      </c>
      <c r="L105" s="244">
        <f>SUM(L106:L110)</f>
        <v>0</v>
      </c>
      <c r="M105" s="244">
        <f>SUM(M106:M110)</f>
        <v>0</v>
      </c>
      <c r="N105" s="245">
        <f t="shared" si="22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20"/>
        <v>0</v>
      </c>
      <c r="I106" s="246"/>
      <c r="J106" s="246"/>
      <c r="K106" s="247">
        <f t="shared" si="21"/>
        <v>0</v>
      </c>
      <c r="L106" s="246"/>
      <c r="M106" s="246"/>
      <c r="N106" s="247">
        <f t="shared" si="22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20"/>
        <v>0</v>
      </c>
      <c r="I107" s="246"/>
      <c r="J107" s="246"/>
      <c r="K107" s="247">
        <f t="shared" si="21"/>
        <v>0</v>
      </c>
      <c r="L107" s="246"/>
      <c r="M107" s="246"/>
      <c r="N107" s="247">
        <f t="shared" si="22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20"/>
        <v>0</v>
      </c>
      <c r="I108" s="246"/>
      <c r="J108" s="246"/>
      <c r="K108" s="247">
        <f t="shared" si="21"/>
        <v>0</v>
      </c>
      <c r="L108" s="246"/>
      <c r="M108" s="246"/>
      <c r="N108" s="247">
        <f t="shared" si="22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20"/>
        <v>0</v>
      </c>
      <c r="I109" s="246"/>
      <c r="J109" s="246"/>
      <c r="K109" s="247">
        <f t="shared" si="21"/>
        <v>0</v>
      </c>
      <c r="L109" s="246"/>
      <c r="M109" s="246"/>
      <c r="N109" s="247">
        <f t="shared" si="22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20"/>
        <v>0</v>
      </c>
      <c r="I110" s="248"/>
      <c r="J110" s="248"/>
      <c r="K110" s="249">
        <f t="shared" si="21"/>
        <v>0</v>
      </c>
      <c r="L110" s="248"/>
      <c r="M110" s="248"/>
      <c r="N110" s="249">
        <f t="shared" si="22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23710900</v>
      </c>
      <c r="D111" s="244">
        <f>SUM(D112:D113,D114,D123,D122)</f>
        <v>0</v>
      </c>
      <c r="E111" s="245">
        <f t="shared" si="15"/>
        <v>23710900</v>
      </c>
      <c r="F111" s="244">
        <f>SUM(F112:F113,F114,F123,F122)</f>
        <v>23710900</v>
      </c>
      <c r="G111" s="244">
        <f>SUM(G112:G113,G114,G123,G122)</f>
        <v>0</v>
      </c>
      <c r="H111" s="245">
        <f t="shared" si="20"/>
        <v>23710900</v>
      </c>
      <c r="I111" s="244">
        <f>SUM(I112:I113,I114,I123,I122)</f>
        <v>27943950</v>
      </c>
      <c r="J111" s="244">
        <f>SUM(J112:J113,J114,J123,J122)</f>
        <v>0</v>
      </c>
      <c r="K111" s="245">
        <f t="shared" si="21"/>
        <v>27943950</v>
      </c>
      <c r="L111" s="244">
        <f>SUM(L112:L113,L114,L123,L122)</f>
        <v>25991282</v>
      </c>
      <c r="M111" s="244">
        <f>SUM(M112:M113,M114,M123,M122)</f>
        <v>0</v>
      </c>
      <c r="N111" s="245">
        <f t="shared" si="22"/>
        <v>25991282</v>
      </c>
    </row>
    <row r="112" spans="1:14" x14ac:dyDescent="0.25">
      <c r="A112" s="61" t="s">
        <v>199</v>
      </c>
      <c r="B112" s="62" t="s">
        <v>200</v>
      </c>
      <c r="C112" s="246">
        <v>130000</v>
      </c>
      <c r="D112" s="246"/>
      <c r="E112" s="247">
        <f t="shared" si="15"/>
        <v>130000</v>
      </c>
      <c r="F112" s="246">
        <v>130000</v>
      </c>
      <c r="G112" s="246"/>
      <c r="H112" s="247">
        <f t="shared" si="20"/>
        <v>130000</v>
      </c>
      <c r="I112" s="246">
        <v>0</v>
      </c>
      <c r="J112" s="246"/>
      <c r="K112" s="247">
        <f t="shared" si="21"/>
        <v>0</v>
      </c>
      <c r="L112" s="246">
        <v>0</v>
      </c>
      <c r="M112" s="246"/>
      <c r="N112" s="247">
        <f t="shared" si="22"/>
        <v>0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20"/>
        <v>0</v>
      </c>
      <c r="I113" s="246"/>
      <c r="J113" s="246"/>
      <c r="K113" s="247">
        <f t="shared" si="21"/>
        <v>0</v>
      </c>
      <c r="L113" s="246"/>
      <c r="M113" s="246"/>
      <c r="N113" s="247">
        <f t="shared" si="22"/>
        <v>0</v>
      </c>
    </row>
    <row r="114" spans="1:14" x14ac:dyDescent="0.25">
      <c r="A114" s="61" t="s">
        <v>203</v>
      </c>
      <c r="B114" s="62" t="s">
        <v>204</v>
      </c>
      <c r="C114" s="246">
        <f>SUM(C115:C121)</f>
        <v>18540000</v>
      </c>
      <c r="D114" s="246">
        <f>SUM(D115:D121)</f>
        <v>0</v>
      </c>
      <c r="E114" s="247">
        <f t="shared" si="15"/>
        <v>18540000</v>
      </c>
      <c r="F114" s="246">
        <f>SUM(F115:F121)</f>
        <v>18540000</v>
      </c>
      <c r="G114" s="246">
        <f>SUM(G115:G121)</f>
        <v>0</v>
      </c>
      <c r="H114" s="247">
        <f t="shared" si="20"/>
        <v>18540000</v>
      </c>
      <c r="I114" s="246">
        <f>SUM(I115:I121)</f>
        <v>22903050</v>
      </c>
      <c r="J114" s="246">
        <f>SUM(J115:J121)</f>
        <v>0</v>
      </c>
      <c r="K114" s="247">
        <f t="shared" si="21"/>
        <v>22903050</v>
      </c>
      <c r="L114" s="246">
        <f>SUM(L115:L121)</f>
        <v>20595994</v>
      </c>
      <c r="M114" s="246">
        <f>SUM(M115:M121)</f>
        <v>0</v>
      </c>
      <c r="N114" s="247">
        <f t="shared" si="22"/>
        <v>20595994</v>
      </c>
    </row>
    <row r="115" spans="1:14" x14ac:dyDescent="0.25">
      <c r="A115" s="61" t="s">
        <v>205</v>
      </c>
      <c r="B115" s="62" t="s">
        <v>206</v>
      </c>
      <c r="C115" s="246">
        <v>5940000</v>
      </c>
      <c r="D115" s="246"/>
      <c r="E115" s="247">
        <f t="shared" si="15"/>
        <v>5940000</v>
      </c>
      <c r="F115" s="246">
        <v>5940000</v>
      </c>
      <c r="G115" s="246"/>
      <c r="H115" s="247">
        <f t="shared" si="20"/>
        <v>5940000</v>
      </c>
      <c r="I115" s="246">
        <v>8940000</v>
      </c>
      <c r="J115" s="246"/>
      <c r="K115" s="247">
        <f t="shared" si="21"/>
        <v>8940000</v>
      </c>
      <c r="L115" s="246">
        <v>7835462</v>
      </c>
      <c r="M115" s="246"/>
      <c r="N115" s="247">
        <f t="shared" si="22"/>
        <v>7835462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20"/>
        <v>0</v>
      </c>
      <c r="I116" s="246"/>
      <c r="J116" s="246"/>
      <c r="K116" s="247">
        <f t="shared" si="21"/>
        <v>0</v>
      </c>
      <c r="L116" s="246"/>
      <c r="M116" s="246"/>
      <c r="N116" s="247">
        <f t="shared" si="22"/>
        <v>0</v>
      </c>
    </row>
    <row r="117" spans="1:14" x14ac:dyDescent="0.25">
      <c r="A117" s="61" t="s">
        <v>209</v>
      </c>
      <c r="B117" s="62" t="s">
        <v>210</v>
      </c>
      <c r="C117" s="246">
        <v>11000000</v>
      </c>
      <c r="D117" s="246"/>
      <c r="E117" s="247">
        <f t="shared" si="15"/>
        <v>11000000</v>
      </c>
      <c r="F117" s="246">
        <v>11000000</v>
      </c>
      <c r="G117" s="246"/>
      <c r="H117" s="247">
        <f t="shared" si="20"/>
        <v>11000000</v>
      </c>
      <c r="I117" s="246">
        <f>11000000+963050</f>
        <v>11963050</v>
      </c>
      <c r="J117" s="246"/>
      <c r="K117" s="247">
        <f t="shared" si="21"/>
        <v>11963050</v>
      </c>
      <c r="L117" s="246">
        <v>11024062</v>
      </c>
      <c r="M117" s="246"/>
      <c r="N117" s="247">
        <f t="shared" si="22"/>
        <v>11024062</v>
      </c>
    </row>
    <row r="118" spans="1:14" x14ac:dyDescent="0.25">
      <c r="A118" s="61" t="s">
        <v>211</v>
      </c>
      <c r="B118" s="62" t="s">
        <v>212</v>
      </c>
      <c r="C118" s="246">
        <v>1600000</v>
      </c>
      <c r="D118" s="246"/>
      <c r="E118" s="247">
        <f t="shared" si="15"/>
        <v>1600000</v>
      </c>
      <c r="F118" s="246">
        <v>1600000</v>
      </c>
      <c r="G118" s="246"/>
      <c r="H118" s="247">
        <f t="shared" si="20"/>
        <v>1600000</v>
      </c>
      <c r="I118" s="246">
        <v>2000000</v>
      </c>
      <c r="J118" s="246"/>
      <c r="K118" s="247">
        <f t="shared" si="21"/>
        <v>2000000</v>
      </c>
      <c r="L118" s="246">
        <v>1736470</v>
      </c>
      <c r="M118" s="246"/>
      <c r="N118" s="247">
        <f t="shared" si="22"/>
        <v>1736470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20"/>
        <v>0</v>
      </c>
      <c r="I119" s="246"/>
      <c r="J119" s="246"/>
      <c r="K119" s="247">
        <f t="shared" si="21"/>
        <v>0</v>
      </c>
      <c r="L119" s="246"/>
      <c r="M119" s="246"/>
      <c r="N119" s="247">
        <f t="shared" si="22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20"/>
        <v>0</v>
      </c>
      <c r="I120" s="246"/>
      <c r="J120" s="246"/>
      <c r="K120" s="247">
        <f t="shared" si="21"/>
        <v>0</v>
      </c>
      <c r="L120" s="246"/>
      <c r="M120" s="246"/>
      <c r="N120" s="247">
        <f t="shared" si="22"/>
        <v>0</v>
      </c>
    </row>
    <row r="121" spans="1:14" x14ac:dyDescent="0.25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20"/>
        <v>0</v>
      </c>
      <c r="I121" s="246"/>
      <c r="J121" s="246"/>
      <c r="K121" s="247">
        <f t="shared" si="21"/>
        <v>0</v>
      </c>
      <c r="L121" s="246"/>
      <c r="M121" s="246"/>
      <c r="N121" s="247">
        <f t="shared" si="22"/>
        <v>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20"/>
        <v>0</v>
      </c>
      <c r="I122" s="246"/>
      <c r="J122" s="246"/>
      <c r="K122" s="247">
        <f t="shared" si="21"/>
        <v>0</v>
      </c>
      <c r="L122" s="246"/>
      <c r="M122" s="246"/>
      <c r="N122" s="247">
        <f t="shared" si="22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5040900</v>
      </c>
      <c r="D123" s="246">
        <f>SUM(D124:D126)</f>
        <v>0</v>
      </c>
      <c r="E123" s="247">
        <f t="shared" si="15"/>
        <v>5040900</v>
      </c>
      <c r="F123" s="246">
        <f>SUM(F124:F126)</f>
        <v>5040900</v>
      </c>
      <c r="G123" s="246">
        <f>SUM(G124:G126)</f>
        <v>0</v>
      </c>
      <c r="H123" s="247">
        <f t="shared" si="20"/>
        <v>5040900</v>
      </c>
      <c r="I123" s="246">
        <f>SUM(I124:I126)</f>
        <v>5040900</v>
      </c>
      <c r="J123" s="246">
        <f>SUM(J124:J126)</f>
        <v>0</v>
      </c>
      <c r="K123" s="247">
        <f t="shared" si="21"/>
        <v>5040900</v>
      </c>
      <c r="L123" s="246">
        <f>SUM(L124:L126)</f>
        <v>5395288</v>
      </c>
      <c r="M123" s="246">
        <f>SUM(M124:M126)</f>
        <v>0</v>
      </c>
      <c r="N123" s="247">
        <f t="shared" si="22"/>
        <v>5395288</v>
      </c>
    </row>
    <row r="124" spans="1:14" x14ac:dyDescent="0.25">
      <c r="A124" s="61"/>
      <c r="B124" s="62" t="s">
        <v>223</v>
      </c>
      <c r="C124" s="246">
        <v>5040900</v>
      </c>
      <c r="D124" s="246"/>
      <c r="E124" s="247">
        <f t="shared" si="15"/>
        <v>5040900</v>
      </c>
      <c r="F124" s="246">
        <v>5040900</v>
      </c>
      <c r="G124" s="246"/>
      <c r="H124" s="247">
        <f t="shared" si="20"/>
        <v>5040900</v>
      </c>
      <c r="I124" s="246">
        <v>5040900</v>
      </c>
      <c r="J124" s="246"/>
      <c r="K124" s="247">
        <f t="shared" si="21"/>
        <v>5040900</v>
      </c>
      <c r="L124" s="246">
        <v>5395288</v>
      </c>
      <c r="M124" s="246"/>
      <c r="N124" s="247">
        <f t="shared" si="22"/>
        <v>5395288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20"/>
        <v>0</v>
      </c>
      <c r="I125" s="246"/>
      <c r="J125" s="246"/>
      <c r="K125" s="247">
        <f t="shared" si="21"/>
        <v>0</v>
      </c>
      <c r="L125" s="246"/>
      <c r="M125" s="246"/>
      <c r="N125" s="247">
        <f t="shared" si="22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20"/>
        <v>0</v>
      </c>
      <c r="I126" s="248"/>
      <c r="J126" s="248"/>
      <c r="K126" s="249">
        <f t="shared" si="21"/>
        <v>0</v>
      </c>
      <c r="L126" s="248"/>
      <c r="M126" s="248"/>
      <c r="N126" s="249">
        <f t="shared" si="22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20"/>
        <v>0</v>
      </c>
      <c r="I127" s="250"/>
      <c r="J127" s="250"/>
      <c r="K127" s="251">
        <f t="shared" si="21"/>
        <v>0</v>
      </c>
      <c r="L127" s="250"/>
      <c r="M127" s="250"/>
      <c r="N127" s="251">
        <f t="shared" si="22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20"/>
        <v>0</v>
      </c>
      <c r="I128" s="244">
        <f>SUM(I129:I134)</f>
        <v>0</v>
      </c>
      <c r="J128" s="244">
        <f>SUM(J129:J134)</f>
        <v>0</v>
      </c>
      <c r="K128" s="245">
        <f t="shared" si="21"/>
        <v>0</v>
      </c>
      <c r="L128" s="244">
        <f>SUM(L129:L134)</f>
        <v>0</v>
      </c>
      <c r="M128" s="244">
        <f>SUM(M129:M134)</f>
        <v>0</v>
      </c>
      <c r="N128" s="245">
        <f t="shared" si="22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20"/>
        <v>0</v>
      </c>
      <c r="I129" s="246"/>
      <c r="J129" s="246"/>
      <c r="K129" s="247">
        <f t="shared" si="21"/>
        <v>0</v>
      </c>
      <c r="L129" s="246"/>
      <c r="M129" s="246"/>
      <c r="N129" s="247">
        <f t="shared" si="2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20"/>
        <v>0</v>
      </c>
      <c r="I130" s="246"/>
      <c r="J130" s="246"/>
      <c r="K130" s="247">
        <f t="shared" si="21"/>
        <v>0</v>
      </c>
      <c r="L130" s="246"/>
      <c r="M130" s="246"/>
      <c r="N130" s="247">
        <f t="shared" si="22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20"/>
        <v>0</v>
      </c>
      <c r="I131" s="246"/>
      <c r="J131" s="246"/>
      <c r="K131" s="247">
        <f t="shared" si="21"/>
        <v>0</v>
      </c>
      <c r="L131" s="246"/>
      <c r="M131" s="246"/>
      <c r="N131" s="247">
        <f t="shared" si="22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20"/>
        <v>0</v>
      </c>
      <c r="I132" s="246"/>
      <c r="J132" s="246"/>
      <c r="K132" s="247">
        <f t="shared" si="21"/>
        <v>0</v>
      </c>
      <c r="L132" s="246"/>
      <c r="M132" s="246"/>
      <c r="N132" s="247">
        <f t="shared" si="22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20"/>
        <v>0</v>
      </c>
      <c r="I133" s="246"/>
      <c r="J133" s="246"/>
      <c r="K133" s="247">
        <f t="shared" si="21"/>
        <v>0</v>
      </c>
      <c r="L133" s="246"/>
      <c r="M133" s="246"/>
      <c r="N133" s="247">
        <f t="shared" si="22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20"/>
        <v>0</v>
      </c>
      <c r="I134" s="246">
        <f>SUM(I135:I136)</f>
        <v>0</v>
      </c>
      <c r="J134" s="246">
        <f>SUM(J135:J136)</f>
        <v>0</v>
      </c>
      <c r="K134" s="247">
        <f t="shared" si="21"/>
        <v>0</v>
      </c>
      <c r="L134" s="246">
        <f>SUM(L135:L136)</f>
        <v>0</v>
      </c>
      <c r="M134" s="246">
        <f>SUM(M135:M136)</f>
        <v>0</v>
      </c>
      <c r="N134" s="247">
        <f t="shared" si="22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20"/>
        <v>0</v>
      </c>
      <c r="I135" s="246"/>
      <c r="J135" s="246"/>
      <c r="K135" s="247">
        <f t="shared" si="21"/>
        <v>0</v>
      </c>
      <c r="L135" s="246"/>
      <c r="M135" s="246"/>
      <c r="N135" s="247">
        <f t="shared" si="22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20"/>
        <v>0</v>
      </c>
      <c r="I136" s="248"/>
      <c r="J136" s="248"/>
      <c r="K136" s="249">
        <f t="shared" si="21"/>
        <v>0</v>
      </c>
      <c r="L136" s="248"/>
      <c r="M136" s="248"/>
      <c r="N136" s="249">
        <f t="shared" si="22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20"/>
        <v>0</v>
      </c>
      <c r="I137" s="244"/>
      <c r="J137" s="244"/>
      <c r="K137" s="245">
        <f t="shared" si="21"/>
        <v>0</v>
      </c>
      <c r="L137" s="244"/>
      <c r="M137" s="244"/>
      <c r="N137" s="245">
        <f t="shared" si="22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20"/>
        <v>0</v>
      </c>
      <c r="I138" s="248"/>
      <c r="J138" s="248"/>
      <c r="K138" s="249">
        <f t="shared" si="21"/>
        <v>0</v>
      </c>
      <c r="L138" s="248"/>
      <c r="M138" s="248"/>
      <c r="N138" s="249">
        <f t="shared" si="22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20"/>
        <v>0</v>
      </c>
      <c r="I139" s="244"/>
      <c r="J139" s="244"/>
      <c r="K139" s="245">
        <f t="shared" si="21"/>
        <v>0</v>
      </c>
      <c r="L139" s="244"/>
      <c r="M139" s="244"/>
      <c r="N139" s="245">
        <f t="shared" si="22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20"/>
        <v>0</v>
      </c>
      <c r="I140" s="248"/>
      <c r="J140" s="248"/>
      <c r="K140" s="249">
        <f t="shared" si="21"/>
        <v>0</v>
      </c>
      <c r="L140" s="248"/>
      <c r="M140" s="248"/>
      <c r="N140" s="249">
        <f t="shared" si="22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20"/>
        <v>0</v>
      </c>
      <c r="I141" s="254"/>
      <c r="J141" s="254"/>
      <c r="K141" s="255">
        <f t="shared" si="21"/>
        <v>0</v>
      </c>
      <c r="L141" s="254"/>
      <c r="M141" s="254"/>
      <c r="N141" s="255">
        <f t="shared" si="22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23710900</v>
      </c>
      <c r="D142" s="250">
        <f>D141+D140+D139+D138+D137+D128+D127+D111+D105+D88</f>
        <v>0</v>
      </c>
      <c r="E142" s="251">
        <f t="shared" si="15"/>
        <v>23710900</v>
      </c>
      <c r="F142" s="250">
        <f>F141+F140+F139+F138+F137+F128+F127+F111+F105+F88</f>
        <v>23710900</v>
      </c>
      <c r="G142" s="250">
        <f>G141+G140+G139+G138+G137+G128+G127+G111+G105+G88</f>
        <v>0</v>
      </c>
      <c r="H142" s="251">
        <f t="shared" si="20"/>
        <v>23710900</v>
      </c>
      <c r="I142" s="250">
        <f>I141+I140+I139+I138+I137+I128+I127+I111+I105+I88</f>
        <v>27943950</v>
      </c>
      <c r="J142" s="250">
        <f>J141+J140+J139+J138+J137+J128+J127+J111+J105+J88</f>
        <v>0</v>
      </c>
      <c r="K142" s="251">
        <f t="shared" si="21"/>
        <v>27943950</v>
      </c>
      <c r="L142" s="250">
        <f>L141+L140+L139+L138+L137+L128+L127+L111+L105+L88</f>
        <v>25991282</v>
      </c>
      <c r="M142" s="250">
        <f>M141+M140+M139+M138+M137+M128+M127+M111+M105+M88</f>
        <v>0</v>
      </c>
      <c r="N142" s="251">
        <f t="shared" si="22"/>
        <v>25991282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20"/>
        <v>0</v>
      </c>
      <c r="I143" s="244">
        <f>SUM(I144:I150)</f>
        <v>0</v>
      </c>
      <c r="J143" s="244">
        <f>SUM(J144:J150)</f>
        <v>0</v>
      </c>
      <c r="K143" s="245">
        <f t="shared" si="21"/>
        <v>0</v>
      </c>
      <c r="L143" s="244">
        <f>SUM(L144:L150)</f>
        <v>0</v>
      </c>
      <c r="M143" s="244">
        <f>SUM(M144:M150)</f>
        <v>0</v>
      </c>
      <c r="N143" s="245">
        <f t="shared" si="22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20"/>
        <v>0</v>
      </c>
      <c r="I144" s="246"/>
      <c r="J144" s="246"/>
      <c r="K144" s="247">
        <f t="shared" si="21"/>
        <v>0</v>
      </c>
      <c r="L144" s="246"/>
      <c r="M144" s="246"/>
      <c r="N144" s="247">
        <f t="shared" si="22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20"/>
        <v>0</v>
      </c>
      <c r="I145" s="246"/>
      <c r="J145" s="246"/>
      <c r="K145" s="247">
        <f t="shared" si="21"/>
        <v>0</v>
      </c>
      <c r="L145" s="246"/>
      <c r="M145" s="246"/>
      <c r="N145" s="247">
        <f t="shared" si="22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3">SUM(F147:G147)</f>
        <v>0</v>
      </c>
      <c r="I147" s="246"/>
      <c r="J147" s="246"/>
      <c r="K147" s="247">
        <f t="shared" ref="K147:K150" si="24">SUM(I147:J147)</f>
        <v>0</v>
      </c>
      <c r="L147" s="246"/>
      <c r="M147" s="246"/>
      <c r="N147" s="247">
        <f t="shared" ref="N147:N150" si="25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3"/>
        <v>0</v>
      </c>
      <c r="I148" s="246"/>
      <c r="J148" s="246"/>
      <c r="K148" s="247">
        <f t="shared" si="24"/>
        <v>0</v>
      </c>
      <c r="L148" s="246"/>
      <c r="M148" s="246"/>
      <c r="N148" s="247">
        <f t="shared" si="25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3"/>
        <v>0</v>
      </c>
      <c r="I149" s="246"/>
      <c r="J149" s="246"/>
      <c r="K149" s="247">
        <f t="shared" si="24"/>
        <v>0</v>
      </c>
      <c r="L149" s="246"/>
      <c r="M149" s="246"/>
      <c r="N149" s="247">
        <f t="shared" si="25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3"/>
        <v>0</v>
      </c>
      <c r="I150" s="256"/>
      <c r="J150" s="248"/>
      <c r="K150" s="249">
        <f t="shared" si="24"/>
        <v>0</v>
      </c>
      <c r="L150" s="256"/>
      <c r="M150" s="248"/>
      <c r="N150" s="249">
        <f t="shared" si="25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23710900</v>
      </c>
      <c r="D151" s="257">
        <f>D143+D142</f>
        <v>0</v>
      </c>
      <c r="E151" s="258">
        <f>SUM(C151:D151)</f>
        <v>23710900</v>
      </c>
      <c r="F151" s="250">
        <f>F143+F142</f>
        <v>23710900</v>
      </c>
      <c r="G151" s="257">
        <f>G143+G142</f>
        <v>0</v>
      </c>
      <c r="H151" s="258">
        <f>SUM(F151:G151)</f>
        <v>23710900</v>
      </c>
      <c r="I151" s="250">
        <f>I143+I142</f>
        <v>27943950</v>
      </c>
      <c r="J151" s="257">
        <f>J143+J142</f>
        <v>0</v>
      </c>
      <c r="K151" s="258">
        <f>SUM(I151:J151)</f>
        <v>27943950</v>
      </c>
      <c r="L151" s="250">
        <f>L143+L142</f>
        <v>25991282</v>
      </c>
      <c r="M151" s="257">
        <f>M143+M142</f>
        <v>0</v>
      </c>
      <c r="N151" s="258">
        <f>SUM(L151:M151)</f>
        <v>25991282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-23710900</v>
      </c>
      <c r="H153" s="148">
        <f>H85-H151</f>
        <v>-23710900</v>
      </c>
      <c r="K153" s="148">
        <f>K85-K151</f>
        <v>-27943950</v>
      </c>
      <c r="N153" s="148">
        <f>N85-N151</f>
        <v>-25991282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2.140625" style="44" customWidth="1"/>
    <col min="4" max="4" width="9.140625" style="44"/>
    <col min="5" max="5" width="12" style="44" bestFit="1" customWidth="1"/>
    <col min="6" max="6" width="12.140625" style="179" customWidth="1"/>
    <col min="7" max="7" width="9.140625" style="179"/>
    <col min="8" max="8" width="12" style="179" bestFit="1" customWidth="1"/>
    <col min="9" max="9" width="12.140625" style="179" customWidth="1"/>
    <col min="10" max="10" width="9.140625" style="179"/>
    <col min="11" max="11" width="12" style="179" bestFit="1" customWidth="1"/>
    <col min="12" max="12" width="12.140625" style="179" customWidth="1"/>
    <col min="13" max="13" width="9.140625" style="179"/>
    <col min="14" max="14" width="12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'7.15 közvil 064010'!C4</f>
        <v xml:space="preserve"> 12 / 2020. (VI.15) sz rendelet</v>
      </c>
    </row>
    <row r="5" spans="1:14" s="81" customFormat="1" ht="12.75" x14ac:dyDescent="0.2">
      <c r="A5" s="90" t="s">
        <v>359</v>
      </c>
      <c r="B5" s="81" t="s">
        <v>360</v>
      </c>
    </row>
    <row r="6" spans="1:14" x14ac:dyDescent="0.25">
      <c r="C6" s="713" t="s">
        <v>744</v>
      </c>
      <c r="D6" s="715" t="str">
        <f>'7.15 közvil 064010'!D6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810000</v>
      </c>
      <c r="D9" s="244">
        <f>SUM(D10,D17,D18,D20,D21,D19)</f>
        <v>0</v>
      </c>
      <c r="E9" s="245">
        <f t="shared" ref="E9:E73" si="0">SUM(C9:D9)</f>
        <v>810000</v>
      </c>
      <c r="F9" s="244">
        <f>SUM(F10,F17,F18,F20,F21,F19)</f>
        <v>810000</v>
      </c>
      <c r="G9" s="244">
        <f>SUM(G10,G17,G18,G20,G21,G19)</f>
        <v>0</v>
      </c>
      <c r="H9" s="245">
        <f t="shared" ref="H9:H73" si="1">SUM(F9:G9)</f>
        <v>810000</v>
      </c>
      <c r="I9" s="244">
        <f>SUM(I10,I17,I18,I20,I21,I19)</f>
        <v>810000</v>
      </c>
      <c r="J9" s="244">
        <f>SUM(J10,J17,J18,J20,J21,J19)</f>
        <v>0</v>
      </c>
      <c r="K9" s="245">
        <f t="shared" ref="K9:K73" si="2">SUM(I9:J9)</f>
        <v>810000</v>
      </c>
      <c r="L9" s="244">
        <f>SUM(L10,L17,L18,L20,L21,L19)</f>
        <v>810000</v>
      </c>
      <c r="M9" s="244">
        <f>SUM(M10,M17,M18,M20,M21,M19)</f>
        <v>0</v>
      </c>
      <c r="N9" s="245">
        <f t="shared" ref="N9:N73" si="3">SUM(L9:M9)</f>
        <v>810000</v>
      </c>
    </row>
    <row r="10" spans="1:14" hidden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810000</v>
      </c>
      <c r="D21" s="248"/>
      <c r="E21" s="249">
        <f t="shared" si="0"/>
        <v>810000</v>
      </c>
      <c r="F21" s="248">
        <v>810000</v>
      </c>
      <c r="G21" s="248"/>
      <c r="H21" s="249">
        <f t="shared" si="1"/>
        <v>810000</v>
      </c>
      <c r="I21" s="248">
        <v>810000</v>
      </c>
      <c r="J21" s="248"/>
      <c r="K21" s="249">
        <f t="shared" si="2"/>
        <v>810000</v>
      </c>
      <c r="L21" s="248">
        <v>810000</v>
      </c>
      <c r="M21" s="248"/>
      <c r="N21" s="249">
        <f t="shared" si="3"/>
        <v>810000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810000</v>
      </c>
      <c r="D73" s="250">
        <f>D9+D22+D25+D45+D61+D67+D70</f>
        <v>0</v>
      </c>
      <c r="E73" s="251">
        <f t="shared" si="0"/>
        <v>810000</v>
      </c>
      <c r="F73" s="250">
        <f>F9+F22+F25+F45+F61+F67+F70</f>
        <v>810000</v>
      </c>
      <c r="G73" s="250">
        <f>G9+G22+G25+G45+G61+G67+G70</f>
        <v>0</v>
      </c>
      <c r="H73" s="251">
        <f t="shared" si="1"/>
        <v>810000</v>
      </c>
      <c r="I73" s="250">
        <f>I9+I22+I25+I45+I61+I67+I70</f>
        <v>810000</v>
      </c>
      <c r="J73" s="250">
        <f>J9+J22+J25+J45+J61+J67+J70</f>
        <v>0</v>
      </c>
      <c r="K73" s="251">
        <f t="shared" si="2"/>
        <v>810000</v>
      </c>
      <c r="L73" s="250">
        <f>L9+L22+L25+L45+L61+L67+L70</f>
        <v>810000</v>
      </c>
      <c r="M73" s="250">
        <f>M9+M22+M25+M45+M61+M67+M70</f>
        <v>0</v>
      </c>
      <c r="N73" s="251">
        <f t="shared" si="3"/>
        <v>810000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810000</v>
      </c>
      <c r="D85" s="250">
        <f>D73+D74</f>
        <v>0</v>
      </c>
      <c r="E85" s="251">
        <f t="shared" si="4"/>
        <v>810000</v>
      </c>
      <c r="F85" s="250">
        <f>F73+F74</f>
        <v>810000</v>
      </c>
      <c r="G85" s="250">
        <f>G73+G74</f>
        <v>0</v>
      </c>
      <c r="H85" s="251">
        <f t="shared" si="12"/>
        <v>810000</v>
      </c>
      <c r="I85" s="250">
        <f>I73+I74</f>
        <v>810000</v>
      </c>
      <c r="J85" s="250">
        <f>J73+J74</f>
        <v>0</v>
      </c>
      <c r="K85" s="251">
        <f t="shared" si="13"/>
        <v>810000</v>
      </c>
      <c r="L85" s="250">
        <f>L73+L74</f>
        <v>810000</v>
      </c>
      <c r="M85" s="250">
        <f>M73+M74</f>
        <v>0</v>
      </c>
      <c r="N85" s="251">
        <f t="shared" si="14"/>
        <v>810000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2535000</v>
      </c>
      <c r="D88" s="244">
        <f>D89+D101</f>
        <v>0</v>
      </c>
      <c r="E88" s="253">
        <f t="shared" ref="E88:E150" si="15">SUM(C88:D88)</f>
        <v>2535000</v>
      </c>
      <c r="F88" s="244">
        <f>F89+F101</f>
        <v>2535000</v>
      </c>
      <c r="G88" s="244">
        <f>G89+G101</f>
        <v>0</v>
      </c>
      <c r="H88" s="253">
        <f t="shared" ref="H88:H90" si="16">SUM(F88:G88)</f>
        <v>2535000</v>
      </c>
      <c r="I88" s="244">
        <f>I89+I101</f>
        <v>2566058</v>
      </c>
      <c r="J88" s="244">
        <f>J89+J101</f>
        <v>0</v>
      </c>
      <c r="K88" s="253">
        <f t="shared" ref="K88:K91" si="17">SUM(I88:J88)</f>
        <v>2566058</v>
      </c>
      <c r="L88" s="244">
        <f>L89+L101</f>
        <v>2448558</v>
      </c>
      <c r="M88" s="244">
        <f>M89+M101</f>
        <v>0</v>
      </c>
      <c r="N88" s="253">
        <f t="shared" ref="N88:N145" si="18">SUM(L88:M88)</f>
        <v>2448558</v>
      </c>
    </row>
    <row r="89" spans="1:14" x14ac:dyDescent="0.25">
      <c r="A89" s="61" t="s">
        <v>161</v>
      </c>
      <c r="B89" s="62" t="s">
        <v>162</v>
      </c>
      <c r="C89" s="246">
        <f>SUM(C90:C100)</f>
        <v>2535000</v>
      </c>
      <c r="D89" s="246">
        <f>SUM(D90:D100)</f>
        <v>0</v>
      </c>
      <c r="E89" s="247">
        <f t="shared" si="15"/>
        <v>2535000</v>
      </c>
      <c r="F89" s="246">
        <f>SUM(F90:F100)</f>
        <v>2535000</v>
      </c>
      <c r="G89" s="246">
        <f>SUM(G90:G100)</f>
        <v>0</v>
      </c>
      <c r="H89" s="247">
        <f t="shared" si="16"/>
        <v>2535000</v>
      </c>
      <c r="I89" s="316">
        <f>SUM(I90:I100)</f>
        <v>2566058</v>
      </c>
      <c r="J89" s="246">
        <f>SUM(J90:J100)</f>
        <v>0</v>
      </c>
      <c r="K89" s="247">
        <f t="shared" si="17"/>
        <v>2566058</v>
      </c>
      <c r="L89" s="316">
        <f>SUM(L90:L100)</f>
        <v>2448558</v>
      </c>
      <c r="M89" s="246">
        <f>SUM(M90:M100)</f>
        <v>0</v>
      </c>
      <c r="N89" s="247">
        <f t="shared" si="18"/>
        <v>2448558</v>
      </c>
    </row>
    <row r="90" spans="1:14" x14ac:dyDescent="0.25">
      <c r="A90" s="61" t="s">
        <v>163</v>
      </c>
      <c r="B90" s="62" t="s">
        <v>164</v>
      </c>
      <c r="C90" s="246">
        <v>2340000</v>
      </c>
      <c r="D90" s="246"/>
      <c r="E90" s="247">
        <f t="shared" si="15"/>
        <v>2340000</v>
      </c>
      <c r="F90" s="246">
        <v>2340000</v>
      </c>
      <c r="G90" s="246"/>
      <c r="H90" s="247">
        <f t="shared" si="16"/>
        <v>2340000</v>
      </c>
      <c r="I90" s="316">
        <v>2325500</v>
      </c>
      <c r="J90" s="246"/>
      <c r="K90" s="247">
        <f t="shared" si="17"/>
        <v>2325500</v>
      </c>
      <c r="L90" s="316">
        <v>2325500</v>
      </c>
      <c r="M90" s="246"/>
      <c r="N90" s="247">
        <f t="shared" si="18"/>
        <v>2325500</v>
      </c>
    </row>
    <row r="91" spans="1:14" s="179" customFormat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316">
        <v>30058</v>
      </c>
      <c r="J91" s="246"/>
      <c r="K91" s="247">
        <f t="shared" si="17"/>
        <v>30058</v>
      </c>
      <c r="L91" s="316">
        <v>30058</v>
      </c>
      <c r="M91" s="246"/>
      <c r="N91" s="247">
        <f t="shared" si="18"/>
        <v>30058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316"/>
      <c r="J92" s="246"/>
      <c r="K92" s="247">
        <f t="shared" ref="K92:K145" si="20">SUM(I92:J92)</f>
        <v>0</v>
      </c>
      <c r="L92" s="316"/>
      <c r="M92" s="246"/>
      <c r="N92" s="247">
        <f t="shared" si="18"/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316"/>
      <c r="J93" s="246"/>
      <c r="K93" s="247">
        <f t="shared" si="20"/>
        <v>0</v>
      </c>
      <c r="L93" s="316"/>
      <c r="M93" s="246"/>
      <c r="N93" s="247">
        <f t="shared" si="18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316"/>
      <c r="J94" s="246"/>
      <c r="K94" s="247">
        <f t="shared" si="20"/>
        <v>0</v>
      </c>
      <c r="L94" s="316"/>
      <c r="M94" s="246"/>
      <c r="N94" s="247">
        <f t="shared" si="18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316"/>
      <c r="J95" s="246"/>
      <c r="K95" s="247">
        <f t="shared" si="20"/>
        <v>0</v>
      </c>
      <c r="L95" s="316"/>
      <c r="M95" s="246"/>
      <c r="N95" s="247">
        <f t="shared" si="18"/>
        <v>0</v>
      </c>
    </row>
    <row r="96" spans="1:14" x14ac:dyDescent="0.25">
      <c r="A96" s="61" t="s">
        <v>173</v>
      </c>
      <c r="B96" s="62" t="s">
        <v>174</v>
      </c>
      <c r="C96" s="246">
        <v>75000</v>
      </c>
      <c r="D96" s="246"/>
      <c r="E96" s="247">
        <f t="shared" si="15"/>
        <v>75000</v>
      </c>
      <c r="F96" s="246">
        <v>75000</v>
      </c>
      <c r="G96" s="246"/>
      <c r="H96" s="247">
        <f t="shared" si="19"/>
        <v>75000</v>
      </c>
      <c r="I96" s="316">
        <f>75000+15000</f>
        <v>90000</v>
      </c>
      <c r="J96" s="246"/>
      <c r="K96" s="247">
        <f t="shared" si="20"/>
        <v>90000</v>
      </c>
      <c r="L96" s="316">
        <v>82500</v>
      </c>
      <c r="M96" s="246"/>
      <c r="N96" s="247">
        <f t="shared" si="18"/>
        <v>82500</v>
      </c>
    </row>
    <row r="97" spans="1:14" x14ac:dyDescent="0.25">
      <c r="A97" s="61" t="s">
        <v>175</v>
      </c>
      <c r="B97" s="62" t="s">
        <v>176</v>
      </c>
      <c r="C97" s="246">
        <v>60000</v>
      </c>
      <c r="D97" s="246"/>
      <c r="E97" s="247">
        <f t="shared" si="15"/>
        <v>60000</v>
      </c>
      <c r="F97" s="246">
        <v>60000</v>
      </c>
      <c r="G97" s="246"/>
      <c r="H97" s="247">
        <f t="shared" si="19"/>
        <v>60000</v>
      </c>
      <c r="I97" s="316">
        <f>60000-10000</f>
        <v>50000</v>
      </c>
      <c r="J97" s="246"/>
      <c r="K97" s="247">
        <f t="shared" si="20"/>
        <v>50000</v>
      </c>
      <c r="L97" s="316"/>
      <c r="M97" s="246"/>
      <c r="N97" s="247">
        <f t="shared" si="18"/>
        <v>0</v>
      </c>
    </row>
    <row r="98" spans="1:14" x14ac:dyDescent="0.25">
      <c r="A98" s="61" t="s">
        <v>572</v>
      </c>
      <c r="B98" s="62" t="s">
        <v>178</v>
      </c>
      <c r="C98" s="316">
        <v>60000</v>
      </c>
      <c r="D98" s="246"/>
      <c r="E98" s="247">
        <f t="shared" si="15"/>
        <v>60000</v>
      </c>
      <c r="F98" s="316">
        <v>60000</v>
      </c>
      <c r="G98" s="246"/>
      <c r="H98" s="247">
        <f t="shared" si="19"/>
        <v>60000</v>
      </c>
      <c r="I98" s="316">
        <v>60000</v>
      </c>
      <c r="J98" s="246"/>
      <c r="K98" s="247">
        <f t="shared" si="20"/>
        <v>60000</v>
      </c>
      <c r="L98" s="316"/>
      <c r="M98" s="246"/>
      <c r="N98" s="247">
        <f t="shared" si="18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316"/>
      <c r="J99" s="246"/>
      <c r="K99" s="247">
        <f t="shared" si="20"/>
        <v>0</v>
      </c>
      <c r="L99" s="316"/>
      <c r="M99" s="246"/>
      <c r="N99" s="247">
        <f t="shared" si="18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316">
        <v>10500</v>
      </c>
      <c r="J100" s="246"/>
      <c r="K100" s="247">
        <f t="shared" si="20"/>
        <v>10500</v>
      </c>
      <c r="L100" s="316">
        <v>10500</v>
      </c>
      <c r="M100" s="246"/>
      <c r="N100" s="247">
        <f t="shared" si="18"/>
        <v>10500</v>
      </c>
    </row>
    <row r="101" spans="1:14" ht="15.75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316">
        <f>SUM(I102:I104)</f>
        <v>0</v>
      </c>
      <c r="J101" s="246">
        <f>SUM(J102:J104)</f>
        <v>0</v>
      </c>
      <c r="K101" s="247">
        <f t="shared" si="20"/>
        <v>0</v>
      </c>
      <c r="L101" s="316">
        <f>SUM(L102:L104)</f>
        <v>0</v>
      </c>
      <c r="M101" s="246">
        <f>SUM(M102:M104)</f>
        <v>0</v>
      </c>
      <c r="N101" s="247">
        <f t="shared" si="18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316"/>
      <c r="J102" s="246"/>
      <c r="K102" s="247">
        <f t="shared" si="20"/>
        <v>0</v>
      </c>
      <c r="L102" s="316"/>
      <c r="M102" s="246"/>
      <c r="N102" s="247">
        <f t="shared" si="18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316"/>
      <c r="J103" s="246"/>
      <c r="K103" s="247">
        <f t="shared" si="20"/>
        <v>0</v>
      </c>
      <c r="L103" s="316"/>
      <c r="M103" s="246"/>
      <c r="N103" s="247">
        <f t="shared" si="18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317"/>
      <c r="J104" s="248"/>
      <c r="K104" s="249">
        <f t="shared" si="20"/>
        <v>0</v>
      </c>
      <c r="L104" s="317"/>
      <c r="M104" s="248"/>
      <c r="N104" s="249">
        <f t="shared" si="18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528135</v>
      </c>
      <c r="D105" s="244">
        <f>SUM(D106:D110)</f>
        <v>0</v>
      </c>
      <c r="E105" s="245">
        <f t="shared" si="15"/>
        <v>528135</v>
      </c>
      <c r="F105" s="244">
        <f>SUM(F106:F110)</f>
        <v>528135</v>
      </c>
      <c r="G105" s="244">
        <f>SUM(G106:G110)</f>
        <v>0</v>
      </c>
      <c r="H105" s="245">
        <f t="shared" si="19"/>
        <v>528135</v>
      </c>
      <c r="I105" s="365">
        <f>SUM(I106:I110)</f>
        <v>455195</v>
      </c>
      <c r="J105" s="244">
        <f>SUM(J106:J110)</f>
        <v>0</v>
      </c>
      <c r="K105" s="245">
        <f t="shared" si="20"/>
        <v>455195</v>
      </c>
      <c r="L105" s="365">
        <f>SUM(L106:L110)</f>
        <v>455195</v>
      </c>
      <c r="M105" s="244">
        <f>SUM(M106:M110)</f>
        <v>0</v>
      </c>
      <c r="N105" s="245">
        <f t="shared" si="18"/>
        <v>455195</v>
      </c>
    </row>
    <row r="106" spans="1:14" x14ac:dyDescent="0.25">
      <c r="A106" s="61"/>
      <c r="B106" s="62" t="s">
        <v>193</v>
      </c>
      <c r="C106" s="246">
        <v>470925</v>
      </c>
      <c r="D106" s="246"/>
      <c r="E106" s="247">
        <f t="shared" si="15"/>
        <v>470925</v>
      </c>
      <c r="F106" s="246">
        <v>470925</v>
      </c>
      <c r="G106" s="246"/>
      <c r="H106" s="247">
        <f t="shared" si="19"/>
        <v>470925</v>
      </c>
      <c r="I106" s="246">
        <v>449413</v>
      </c>
      <c r="J106" s="246"/>
      <c r="K106" s="247">
        <f t="shared" si="20"/>
        <v>449413</v>
      </c>
      <c r="L106" s="246">
        <v>449413</v>
      </c>
      <c r="M106" s="246"/>
      <c r="N106" s="247">
        <f t="shared" si="18"/>
        <v>449413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18"/>
        <v>0</v>
      </c>
    </row>
    <row r="108" spans="1:14" x14ac:dyDescent="0.25">
      <c r="A108" s="63"/>
      <c r="B108" s="64" t="s">
        <v>195</v>
      </c>
      <c r="C108" s="246">
        <v>31506</v>
      </c>
      <c r="D108" s="246"/>
      <c r="E108" s="247">
        <f t="shared" si="15"/>
        <v>31506</v>
      </c>
      <c r="F108" s="246">
        <v>31506</v>
      </c>
      <c r="G108" s="246"/>
      <c r="H108" s="247">
        <f t="shared" si="19"/>
        <v>31506</v>
      </c>
      <c r="I108" s="246">
        <v>3127</v>
      </c>
      <c r="J108" s="246"/>
      <c r="K108" s="247">
        <f t="shared" si="20"/>
        <v>3127</v>
      </c>
      <c r="L108" s="246">
        <v>3127</v>
      </c>
      <c r="M108" s="246"/>
      <c r="N108" s="247">
        <f t="shared" si="18"/>
        <v>3127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18"/>
        <v>0</v>
      </c>
    </row>
    <row r="110" spans="1:14" ht="15.75" thickBot="1" x14ac:dyDescent="0.3">
      <c r="A110" s="63"/>
      <c r="B110" s="64" t="s">
        <v>197</v>
      </c>
      <c r="C110" s="248">
        <v>25704</v>
      </c>
      <c r="D110" s="248"/>
      <c r="E110" s="249">
        <f t="shared" si="15"/>
        <v>25704</v>
      </c>
      <c r="F110" s="248">
        <v>25704</v>
      </c>
      <c r="G110" s="248"/>
      <c r="H110" s="249">
        <f t="shared" si="19"/>
        <v>25704</v>
      </c>
      <c r="I110" s="248">
        <v>2655</v>
      </c>
      <c r="J110" s="248"/>
      <c r="K110" s="249">
        <f t="shared" si="20"/>
        <v>2655</v>
      </c>
      <c r="L110" s="248">
        <v>2655</v>
      </c>
      <c r="M110" s="248"/>
      <c r="N110" s="249">
        <f t="shared" si="18"/>
        <v>2655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7092950</v>
      </c>
      <c r="D111" s="244">
        <f>SUM(D112:D113,D114,D123,D122)</f>
        <v>0</v>
      </c>
      <c r="E111" s="245">
        <f t="shared" si="15"/>
        <v>7092950</v>
      </c>
      <c r="F111" s="244">
        <f>SUM(F112:F113,F114,F123,F122)</f>
        <v>7092950</v>
      </c>
      <c r="G111" s="244">
        <f>SUM(G112:G113,G114,G123,G122)</f>
        <v>0</v>
      </c>
      <c r="H111" s="245">
        <f t="shared" si="19"/>
        <v>7092950</v>
      </c>
      <c r="I111" s="244">
        <f>SUM(I112:I113,I114,I123,I122)</f>
        <v>2534950</v>
      </c>
      <c r="J111" s="244">
        <f>SUM(J112:J113,J114,J123,J122)</f>
        <v>0</v>
      </c>
      <c r="K111" s="245">
        <f t="shared" si="20"/>
        <v>2534950</v>
      </c>
      <c r="L111" s="244">
        <f>SUM(L112:L113,L114,L123,L122)</f>
        <v>1256266</v>
      </c>
      <c r="M111" s="244">
        <f>SUM(M112:M113,M114,M123,M122)</f>
        <v>0</v>
      </c>
      <c r="N111" s="245">
        <f t="shared" si="18"/>
        <v>1256266</v>
      </c>
    </row>
    <row r="112" spans="1:14" x14ac:dyDescent="0.25">
      <c r="A112" s="61" t="s">
        <v>199</v>
      </c>
      <c r="B112" s="62" t="s">
        <v>200</v>
      </c>
      <c r="C112" s="246">
        <v>70000</v>
      </c>
      <c r="D112" s="246"/>
      <c r="E112" s="247">
        <f t="shared" si="15"/>
        <v>70000</v>
      </c>
      <c r="F112" s="246">
        <v>70000</v>
      </c>
      <c r="G112" s="246"/>
      <c r="H112" s="247">
        <f t="shared" si="19"/>
        <v>70000</v>
      </c>
      <c r="I112" s="246">
        <v>200000</v>
      </c>
      <c r="J112" s="246"/>
      <c r="K112" s="247">
        <f t="shared" si="20"/>
        <v>200000</v>
      </c>
      <c r="L112" s="246">
        <v>180313</v>
      </c>
      <c r="M112" s="246"/>
      <c r="N112" s="247">
        <f t="shared" si="18"/>
        <v>180313</v>
      </c>
    </row>
    <row r="113" spans="1:14" x14ac:dyDescent="0.25">
      <c r="A113" s="61" t="s">
        <v>201</v>
      </c>
      <c r="B113" s="62" t="s">
        <v>202</v>
      </c>
      <c r="C113" s="246">
        <v>15000</v>
      </c>
      <c r="D113" s="246"/>
      <c r="E113" s="247">
        <f t="shared" si="15"/>
        <v>15000</v>
      </c>
      <c r="F113" s="246">
        <v>15000</v>
      </c>
      <c r="G113" s="246"/>
      <c r="H113" s="247">
        <f t="shared" si="19"/>
        <v>15000</v>
      </c>
      <c r="I113" s="246">
        <v>20000</v>
      </c>
      <c r="J113" s="246"/>
      <c r="K113" s="247">
        <f t="shared" si="20"/>
        <v>20000</v>
      </c>
      <c r="L113" s="246">
        <v>16460</v>
      </c>
      <c r="M113" s="246"/>
      <c r="N113" s="247">
        <f t="shared" si="18"/>
        <v>16460</v>
      </c>
    </row>
    <row r="114" spans="1:14" x14ac:dyDescent="0.25">
      <c r="A114" s="61" t="s">
        <v>203</v>
      </c>
      <c r="B114" s="62" t="s">
        <v>204</v>
      </c>
      <c r="C114" s="246">
        <f>SUM(C115:C121)</f>
        <v>5500000</v>
      </c>
      <c r="D114" s="246">
        <f>SUM(D115:D121)</f>
        <v>0</v>
      </c>
      <c r="E114" s="247">
        <f t="shared" si="15"/>
        <v>5500000</v>
      </c>
      <c r="F114" s="246">
        <f>SUM(F115:F121)</f>
        <v>5500000</v>
      </c>
      <c r="G114" s="246">
        <f>SUM(G115:G121)</f>
        <v>0</v>
      </c>
      <c r="H114" s="247">
        <f t="shared" si="19"/>
        <v>5500000</v>
      </c>
      <c r="I114" s="246">
        <f>SUM(I115:I121)</f>
        <v>795000</v>
      </c>
      <c r="J114" s="246">
        <f>SUM(J115:J121)</f>
        <v>0</v>
      </c>
      <c r="K114" s="247">
        <f t="shared" si="20"/>
        <v>795000</v>
      </c>
      <c r="L114" s="246">
        <f>SUM(L115:L121)</f>
        <v>820560</v>
      </c>
      <c r="M114" s="246">
        <f>SUM(M115:M121)</f>
        <v>0</v>
      </c>
      <c r="N114" s="247">
        <f t="shared" si="18"/>
        <v>820560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18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18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18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>
        <v>4000</v>
      </c>
      <c r="M118" s="246"/>
      <c r="N118" s="247">
        <f t="shared" si="18"/>
        <v>4000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>
        <v>5000</v>
      </c>
      <c r="J119" s="246"/>
      <c r="K119" s="247">
        <f t="shared" si="20"/>
        <v>5000</v>
      </c>
      <c r="L119" s="246">
        <v>4116</v>
      </c>
      <c r="M119" s="246"/>
      <c r="N119" s="247">
        <f t="shared" si="18"/>
        <v>4116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>
        <v>25300</v>
      </c>
      <c r="M120" s="246"/>
      <c r="N120" s="247">
        <f t="shared" si="18"/>
        <v>25300</v>
      </c>
    </row>
    <row r="121" spans="1:14" x14ac:dyDescent="0.25">
      <c r="A121" s="61" t="s">
        <v>217</v>
      </c>
      <c r="B121" s="62" t="s">
        <v>218</v>
      </c>
      <c r="C121" s="246">
        <f>5200000+300000</f>
        <v>5500000</v>
      </c>
      <c r="D121" s="246"/>
      <c r="E121" s="247">
        <f t="shared" si="15"/>
        <v>5500000</v>
      </c>
      <c r="F121" s="246">
        <f>5200000+300000</f>
        <v>5500000</v>
      </c>
      <c r="G121" s="246"/>
      <c r="H121" s="247">
        <f t="shared" si="19"/>
        <v>5500000</v>
      </c>
      <c r="I121" s="246">
        <v>790000</v>
      </c>
      <c r="J121" s="246"/>
      <c r="K121" s="247">
        <f t="shared" si="20"/>
        <v>790000</v>
      </c>
      <c r="L121" s="246">
        <v>787144</v>
      </c>
      <c r="M121" s="246"/>
      <c r="N121" s="247">
        <f t="shared" si="18"/>
        <v>787144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18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1507950</v>
      </c>
      <c r="D123" s="246">
        <f>SUM(D124:D126)</f>
        <v>0</v>
      </c>
      <c r="E123" s="247">
        <f t="shared" si="15"/>
        <v>1507950</v>
      </c>
      <c r="F123" s="246">
        <f>SUM(F124:F126)</f>
        <v>1507950</v>
      </c>
      <c r="G123" s="246">
        <f>SUM(G124:G126)</f>
        <v>0</v>
      </c>
      <c r="H123" s="247">
        <f t="shared" si="19"/>
        <v>1507950</v>
      </c>
      <c r="I123" s="246">
        <f>SUM(I124:I126)</f>
        <v>1519950</v>
      </c>
      <c r="J123" s="246">
        <f>SUM(J124:J126)</f>
        <v>0</v>
      </c>
      <c r="K123" s="247">
        <f t="shared" si="20"/>
        <v>1519950</v>
      </c>
      <c r="L123" s="246">
        <f>SUM(L124:L126)</f>
        <v>238933</v>
      </c>
      <c r="M123" s="246">
        <f>SUM(M124:M126)</f>
        <v>0</v>
      </c>
      <c r="N123" s="247">
        <f t="shared" si="18"/>
        <v>238933</v>
      </c>
    </row>
    <row r="124" spans="1:14" x14ac:dyDescent="0.25">
      <c r="A124" s="61"/>
      <c r="B124" s="62" t="s">
        <v>223</v>
      </c>
      <c r="C124" s="246">
        <f>5085000*0.27+54000+81000</f>
        <v>1507950</v>
      </c>
      <c r="D124" s="246"/>
      <c r="E124" s="247">
        <f t="shared" si="15"/>
        <v>1507950</v>
      </c>
      <c r="F124" s="246">
        <f>5085000*0.27+54000+81000</f>
        <v>1507950</v>
      </c>
      <c r="G124" s="246"/>
      <c r="H124" s="247">
        <f t="shared" si="19"/>
        <v>1507950</v>
      </c>
      <c r="I124" s="246">
        <f>5085000*0.27+54000+81000</f>
        <v>1507950</v>
      </c>
      <c r="J124" s="246"/>
      <c r="K124" s="247">
        <f t="shared" si="20"/>
        <v>1507950</v>
      </c>
      <c r="L124" s="246">
        <v>226964</v>
      </c>
      <c r="M124" s="246"/>
      <c r="N124" s="247">
        <f t="shared" si="18"/>
        <v>226964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18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>
        <v>12000</v>
      </c>
      <c r="J126" s="248"/>
      <c r="K126" s="249">
        <f t="shared" si="20"/>
        <v>12000</v>
      </c>
      <c r="L126" s="248">
        <v>11969</v>
      </c>
      <c r="M126" s="248"/>
      <c r="N126" s="249">
        <f t="shared" si="18"/>
        <v>11969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18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85200000</v>
      </c>
      <c r="J128" s="244">
        <f>SUM(J129:J134)</f>
        <v>0</v>
      </c>
      <c r="K128" s="245">
        <f t="shared" si="20"/>
        <v>85200000</v>
      </c>
      <c r="L128" s="244">
        <f>SUM(L129:L134)</f>
        <v>85200000</v>
      </c>
      <c r="M128" s="244">
        <f>SUM(M129:M134)</f>
        <v>0</v>
      </c>
      <c r="N128" s="245">
        <f t="shared" si="18"/>
        <v>85200000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18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18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18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18"/>
        <v>0</v>
      </c>
    </row>
    <row r="133" spans="1:14" x14ac:dyDescent="0.25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>
        <v>85200000</v>
      </c>
      <c r="J133" s="246"/>
      <c r="K133" s="247">
        <f t="shared" si="20"/>
        <v>85200000</v>
      </c>
      <c r="L133" s="246">
        <v>85200000</v>
      </c>
      <c r="M133" s="246"/>
      <c r="N133" s="247">
        <f t="shared" si="18"/>
        <v>85200000</v>
      </c>
    </row>
    <row r="134" spans="1:14" x14ac:dyDescent="0.25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18"/>
        <v>0</v>
      </c>
    </row>
    <row r="135" spans="1:14" x14ac:dyDescent="0.25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18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18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18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18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18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18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18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10156085</v>
      </c>
      <c r="D142" s="250">
        <f>D141+D140+D139+D138+D137+D128+D127+D111+D105+D88</f>
        <v>0</v>
      </c>
      <c r="E142" s="251">
        <f t="shared" si="15"/>
        <v>10156085</v>
      </c>
      <c r="F142" s="250">
        <f>F141+F140+F139+F138+F137+F128+F127+F111+F105+F88</f>
        <v>10156085</v>
      </c>
      <c r="G142" s="250">
        <f>G141+G140+G139+G138+G137+G128+G127+G111+G105+G88</f>
        <v>0</v>
      </c>
      <c r="H142" s="251">
        <f t="shared" si="19"/>
        <v>10156085</v>
      </c>
      <c r="I142" s="250">
        <f>I141+I140+I139+I138+I137+I128+I127+I111+I105+I88</f>
        <v>90756203</v>
      </c>
      <c r="J142" s="250">
        <f>J141+J140+J139+J138+J137+J128+J127+J111+J105+J88</f>
        <v>0</v>
      </c>
      <c r="K142" s="251">
        <f t="shared" si="20"/>
        <v>90756203</v>
      </c>
      <c r="L142" s="250">
        <f>L141+L140+L139+L138+L137+L128+L127+L111+L105+L88</f>
        <v>89360019</v>
      </c>
      <c r="M142" s="250">
        <f>M141+M140+M139+M138+M137+M128+M127+M111+M105+M88</f>
        <v>0</v>
      </c>
      <c r="N142" s="251">
        <f t="shared" si="18"/>
        <v>89360019</v>
      </c>
    </row>
    <row r="143" spans="1:14" x14ac:dyDescent="0.25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18"/>
        <v>0</v>
      </c>
    </row>
    <row r="144" spans="1:14" hidden="1" x14ac:dyDescent="0.25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18"/>
        <v>0</v>
      </c>
    </row>
    <row r="145" spans="1:14" hidden="1" x14ac:dyDescent="0.25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18"/>
        <v>0</v>
      </c>
    </row>
    <row r="146" spans="1:14" s="179" customFormat="1" hidden="1" x14ac:dyDescent="0.25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idden="1" x14ac:dyDescent="0.25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1">SUM(F147:G147)</f>
        <v>0</v>
      </c>
      <c r="I147" s="246"/>
      <c r="J147" s="246"/>
      <c r="K147" s="247">
        <f t="shared" ref="K147:K150" si="22">SUM(I147:J147)</f>
        <v>0</v>
      </c>
      <c r="L147" s="246"/>
      <c r="M147" s="246"/>
      <c r="N147" s="247">
        <f t="shared" ref="N147:N150" si="23">SUM(L147:M147)</f>
        <v>0</v>
      </c>
    </row>
    <row r="148" spans="1:14" hidden="1" x14ac:dyDescent="0.25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1"/>
        <v>0</v>
      </c>
      <c r="I148" s="246"/>
      <c r="J148" s="246"/>
      <c r="K148" s="247">
        <f t="shared" si="22"/>
        <v>0</v>
      </c>
      <c r="L148" s="246"/>
      <c r="M148" s="246"/>
      <c r="N148" s="247">
        <f t="shared" si="23"/>
        <v>0</v>
      </c>
    </row>
    <row r="149" spans="1:14" hidden="1" x14ac:dyDescent="0.25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1"/>
        <v>0</v>
      </c>
      <c r="I149" s="246"/>
      <c r="J149" s="246"/>
      <c r="K149" s="247">
        <f t="shared" si="22"/>
        <v>0</v>
      </c>
      <c r="L149" s="246"/>
      <c r="M149" s="246"/>
      <c r="N149" s="247">
        <f t="shared" si="23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1"/>
        <v>0</v>
      </c>
      <c r="I150" s="256"/>
      <c r="J150" s="248"/>
      <c r="K150" s="249">
        <f t="shared" si="22"/>
        <v>0</v>
      </c>
      <c r="L150" s="256"/>
      <c r="M150" s="248"/>
      <c r="N150" s="249">
        <f t="shared" si="23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10156085</v>
      </c>
      <c r="D151" s="257">
        <f>D143+D142</f>
        <v>0</v>
      </c>
      <c r="E151" s="258">
        <f>SUM(C151:D151)</f>
        <v>10156085</v>
      </c>
      <c r="F151" s="250">
        <f>F143+F142</f>
        <v>10156085</v>
      </c>
      <c r="G151" s="257">
        <f>G143+G142</f>
        <v>0</v>
      </c>
      <c r="H151" s="258">
        <f>SUM(F151:G151)</f>
        <v>10156085</v>
      </c>
      <c r="I151" s="250">
        <f>I143+I142</f>
        <v>90756203</v>
      </c>
      <c r="J151" s="257">
        <f>J143+J142</f>
        <v>0</v>
      </c>
      <c r="K151" s="258">
        <f>SUM(I151:J151)</f>
        <v>90756203</v>
      </c>
      <c r="L151" s="250">
        <f>L143+L142</f>
        <v>89360019</v>
      </c>
      <c r="M151" s="257">
        <f>M143+M142</f>
        <v>0</v>
      </c>
      <c r="N151" s="258">
        <f>SUM(L151:M151)</f>
        <v>89360019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-9346085</v>
      </c>
      <c r="H153" s="148">
        <f>H85-H151</f>
        <v>-9346085</v>
      </c>
      <c r="K153" s="148">
        <f>K85-K151</f>
        <v>-89946203</v>
      </c>
      <c r="N153" s="148">
        <f>N85-N151</f>
        <v>-88550019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8" fitToHeight="0" orientation="portrait" horizontalDpi="300" verticalDpi="300" r:id="rId1"/>
  <headerFooter>
    <oddFooter>&amp;R&amp;P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3.28515625" style="44" bestFit="1" customWidth="1"/>
    <col min="4" max="4" width="9.140625" style="44"/>
    <col min="5" max="5" width="14" style="44" bestFit="1" customWidth="1"/>
    <col min="6" max="6" width="13.28515625" style="179" bestFit="1" customWidth="1"/>
    <col min="7" max="7" width="9.140625" style="179"/>
    <col min="8" max="8" width="14" style="179" bestFit="1" customWidth="1"/>
    <col min="9" max="9" width="13.28515625" style="179" bestFit="1" customWidth="1"/>
    <col min="10" max="10" width="9.140625" style="179"/>
    <col min="11" max="11" width="14" style="179" bestFit="1" customWidth="1"/>
    <col min="12" max="12" width="13.28515625" style="179" bestFit="1" customWidth="1"/>
    <col min="13" max="13" width="9.140625" style="179"/>
    <col min="14" max="14" width="14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'7.16 zöldterület 066010'!C4</f>
        <v xml:space="preserve"> 12 / 2020. (VI.15) sz rendelet</v>
      </c>
    </row>
    <row r="5" spans="1:14" s="81" customFormat="1" ht="12.75" x14ac:dyDescent="0.2">
      <c r="A5" s="90" t="s">
        <v>361</v>
      </c>
      <c r="B5" s="81" t="s">
        <v>362</v>
      </c>
    </row>
    <row r="6" spans="1:14" x14ac:dyDescent="0.25">
      <c r="C6" s="713" t="s">
        <v>745</v>
      </c>
      <c r="D6" s="715" t="str">
        <f>'7.16 zöldterület 066010'!D6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" hidden="1" customHeight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" hidden="1" customHeight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" hidden="1" customHeight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" hidden="1" customHeight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" hidden="1" customHeight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" hidden="1" customHeight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" hidden="1" customHeight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" hidden="1" customHeight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" hidden="1" customHeight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" hidden="1" customHeight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" hidden="1" customHeight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t="15" hidden="1" customHeight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customHeight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customHeight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customHeight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customHeight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customHeight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customHeight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customHeight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customHeight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customHeight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customHeight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customHeight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customHeight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customHeight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customHeight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customHeight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customHeight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customHeight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customHeight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customHeight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customHeight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365">
        <f>C46+C47+C48+C49+C54+C55+C56+C57+C58+C59+C60</f>
        <v>25430723</v>
      </c>
      <c r="D45" s="244">
        <f>D46+D47+D48+D49+D54+D55+D56+D57+D58+D59+D60</f>
        <v>0</v>
      </c>
      <c r="E45" s="245">
        <f t="shared" si="0"/>
        <v>25430723</v>
      </c>
      <c r="F45" s="365">
        <f>F46+F47+F48+F49+F54+F55+F56+F57+F58+F59+F60</f>
        <v>25430723</v>
      </c>
      <c r="G45" s="244">
        <f>G46+G47+G48+G49+G54+G55+G56+G57+G58+G59+G60</f>
        <v>0</v>
      </c>
      <c r="H45" s="245">
        <f t="shared" si="1"/>
        <v>25430723</v>
      </c>
      <c r="I45" s="365">
        <f>I46+I47+I48+I49+I54+I55+I56+I57+I58+I59+I60</f>
        <v>25430723</v>
      </c>
      <c r="J45" s="244">
        <f>J46+J47+J48+J49+J54+J55+J56+J57+J58+J59+J60</f>
        <v>0</v>
      </c>
      <c r="K45" s="245">
        <f t="shared" si="2"/>
        <v>25430723</v>
      </c>
      <c r="L45" s="365">
        <f>L46+L47+L48+L49+L54+L55+L56+L57+L58+L59+L60</f>
        <v>22477604</v>
      </c>
      <c r="M45" s="244">
        <f>M46+M47+M48+M49+M54+M55+M56+M57+M58+M59+M60</f>
        <v>0</v>
      </c>
      <c r="N45" s="245">
        <f t="shared" si="3"/>
        <v>22477604</v>
      </c>
    </row>
    <row r="46" spans="1:14" x14ac:dyDescent="0.25">
      <c r="A46" s="53" t="s">
        <v>95</v>
      </c>
      <c r="B46" s="62" t="s">
        <v>96</v>
      </c>
      <c r="C46" s="316"/>
      <c r="D46" s="246"/>
      <c r="E46" s="247">
        <f t="shared" si="0"/>
        <v>0</v>
      </c>
      <c r="F46" s="316"/>
      <c r="G46" s="246"/>
      <c r="H46" s="247">
        <f t="shared" si="1"/>
        <v>0</v>
      </c>
      <c r="I46" s="316"/>
      <c r="J46" s="246"/>
      <c r="K46" s="247">
        <f t="shared" si="2"/>
        <v>0</v>
      </c>
      <c r="L46" s="31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f>3700000+4000000+1300000+8615000+3000787+183000</f>
        <v>20798787</v>
      </c>
      <c r="D47" s="246"/>
      <c r="E47" s="247">
        <f t="shared" si="0"/>
        <v>20798787</v>
      </c>
      <c r="F47" s="316">
        <f>3700000+4000000+1300000+8615000+3000787+183000</f>
        <v>20798787</v>
      </c>
      <c r="G47" s="246"/>
      <c r="H47" s="247">
        <f t="shared" si="1"/>
        <v>20798787</v>
      </c>
      <c r="I47" s="316">
        <f>3700000+4000000+1300000+8615000+3000787+183000</f>
        <v>20798787</v>
      </c>
      <c r="J47" s="246"/>
      <c r="K47" s="247">
        <f t="shared" si="2"/>
        <v>20798787</v>
      </c>
      <c r="L47" s="316">
        <v>18311231</v>
      </c>
      <c r="M47" s="246"/>
      <c r="N47" s="247">
        <f t="shared" si="3"/>
        <v>18311231</v>
      </c>
    </row>
    <row r="48" spans="1:14" x14ac:dyDescent="0.25">
      <c r="A48" s="53" t="s">
        <v>99</v>
      </c>
      <c r="B48" s="62" t="s">
        <v>100</v>
      </c>
      <c r="C48" s="316">
        <v>884000</v>
      </c>
      <c r="D48" s="246"/>
      <c r="E48" s="247">
        <f t="shared" si="0"/>
        <v>884000</v>
      </c>
      <c r="F48" s="316">
        <v>884000</v>
      </c>
      <c r="G48" s="246"/>
      <c r="H48" s="247">
        <f t="shared" si="1"/>
        <v>884000</v>
      </c>
      <c r="I48" s="316">
        <v>884000</v>
      </c>
      <c r="J48" s="246"/>
      <c r="K48" s="247">
        <f t="shared" si="2"/>
        <v>884000</v>
      </c>
      <c r="L48" s="316">
        <v>893355</v>
      </c>
      <c r="M48" s="246"/>
      <c r="N48" s="247">
        <f t="shared" si="3"/>
        <v>893355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" hidden="1" customHeight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" hidden="1" customHeight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" hidden="1" customHeight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" hidden="1" customHeight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>
        <f>2402362+810213+535361</f>
        <v>3747936</v>
      </c>
      <c r="D55" s="246"/>
      <c r="E55" s="247">
        <f t="shared" si="0"/>
        <v>3747936</v>
      </c>
      <c r="F55" s="246">
        <f>2402362+810213+535361</f>
        <v>3747936</v>
      </c>
      <c r="G55" s="246"/>
      <c r="H55" s="247">
        <f t="shared" si="1"/>
        <v>3747936</v>
      </c>
      <c r="I55" s="246">
        <f>2402362+810213+535361</f>
        <v>3747936</v>
      </c>
      <c r="J55" s="246"/>
      <c r="K55" s="247">
        <f t="shared" si="2"/>
        <v>3747936</v>
      </c>
      <c r="L55" s="246">
        <v>3273018</v>
      </c>
      <c r="M55" s="246"/>
      <c r="N55" s="247">
        <f t="shared" si="3"/>
        <v>3273018</v>
      </c>
    </row>
    <row r="56" spans="1:14" ht="15" hidden="1" customHeight="1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" hidden="1" customHeight="1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" hidden="1" customHeight="1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" hidden="1" customHeight="1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x14ac:dyDescent="0.25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672426</v>
      </c>
      <c r="G61" s="244">
        <f>SUM(G62:G66)</f>
        <v>0</v>
      </c>
      <c r="H61" s="245">
        <f t="shared" si="1"/>
        <v>672426</v>
      </c>
      <c r="I61" s="244">
        <f>SUM(I62:I66)</f>
        <v>672426</v>
      </c>
      <c r="J61" s="244">
        <f>SUM(J62:J66)</f>
        <v>0</v>
      </c>
      <c r="K61" s="245">
        <f t="shared" si="2"/>
        <v>672426</v>
      </c>
      <c r="L61" s="244">
        <f>SUM(L62:L66)</f>
        <v>672426</v>
      </c>
      <c r="M61" s="244">
        <f>SUM(M62:M66)</f>
        <v>0</v>
      </c>
      <c r="N61" s="245">
        <f t="shared" si="3"/>
        <v>672426</v>
      </c>
    </row>
    <row r="62" spans="1:14" x14ac:dyDescent="0.25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x14ac:dyDescent="0.25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x14ac:dyDescent="0.25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>
        <v>672426</v>
      </c>
      <c r="G64" s="246"/>
      <c r="H64" s="247">
        <f t="shared" si="1"/>
        <v>672426</v>
      </c>
      <c r="I64" s="246">
        <v>672426</v>
      </c>
      <c r="J64" s="246"/>
      <c r="K64" s="247">
        <f t="shared" si="2"/>
        <v>672426</v>
      </c>
      <c r="L64" s="246">
        <v>672426</v>
      </c>
      <c r="M64" s="246"/>
      <c r="N64" s="247">
        <f t="shared" si="3"/>
        <v>672426</v>
      </c>
    </row>
    <row r="65" spans="1:14" x14ac:dyDescent="0.25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147000</v>
      </c>
      <c r="M67" s="244">
        <f>SUM(M68:M69)</f>
        <v>0</v>
      </c>
      <c r="N67" s="245">
        <f t="shared" si="3"/>
        <v>147000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>
        <v>147000</v>
      </c>
      <c r="M69" s="248"/>
      <c r="N69" s="249">
        <f t="shared" si="3"/>
        <v>147000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25430723</v>
      </c>
      <c r="D73" s="250">
        <f>D9+D22+D25+D45+D61+D67+D70</f>
        <v>0</v>
      </c>
      <c r="E73" s="251">
        <f t="shared" si="0"/>
        <v>25430723</v>
      </c>
      <c r="F73" s="250">
        <f>F9+F22+F25+F45+F61+F67+F70</f>
        <v>26103149</v>
      </c>
      <c r="G73" s="250">
        <f>G9+G22+G25+G45+G61+G67+G70</f>
        <v>0</v>
      </c>
      <c r="H73" s="251">
        <f t="shared" si="1"/>
        <v>26103149</v>
      </c>
      <c r="I73" s="250">
        <f>I9+I22+I25+I45+I61+I67+I70</f>
        <v>26103149</v>
      </c>
      <c r="J73" s="250">
        <f>J9+J22+J25+J45+J61+J67+J70</f>
        <v>0</v>
      </c>
      <c r="K73" s="251">
        <f t="shared" si="2"/>
        <v>26103149</v>
      </c>
      <c r="L73" s="250">
        <f>L9+L22+L25+L45+L61+L67+L70</f>
        <v>23297030</v>
      </c>
      <c r="M73" s="250">
        <f>M9+M22+M25+M45+M61+M67+M70</f>
        <v>0</v>
      </c>
      <c r="N73" s="251">
        <f t="shared" si="3"/>
        <v>23297030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customHeight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customHeight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customHeight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customHeight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customHeight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customHeight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customHeight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customHeight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customHeight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customHeight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25430723</v>
      </c>
      <c r="D85" s="250">
        <f>D73+D74</f>
        <v>0</v>
      </c>
      <c r="E85" s="251">
        <f t="shared" si="4"/>
        <v>25430723</v>
      </c>
      <c r="F85" s="250">
        <f>F73+F74</f>
        <v>26103149</v>
      </c>
      <c r="G85" s="250">
        <f>G73+G74</f>
        <v>0</v>
      </c>
      <c r="H85" s="251">
        <f t="shared" si="12"/>
        <v>26103149</v>
      </c>
      <c r="I85" s="250">
        <f>I73+I74</f>
        <v>26103149</v>
      </c>
      <c r="J85" s="250">
        <f>J73+J74</f>
        <v>0</v>
      </c>
      <c r="K85" s="251">
        <f t="shared" si="13"/>
        <v>26103149</v>
      </c>
      <c r="L85" s="250">
        <f>L73+L74</f>
        <v>23297030</v>
      </c>
      <c r="M85" s="250">
        <f>M73+M74</f>
        <v>0</v>
      </c>
      <c r="N85" s="251">
        <f t="shared" si="14"/>
        <v>23297030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19154070</v>
      </c>
      <c r="D88" s="244">
        <f>D89+D101</f>
        <v>0</v>
      </c>
      <c r="E88" s="253">
        <f t="shared" ref="E88:E150" si="15">SUM(C88:D88)</f>
        <v>19154070</v>
      </c>
      <c r="F88" s="244">
        <f>F89+F101</f>
        <v>19154070</v>
      </c>
      <c r="G88" s="244">
        <f>G89+G101</f>
        <v>0</v>
      </c>
      <c r="H88" s="253">
        <f t="shared" ref="H88:H90" si="16">SUM(F88:G88)</f>
        <v>19154070</v>
      </c>
      <c r="I88" s="244">
        <f>I89+I101</f>
        <v>17736838</v>
      </c>
      <c r="J88" s="244">
        <f>J89+J101</f>
        <v>0</v>
      </c>
      <c r="K88" s="253">
        <f t="shared" ref="K88:K91" si="17">SUM(I88:J88)</f>
        <v>17736838</v>
      </c>
      <c r="L88" s="244">
        <f>L89+L101</f>
        <v>17049747</v>
      </c>
      <c r="M88" s="244">
        <f>M89+M101</f>
        <v>0</v>
      </c>
      <c r="N88" s="253">
        <f t="shared" ref="N88:N145" si="18">SUM(L88:M88)</f>
        <v>17049747</v>
      </c>
    </row>
    <row r="89" spans="1:14" x14ac:dyDescent="0.25">
      <c r="A89" s="61" t="s">
        <v>161</v>
      </c>
      <c r="B89" s="62" t="s">
        <v>162</v>
      </c>
      <c r="C89" s="246">
        <f>SUM(C90:C100)</f>
        <v>17294070</v>
      </c>
      <c r="D89" s="246">
        <f>SUM(D90:D100)</f>
        <v>0</v>
      </c>
      <c r="E89" s="247">
        <f t="shared" si="15"/>
        <v>17294070</v>
      </c>
      <c r="F89" s="246">
        <f>SUM(F90:F100)</f>
        <v>17294070</v>
      </c>
      <c r="G89" s="246">
        <f>SUM(G90:G100)</f>
        <v>0</v>
      </c>
      <c r="H89" s="247">
        <f t="shared" si="16"/>
        <v>17294070</v>
      </c>
      <c r="I89" s="246">
        <f>SUM(I90:I100)</f>
        <v>17279798</v>
      </c>
      <c r="J89" s="246">
        <f>SUM(J90:J100)</f>
        <v>0</v>
      </c>
      <c r="K89" s="247">
        <f t="shared" si="17"/>
        <v>17279798</v>
      </c>
      <c r="L89" s="246">
        <f>SUM(L90:L100)</f>
        <v>16611747</v>
      </c>
      <c r="M89" s="246">
        <f>SUM(M90:M100)</f>
        <v>0</v>
      </c>
      <c r="N89" s="247">
        <f t="shared" si="18"/>
        <v>16611747</v>
      </c>
    </row>
    <row r="90" spans="1:14" x14ac:dyDescent="0.25">
      <c r="A90" s="61" t="s">
        <v>163</v>
      </c>
      <c r="B90" s="62" t="s">
        <v>164</v>
      </c>
      <c r="C90" s="246">
        <v>12660000</v>
      </c>
      <c r="D90" s="246"/>
      <c r="E90" s="247">
        <f t="shared" si="15"/>
        <v>12660000</v>
      </c>
      <c r="F90" s="246">
        <v>12660000</v>
      </c>
      <c r="G90" s="246"/>
      <c r="H90" s="247">
        <f t="shared" si="16"/>
        <v>12660000</v>
      </c>
      <c r="I90" s="246">
        <v>12216701</v>
      </c>
      <c r="J90" s="246"/>
      <c r="K90" s="247">
        <f t="shared" si="17"/>
        <v>12216701</v>
      </c>
      <c r="L90" s="246">
        <v>12216701</v>
      </c>
      <c r="M90" s="246"/>
      <c r="N90" s="247">
        <f t="shared" si="18"/>
        <v>12216701</v>
      </c>
    </row>
    <row r="91" spans="1:14" s="179" customFormat="1" x14ac:dyDescent="0.25">
      <c r="A91" s="190" t="s">
        <v>533</v>
      </c>
      <c r="B91" s="180" t="s">
        <v>534</v>
      </c>
      <c r="C91" s="246">
        <v>1000000</v>
      </c>
      <c r="D91" s="246"/>
      <c r="E91" s="247"/>
      <c r="F91" s="246">
        <v>1000000</v>
      </c>
      <c r="G91" s="246"/>
      <c r="H91" s="247"/>
      <c r="I91" s="246">
        <v>548172</v>
      </c>
      <c r="J91" s="246"/>
      <c r="K91" s="247">
        <f t="shared" si="17"/>
        <v>548172</v>
      </c>
      <c r="L91" s="246">
        <v>548172</v>
      </c>
      <c r="M91" s="246"/>
      <c r="N91" s="247">
        <f t="shared" si="18"/>
        <v>548172</v>
      </c>
    </row>
    <row r="92" spans="1:14" x14ac:dyDescent="0.25">
      <c r="A92" s="61" t="s">
        <v>165</v>
      </c>
      <c r="B92" s="62" t="s">
        <v>166</v>
      </c>
      <c r="C92" s="246">
        <v>500000</v>
      </c>
      <c r="D92" s="246"/>
      <c r="E92" s="247">
        <f t="shared" si="15"/>
        <v>500000</v>
      </c>
      <c r="F92" s="246">
        <v>500000</v>
      </c>
      <c r="G92" s="246"/>
      <c r="H92" s="247">
        <f t="shared" ref="H92:H145" si="19">SUM(F92:G92)</f>
        <v>500000</v>
      </c>
      <c r="I92" s="246">
        <v>500000</v>
      </c>
      <c r="J92" s="246"/>
      <c r="K92" s="247">
        <f t="shared" ref="K92:K145" si="20">SUM(I92:J92)</f>
        <v>500000</v>
      </c>
      <c r="L92" s="246"/>
      <c r="M92" s="246"/>
      <c r="N92" s="247">
        <f t="shared" si="18"/>
        <v>0</v>
      </c>
    </row>
    <row r="93" spans="1:14" x14ac:dyDescent="0.25">
      <c r="A93" s="61" t="s">
        <v>167</v>
      </c>
      <c r="B93" s="62" t="s">
        <v>168</v>
      </c>
      <c r="C93" s="246">
        <v>1900000</v>
      </c>
      <c r="D93" s="246"/>
      <c r="E93" s="247">
        <f t="shared" si="15"/>
        <v>1900000</v>
      </c>
      <c r="F93" s="246">
        <v>1900000</v>
      </c>
      <c r="G93" s="246"/>
      <c r="H93" s="247">
        <f t="shared" si="19"/>
        <v>1900000</v>
      </c>
      <c r="I93" s="246">
        <v>2794555</v>
      </c>
      <c r="J93" s="246"/>
      <c r="K93" s="247">
        <f t="shared" si="20"/>
        <v>2794555</v>
      </c>
      <c r="L93" s="246">
        <v>2794555</v>
      </c>
      <c r="M93" s="246"/>
      <c r="N93" s="247">
        <f t="shared" si="18"/>
        <v>2794555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18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18"/>
        <v>0</v>
      </c>
    </row>
    <row r="96" spans="1:14" x14ac:dyDescent="0.25">
      <c r="A96" s="61" t="s">
        <v>173</v>
      </c>
      <c r="B96" s="62" t="s">
        <v>174</v>
      </c>
      <c r="C96" s="246">
        <v>450000</v>
      </c>
      <c r="D96" s="246"/>
      <c r="E96" s="247">
        <f t="shared" si="15"/>
        <v>450000</v>
      </c>
      <c r="F96" s="246">
        <v>450000</v>
      </c>
      <c r="G96" s="246"/>
      <c r="H96" s="247">
        <f t="shared" si="19"/>
        <v>450000</v>
      </c>
      <c r="I96" s="246">
        <v>450000</v>
      </c>
      <c r="J96" s="246"/>
      <c r="K96" s="247">
        <f t="shared" si="20"/>
        <v>450000</v>
      </c>
      <c r="L96" s="246">
        <v>495709</v>
      </c>
      <c r="M96" s="246"/>
      <c r="N96" s="247">
        <f t="shared" si="18"/>
        <v>495709</v>
      </c>
    </row>
    <row r="97" spans="1:14" x14ac:dyDescent="0.25">
      <c r="A97" s="61" t="s">
        <v>175</v>
      </c>
      <c r="B97" s="62" t="s">
        <v>176</v>
      </c>
      <c r="C97" s="246">
        <v>344070</v>
      </c>
      <c r="D97" s="246"/>
      <c r="E97" s="247">
        <f t="shared" si="15"/>
        <v>344070</v>
      </c>
      <c r="F97" s="246">
        <v>344070</v>
      </c>
      <c r="G97" s="246"/>
      <c r="H97" s="247">
        <f t="shared" si="19"/>
        <v>344070</v>
      </c>
      <c r="I97" s="246">
        <v>344070</v>
      </c>
      <c r="J97" s="246"/>
      <c r="K97" s="247">
        <f t="shared" si="20"/>
        <v>344070</v>
      </c>
      <c r="L97" s="246">
        <v>130310</v>
      </c>
      <c r="M97" s="246"/>
      <c r="N97" s="247">
        <f t="shared" si="18"/>
        <v>130310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18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18"/>
        <v>0</v>
      </c>
    </row>
    <row r="100" spans="1:14" x14ac:dyDescent="0.25">
      <c r="A100" s="61" t="s">
        <v>181</v>
      </c>
      <c r="B100" s="62" t="s">
        <v>182</v>
      </c>
      <c r="C100" s="246">
        <v>440000</v>
      </c>
      <c r="D100" s="246"/>
      <c r="E100" s="247">
        <f t="shared" si="15"/>
        <v>440000</v>
      </c>
      <c r="F100" s="246">
        <v>440000</v>
      </c>
      <c r="G100" s="246"/>
      <c r="H100" s="247">
        <f t="shared" si="19"/>
        <v>440000</v>
      </c>
      <c r="I100" s="246">
        <v>426300</v>
      </c>
      <c r="J100" s="246"/>
      <c r="K100" s="247">
        <f t="shared" si="20"/>
        <v>426300</v>
      </c>
      <c r="L100" s="246">
        <v>426300</v>
      </c>
      <c r="M100" s="246"/>
      <c r="N100" s="247">
        <f t="shared" si="18"/>
        <v>426300</v>
      </c>
    </row>
    <row r="101" spans="1:14" x14ac:dyDescent="0.25">
      <c r="A101" s="61" t="s">
        <v>183</v>
      </c>
      <c r="B101" s="62" t="s">
        <v>184</v>
      </c>
      <c r="C101" s="246">
        <f>SUM(C102:C104)</f>
        <v>1860000</v>
      </c>
      <c r="D101" s="246">
        <f>SUM(D102:D104)</f>
        <v>0</v>
      </c>
      <c r="E101" s="247">
        <f t="shared" si="15"/>
        <v>1860000</v>
      </c>
      <c r="F101" s="246">
        <f>SUM(F102:F104)</f>
        <v>1860000</v>
      </c>
      <c r="G101" s="246">
        <f>SUM(G102:G104)</f>
        <v>0</v>
      </c>
      <c r="H101" s="247">
        <f t="shared" si="19"/>
        <v>1860000</v>
      </c>
      <c r="I101" s="246">
        <f>SUM(I102:I104)</f>
        <v>457040</v>
      </c>
      <c r="J101" s="246">
        <f>SUM(J102:J104)</f>
        <v>0</v>
      </c>
      <c r="K101" s="247">
        <f t="shared" si="20"/>
        <v>457040</v>
      </c>
      <c r="L101" s="246">
        <f>SUM(L102:L104)</f>
        <v>438000</v>
      </c>
      <c r="M101" s="246">
        <f>SUM(M102:M104)</f>
        <v>0</v>
      </c>
      <c r="N101" s="247">
        <f t="shared" si="18"/>
        <v>438000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18"/>
        <v>0</v>
      </c>
    </row>
    <row r="103" spans="1:14" x14ac:dyDescent="0.25">
      <c r="A103" s="61" t="s">
        <v>187</v>
      </c>
      <c r="B103" s="62" t="s">
        <v>188</v>
      </c>
      <c r="C103" s="246">
        <v>1860000</v>
      </c>
      <c r="D103" s="246"/>
      <c r="E103" s="247">
        <f t="shared" si="15"/>
        <v>1860000</v>
      </c>
      <c r="F103" s="246">
        <v>1860000</v>
      </c>
      <c r="G103" s="246"/>
      <c r="H103" s="247">
        <f t="shared" si="19"/>
        <v>1860000</v>
      </c>
      <c r="I103" s="246">
        <f>438000+19040</f>
        <v>457040</v>
      </c>
      <c r="J103" s="246"/>
      <c r="K103" s="247">
        <f t="shared" si="20"/>
        <v>457040</v>
      </c>
      <c r="L103" s="246">
        <v>438000</v>
      </c>
      <c r="M103" s="246"/>
      <c r="N103" s="247">
        <f t="shared" si="18"/>
        <v>438000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18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3727125</v>
      </c>
      <c r="D105" s="244">
        <f>SUM(D106:D110)</f>
        <v>0</v>
      </c>
      <c r="E105" s="245">
        <f t="shared" si="15"/>
        <v>3727125</v>
      </c>
      <c r="F105" s="244">
        <f>SUM(F106:F110)</f>
        <v>3727125</v>
      </c>
      <c r="G105" s="244">
        <f>SUM(G106:G110)</f>
        <v>0</v>
      </c>
      <c r="H105" s="245">
        <f t="shared" si="19"/>
        <v>3727125</v>
      </c>
      <c r="I105" s="244">
        <f>SUM(I106:I110)</f>
        <v>3336042</v>
      </c>
      <c r="J105" s="244">
        <f>SUM(J106:J110)</f>
        <v>0</v>
      </c>
      <c r="K105" s="245">
        <f t="shared" si="20"/>
        <v>3336042</v>
      </c>
      <c r="L105" s="244">
        <f>SUM(L106:L110)</f>
        <v>3336042</v>
      </c>
      <c r="M105" s="244">
        <f>SUM(M106:M110)</f>
        <v>0</v>
      </c>
      <c r="N105" s="245">
        <f t="shared" si="18"/>
        <v>3336042</v>
      </c>
    </row>
    <row r="106" spans="1:14" x14ac:dyDescent="0.25">
      <c r="A106" s="61"/>
      <c r="B106" s="62" t="s">
        <v>193</v>
      </c>
      <c r="C106" s="246">
        <v>3543930</v>
      </c>
      <c r="D106" s="246"/>
      <c r="E106" s="247">
        <f t="shared" si="15"/>
        <v>3543930</v>
      </c>
      <c r="F106" s="246">
        <v>3543930</v>
      </c>
      <c r="G106" s="246"/>
      <c r="H106" s="247">
        <f t="shared" si="19"/>
        <v>3543930</v>
      </c>
      <c r="I106" s="246">
        <v>3301691</v>
      </c>
      <c r="J106" s="246"/>
      <c r="K106" s="247">
        <f t="shared" si="20"/>
        <v>3301691</v>
      </c>
      <c r="L106" s="246">
        <v>3301691</v>
      </c>
      <c r="M106" s="246"/>
      <c r="N106" s="247">
        <f t="shared" si="18"/>
        <v>3301691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18"/>
        <v>0</v>
      </c>
    </row>
    <row r="108" spans="1:14" x14ac:dyDescent="0.25">
      <c r="A108" s="63"/>
      <c r="B108" s="64" t="s">
        <v>195</v>
      </c>
      <c r="C108" s="246">
        <v>103545</v>
      </c>
      <c r="D108" s="246"/>
      <c r="E108" s="247">
        <f t="shared" si="15"/>
        <v>103545</v>
      </c>
      <c r="F108" s="246">
        <v>103545</v>
      </c>
      <c r="G108" s="246"/>
      <c r="H108" s="247">
        <f t="shared" si="19"/>
        <v>103545</v>
      </c>
      <c r="I108" s="246">
        <v>17936</v>
      </c>
      <c r="J108" s="246"/>
      <c r="K108" s="247">
        <f t="shared" si="20"/>
        <v>17936</v>
      </c>
      <c r="L108" s="246">
        <v>17936</v>
      </c>
      <c r="M108" s="246"/>
      <c r="N108" s="247">
        <f t="shared" si="18"/>
        <v>17936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18"/>
        <v>0</v>
      </c>
    </row>
    <row r="110" spans="1:14" ht="15.75" thickBot="1" x14ac:dyDescent="0.3">
      <c r="A110" s="63"/>
      <c r="B110" s="64" t="s">
        <v>197</v>
      </c>
      <c r="C110" s="248">
        <v>79650</v>
      </c>
      <c r="D110" s="248"/>
      <c r="E110" s="249">
        <f t="shared" si="15"/>
        <v>79650</v>
      </c>
      <c r="F110" s="248">
        <v>79650</v>
      </c>
      <c r="G110" s="248"/>
      <c r="H110" s="249">
        <f t="shared" si="19"/>
        <v>79650</v>
      </c>
      <c r="I110" s="248">
        <v>16415</v>
      </c>
      <c r="J110" s="248"/>
      <c r="K110" s="249">
        <f t="shared" si="20"/>
        <v>16415</v>
      </c>
      <c r="L110" s="248">
        <v>16415</v>
      </c>
      <c r="M110" s="248"/>
      <c r="N110" s="249">
        <f t="shared" si="18"/>
        <v>16415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27688829</v>
      </c>
      <c r="D111" s="244">
        <f>SUM(D112:D113,D114,D123,D122)</f>
        <v>0</v>
      </c>
      <c r="E111" s="245">
        <f t="shared" si="15"/>
        <v>27688829</v>
      </c>
      <c r="F111" s="244">
        <f>SUM(F112:F113,F114,F123,F122)</f>
        <v>30688829</v>
      </c>
      <c r="G111" s="244">
        <f>SUM(G112:G113,G114,G123,G122)</f>
        <v>0</v>
      </c>
      <c r="H111" s="245">
        <f t="shared" si="19"/>
        <v>30688829</v>
      </c>
      <c r="I111" s="244">
        <f>SUM(I112:I113,I114,I123,I122)</f>
        <v>42944913</v>
      </c>
      <c r="J111" s="244">
        <f>SUM(J112:J113,J114,J123,J122)</f>
        <v>0</v>
      </c>
      <c r="K111" s="245">
        <f t="shared" si="20"/>
        <v>42944913</v>
      </c>
      <c r="L111" s="244">
        <f>SUM(L112:L113,L114,L123,L122)</f>
        <v>37954454</v>
      </c>
      <c r="M111" s="244">
        <f>SUM(M112:M113,M114,M123,M122)</f>
        <v>0</v>
      </c>
      <c r="N111" s="245">
        <f t="shared" si="18"/>
        <v>37954454</v>
      </c>
    </row>
    <row r="112" spans="1:14" x14ac:dyDescent="0.25">
      <c r="A112" s="61" t="s">
        <v>199</v>
      </c>
      <c r="B112" s="62" t="s">
        <v>200</v>
      </c>
      <c r="C112" s="246">
        <v>6900000</v>
      </c>
      <c r="D112" s="246"/>
      <c r="E112" s="247">
        <f t="shared" si="15"/>
        <v>6900000</v>
      </c>
      <c r="F112" s="246">
        <v>6900000</v>
      </c>
      <c r="G112" s="246"/>
      <c r="H112" s="247">
        <f t="shared" si="19"/>
        <v>6900000</v>
      </c>
      <c r="I112" s="246">
        <v>7090928</v>
      </c>
      <c r="J112" s="246"/>
      <c r="K112" s="247">
        <f t="shared" si="20"/>
        <v>7090928</v>
      </c>
      <c r="L112" s="246">
        <v>7169546</v>
      </c>
      <c r="M112" s="246"/>
      <c r="N112" s="247">
        <f t="shared" si="18"/>
        <v>7169546</v>
      </c>
    </row>
    <row r="113" spans="1:14" x14ac:dyDescent="0.25">
      <c r="A113" s="61" t="s">
        <v>201</v>
      </c>
      <c r="B113" s="62" t="s">
        <v>202</v>
      </c>
      <c r="C113" s="246">
        <v>65000</v>
      </c>
      <c r="D113" s="246"/>
      <c r="E113" s="247">
        <f t="shared" si="15"/>
        <v>65000</v>
      </c>
      <c r="F113" s="246">
        <v>65000</v>
      </c>
      <c r="G113" s="246"/>
      <c r="H113" s="247">
        <f t="shared" si="19"/>
        <v>65000</v>
      </c>
      <c r="I113" s="246">
        <v>65000</v>
      </c>
      <c r="J113" s="246"/>
      <c r="K113" s="247">
        <f t="shared" si="20"/>
        <v>65000</v>
      </c>
      <c r="L113" s="246">
        <v>42923</v>
      </c>
      <c r="M113" s="246"/>
      <c r="N113" s="247">
        <f t="shared" si="18"/>
        <v>42923</v>
      </c>
    </row>
    <row r="114" spans="1:14" x14ac:dyDescent="0.25">
      <c r="A114" s="61" t="s">
        <v>203</v>
      </c>
      <c r="B114" s="62" t="s">
        <v>204</v>
      </c>
      <c r="C114" s="246">
        <f>SUM(C115:C121)</f>
        <v>15100829</v>
      </c>
      <c r="D114" s="246">
        <f>SUM(D115:D121)</f>
        <v>0</v>
      </c>
      <c r="E114" s="247">
        <f t="shared" si="15"/>
        <v>15100829</v>
      </c>
      <c r="F114" s="246">
        <f>SUM(F115:F121)</f>
        <v>18100829</v>
      </c>
      <c r="G114" s="246">
        <f>SUM(G115:G121)</f>
        <v>0</v>
      </c>
      <c r="H114" s="247">
        <f t="shared" si="19"/>
        <v>18100829</v>
      </c>
      <c r="I114" s="246">
        <f>SUM(I115:I121)</f>
        <v>27404932</v>
      </c>
      <c r="J114" s="246">
        <f>SUM(J115:J121)</f>
        <v>0</v>
      </c>
      <c r="K114" s="247">
        <f t="shared" si="20"/>
        <v>27404932</v>
      </c>
      <c r="L114" s="246">
        <f>SUM(L115:L121)</f>
        <v>24123123</v>
      </c>
      <c r="M114" s="246">
        <f>SUM(M115:M121)</f>
        <v>0</v>
      </c>
      <c r="N114" s="247">
        <f t="shared" si="18"/>
        <v>24123123</v>
      </c>
    </row>
    <row r="115" spans="1:14" x14ac:dyDescent="0.25">
      <c r="A115" s="61" t="s">
        <v>205</v>
      </c>
      <c r="B115" s="62" t="s">
        <v>206</v>
      </c>
      <c r="C115" s="246">
        <f>3803829+482000</f>
        <v>4285829</v>
      </c>
      <c r="D115" s="246"/>
      <c r="E115" s="247">
        <f t="shared" si="15"/>
        <v>4285829</v>
      </c>
      <c r="F115" s="246">
        <f>3803829+482000</f>
        <v>4285829</v>
      </c>
      <c r="G115" s="246"/>
      <c r="H115" s="247">
        <f t="shared" si="19"/>
        <v>4285829</v>
      </c>
      <c r="I115" s="246">
        <f>3803829+482000+608146</f>
        <v>4893975</v>
      </c>
      <c r="J115" s="246"/>
      <c r="K115" s="247">
        <f t="shared" si="20"/>
        <v>4893975</v>
      </c>
      <c r="L115" s="246">
        <v>4153135</v>
      </c>
      <c r="M115" s="246"/>
      <c r="N115" s="247">
        <f t="shared" si="18"/>
        <v>4153135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18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>
        <v>200000</v>
      </c>
      <c r="J117" s="246"/>
      <c r="K117" s="247">
        <f t="shared" si="20"/>
        <v>200000</v>
      </c>
      <c r="L117" s="246">
        <v>136000</v>
      </c>
      <c r="M117" s="246"/>
      <c r="N117" s="247">
        <f t="shared" si="18"/>
        <v>136000</v>
      </c>
    </row>
    <row r="118" spans="1:14" x14ac:dyDescent="0.25">
      <c r="A118" s="61" t="s">
        <v>211</v>
      </c>
      <c r="B118" s="62" t="s">
        <v>212</v>
      </c>
      <c r="C118" s="246">
        <v>2300000</v>
      </c>
      <c r="D118" s="246"/>
      <c r="E118" s="247">
        <f t="shared" si="15"/>
        <v>2300000</v>
      </c>
      <c r="F118" s="246">
        <f>2300000+3000000</f>
        <v>5300000</v>
      </c>
      <c r="G118" s="246"/>
      <c r="H118" s="247">
        <f t="shared" si="19"/>
        <v>5300000</v>
      </c>
      <c r="I118" s="246">
        <v>10550000</v>
      </c>
      <c r="J118" s="246"/>
      <c r="K118" s="247">
        <f t="shared" si="20"/>
        <v>10550000</v>
      </c>
      <c r="L118" s="246">
        <v>10533827</v>
      </c>
      <c r="M118" s="246"/>
      <c r="N118" s="247">
        <f t="shared" si="18"/>
        <v>10533827</v>
      </c>
    </row>
    <row r="119" spans="1:14" x14ac:dyDescent="0.25">
      <c r="A119" s="61" t="s">
        <v>213</v>
      </c>
      <c r="B119" s="62" t="s">
        <v>214</v>
      </c>
      <c r="C119" s="246">
        <v>345000</v>
      </c>
      <c r="D119" s="246"/>
      <c r="E119" s="247">
        <f t="shared" si="15"/>
        <v>345000</v>
      </c>
      <c r="F119" s="246">
        <f>345000</f>
        <v>345000</v>
      </c>
      <c r="G119" s="246"/>
      <c r="H119" s="247">
        <f t="shared" si="19"/>
        <v>345000</v>
      </c>
      <c r="I119" s="246">
        <f>1550000+449504</f>
        <v>1999504</v>
      </c>
      <c r="J119" s="246"/>
      <c r="K119" s="247">
        <f t="shared" si="20"/>
        <v>1999504</v>
      </c>
      <c r="L119" s="246">
        <v>1544176</v>
      </c>
      <c r="M119" s="246"/>
      <c r="N119" s="247">
        <f t="shared" si="18"/>
        <v>1544176</v>
      </c>
    </row>
    <row r="120" spans="1:14" x14ac:dyDescent="0.25">
      <c r="A120" s="61" t="s">
        <v>215</v>
      </c>
      <c r="B120" s="62" t="s">
        <v>216</v>
      </c>
      <c r="C120" s="246">
        <v>170000</v>
      </c>
      <c r="D120" s="246"/>
      <c r="E120" s="247">
        <f t="shared" si="15"/>
        <v>170000</v>
      </c>
      <c r="F120" s="246">
        <v>170000</v>
      </c>
      <c r="G120" s="246"/>
      <c r="H120" s="247">
        <f t="shared" si="19"/>
        <v>170000</v>
      </c>
      <c r="I120" s="246">
        <f>170000+8379082-7549082</f>
        <v>1000000</v>
      </c>
      <c r="J120" s="246"/>
      <c r="K120" s="247">
        <f t="shared" si="20"/>
        <v>1000000</v>
      </c>
      <c r="L120" s="246">
        <v>374500</v>
      </c>
      <c r="M120" s="246"/>
      <c r="N120" s="247">
        <f t="shared" si="18"/>
        <v>374500</v>
      </c>
    </row>
    <row r="121" spans="1:14" x14ac:dyDescent="0.25">
      <c r="A121" s="61" t="s">
        <v>217</v>
      </c>
      <c r="B121" s="62" t="s">
        <v>218</v>
      </c>
      <c r="C121" s="366">
        <f>5000000+3000000</f>
        <v>8000000</v>
      </c>
      <c r="D121" s="246"/>
      <c r="E121" s="247">
        <f t="shared" si="15"/>
        <v>8000000</v>
      </c>
      <c r="F121" s="366">
        <f>5000000+3000000</f>
        <v>8000000</v>
      </c>
      <c r="G121" s="246"/>
      <c r="H121" s="247">
        <f t="shared" si="19"/>
        <v>8000000</v>
      </c>
      <c r="I121" s="366">
        <f>7400000+1361453</f>
        <v>8761453</v>
      </c>
      <c r="J121" s="246"/>
      <c r="K121" s="247">
        <f t="shared" si="20"/>
        <v>8761453</v>
      </c>
      <c r="L121" s="366">
        <v>7381485</v>
      </c>
      <c r="M121" s="246"/>
      <c r="N121" s="247">
        <f t="shared" si="18"/>
        <v>7381485</v>
      </c>
    </row>
    <row r="122" spans="1:14" x14ac:dyDescent="0.25">
      <c r="A122" s="61" t="s">
        <v>219</v>
      </c>
      <c r="B122" s="62" t="s">
        <v>220</v>
      </c>
      <c r="C122" s="246">
        <v>50000</v>
      </c>
      <c r="D122" s="246"/>
      <c r="E122" s="247">
        <f t="shared" si="15"/>
        <v>50000</v>
      </c>
      <c r="F122" s="246">
        <v>50000</v>
      </c>
      <c r="G122" s="246"/>
      <c r="H122" s="247">
        <f t="shared" si="19"/>
        <v>50000</v>
      </c>
      <c r="I122" s="246">
        <v>50000</v>
      </c>
      <c r="J122" s="246"/>
      <c r="K122" s="247">
        <f t="shared" si="20"/>
        <v>50000</v>
      </c>
      <c r="L122" s="246">
        <v>2750</v>
      </c>
      <c r="M122" s="246"/>
      <c r="N122" s="247">
        <f t="shared" si="18"/>
        <v>2750</v>
      </c>
    </row>
    <row r="123" spans="1:14" x14ac:dyDescent="0.25">
      <c r="A123" s="61" t="s">
        <v>221</v>
      </c>
      <c r="B123" s="62" t="s">
        <v>222</v>
      </c>
      <c r="C123" s="246">
        <f>SUM(C124:C126)</f>
        <v>5573000</v>
      </c>
      <c r="D123" s="246">
        <f>SUM(D124:D126)</f>
        <v>0</v>
      </c>
      <c r="E123" s="247">
        <f t="shared" si="15"/>
        <v>5573000</v>
      </c>
      <c r="F123" s="246">
        <f>SUM(F124:F126)</f>
        <v>5573000</v>
      </c>
      <c r="G123" s="246">
        <f>SUM(G124:G126)</f>
        <v>0</v>
      </c>
      <c r="H123" s="247">
        <f t="shared" si="19"/>
        <v>5573000</v>
      </c>
      <c r="I123" s="246">
        <f>SUM(I124:I126)</f>
        <v>8334053</v>
      </c>
      <c r="J123" s="246">
        <f>SUM(J124:J126)</f>
        <v>0</v>
      </c>
      <c r="K123" s="247">
        <f t="shared" si="20"/>
        <v>8334053</v>
      </c>
      <c r="L123" s="246">
        <f>SUM(L124:L126)</f>
        <v>6616112</v>
      </c>
      <c r="M123" s="246">
        <f>SUM(M124:M126)</f>
        <v>0</v>
      </c>
      <c r="N123" s="247">
        <f t="shared" si="18"/>
        <v>6616112</v>
      </c>
    </row>
    <row r="124" spans="1:14" x14ac:dyDescent="0.25">
      <c r="A124" s="61"/>
      <c r="B124" s="62" t="s">
        <v>223</v>
      </c>
      <c r="C124" s="246">
        <f>(23200000-6300000)*0.27+810000</f>
        <v>5373000</v>
      </c>
      <c r="D124" s="246"/>
      <c r="E124" s="247">
        <f t="shared" si="15"/>
        <v>5373000</v>
      </c>
      <c r="F124" s="246">
        <f>(23200000-6300000)*0.27+810000</f>
        <v>5373000</v>
      </c>
      <c r="G124" s="246"/>
      <c r="H124" s="247">
        <f t="shared" si="19"/>
        <v>5373000</v>
      </c>
      <c r="I124" s="246">
        <f>(23200000-6300000)*0.27+810000+2761053</f>
        <v>8134053</v>
      </c>
      <c r="J124" s="246"/>
      <c r="K124" s="247">
        <f t="shared" si="20"/>
        <v>8134053</v>
      </c>
      <c r="L124" s="246">
        <v>6416893</v>
      </c>
      <c r="M124" s="246"/>
      <c r="N124" s="247">
        <f t="shared" si="18"/>
        <v>6416893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18"/>
        <v>0</v>
      </c>
    </row>
    <row r="126" spans="1:14" ht="15.75" thickBot="1" x14ac:dyDescent="0.3">
      <c r="A126" s="63" t="s">
        <v>225</v>
      </c>
      <c r="B126" s="64" t="s">
        <v>226</v>
      </c>
      <c r="C126" s="248">
        <v>200000</v>
      </c>
      <c r="D126" s="248"/>
      <c r="E126" s="249">
        <f t="shared" si="15"/>
        <v>200000</v>
      </c>
      <c r="F126" s="248">
        <v>200000</v>
      </c>
      <c r="G126" s="248"/>
      <c r="H126" s="249">
        <f t="shared" si="19"/>
        <v>200000</v>
      </c>
      <c r="I126" s="248">
        <v>200000</v>
      </c>
      <c r="J126" s="248"/>
      <c r="K126" s="249">
        <f t="shared" si="20"/>
        <v>200000</v>
      </c>
      <c r="L126" s="248">
        <v>199219</v>
      </c>
      <c r="M126" s="248"/>
      <c r="N126" s="249">
        <f t="shared" si="18"/>
        <v>199219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18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170400000</v>
      </c>
      <c r="D128" s="244">
        <f>SUM(D129:D134)</f>
        <v>0</v>
      </c>
      <c r="E128" s="245">
        <f t="shared" si="15"/>
        <v>170400000</v>
      </c>
      <c r="F128" s="244">
        <f>SUM(F129:F134)</f>
        <v>170400000</v>
      </c>
      <c r="G128" s="244">
        <f>SUM(G129:G134)</f>
        <v>0</v>
      </c>
      <c r="H128" s="245">
        <f t="shared" si="19"/>
        <v>170400000</v>
      </c>
      <c r="I128" s="244">
        <f>SUM(I129:I134)</f>
        <v>85200000</v>
      </c>
      <c r="J128" s="244">
        <f>SUM(J129:J134)</f>
        <v>0</v>
      </c>
      <c r="K128" s="245">
        <f t="shared" si="20"/>
        <v>85200000</v>
      </c>
      <c r="L128" s="244">
        <f>SUM(L129:L134)</f>
        <v>85200000</v>
      </c>
      <c r="M128" s="244">
        <f>SUM(M129:M134)</f>
        <v>0</v>
      </c>
      <c r="N128" s="245">
        <f t="shared" si="18"/>
        <v>85200000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18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18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18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18"/>
        <v>0</v>
      </c>
    </row>
    <row r="133" spans="1:14" x14ac:dyDescent="0.25">
      <c r="A133" s="61" t="s">
        <v>235</v>
      </c>
      <c r="B133" s="62" t="s">
        <v>236</v>
      </c>
      <c r="C133" s="246">
        <v>170400000</v>
      </c>
      <c r="D133" s="246"/>
      <c r="E133" s="247">
        <f t="shared" si="15"/>
        <v>170400000</v>
      </c>
      <c r="F133" s="246">
        <v>170400000</v>
      </c>
      <c r="G133" s="246"/>
      <c r="H133" s="247">
        <f t="shared" si="19"/>
        <v>170400000</v>
      </c>
      <c r="I133" s="246">
        <f>170400000-85200000</f>
        <v>85200000</v>
      </c>
      <c r="J133" s="246"/>
      <c r="K133" s="247">
        <f t="shared" si="20"/>
        <v>85200000</v>
      </c>
      <c r="L133" s="246">
        <f>170400000-85200000</f>
        <v>85200000</v>
      </c>
      <c r="M133" s="246"/>
      <c r="N133" s="247">
        <f t="shared" si="18"/>
        <v>85200000</v>
      </c>
    </row>
    <row r="134" spans="1:14" x14ac:dyDescent="0.25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18"/>
        <v>0</v>
      </c>
    </row>
    <row r="135" spans="1:14" x14ac:dyDescent="0.25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18"/>
        <v>0</v>
      </c>
    </row>
    <row r="136" spans="1:14" ht="15.75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18"/>
        <v>0</v>
      </c>
    </row>
    <row r="137" spans="1:14" x14ac:dyDescent="0.25">
      <c r="A137" s="60" t="s">
        <v>241</v>
      </c>
      <c r="B137" s="48" t="s">
        <v>38</v>
      </c>
      <c r="C137" s="244">
        <v>6299212</v>
      </c>
      <c r="D137" s="244"/>
      <c r="E137" s="245">
        <f t="shared" si="15"/>
        <v>6299212</v>
      </c>
      <c r="F137" s="244">
        <v>6299212</v>
      </c>
      <c r="G137" s="244"/>
      <c r="H137" s="245">
        <f t="shared" si="19"/>
        <v>6299212</v>
      </c>
      <c r="I137" s="244">
        <v>19487188</v>
      </c>
      <c r="J137" s="244"/>
      <c r="K137" s="245">
        <f t="shared" si="20"/>
        <v>19487188</v>
      </c>
      <c r="L137" s="244">
        <v>13656254</v>
      </c>
      <c r="M137" s="244"/>
      <c r="N137" s="245">
        <f t="shared" si="18"/>
        <v>13656254</v>
      </c>
    </row>
    <row r="138" spans="1:14" ht="15.75" thickBot="1" x14ac:dyDescent="0.3">
      <c r="A138" s="63" t="s">
        <v>242</v>
      </c>
      <c r="B138" s="64" t="s">
        <v>243</v>
      </c>
      <c r="C138" s="248">
        <v>1700788</v>
      </c>
      <c r="D138" s="248"/>
      <c r="E138" s="249">
        <f t="shared" si="15"/>
        <v>1700788</v>
      </c>
      <c r="F138" s="248">
        <v>1700788</v>
      </c>
      <c r="G138" s="248"/>
      <c r="H138" s="249">
        <f t="shared" si="19"/>
        <v>1700788</v>
      </c>
      <c r="I138" s="248">
        <v>5261541</v>
      </c>
      <c r="J138" s="248"/>
      <c r="K138" s="249">
        <f t="shared" si="20"/>
        <v>5261541</v>
      </c>
      <c r="L138" s="248">
        <v>3619689</v>
      </c>
      <c r="M138" s="248"/>
      <c r="N138" s="249">
        <f t="shared" si="18"/>
        <v>3619689</v>
      </c>
    </row>
    <row r="139" spans="1:14" x14ac:dyDescent="0.25">
      <c r="A139" s="60" t="s">
        <v>244</v>
      </c>
      <c r="B139" s="48" t="s">
        <v>39</v>
      </c>
      <c r="C139" s="244">
        <f>6574803+11811024-787401</f>
        <v>17598426</v>
      </c>
      <c r="D139" s="244"/>
      <c r="E139" s="245">
        <f t="shared" si="15"/>
        <v>17598426</v>
      </c>
      <c r="F139" s="244">
        <f>6574803+11811024-787401+118110+354331-1574803+434909</f>
        <v>16930973</v>
      </c>
      <c r="G139" s="244"/>
      <c r="H139" s="245">
        <f t="shared" si="19"/>
        <v>16930973</v>
      </c>
      <c r="I139" s="244">
        <v>17546693</v>
      </c>
      <c r="J139" s="244"/>
      <c r="K139" s="245">
        <f t="shared" si="20"/>
        <v>17546693</v>
      </c>
      <c r="L139" s="244">
        <v>12203374</v>
      </c>
      <c r="M139" s="244"/>
      <c r="N139" s="245">
        <f t="shared" si="18"/>
        <v>12203374</v>
      </c>
    </row>
    <row r="140" spans="1:14" ht="15.75" thickBot="1" x14ac:dyDescent="0.3">
      <c r="A140" s="63" t="s">
        <v>245</v>
      </c>
      <c r="B140" s="64" t="s">
        <v>246</v>
      </c>
      <c r="C140" s="248">
        <f>1775197+3188976-212599</f>
        <v>4751574</v>
      </c>
      <c r="D140" s="248"/>
      <c r="E140" s="249">
        <f t="shared" si="15"/>
        <v>4751574</v>
      </c>
      <c r="F140" s="248">
        <f>1775197+3188976-212599+31890+95669-425197+117426</f>
        <v>4571362</v>
      </c>
      <c r="G140" s="248"/>
      <c r="H140" s="249">
        <f t="shared" si="19"/>
        <v>4571362</v>
      </c>
      <c r="I140" s="248">
        <v>4737607</v>
      </c>
      <c r="J140" s="248"/>
      <c r="K140" s="249">
        <f t="shared" si="20"/>
        <v>4737607</v>
      </c>
      <c r="L140" s="248">
        <v>1217011</v>
      </c>
      <c r="M140" s="248"/>
      <c r="N140" s="249">
        <f t="shared" si="18"/>
        <v>1217011</v>
      </c>
    </row>
    <row r="141" spans="1:14" ht="15.75" thickBot="1" x14ac:dyDescent="0.3">
      <c r="A141" s="66" t="s">
        <v>247</v>
      </c>
      <c r="B141" s="49" t="s">
        <v>40</v>
      </c>
      <c r="C141" s="254">
        <v>15000000</v>
      </c>
      <c r="D141" s="254"/>
      <c r="E141" s="255">
        <f t="shared" si="15"/>
        <v>15000000</v>
      </c>
      <c r="F141" s="254">
        <v>15000000</v>
      </c>
      <c r="G141" s="254"/>
      <c r="H141" s="255">
        <f t="shared" si="19"/>
        <v>15000000</v>
      </c>
      <c r="I141" s="254">
        <v>15000000</v>
      </c>
      <c r="J141" s="254"/>
      <c r="K141" s="255">
        <f t="shared" si="20"/>
        <v>15000000</v>
      </c>
      <c r="L141" s="254">
        <v>15000000</v>
      </c>
      <c r="M141" s="254"/>
      <c r="N141" s="255">
        <f t="shared" si="18"/>
        <v>15000000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266320024</v>
      </c>
      <c r="D142" s="250">
        <f>D141+D140+D139+D138+D137+D128+D127+D111+D105+D88</f>
        <v>0</v>
      </c>
      <c r="E142" s="251">
        <f t="shared" si="15"/>
        <v>266320024</v>
      </c>
      <c r="F142" s="250">
        <f>F141+F140+F139+F138+F137+F128+F127+F111+F105+F88</f>
        <v>268472359</v>
      </c>
      <c r="G142" s="250">
        <f>G141+G140+G139+G138+G137+G128+G127+G111+G105+G88</f>
        <v>0</v>
      </c>
      <c r="H142" s="251">
        <f t="shared" si="19"/>
        <v>268472359</v>
      </c>
      <c r="I142" s="250">
        <f>I141+I140+I139+I138+I137+I128+I127+I111+I105+I88</f>
        <v>211250822</v>
      </c>
      <c r="J142" s="250">
        <f>J141+J140+J139+J138+J137+J128+J127+J111+J105+J88</f>
        <v>0</v>
      </c>
      <c r="K142" s="251">
        <f t="shared" si="20"/>
        <v>211250822</v>
      </c>
      <c r="L142" s="250">
        <f>L141+L140+L139+L138+L137+L128+L127+L111+L105+L88</f>
        <v>189236571</v>
      </c>
      <c r="M142" s="250">
        <f>M141+M140+M139+M138+M137+M128+M127+M111+M105+M88</f>
        <v>0</v>
      </c>
      <c r="N142" s="251">
        <f t="shared" si="18"/>
        <v>189236571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18"/>
        <v>0</v>
      </c>
    </row>
    <row r="144" spans="1:14" ht="15.75" hidden="1" customHeight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18"/>
        <v>0</v>
      </c>
    </row>
    <row r="145" spans="1:14" ht="15.75" hidden="1" customHeight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18"/>
        <v>0</v>
      </c>
    </row>
    <row r="146" spans="1:14" s="179" customFormat="1" ht="15.75" hidden="1" customHeight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customHeight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1">SUM(F147:G147)</f>
        <v>0</v>
      </c>
      <c r="I147" s="246"/>
      <c r="J147" s="246"/>
      <c r="K147" s="247">
        <f t="shared" ref="K147:K150" si="22">SUM(I147:J147)</f>
        <v>0</v>
      </c>
      <c r="L147" s="246"/>
      <c r="M147" s="246"/>
      <c r="N147" s="247">
        <f t="shared" ref="N147:N150" si="23">SUM(L147:M147)</f>
        <v>0</v>
      </c>
    </row>
    <row r="148" spans="1:14" ht="15.75" hidden="1" customHeight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1"/>
        <v>0</v>
      </c>
      <c r="I148" s="246"/>
      <c r="J148" s="246"/>
      <c r="K148" s="247">
        <f t="shared" si="22"/>
        <v>0</v>
      </c>
      <c r="L148" s="246"/>
      <c r="M148" s="246"/>
      <c r="N148" s="247">
        <f t="shared" si="23"/>
        <v>0</v>
      </c>
    </row>
    <row r="149" spans="1:14" ht="15.75" hidden="1" customHeight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1"/>
        <v>0</v>
      </c>
      <c r="I149" s="246"/>
      <c r="J149" s="246"/>
      <c r="K149" s="247">
        <f t="shared" si="22"/>
        <v>0</v>
      </c>
      <c r="L149" s="246"/>
      <c r="M149" s="246"/>
      <c r="N149" s="247">
        <f t="shared" si="23"/>
        <v>0</v>
      </c>
    </row>
    <row r="150" spans="1:14" ht="15.75" hidden="1" customHeight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1"/>
        <v>0</v>
      </c>
      <c r="I150" s="256"/>
      <c r="J150" s="248"/>
      <c r="K150" s="249">
        <f t="shared" si="22"/>
        <v>0</v>
      </c>
      <c r="L150" s="256"/>
      <c r="M150" s="248"/>
      <c r="N150" s="249">
        <f t="shared" si="23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266320024</v>
      </c>
      <c r="D151" s="257">
        <f>D143+D142</f>
        <v>0</v>
      </c>
      <c r="E151" s="258">
        <f>SUM(C151:D151)</f>
        <v>266320024</v>
      </c>
      <c r="F151" s="250">
        <f>F143+F142</f>
        <v>268472359</v>
      </c>
      <c r="G151" s="257">
        <f>G143+G142</f>
        <v>0</v>
      </c>
      <c r="H151" s="258">
        <f>SUM(F151:G151)</f>
        <v>268472359</v>
      </c>
      <c r="I151" s="250">
        <f>I143+I142</f>
        <v>211250822</v>
      </c>
      <c r="J151" s="257">
        <f>J143+J142</f>
        <v>0</v>
      </c>
      <c r="K151" s="258">
        <f>SUM(I151:J151)</f>
        <v>211250822</v>
      </c>
      <c r="L151" s="250">
        <f>L143+L142</f>
        <v>189236571</v>
      </c>
      <c r="M151" s="257">
        <f>M143+M142</f>
        <v>0</v>
      </c>
      <c r="N151" s="258">
        <f>SUM(L151:M151)</f>
        <v>189236571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-240889301</v>
      </c>
      <c r="H153" s="148">
        <f>H85-H151</f>
        <v>-242369210</v>
      </c>
      <c r="K153" s="148">
        <f>K85-K151</f>
        <v>-185147673</v>
      </c>
      <c r="N153" s="148">
        <f>N85-N151</f>
        <v>-165939541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27" header="0.31496062992125984" footer="0.16"/>
  <pageSetup paperSize="9" scale="45" fitToHeight="0" orientation="portrait" horizontalDpi="300" verticalDpi="300" r:id="rId1"/>
  <headerFooter>
    <oddFooter>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0.85546875" style="44" bestFit="1" customWidth="1"/>
    <col min="4" max="4" width="9.140625" style="44"/>
    <col min="5" max="5" width="11.5703125" style="44" bestFit="1" customWidth="1"/>
    <col min="6" max="6" width="10.85546875" style="179" bestFit="1" customWidth="1"/>
    <col min="7" max="7" width="9.140625" style="179"/>
    <col min="8" max="8" width="11.5703125" style="179" bestFit="1" customWidth="1"/>
    <col min="9" max="9" width="10.85546875" style="179" bestFit="1" customWidth="1"/>
    <col min="10" max="10" width="9.140625" style="179"/>
    <col min="11" max="11" width="11.5703125" style="179" bestFit="1" customWidth="1"/>
    <col min="12" max="12" width="10.85546875" style="179" bestFit="1" customWidth="1"/>
    <col min="13" max="13" width="9.140625" style="179"/>
    <col min="14" max="14" width="11.5703125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'7.17 város 066020'!C4</f>
        <v xml:space="preserve"> 12 / 2020. (VI.15) sz rendelet</v>
      </c>
    </row>
    <row r="5" spans="1:14" s="81" customFormat="1" ht="12.75" x14ac:dyDescent="0.2">
      <c r="A5" s="90" t="s">
        <v>363</v>
      </c>
      <c r="B5" s="81" t="s">
        <v>364</v>
      </c>
    </row>
    <row r="6" spans="1:14" x14ac:dyDescent="0.25">
      <c r="C6" s="713" t="s">
        <v>746</v>
      </c>
      <c r="D6" s="715" t="str">
        <f>'7.17 város 066020'!D6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680000</v>
      </c>
      <c r="D45" s="244">
        <f>D46+D47+D48+D49+D54+D55+D56+D57+D58+D59+D60</f>
        <v>0</v>
      </c>
      <c r="E45" s="245">
        <f t="shared" si="0"/>
        <v>680000</v>
      </c>
      <c r="F45" s="244">
        <f>F46+F47+F48+F49+F54+F55+F56+F57+F58+F59+F60</f>
        <v>680000</v>
      </c>
      <c r="G45" s="244">
        <f>G46+G47+G48+G49+G54+G55+G56+G57+G58+G59+G60</f>
        <v>0</v>
      </c>
      <c r="H45" s="245">
        <f t="shared" si="1"/>
        <v>680000</v>
      </c>
      <c r="I45" s="244">
        <f>I46+I47+I48+I49+I54+I55+I56+I57+I58+I59+I60</f>
        <v>680000</v>
      </c>
      <c r="J45" s="244">
        <f>J46+J47+J48+J49+J54+J55+J56+J57+J58+J59+J60</f>
        <v>0</v>
      </c>
      <c r="K45" s="245">
        <f t="shared" si="2"/>
        <v>680000</v>
      </c>
      <c r="L45" s="244">
        <f>L46+L47+L48+L49+L54+L55+L56+L57+L58+L59+L60</f>
        <v>720000</v>
      </c>
      <c r="M45" s="244">
        <f>M46+M47+M48+M49+M54+M55+M56+M57+M58+M59+M60</f>
        <v>0</v>
      </c>
      <c r="N45" s="245">
        <f t="shared" si="3"/>
        <v>720000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316">
        <v>680000</v>
      </c>
      <c r="D47" s="246"/>
      <c r="E47" s="247">
        <f t="shared" si="0"/>
        <v>680000</v>
      </c>
      <c r="F47" s="316">
        <v>680000</v>
      </c>
      <c r="G47" s="246"/>
      <c r="H47" s="247">
        <f t="shared" si="1"/>
        <v>680000</v>
      </c>
      <c r="I47" s="316">
        <v>680000</v>
      </c>
      <c r="J47" s="246"/>
      <c r="K47" s="247">
        <f t="shared" si="2"/>
        <v>680000</v>
      </c>
      <c r="L47" s="316">
        <v>720000</v>
      </c>
      <c r="M47" s="246"/>
      <c r="N47" s="247">
        <f t="shared" si="3"/>
        <v>720000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680000</v>
      </c>
      <c r="D73" s="250">
        <f>D9+D22+D25+D45+D61+D67+D70</f>
        <v>0</v>
      </c>
      <c r="E73" s="251">
        <f t="shared" si="0"/>
        <v>680000</v>
      </c>
      <c r="F73" s="250">
        <f>F9+F22+F25+F45+F61+F67+F70</f>
        <v>680000</v>
      </c>
      <c r="G73" s="250">
        <f>G9+G22+G25+G45+G61+G67+G70</f>
        <v>0</v>
      </c>
      <c r="H73" s="251">
        <f t="shared" si="1"/>
        <v>680000</v>
      </c>
      <c r="I73" s="250">
        <f>I9+I22+I25+I45+I61+I67+I70</f>
        <v>680000</v>
      </c>
      <c r="J73" s="250">
        <f>J9+J22+J25+J45+J61+J67+J70</f>
        <v>0</v>
      </c>
      <c r="K73" s="251">
        <f t="shared" si="2"/>
        <v>680000</v>
      </c>
      <c r="L73" s="250">
        <f>L9+L22+L25+L45+L61+L67+L70</f>
        <v>720000</v>
      </c>
      <c r="M73" s="250">
        <f>M9+M22+M25+M45+M61+M67+M70</f>
        <v>0</v>
      </c>
      <c r="N73" s="251">
        <f t="shared" si="3"/>
        <v>720000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680000</v>
      </c>
      <c r="D85" s="250">
        <f>D73+D74</f>
        <v>0</v>
      </c>
      <c r="E85" s="251">
        <f t="shared" si="4"/>
        <v>680000</v>
      </c>
      <c r="F85" s="250">
        <f>F73+F74</f>
        <v>680000</v>
      </c>
      <c r="G85" s="250">
        <f>G73+G74</f>
        <v>0</v>
      </c>
      <c r="H85" s="251">
        <f t="shared" si="12"/>
        <v>680000</v>
      </c>
      <c r="I85" s="250">
        <f>I73+I74</f>
        <v>680000</v>
      </c>
      <c r="J85" s="250">
        <f>J73+J74</f>
        <v>0</v>
      </c>
      <c r="K85" s="251">
        <f t="shared" si="13"/>
        <v>680000</v>
      </c>
      <c r="L85" s="250">
        <f>L73+L74</f>
        <v>720000</v>
      </c>
      <c r="M85" s="250">
        <f>M73+M74</f>
        <v>0</v>
      </c>
      <c r="N85" s="251">
        <f t="shared" si="14"/>
        <v>720000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2373000</v>
      </c>
      <c r="D111" s="244">
        <f>SUM(D112:D113,D114,D123,D122)</f>
        <v>0</v>
      </c>
      <c r="E111" s="245">
        <f t="shared" si="15"/>
        <v>2373000</v>
      </c>
      <c r="F111" s="244">
        <f>SUM(F112:F113,F114,F123,F122)</f>
        <v>2373000</v>
      </c>
      <c r="G111" s="244">
        <f>SUM(G112:G113,G114,G123,G122)</f>
        <v>0</v>
      </c>
      <c r="H111" s="245">
        <f t="shared" si="19"/>
        <v>2373000</v>
      </c>
      <c r="I111" s="244">
        <f>SUM(I112:I113,I114,I123,I122)</f>
        <v>2363000</v>
      </c>
      <c r="J111" s="244">
        <f>SUM(J112:J113,J114,J123,J122)</f>
        <v>0</v>
      </c>
      <c r="K111" s="245">
        <f t="shared" si="20"/>
        <v>2363000</v>
      </c>
      <c r="L111" s="244">
        <f>SUM(L112:L113,L114,L123,L122)</f>
        <v>1800422</v>
      </c>
      <c r="M111" s="244">
        <f>SUM(M112:M113,M114,M123,M122)</f>
        <v>0</v>
      </c>
      <c r="N111" s="245">
        <f t="shared" si="21"/>
        <v>1800422</v>
      </c>
    </row>
    <row r="112" spans="1:14" x14ac:dyDescent="0.25">
      <c r="A112" s="61" t="s">
        <v>199</v>
      </c>
      <c r="B112" s="62" t="s">
        <v>200</v>
      </c>
      <c r="C112" s="246">
        <v>160000</v>
      </c>
      <c r="D112" s="246"/>
      <c r="E112" s="247">
        <f t="shared" si="15"/>
        <v>160000</v>
      </c>
      <c r="F112" s="246">
        <v>160000</v>
      </c>
      <c r="G112" s="246"/>
      <c r="H112" s="247">
        <f t="shared" si="19"/>
        <v>160000</v>
      </c>
      <c r="I112" s="246">
        <v>130000</v>
      </c>
      <c r="J112" s="246"/>
      <c r="K112" s="247">
        <f t="shared" si="20"/>
        <v>130000</v>
      </c>
      <c r="L112" s="246">
        <v>129793</v>
      </c>
      <c r="M112" s="246"/>
      <c r="N112" s="247">
        <f t="shared" si="21"/>
        <v>129793</v>
      </c>
    </row>
    <row r="113" spans="1:14" x14ac:dyDescent="0.25">
      <c r="A113" s="61" t="s">
        <v>201</v>
      </c>
      <c r="B113" s="62" t="s">
        <v>202</v>
      </c>
      <c r="C113" s="246">
        <v>115000</v>
      </c>
      <c r="D113" s="246"/>
      <c r="E113" s="247">
        <f t="shared" si="15"/>
        <v>115000</v>
      </c>
      <c r="F113" s="246">
        <v>115000</v>
      </c>
      <c r="G113" s="246"/>
      <c r="H113" s="247">
        <f t="shared" si="19"/>
        <v>115000</v>
      </c>
      <c r="I113" s="246">
        <v>115000</v>
      </c>
      <c r="J113" s="246"/>
      <c r="K113" s="247">
        <f t="shared" si="20"/>
        <v>115000</v>
      </c>
      <c r="L113" s="246">
        <v>110340</v>
      </c>
      <c r="M113" s="246"/>
      <c r="N113" s="247">
        <f t="shared" si="21"/>
        <v>110340</v>
      </c>
    </row>
    <row r="114" spans="1:14" x14ac:dyDescent="0.25">
      <c r="A114" s="61" t="s">
        <v>203</v>
      </c>
      <c r="B114" s="62" t="s">
        <v>204</v>
      </c>
      <c r="C114" s="246">
        <f>SUM(C115:C121)</f>
        <v>1678000</v>
      </c>
      <c r="D114" s="246">
        <f>SUM(D115:D121)</f>
        <v>0</v>
      </c>
      <c r="E114" s="247">
        <f t="shared" si="15"/>
        <v>1678000</v>
      </c>
      <c r="F114" s="246">
        <f>SUM(F115:F121)</f>
        <v>1678000</v>
      </c>
      <c r="G114" s="246">
        <f>SUM(G115:G121)</f>
        <v>0</v>
      </c>
      <c r="H114" s="247">
        <f t="shared" si="19"/>
        <v>1678000</v>
      </c>
      <c r="I114" s="246">
        <f>SUM(I115:I121)</f>
        <v>1698000</v>
      </c>
      <c r="J114" s="246">
        <f>SUM(J115:J121)</f>
        <v>0</v>
      </c>
      <c r="K114" s="247">
        <f t="shared" si="20"/>
        <v>1698000</v>
      </c>
      <c r="L114" s="246">
        <f>SUM(L115:L121)</f>
        <v>1301392</v>
      </c>
      <c r="M114" s="246">
        <f>SUM(M115:M121)</f>
        <v>0</v>
      </c>
      <c r="N114" s="247">
        <f t="shared" si="21"/>
        <v>1301392</v>
      </c>
    </row>
    <row r="115" spans="1:14" x14ac:dyDescent="0.25">
      <c r="A115" s="61" t="s">
        <v>205</v>
      </c>
      <c r="B115" s="62" t="s">
        <v>206</v>
      </c>
      <c r="C115" s="246">
        <f>1300000+71000*3</f>
        <v>1513000</v>
      </c>
      <c r="D115" s="246"/>
      <c r="E115" s="247">
        <f t="shared" si="15"/>
        <v>1513000</v>
      </c>
      <c r="F115" s="246">
        <f>1300000+71000*3</f>
        <v>1513000</v>
      </c>
      <c r="G115" s="246"/>
      <c r="H115" s="247">
        <f t="shared" si="19"/>
        <v>1513000</v>
      </c>
      <c r="I115" s="246">
        <f>1300000+71000*3</f>
        <v>1513000</v>
      </c>
      <c r="J115" s="246"/>
      <c r="K115" s="247">
        <f t="shared" si="20"/>
        <v>1513000</v>
      </c>
      <c r="L115" s="246">
        <v>1172448</v>
      </c>
      <c r="M115" s="246"/>
      <c r="N115" s="247">
        <f t="shared" si="21"/>
        <v>1172448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>
        <v>0</v>
      </c>
      <c r="D117" s="246"/>
      <c r="E117" s="247">
        <f t="shared" si="15"/>
        <v>0</v>
      </c>
      <c r="F117" s="246">
        <v>0</v>
      </c>
      <c r="G117" s="246"/>
      <c r="H117" s="247">
        <f t="shared" si="19"/>
        <v>0</v>
      </c>
      <c r="I117" s="246">
        <v>0</v>
      </c>
      <c r="J117" s="246"/>
      <c r="K117" s="247">
        <f t="shared" si="20"/>
        <v>0</v>
      </c>
      <c r="L117" s="246">
        <v>0</v>
      </c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>
        <v>55000</v>
      </c>
      <c r="D118" s="246"/>
      <c r="E118" s="247">
        <f t="shared" si="15"/>
        <v>55000</v>
      </c>
      <c r="F118" s="246">
        <v>55000</v>
      </c>
      <c r="G118" s="246"/>
      <c r="H118" s="247">
        <f t="shared" si="19"/>
        <v>55000</v>
      </c>
      <c r="I118" s="246">
        <v>55000</v>
      </c>
      <c r="J118" s="246"/>
      <c r="K118" s="247">
        <f t="shared" si="20"/>
        <v>55000</v>
      </c>
      <c r="L118" s="246">
        <v>41400</v>
      </c>
      <c r="M118" s="246"/>
      <c r="N118" s="247">
        <f t="shared" si="21"/>
        <v>41400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>
        <v>20000</v>
      </c>
      <c r="J119" s="246"/>
      <c r="K119" s="247">
        <f t="shared" si="20"/>
        <v>20000</v>
      </c>
      <c r="L119" s="246">
        <v>17846</v>
      </c>
      <c r="M119" s="246"/>
      <c r="N119" s="247">
        <f t="shared" si="21"/>
        <v>17846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110000</v>
      </c>
      <c r="D121" s="246"/>
      <c r="E121" s="247">
        <f t="shared" si="15"/>
        <v>110000</v>
      </c>
      <c r="F121" s="246">
        <v>110000</v>
      </c>
      <c r="G121" s="246"/>
      <c r="H121" s="247">
        <f t="shared" si="19"/>
        <v>110000</v>
      </c>
      <c r="I121" s="246">
        <v>110000</v>
      </c>
      <c r="J121" s="246"/>
      <c r="K121" s="247">
        <f t="shared" si="20"/>
        <v>110000</v>
      </c>
      <c r="L121" s="246">
        <v>69698</v>
      </c>
      <c r="M121" s="246"/>
      <c r="N121" s="247">
        <f t="shared" si="21"/>
        <v>69698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420000</v>
      </c>
      <c r="D123" s="246">
        <f>SUM(D124:D126)</f>
        <v>0</v>
      </c>
      <c r="E123" s="247">
        <f t="shared" si="15"/>
        <v>420000</v>
      </c>
      <c r="F123" s="246">
        <f>SUM(F124:F126)</f>
        <v>420000</v>
      </c>
      <c r="G123" s="246">
        <f>SUM(G124:G126)</f>
        <v>0</v>
      </c>
      <c r="H123" s="247">
        <f t="shared" si="19"/>
        <v>420000</v>
      </c>
      <c r="I123" s="246">
        <f>SUM(I124:I126)</f>
        <v>420000</v>
      </c>
      <c r="J123" s="246">
        <f>SUM(J124:J126)</f>
        <v>0</v>
      </c>
      <c r="K123" s="247">
        <f t="shared" si="20"/>
        <v>420000</v>
      </c>
      <c r="L123" s="246">
        <f>SUM(L124:L126)</f>
        <v>258897</v>
      </c>
      <c r="M123" s="246">
        <f>SUM(M124:M126)</f>
        <v>0</v>
      </c>
      <c r="N123" s="247">
        <f t="shared" si="21"/>
        <v>258897</v>
      </c>
    </row>
    <row r="124" spans="1:14" x14ac:dyDescent="0.25">
      <c r="A124" s="61"/>
      <c r="B124" s="62" t="s">
        <v>223</v>
      </c>
      <c r="C124" s="246">
        <f>363000+19000*3</f>
        <v>420000</v>
      </c>
      <c r="D124" s="246"/>
      <c r="E124" s="247">
        <f t="shared" si="15"/>
        <v>420000</v>
      </c>
      <c r="F124" s="246">
        <f>363000+19000*3</f>
        <v>420000</v>
      </c>
      <c r="G124" s="246"/>
      <c r="H124" s="247">
        <f t="shared" si="19"/>
        <v>420000</v>
      </c>
      <c r="I124" s="246">
        <f>363000+19000*3</f>
        <v>420000</v>
      </c>
      <c r="J124" s="246"/>
      <c r="K124" s="247">
        <f t="shared" si="20"/>
        <v>420000</v>
      </c>
      <c r="L124" s="246">
        <v>258897</v>
      </c>
      <c r="M124" s="246"/>
      <c r="N124" s="247">
        <f t="shared" si="21"/>
        <v>258897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2373000</v>
      </c>
      <c r="D142" s="250">
        <f>D141+D140+D139+D138+D137+D128+D127+D111+D105+D88</f>
        <v>0</v>
      </c>
      <c r="E142" s="251">
        <f t="shared" si="15"/>
        <v>2373000</v>
      </c>
      <c r="F142" s="250">
        <f>F141+F140+F139+F138+F137+F128+F127+F111+F105+F88</f>
        <v>2373000</v>
      </c>
      <c r="G142" s="250">
        <f>G141+G140+G139+G138+G137+G128+G127+G111+G105+G88</f>
        <v>0</v>
      </c>
      <c r="H142" s="251">
        <f t="shared" si="19"/>
        <v>2373000</v>
      </c>
      <c r="I142" s="250">
        <f>I141+I140+I139+I138+I137+I128+I127+I111+I105+I88</f>
        <v>2363000</v>
      </c>
      <c r="J142" s="250">
        <f>J141+J140+J139+J138+J137+J128+J127+J111+J105+J88</f>
        <v>0</v>
      </c>
      <c r="K142" s="251">
        <f t="shared" si="20"/>
        <v>2363000</v>
      </c>
      <c r="L142" s="250">
        <f>L141+L140+L139+L138+L137+L128+L127+L111+L105+L88</f>
        <v>1800422</v>
      </c>
      <c r="M142" s="250">
        <f>M141+M140+M139+M138+M137+M128+M127+M111+M105+M88</f>
        <v>0</v>
      </c>
      <c r="N142" s="251">
        <f t="shared" si="21"/>
        <v>1800422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2373000</v>
      </c>
      <c r="D151" s="257">
        <f>D143+D142</f>
        <v>0</v>
      </c>
      <c r="E151" s="258">
        <f>SUM(C151:D151)</f>
        <v>2373000</v>
      </c>
      <c r="F151" s="250">
        <f>F143+F142</f>
        <v>2373000</v>
      </c>
      <c r="G151" s="257">
        <f>G143+G142</f>
        <v>0</v>
      </c>
      <c r="H151" s="258">
        <f>SUM(F151:G151)</f>
        <v>2373000</v>
      </c>
      <c r="I151" s="250">
        <f>I143+I142</f>
        <v>2363000</v>
      </c>
      <c r="J151" s="257">
        <f>J143+J142</f>
        <v>0</v>
      </c>
      <c r="K151" s="258">
        <f>SUM(I151:J151)</f>
        <v>2363000</v>
      </c>
      <c r="L151" s="250">
        <f>L143+L142</f>
        <v>1800422</v>
      </c>
      <c r="M151" s="257">
        <f>M143+M142</f>
        <v>0</v>
      </c>
      <c r="N151" s="258">
        <f>SUM(L151:M151)</f>
        <v>1800422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-1693000</v>
      </c>
      <c r="H153" s="148">
        <f>H85-H151</f>
        <v>-1693000</v>
      </c>
      <c r="K153" s="148">
        <f>K85-K151</f>
        <v>-1683000</v>
      </c>
      <c r="N153" s="148">
        <f>N85-N151</f>
        <v>-1080422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2" style="148" bestFit="1" customWidth="1"/>
    <col min="4" max="4" width="9.140625" style="148"/>
    <col min="5" max="5" width="12.7109375" style="148" bestFit="1" customWidth="1"/>
    <col min="6" max="6" width="12" style="148" bestFit="1" customWidth="1"/>
    <col min="7" max="7" width="9.140625" style="148"/>
    <col min="8" max="8" width="12.7109375" style="148" bestFit="1" customWidth="1"/>
    <col min="9" max="9" width="12" style="148" bestFit="1" customWidth="1"/>
    <col min="10" max="10" width="9.140625" style="148"/>
    <col min="11" max="11" width="12.7109375" style="148" bestFit="1" customWidth="1"/>
    <col min="12" max="12" width="12" style="148" bestFit="1" customWidth="1"/>
    <col min="13" max="13" width="9.140625" style="148"/>
    <col min="14" max="14" width="12.7109375" style="148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</row>
    <row r="4" spans="1:14" x14ac:dyDescent="0.25">
      <c r="A4" s="79" t="s">
        <v>270</v>
      </c>
      <c r="C4" s="45" t="str">
        <f>'7.18 háziorvos 072111'!C4</f>
        <v xml:space="preserve"> 12 / 2020. (VI.15) sz rendelet</v>
      </c>
    </row>
    <row r="5" spans="1:14" s="81" customFormat="1" ht="12.75" x14ac:dyDescent="0.2">
      <c r="A5" s="90" t="s">
        <v>365</v>
      </c>
      <c r="B5" s="81" t="s">
        <v>366</v>
      </c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</row>
    <row r="6" spans="1:14" x14ac:dyDescent="0.25">
      <c r="C6" s="713" t="s">
        <v>747</v>
      </c>
      <c r="D6" s="715" t="str">
        <f>'7.18 háziorvos 072111'!D6</f>
        <v xml:space="preserve"> melléklet az 12/2020. (VI.15.) rendelethez</v>
      </c>
      <c r="E6" s="715"/>
      <c r="F6" s="715"/>
      <c r="G6" s="715"/>
      <c r="H6" s="715"/>
      <c r="I6" s="918"/>
      <c r="J6" s="918"/>
      <c r="K6" s="918"/>
      <c r="L6" s="918"/>
      <c r="M6" s="918"/>
      <c r="N6" s="918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307" t="s">
        <v>32</v>
      </c>
      <c r="D8" s="308" t="s">
        <v>33</v>
      </c>
      <c r="E8" s="309" t="s">
        <v>21</v>
      </c>
      <c r="F8" s="307" t="s">
        <v>32</v>
      </c>
      <c r="G8" s="308" t="s">
        <v>33</v>
      </c>
      <c r="H8" s="309" t="s">
        <v>825</v>
      </c>
      <c r="I8" s="307" t="s">
        <v>32</v>
      </c>
      <c r="J8" s="308" t="s">
        <v>33</v>
      </c>
      <c r="K8" s="199" t="s">
        <v>864</v>
      </c>
      <c r="L8" s="307" t="s">
        <v>32</v>
      </c>
      <c r="M8" s="308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7224100</v>
      </c>
      <c r="D9" s="244">
        <f>SUM(D10,D17,D18,D20,D21,D19)</f>
        <v>0</v>
      </c>
      <c r="E9" s="245">
        <f t="shared" ref="E9:E73" si="0">SUM(C9:D9)</f>
        <v>7224100</v>
      </c>
      <c r="F9" s="244">
        <f>SUM(F10,F17,F18,F20,F21,F19)</f>
        <v>7224100</v>
      </c>
      <c r="G9" s="244">
        <f>SUM(G10,G17,G18,G20,G21,G19)</f>
        <v>0</v>
      </c>
      <c r="H9" s="245">
        <f t="shared" ref="H9:H73" si="1">SUM(F9:G9)</f>
        <v>7224100</v>
      </c>
      <c r="I9" s="244">
        <f>SUM(I10,I17,I18,I20,I21,I19)</f>
        <v>7224100</v>
      </c>
      <c r="J9" s="244">
        <f>SUM(J10,J17,J18,J20,J21,J19)</f>
        <v>0</v>
      </c>
      <c r="K9" s="245">
        <f t="shared" ref="K9:K73" si="2">SUM(I9:J9)</f>
        <v>7224100</v>
      </c>
      <c r="L9" s="244">
        <f>SUM(L10,L17,L18,L20,L21,L19)</f>
        <v>7240200</v>
      </c>
      <c r="M9" s="244">
        <f>SUM(M10,M17,M18,M20,M21,M19)</f>
        <v>0</v>
      </c>
      <c r="N9" s="245">
        <f t="shared" ref="N9:N73" si="3">SUM(L9:M9)</f>
        <v>7240200</v>
      </c>
    </row>
    <row r="10" spans="1:14" hidden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7224100</v>
      </c>
      <c r="D21" s="248"/>
      <c r="E21" s="249">
        <f t="shared" si="0"/>
        <v>7224100</v>
      </c>
      <c r="F21" s="248">
        <v>7224100</v>
      </c>
      <c r="G21" s="248"/>
      <c r="H21" s="249">
        <f t="shared" si="1"/>
        <v>7224100</v>
      </c>
      <c r="I21" s="248">
        <v>7224100</v>
      </c>
      <c r="J21" s="248"/>
      <c r="K21" s="249">
        <f t="shared" si="2"/>
        <v>7224100</v>
      </c>
      <c r="L21" s="248">
        <v>7240200</v>
      </c>
      <c r="M21" s="248"/>
      <c r="N21" s="249">
        <f t="shared" si="3"/>
        <v>7240200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71000</v>
      </c>
      <c r="M45" s="244">
        <f>M46+M47+M48+M49+M54+M55+M56+M57+M58+M59+M60</f>
        <v>0</v>
      </c>
      <c r="N45" s="245">
        <f t="shared" si="3"/>
        <v>71000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>
        <v>71000</v>
      </c>
      <c r="M47" s="246"/>
      <c r="N47" s="247">
        <f t="shared" si="3"/>
        <v>71000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7224100</v>
      </c>
      <c r="D73" s="250">
        <f>D9+D22+D25+D45+D61+D67+D70</f>
        <v>0</v>
      </c>
      <c r="E73" s="251">
        <f t="shared" si="0"/>
        <v>7224100</v>
      </c>
      <c r="F73" s="250">
        <f>F9+F22+F25+F45+F61+F67+F70</f>
        <v>7224100</v>
      </c>
      <c r="G73" s="250">
        <f>G9+G22+G25+G45+G61+G67+G70</f>
        <v>0</v>
      </c>
      <c r="H73" s="251">
        <f t="shared" si="1"/>
        <v>7224100</v>
      </c>
      <c r="I73" s="250">
        <f>I9+I22+I25+I45+I61+I67+I70</f>
        <v>7224100</v>
      </c>
      <c r="J73" s="250">
        <f>J9+J22+J25+J45+J61+J67+J70</f>
        <v>0</v>
      </c>
      <c r="K73" s="251">
        <f t="shared" si="2"/>
        <v>7224100</v>
      </c>
      <c r="L73" s="250">
        <f>L9+L22+L25+L45+L61+L67+L70</f>
        <v>7311200</v>
      </c>
      <c r="M73" s="250">
        <f>M9+M22+M25+M45+M61+M67+M70</f>
        <v>0</v>
      </c>
      <c r="N73" s="251">
        <f t="shared" si="3"/>
        <v>7311200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7224100</v>
      </c>
      <c r="D85" s="250">
        <f>D73+D74</f>
        <v>0</v>
      </c>
      <c r="E85" s="251">
        <f t="shared" si="4"/>
        <v>7224100</v>
      </c>
      <c r="F85" s="250">
        <f>F73+F74</f>
        <v>7224100</v>
      </c>
      <c r="G85" s="250">
        <f>G73+G74</f>
        <v>0</v>
      </c>
      <c r="H85" s="251">
        <f t="shared" si="12"/>
        <v>7224100</v>
      </c>
      <c r="I85" s="250">
        <f>I73+I74</f>
        <v>7224100</v>
      </c>
      <c r="J85" s="250">
        <f>J73+J74</f>
        <v>0</v>
      </c>
      <c r="K85" s="251">
        <f t="shared" si="13"/>
        <v>7224100</v>
      </c>
      <c r="L85" s="250">
        <f>L73+L74</f>
        <v>7311200</v>
      </c>
      <c r="M85" s="250">
        <f>M73+M74</f>
        <v>0</v>
      </c>
      <c r="N85" s="251">
        <f t="shared" si="14"/>
        <v>7311200</v>
      </c>
    </row>
    <row r="86" spans="1:14" x14ac:dyDescent="0.25">
      <c r="A86" s="58"/>
      <c r="B86" s="59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8177049</v>
      </c>
      <c r="D88" s="244">
        <f>D89+D101</f>
        <v>0</v>
      </c>
      <c r="E88" s="253">
        <f t="shared" ref="E88:E150" si="15">SUM(C88:D88)</f>
        <v>8177049</v>
      </c>
      <c r="F88" s="244">
        <f>F89+F101</f>
        <v>8177049</v>
      </c>
      <c r="G88" s="244">
        <f>G89+G101</f>
        <v>0</v>
      </c>
      <c r="H88" s="253">
        <f t="shared" ref="H88:H90" si="16">SUM(F88:G88)</f>
        <v>8177049</v>
      </c>
      <c r="I88" s="244">
        <f>I89+I101</f>
        <v>8320241</v>
      </c>
      <c r="J88" s="244">
        <f>J89+J101</f>
        <v>0</v>
      </c>
      <c r="K88" s="253">
        <f t="shared" ref="K88:K90" si="17">SUM(I88:J88)</f>
        <v>8320241</v>
      </c>
      <c r="L88" s="244">
        <f>L89+L101</f>
        <v>8319760</v>
      </c>
      <c r="M88" s="244">
        <f>M89+M101</f>
        <v>0</v>
      </c>
      <c r="N88" s="253">
        <f t="shared" ref="N88:N90" si="18">SUM(L88:M88)</f>
        <v>8319760</v>
      </c>
    </row>
    <row r="89" spans="1:14" x14ac:dyDescent="0.25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2636000</v>
      </c>
      <c r="G89" s="246">
        <f>SUM(G90:G100)</f>
        <v>0</v>
      </c>
      <c r="H89" s="247">
        <f t="shared" si="16"/>
        <v>2636000</v>
      </c>
      <c r="I89" s="246">
        <f>SUM(I90:I100)</f>
        <v>2636000</v>
      </c>
      <c r="J89" s="246">
        <f>SUM(J90:J100)</f>
        <v>0</v>
      </c>
      <c r="K89" s="247">
        <f t="shared" si="17"/>
        <v>2636000</v>
      </c>
      <c r="L89" s="246">
        <v>2635519</v>
      </c>
      <c r="M89" s="246">
        <f>SUM(M90:M100)</f>
        <v>0</v>
      </c>
      <c r="N89" s="247">
        <f t="shared" si="18"/>
        <v>2635519</v>
      </c>
    </row>
    <row r="90" spans="1:14" x14ac:dyDescent="0.25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x14ac:dyDescent="0.25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>
        <v>2636000</v>
      </c>
      <c r="G100" s="246"/>
      <c r="H100" s="247">
        <f t="shared" si="19"/>
        <v>2636000</v>
      </c>
      <c r="I100" s="246">
        <v>2636000</v>
      </c>
      <c r="J100" s="246"/>
      <c r="K100" s="247">
        <f t="shared" si="20"/>
        <v>2636000</v>
      </c>
      <c r="L100" s="246">
        <v>2635519</v>
      </c>
      <c r="M100" s="246"/>
      <c r="N100" s="247">
        <f t="shared" si="21"/>
        <v>2635519</v>
      </c>
    </row>
    <row r="101" spans="1:14" x14ac:dyDescent="0.25">
      <c r="A101" s="61" t="s">
        <v>183</v>
      </c>
      <c r="B101" s="62" t="s">
        <v>184</v>
      </c>
      <c r="C101" s="246">
        <f>SUM(C102:C104)</f>
        <v>8177049</v>
      </c>
      <c r="D101" s="246">
        <f>SUM(D102:D104)</f>
        <v>0</v>
      </c>
      <c r="E101" s="247">
        <f t="shared" si="15"/>
        <v>8177049</v>
      </c>
      <c r="F101" s="246">
        <f>SUM(F102:F104)</f>
        <v>5541049</v>
      </c>
      <c r="G101" s="246">
        <f>SUM(G102:G104)</f>
        <v>0</v>
      </c>
      <c r="H101" s="247">
        <f t="shared" si="19"/>
        <v>5541049</v>
      </c>
      <c r="I101" s="246">
        <f>SUM(I102:I104)</f>
        <v>5684241</v>
      </c>
      <c r="J101" s="246">
        <f>SUM(J102:J104)</f>
        <v>0</v>
      </c>
      <c r="K101" s="247">
        <f t="shared" si="20"/>
        <v>5684241</v>
      </c>
      <c r="L101" s="246">
        <f>SUM(L102:L104)</f>
        <v>5684241</v>
      </c>
      <c r="M101" s="246">
        <f>SUM(M102:M104)</f>
        <v>0</v>
      </c>
      <c r="N101" s="247">
        <f t="shared" si="21"/>
        <v>5684241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61" t="s">
        <v>187</v>
      </c>
      <c r="B103" s="62" t="s">
        <v>188</v>
      </c>
      <c r="C103" s="246">
        <v>8177049</v>
      </c>
      <c r="D103" s="246"/>
      <c r="E103" s="247">
        <f t="shared" si="15"/>
        <v>8177049</v>
      </c>
      <c r="F103" s="246">
        <f>8177049-2636000</f>
        <v>5541049</v>
      </c>
      <c r="G103" s="246"/>
      <c r="H103" s="247">
        <f t="shared" si="19"/>
        <v>5541049</v>
      </c>
      <c r="I103" s="246">
        <v>5684241</v>
      </c>
      <c r="J103" s="246"/>
      <c r="K103" s="247">
        <f t="shared" si="20"/>
        <v>5684241</v>
      </c>
      <c r="L103" s="246">
        <v>5684241</v>
      </c>
      <c r="M103" s="246"/>
      <c r="N103" s="247">
        <f t="shared" si="21"/>
        <v>5684241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1435072</v>
      </c>
      <c r="D105" s="244">
        <f>SUM(D106:D110)</f>
        <v>0</v>
      </c>
      <c r="E105" s="245">
        <f t="shared" si="15"/>
        <v>1435072</v>
      </c>
      <c r="F105" s="244">
        <f>SUM(F106:F110)</f>
        <v>1435072</v>
      </c>
      <c r="G105" s="244">
        <f>SUM(G106:G110)</f>
        <v>0</v>
      </c>
      <c r="H105" s="245">
        <f t="shared" si="19"/>
        <v>1435072</v>
      </c>
      <c r="I105" s="244">
        <f>SUM(I106:I110)</f>
        <v>1399265</v>
      </c>
      <c r="J105" s="244">
        <f>SUM(J106:J110)</f>
        <v>0</v>
      </c>
      <c r="K105" s="245">
        <f t="shared" si="20"/>
        <v>1399265</v>
      </c>
      <c r="L105" s="244">
        <f>SUM(L106:L110)</f>
        <v>1399265</v>
      </c>
      <c r="M105" s="244">
        <f>SUM(M106:M110)</f>
        <v>0</v>
      </c>
      <c r="N105" s="245">
        <f t="shared" si="21"/>
        <v>1399265</v>
      </c>
    </row>
    <row r="106" spans="1:14" ht="15.75" thickBot="1" x14ac:dyDescent="0.3">
      <c r="A106" s="61"/>
      <c r="B106" s="62" t="s">
        <v>193</v>
      </c>
      <c r="C106" s="246">
        <v>1435072</v>
      </c>
      <c r="D106" s="246"/>
      <c r="E106" s="247">
        <f t="shared" si="15"/>
        <v>1435072</v>
      </c>
      <c r="F106" s="246">
        <v>1435072</v>
      </c>
      <c r="G106" s="246"/>
      <c r="H106" s="247">
        <f t="shared" si="19"/>
        <v>1435072</v>
      </c>
      <c r="I106" s="246">
        <v>1399265</v>
      </c>
      <c r="J106" s="246"/>
      <c r="K106" s="247">
        <f t="shared" si="20"/>
        <v>1399265</v>
      </c>
      <c r="L106" s="246">
        <v>1399265</v>
      </c>
      <c r="M106" s="246"/>
      <c r="N106" s="247">
        <f t="shared" si="21"/>
        <v>1399265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22765000</v>
      </c>
      <c r="D111" s="244">
        <f>SUM(D112:D113,D114,D123,D122)</f>
        <v>0</v>
      </c>
      <c r="E111" s="245">
        <f t="shared" si="15"/>
        <v>22765000</v>
      </c>
      <c r="F111" s="244">
        <f>SUM(F112:F113,F114,F123,F122)</f>
        <v>22765000</v>
      </c>
      <c r="G111" s="244">
        <f>SUM(G112:G113,G114,G123,G122)</f>
        <v>0</v>
      </c>
      <c r="H111" s="245">
        <f t="shared" si="19"/>
        <v>22765000</v>
      </c>
      <c r="I111" s="244">
        <f>SUM(I112:I113,I114,I123,I122)</f>
        <v>22980000</v>
      </c>
      <c r="J111" s="244">
        <f>SUM(J112:J113,J114,J123,J122)</f>
        <v>0</v>
      </c>
      <c r="K111" s="245">
        <f t="shared" si="20"/>
        <v>22980000</v>
      </c>
      <c r="L111" s="244">
        <f>SUM(L112:L113,L114,L123,L122)</f>
        <v>22416534</v>
      </c>
      <c r="M111" s="244">
        <f>SUM(M112:M113,M114,M123,M122)</f>
        <v>0</v>
      </c>
      <c r="N111" s="245">
        <f t="shared" si="21"/>
        <v>22416534</v>
      </c>
    </row>
    <row r="112" spans="1:14" x14ac:dyDescent="0.25">
      <c r="A112" s="61" t="s">
        <v>199</v>
      </c>
      <c r="B112" s="62" t="s">
        <v>200</v>
      </c>
      <c r="C112" s="246">
        <v>800000</v>
      </c>
      <c r="D112" s="246"/>
      <c r="E112" s="247">
        <f t="shared" si="15"/>
        <v>800000</v>
      </c>
      <c r="F112" s="246">
        <v>800000</v>
      </c>
      <c r="G112" s="246"/>
      <c r="H112" s="247">
        <f t="shared" si="19"/>
        <v>800000</v>
      </c>
      <c r="I112" s="246">
        <v>800000</v>
      </c>
      <c r="J112" s="246"/>
      <c r="K112" s="247">
        <f t="shared" si="20"/>
        <v>800000</v>
      </c>
      <c r="L112" s="246">
        <v>973612</v>
      </c>
      <c r="M112" s="246"/>
      <c r="N112" s="247">
        <f t="shared" si="21"/>
        <v>973612</v>
      </c>
    </row>
    <row r="113" spans="1:14" x14ac:dyDescent="0.25">
      <c r="A113" s="61" t="s">
        <v>201</v>
      </c>
      <c r="B113" s="62" t="s">
        <v>202</v>
      </c>
      <c r="C113" s="246">
        <v>170000</v>
      </c>
      <c r="D113" s="246"/>
      <c r="E113" s="247">
        <f t="shared" si="15"/>
        <v>170000</v>
      </c>
      <c r="F113" s="246">
        <v>170000</v>
      </c>
      <c r="G113" s="246"/>
      <c r="H113" s="247">
        <f t="shared" si="19"/>
        <v>170000</v>
      </c>
      <c r="I113" s="246">
        <v>170000</v>
      </c>
      <c r="J113" s="246"/>
      <c r="K113" s="247">
        <f t="shared" si="20"/>
        <v>170000</v>
      </c>
      <c r="L113" s="246">
        <v>143919</v>
      </c>
      <c r="M113" s="246"/>
      <c r="N113" s="247">
        <f t="shared" si="21"/>
        <v>143919</v>
      </c>
    </row>
    <row r="114" spans="1:14" x14ac:dyDescent="0.25">
      <c r="A114" s="61" t="s">
        <v>203</v>
      </c>
      <c r="B114" s="62" t="s">
        <v>204</v>
      </c>
      <c r="C114" s="246">
        <f>SUM(C115:C121)</f>
        <v>21466000</v>
      </c>
      <c r="D114" s="246">
        <f>SUM(D115:D121)</f>
        <v>0</v>
      </c>
      <c r="E114" s="247">
        <f t="shared" si="15"/>
        <v>21466000</v>
      </c>
      <c r="F114" s="246">
        <f>SUM(F115:F121)</f>
        <v>21466000</v>
      </c>
      <c r="G114" s="246">
        <f>SUM(G115:G121)</f>
        <v>0</v>
      </c>
      <c r="H114" s="247">
        <f t="shared" si="19"/>
        <v>21466000</v>
      </c>
      <c r="I114" s="246">
        <f>SUM(I115:I121)</f>
        <v>21681000</v>
      </c>
      <c r="J114" s="246">
        <f>SUM(J115:J121)</f>
        <v>0</v>
      </c>
      <c r="K114" s="247">
        <f t="shared" si="20"/>
        <v>21681000</v>
      </c>
      <c r="L114" s="246">
        <f>SUM(L115:L121)</f>
        <v>21010708</v>
      </c>
      <c r="M114" s="246">
        <f>SUM(M115:M121)</f>
        <v>0</v>
      </c>
      <c r="N114" s="247">
        <f t="shared" si="21"/>
        <v>21010708</v>
      </c>
    </row>
    <row r="115" spans="1:14" x14ac:dyDescent="0.25">
      <c r="A115" s="61" t="s">
        <v>205</v>
      </c>
      <c r="B115" s="62" t="s">
        <v>206</v>
      </c>
      <c r="C115" s="246">
        <f>450000+71000</f>
        <v>521000</v>
      </c>
      <c r="D115" s="246"/>
      <c r="E115" s="247">
        <f t="shared" si="15"/>
        <v>521000</v>
      </c>
      <c r="F115" s="246">
        <f>450000+71000</f>
        <v>521000</v>
      </c>
      <c r="G115" s="246"/>
      <c r="H115" s="247">
        <f t="shared" si="19"/>
        <v>521000</v>
      </c>
      <c r="I115" s="246">
        <f>450000+71000</f>
        <v>521000</v>
      </c>
      <c r="J115" s="246"/>
      <c r="K115" s="247">
        <f t="shared" si="20"/>
        <v>521000</v>
      </c>
      <c r="L115" s="246">
        <v>195408</v>
      </c>
      <c r="M115" s="246"/>
      <c r="N115" s="247">
        <f t="shared" si="21"/>
        <v>195408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>
        <v>0</v>
      </c>
      <c r="D117" s="246"/>
      <c r="E117" s="247">
        <f t="shared" si="15"/>
        <v>0</v>
      </c>
      <c r="F117" s="246">
        <v>0</v>
      </c>
      <c r="G117" s="246"/>
      <c r="H117" s="247">
        <f t="shared" si="19"/>
        <v>0</v>
      </c>
      <c r="I117" s="246">
        <v>150000</v>
      </c>
      <c r="J117" s="246"/>
      <c r="K117" s="247">
        <f t="shared" si="20"/>
        <v>150000</v>
      </c>
      <c r="L117" s="246">
        <v>83313</v>
      </c>
      <c r="M117" s="246"/>
      <c r="N117" s="247">
        <f t="shared" si="21"/>
        <v>83313</v>
      </c>
    </row>
    <row r="118" spans="1:14" x14ac:dyDescent="0.25">
      <c r="A118" s="61" t="s">
        <v>211</v>
      </c>
      <c r="B118" s="62" t="s">
        <v>212</v>
      </c>
      <c r="C118" s="246">
        <v>140000</v>
      </c>
      <c r="D118" s="246"/>
      <c r="E118" s="247">
        <f t="shared" si="15"/>
        <v>140000</v>
      </c>
      <c r="F118" s="246">
        <v>140000</v>
      </c>
      <c r="G118" s="246"/>
      <c r="H118" s="247">
        <f t="shared" si="19"/>
        <v>140000</v>
      </c>
      <c r="I118" s="246">
        <v>200000</v>
      </c>
      <c r="J118" s="246"/>
      <c r="K118" s="247">
        <f t="shared" si="20"/>
        <v>200000</v>
      </c>
      <c r="L118" s="246">
        <v>154900</v>
      </c>
      <c r="M118" s="246"/>
      <c r="N118" s="247">
        <f t="shared" si="21"/>
        <v>154900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>
        <v>5000</v>
      </c>
      <c r="J119" s="246"/>
      <c r="K119" s="247">
        <f t="shared" si="20"/>
        <v>5000</v>
      </c>
      <c r="L119" s="246">
        <v>2974</v>
      </c>
      <c r="M119" s="246"/>
      <c r="N119" s="247">
        <f t="shared" si="21"/>
        <v>2974</v>
      </c>
    </row>
    <row r="120" spans="1:14" x14ac:dyDescent="0.25">
      <c r="A120" s="61" t="s">
        <v>215</v>
      </c>
      <c r="B120" s="62" t="s">
        <v>216</v>
      </c>
      <c r="C120" s="316">
        <f>19615000+1000000</f>
        <v>20615000</v>
      </c>
      <c r="D120" s="246"/>
      <c r="E120" s="247">
        <f t="shared" si="15"/>
        <v>20615000</v>
      </c>
      <c r="F120" s="316">
        <f>19615000+1000000</f>
        <v>20615000</v>
      </c>
      <c r="G120" s="246"/>
      <c r="H120" s="247">
        <f t="shared" si="19"/>
        <v>20615000</v>
      </c>
      <c r="I120" s="316">
        <f>19615000+1000000</f>
        <v>20615000</v>
      </c>
      <c r="J120" s="246"/>
      <c r="K120" s="247">
        <f t="shared" si="20"/>
        <v>20615000</v>
      </c>
      <c r="L120" s="316">
        <v>20402600</v>
      </c>
      <c r="M120" s="246"/>
      <c r="N120" s="247">
        <f t="shared" si="21"/>
        <v>20402600</v>
      </c>
    </row>
    <row r="121" spans="1:14" x14ac:dyDescent="0.25">
      <c r="A121" s="61" t="s">
        <v>217</v>
      </c>
      <c r="B121" s="62" t="s">
        <v>218</v>
      </c>
      <c r="C121" s="246">
        <v>190000</v>
      </c>
      <c r="D121" s="246"/>
      <c r="E121" s="247">
        <f t="shared" si="15"/>
        <v>190000</v>
      </c>
      <c r="F121" s="246">
        <v>190000</v>
      </c>
      <c r="G121" s="246"/>
      <c r="H121" s="247">
        <f t="shared" si="19"/>
        <v>190000</v>
      </c>
      <c r="I121" s="246">
        <v>190000</v>
      </c>
      <c r="J121" s="246"/>
      <c r="K121" s="247">
        <f t="shared" si="20"/>
        <v>190000</v>
      </c>
      <c r="L121" s="246">
        <v>171513</v>
      </c>
      <c r="M121" s="246"/>
      <c r="N121" s="247">
        <f t="shared" si="21"/>
        <v>171513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329000</v>
      </c>
      <c r="D123" s="246">
        <f>SUM(D124:D126)</f>
        <v>0</v>
      </c>
      <c r="E123" s="247">
        <f t="shared" si="15"/>
        <v>329000</v>
      </c>
      <c r="F123" s="246">
        <f>SUM(F124:F126)</f>
        <v>329000</v>
      </c>
      <c r="G123" s="246">
        <f>SUM(G124:G126)</f>
        <v>0</v>
      </c>
      <c r="H123" s="247">
        <f t="shared" si="19"/>
        <v>329000</v>
      </c>
      <c r="I123" s="246">
        <f>SUM(I124:I126)</f>
        <v>329000</v>
      </c>
      <c r="J123" s="246">
        <f>SUM(J124:J126)</f>
        <v>0</v>
      </c>
      <c r="K123" s="247">
        <f t="shared" si="20"/>
        <v>329000</v>
      </c>
      <c r="L123" s="246">
        <f>SUM(L124:L126)</f>
        <v>288295</v>
      </c>
      <c r="M123" s="246">
        <f>SUM(M124:M126)</f>
        <v>0</v>
      </c>
      <c r="N123" s="247">
        <f t="shared" si="21"/>
        <v>288295</v>
      </c>
    </row>
    <row r="124" spans="1:14" x14ac:dyDescent="0.25">
      <c r="A124" s="61"/>
      <c r="B124" s="62" t="s">
        <v>223</v>
      </c>
      <c r="C124" s="246">
        <f>310000+19000</f>
        <v>329000</v>
      </c>
      <c r="D124" s="246"/>
      <c r="E124" s="247">
        <f t="shared" si="15"/>
        <v>329000</v>
      </c>
      <c r="F124" s="246">
        <f>310000+19000</f>
        <v>329000</v>
      </c>
      <c r="G124" s="246"/>
      <c r="H124" s="247">
        <f t="shared" si="19"/>
        <v>329000</v>
      </c>
      <c r="I124" s="246">
        <f>310000+19000</f>
        <v>329000</v>
      </c>
      <c r="J124" s="246"/>
      <c r="K124" s="247">
        <f t="shared" si="20"/>
        <v>329000</v>
      </c>
      <c r="L124" s="246">
        <v>288295</v>
      </c>
      <c r="M124" s="246"/>
      <c r="N124" s="247">
        <f t="shared" si="21"/>
        <v>288295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32377121</v>
      </c>
      <c r="D142" s="250">
        <f>D141+D140+D139+D138+D137+D128+D127+D111+D105+D88</f>
        <v>0</v>
      </c>
      <c r="E142" s="251">
        <f t="shared" si="15"/>
        <v>32377121</v>
      </c>
      <c r="F142" s="250">
        <f>F141+F140+F139+F138+F137+F128+F127+F111+F105+F88</f>
        <v>32377121</v>
      </c>
      <c r="G142" s="250">
        <f>G141+G140+G139+G138+G137+G128+G127+G111+G105+G88</f>
        <v>0</v>
      </c>
      <c r="H142" s="251">
        <f t="shared" si="19"/>
        <v>32377121</v>
      </c>
      <c r="I142" s="250">
        <f>I141+I140+I139+I138+I137+I128+I127+I111+I105+I88</f>
        <v>32699506</v>
      </c>
      <c r="J142" s="250">
        <f>J141+J140+J139+J138+J137+J128+J127+J111+J105+J88</f>
        <v>0</v>
      </c>
      <c r="K142" s="251">
        <f t="shared" si="20"/>
        <v>32699506</v>
      </c>
      <c r="L142" s="250">
        <f>L141+L140+L139+L138+L137+L128+L127+L111+L105+L88</f>
        <v>32135559</v>
      </c>
      <c r="M142" s="250">
        <f>M141+M140+M139+M138+M137+M128+M127+M111+M105+M88</f>
        <v>0</v>
      </c>
      <c r="N142" s="251">
        <f t="shared" si="21"/>
        <v>32135559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32377121</v>
      </c>
      <c r="D151" s="257">
        <f>D143+D142</f>
        <v>0</v>
      </c>
      <c r="E151" s="258">
        <f>SUM(C151:D151)</f>
        <v>32377121</v>
      </c>
      <c r="F151" s="250">
        <f>F143+F142</f>
        <v>32377121</v>
      </c>
      <c r="G151" s="257">
        <f>G143+G142</f>
        <v>0</v>
      </c>
      <c r="H151" s="258">
        <f>SUM(F151:G151)</f>
        <v>32377121</v>
      </c>
      <c r="I151" s="250">
        <f>I143+I142</f>
        <v>32699506</v>
      </c>
      <c r="J151" s="257">
        <f>J143+J142</f>
        <v>0</v>
      </c>
      <c r="K151" s="258">
        <f>SUM(I151:J151)</f>
        <v>32699506</v>
      </c>
      <c r="L151" s="250">
        <f>L143+L142</f>
        <v>32135559</v>
      </c>
      <c r="M151" s="257">
        <f>M143+M142</f>
        <v>0</v>
      </c>
      <c r="N151" s="258">
        <f>SUM(L151:M151)</f>
        <v>32135559</v>
      </c>
    </row>
    <row r="152" spans="1:14" x14ac:dyDescent="0.25">
      <c r="D152" s="310"/>
      <c r="E152" s="310"/>
      <c r="G152" s="310"/>
      <c r="H152" s="310"/>
      <c r="J152" s="310"/>
      <c r="K152" s="310"/>
      <c r="M152" s="310"/>
      <c r="N152" s="310"/>
    </row>
    <row r="153" spans="1:14" x14ac:dyDescent="0.25">
      <c r="E153" s="148">
        <f>E85-E151</f>
        <v>-25153021</v>
      </c>
      <c r="H153" s="148">
        <f>H85-H151</f>
        <v>-25153021</v>
      </c>
      <c r="K153" s="148">
        <f>K85-K151</f>
        <v>-25475406</v>
      </c>
      <c r="N153" s="148">
        <f>N85-N151</f>
        <v>-24824359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8" fitToHeight="0" orientation="portrait" horizontalDpi="300" verticalDpi="300" r:id="rId1"/>
  <headerFooter>
    <oddFooter>&amp;R&amp;P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4" width="10.85546875" style="44" bestFit="1" customWidth="1"/>
    <col min="5" max="5" width="11.5703125" style="44" bestFit="1" customWidth="1"/>
    <col min="6" max="7" width="10.85546875" style="179" bestFit="1" customWidth="1"/>
    <col min="8" max="8" width="11.5703125" style="179" bestFit="1" customWidth="1"/>
    <col min="9" max="10" width="10.85546875" style="179" bestFit="1" customWidth="1"/>
    <col min="11" max="11" width="11.5703125" style="179" bestFit="1" customWidth="1"/>
    <col min="12" max="13" width="10.85546875" style="179" bestFit="1" customWidth="1"/>
    <col min="14" max="14" width="11.5703125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'7.19 ügyelet 072112'!C4</f>
        <v xml:space="preserve"> 12 / 2020. (VI.15) sz rendelet</v>
      </c>
    </row>
    <row r="5" spans="1:14" s="81" customFormat="1" ht="12.75" x14ac:dyDescent="0.2">
      <c r="A5" s="90" t="s">
        <v>367</v>
      </c>
      <c r="B5" s="81" t="s">
        <v>368</v>
      </c>
    </row>
    <row r="6" spans="1:14" x14ac:dyDescent="0.25">
      <c r="C6" s="713" t="s">
        <v>748</v>
      </c>
      <c r="D6" s="715" t="str">
        <f>'7.19 ügyelet 072112'!D6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6750</v>
      </c>
      <c r="K88" s="253">
        <f t="shared" ref="K88:K90" si="17">SUM(I88:J88)</f>
        <v>6750</v>
      </c>
      <c r="L88" s="244">
        <f>L89+L101</f>
        <v>0</v>
      </c>
      <c r="M88" s="244">
        <f>M89+M101</f>
        <v>6750</v>
      </c>
      <c r="N88" s="253">
        <f t="shared" ref="N88:N90" si="18">SUM(L88:M88)</f>
        <v>6750</v>
      </c>
    </row>
    <row r="89" spans="1:14" x14ac:dyDescent="0.25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x14ac:dyDescent="0.25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19" si="21">SUM(L92:M92)</f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x14ac:dyDescent="0.25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x14ac:dyDescent="0.25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6750</v>
      </c>
      <c r="K101" s="247">
        <f t="shared" si="20"/>
        <v>6750</v>
      </c>
      <c r="L101" s="246">
        <f>SUM(L102:L104)</f>
        <v>0</v>
      </c>
      <c r="M101" s="246">
        <f>SUM(M102:M104)</f>
        <v>6750</v>
      </c>
      <c r="N101" s="247">
        <f t="shared" si="21"/>
        <v>6750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>
        <v>6750</v>
      </c>
      <c r="K104" s="249">
        <f t="shared" si="20"/>
        <v>6750</v>
      </c>
      <c r="L104" s="248"/>
      <c r="M104" s="248">
        <v>6750</v>
      </c>
      <c r="N104" s="249">
        <f t="shared" si="21"/>
        <v>6750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1250000</v>
      </c>
      <c r="E111" s="245">
        <f t="shared" si="15"/>
        <v>1250000</v>
      </c>
      <c r="F111" s="244">
        <f>SUM(F112:F113,F114,F123,F122)</f>
        <v>0</v>
      </c>
      <c r="G111" s="244">
        <f>SUM(G112:G113,G114,G123,G122)</f>
        <v>1250000</v>
      </c>
      <c r="H111" s="245">
        <f t="shared" si="19"/>
        <v>1250000</v>
      </c>
      <c r="I111" s="244">
        <f>SUM(I112:I113,I114,I123,I122)</f>
        <v>1200000</v>
      </c>
      <c r="J111" s="244">
        <f>SUM(J112:J113,J114,J123,J122)</f>
        <v>1265000</v>
      </c>
      <c r="K111" s="245">
        <f t="shared" si="20"/>
        <v>2465000</v>
      </c>
      <c r="L111" s="244">
        <f>SUM(L112:L113,L114,L123,L122)</f>
        <v>0</v>
      </c>
      <c r="M111" s="244">
        <f>SUM(M112:M113,M114,M123,M122)</f>
        <v>1227546</v>
      </c>
      <c r="N111" s="245">
        <f t="shared" si="21"/>
        <v>1227546</v>
      </c>
    </row>
    <row r="112" spans="1:14" x14ac:dyDescent="0.25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>
        <v>15000</v>
      </c>
      <c r="K112" s="247">
        <f t="shared" si="20"/>
        <v>15000</v>
      </c>
      <c r="L112" s="246"/>
      <c r="M112" s="246">
        <v>14769</v>
      </c>
      <c r="N112" s="247">
        <f t="shared" si="21"/>
        <v>14769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61" t="s">
        <v>203</v>
      </c>
      <c r="B114" s="62" t="s">
        <v>204</v>
      </c>
      <c r="C114" s="246"/>
      <c r="D114" s="246">
        <f>SUM(D115:D121)</f>
        <v>1239370</v>
      </c>
      <c r="E114" s="247">
        <f t="shared" si="15"/>
        <v>1239370</v>
      </c>
      <c r="F114" s="246"/>
      <c r="G114" s="246">
        <f>SUM(G115:G121)</f>
        <v>1239370</v>
      </c>
      <c r="H114" s="247">
        <f t="shared" si="19"/>
        <v>1239370</v>
      </c>
      <c r="I114" s="246">
        <f>SUM(I115:I121)</f>
        <v>1200000</v>
      </c>
      <c r="J114" s="246">
        <f>SUM(J115:J121)</f>
        <v>1239370</v>
      </c>
      <c r="K114" s="247">
        <f t="shared" si="20"/>
        <v>2439370</v>
      </c>
      <c r="L114" s="246">
        <f>SUM(L115:L121)</f>
        <v>0</v>
      </c>
      <c r="M114" s="246">
        <f>SUM(M115:M121)</f>
        <v>1207323</v>
      </c>
      <c r="N114" s="247">
        <f t="shared" si="21"/>
        <v>1207323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61" t="s">
        <v>215</v>
      </c>
      <c r="B120" s="62" t="s">
        <v>216</v>
      </c>
      <c r="C120" s="246">
        <f>1080000+120000</f>
        <v>1200000</v>
      </c>
      <c r="D120" s="246">
        <v>1200000</v>
      </c>
      <c r="E120" s="247">
        <f t="shared" si="15"/>
        <v>2400000</v>
      </c>
      <c r="F120" s="246">
        <f>1080000+120000</f>
        <v>1200000</v>
      </c>
      <c r="G120" s="246">
        <v>1200000</v>
      </c>
      <c r="H120" s="247">
        <f t="shared" si="19"/>
        <v>2400000</v>
      </c>
      <c r="I120" s="246">
        <v>1200000</v>
      </c>
      <c r="J120" s="246">
        <v>1200000</v>
      </c>
      <c r="K120" s="247">
        <f>SUM(I120:J120)</f>
        <v>2400000</v>
      </c>
      <c r="L120" s="246"/>
      <c r="M120" s="246">
        <v>1190000</v>
      </c>
      <c r="N120" s="247">
        <f>SUM(L120:M120)</f>
        <v>1190000</v>
      </c>
    </row>
    <row r="121" spans="1:14" x14ac:dyDescent="0.25">
      <c r="A121" s="61" t="s">
        <v>217</v>
      </c>
      <c r="B121" s="62" t="s">
        <v>218</v>
      </c>
      <c r="C121" s="246"/>
      <c r="D121" s="246">
        <v>39370</v>
      </c>
      <c r="E121" s="247">
        <f t="shared" si="15"/>
        <v>39370</v>
      </c>
      <c r="F121" s="246"/>
      <c r="G121" s="246">
        <v>39370</v>
      </c>
      <c r="H121" s="247">
        <f t="shared" si="19"/>
        <v>39370</v>
      </c>
      <c r="I121" s="246"/>
      <c r="J121" s="246">
        <v>39370</v>
      </c>
      <c r="K121" s="247">
        <f t="shared" si="20"/>
        <v>39370</v>
      </c>
      <c r="L121" s="246"/>
      <c r="M121" s="246">
        <v>17323</v>
      </c>
      <c r="N121" s="247">
        <f t="shared" ref="N121:N145" si="22">SUM(L121:M121)</f>
        <v>17323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2"/>
        <v>0</v>
      </c>
    </row>
    <row r="123" spans="1:14" x14ac:dyDescent="0.25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10630</v>
      </c>
      <c r="E123" s="247">
        <f t="shared" si="15"/>
        <v>10630</v>
      </c>
      <c r="F123" s="246">
        <f>SUM(F124:F126)</f>
        <v>0</v>
      </c>
      <c r="G123" s="246">
        <f>SUM(G124:G126)</f>
        <v>10630</v>
      </c>
      <c r="H123" s="247">
        <f t="shared" si="19"/>
        <v>10630</v>
      </c>
      <c r="I123" s="246">
        <f>SUM(I124:I126)</f>
        <v>0</v>
      </c>
      <c r="J123" s="246">
        <f>SUM(J124:J126)</f>
        <v>10630</v>
      </c>
      <c r="K123" s="247">
        <f t="shared" si="20"/>
        <v>10630</v>
      </c>
      <c r="L123" s="246">
        <f>SUM(L124:L126)</f>
        <v>0</v>
      </c>
      <c r="M123" s="246">
        <f>SUM(M124:M126)</f>
        <v>5454</v>
      </c>
      <c r="N123" s="247">
        <f t="shared" si="22"/>
        <v>5454</v>
      </c>
    </row>
    <row r="124" spans="1:14" x14ac:dyDescent="0.25">
      <c r="A124" s="61"/>
      <c r="B124" s="62" t="s">
        <v>223</v>
      </c>
      <c r="C124" s="246"/>
      <c r="D124" s="246">
        <v>10630</v>
      </c>
      <c r="E124" s="247">
        <f t="shared" si="15"/>
        <v>10630</v>
      </c>
      <c r="F124" s="246"/>
      <c r="G124" s="246">
        <v>10630</v>
      </c>
      <c r="H124" s="247">
        <f t="shared" si="19"/>
        <v>10630</v>
      </c>
      <c r="I124" s="246"/>
      <c r="J124" s="246">
        <v>10630</v>
      </c>
      <c r="K124" s="247">
        <f t="shared" si="20"/>
        <v>10630</v>
      </c>
      <c r="L124" s="246"/>
      <c r="M124" s="246">
        <v>5454</v>
      </c>
      <c r="N124" s="247">
        <f t="shared" si="22"/>
        <v>5454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2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2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2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2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2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2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2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2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2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2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2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2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2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2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2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2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0</v>
      </c>
      <c r="D142" s="250">
        <f>D141+D140+D139+D138+D137+D128+D127+D111+D105+D88</f>
        <v>1250000</v>
      </c>
      <c r="E142" s="251">
        <f t="shared" si="15"/>
        <v>1250000</v>
      </c>
      <c r="F142" s="250">
        <f>F141+F140+F139+F138+F137+F128+F127+F111+F105+F88</f>
        <v>0</v>
      </c>
      <c r="G142" s="250">
        <f>G141+G140+G139+G138+G137+G128+G127+G111+G105+G88</f>
        <v>1250000</v>
      </c>
      <c r="H142" s="251">
        <f t="shared" si="19"/>
        <v>1250000</v>
      </c>
      <c r="I142" s="250">
        <f>I141+I140+I139+I138+I137+I128+I127+I111+I105+I88</f>
        <v>1200000</v>
      </c>
      <c r="J142" s="250">
        <f>J141+J140+J139+J138+J137+J128+J127+J111+J105+J88</f>
        <v>1271750</v>
      </c>
      <c r="K142" s="251">
        <f t="shared" si="20"/>
        <v>2471750</v>
      </c>
      <c r="L142" s="250">
        <f>L141+L140+L139+L138+L137+L128+L127+L111+L105+L88</f>
        <v>0</v>
      </c>
      <c r="M142" s="250">
        <f>M141+M140+M139+M138+M137+M128+M127+M111+M105+M88</f>
        <v>1234296</v>
      </c>
      <c r="N142" s="251">
        <f t="shared" si="22"/>
        <v>1234296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2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2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2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3">SUM(F147:G147)</f>
        <v>0</v>
      </c>
      <c r="I147" s="246"/>
      <c r="J147" s="246"/>
      <c r="K147" s="247">
        <f t="shared" ref="K147:K150" si="24">SUM(I147:J147)</f>
        <v>0</v>
      </c>
      <c r="L147" s="246"/>
      <c r="M147" s="246"/>
      <c r="N147" s="247">
        <f t="shared" ref="N147:N150" si="25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3"/>
        <v>0</v>
      </c>
      <c r="I148" s="246"/>
      <c r="J148" s="246"/>
      <c r="K148" s="247">
        <f t="shared" si="24"/>
        <v>0</v>
      </c>
      <c r="L148" s="246"/>
      <c r="M148" s="246"/>
      <c r="N148" s="247">
        <f t="shared" si="25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3"/>
        <v>0</v>
      </c>
      <c r="I149" s="246"/>
      <c r="J149" s="246"/>
      <c r="K149" s="247">
        <f t="shared" si="24"/>
        <v>0</v>
      </c>
      <c r="L149" s="246"/>
      <c r="M149" s="246"/>
      <c r="N149" s="247">
        <f t="shared" si="25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3"/>
        <v>0</v>
      </c>
      <c r="I150" s="256"/>
      <c r="J150" s="248"/>
      <c r="K150" s="249">
        <f t="shared" si="24"/>
        <v>0</v>
      </c>
      <c r="L150" s="256"/>
      <c r="M150" s="248"/>
      <c r="N150" s="249">
        <f t="shared" si="25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0</v>
      </c>
      <c r="D151" s="257">
        <f>D143+D142</f>
        <v>1250000</v>
      </c>
      <c r="E151" s="258">
        <f>SUM(C151:D151)</f>
        <v>1250000</v>
      </c>
      <c r="F151" s="250">
        <f>F143+F142</f>
        <v>0</v>
      </c>
      <c r="G151" s="257">
        <f>G143+G142</f>
        <v>1250000</v>
      </c>
      <c r="H151" s="258">
        <f>SUM(F151:G151)</f>
        <v>1250000</v>
      </c>
      <c r="I151" s="330">
        <f>I143+I142</f>
        <v>1200000</v>
      </c>
      <c r="J151" s="257">
        <f>J143+J142</f>
        <v>1271750</v>
      </c>
      <c r="K151" s="258">
        <f>SUM(I151:J151)</f>
        <v>2471750</v>
      </c>
      <c r="L151" s="330">
        <f>L143+L142</f>
        <v>0</v>
      </c>
      <c r="M151" s="257">
        <f>M143+M142</f>
        <v>1234296</v>
      </c>
      <c r="N151" s="258">
        <f>SUM(L151:M151)</f>
        <v>1234296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-1250000</v>
      </c>
      <c r="H153" s="148">
        <f>H85-H151</f>
        <v>-1250000</v>
      </c>
      <c r="K153" s="148">
        <f>K85-K151</f>
        <v>-2471750</v>
      </c>
      <c r="N153" s="148">
        <f>N85-N151</f>
        <v>-1234296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8" fitToHeight="0" orientation="portrait" horizontalDpi="300" verticalDpi="300" r:id="rId1"/>
  <headerFooter>
    <oddFooter>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N153"/>
  <sheetViews>
    <sheetView zoomScaleNormal="100" workbookViewId="0">
      <pane ySplit="8" topLeftCell="A121" activePane="bottomLeft" state="frozen"/>
      <selection activeCell="AB159" sqref="AB159"/>
      <selection pane="bottomLeft" activeCell="L126" sqref="L126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2" style="148" bestFit="1" customWidth="1"/>
    <col min="4" max="4" width="9.140625" style="148"/>
    <col min="5" max="6" width="12" style="148" bestFit="1" customWidth="1"/>
    <col min="7" max="7" width="9.140625" style="148"/>
    <col min="8" max="9" width="12" style="148" bestFit="1" customWidth="1"/>
    <col min="10" max="10" width="9.140625" style="148"/>
    <col min="11" max="12" width="12" style="148" bestFit="1" customWidth="1"/>
    <col min="13" max="13" width="9.140625" style="148"/>
    <col min="14" max="14" width="12" style="148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</row>
    <row r="4" spans="1:14" x14ac:dyDescent="0.25">
      <c r="A4" s="79" t="s">
        <v>270</v>
      </c>
      <c r="C4" s="45" t="str">
        <f>'7.20 fülészet 072210'!C4</f>
        <v xml:space="preserve"> 12 / 2020. (VI.15) sz rendelet</v>
      </c>
    </row>
    <row r="5" spans="1:14" s="81" customFormat="1" ht="12.75" x14ac:dyDescent="0.2">
      <c r="A5" s="90" t="s">
        <v>369</v>
      </c>
      <c r="B5" s="81" t="s">
        <v>13</v>
      </c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</row>
    <row r="6" spans="1:14" x14ac:dyDescent="0.25">
      <c r="C6" s="713" t="s">
        <v>749</v>
      </c>
      <c r="D6" s="715" t="str">
        <f>'7.20 fülészet 072210'!D6</f>
        <v xml:space="preserve"> melléklet az 12/2020. (VI.15.) rendelethez</v>
      </c>
      <c r="E6" s="715"/>
      <c r="F6" s="715"/>
      <c r="G6" s="715"/>
      <c r="H6" s="715"/>
      <c r="I6" s="918"/>
      <c r="J6" s="918"/>
      <c r="K6" s="918"/>
      <c r="L6" s="918"/>
      <c r="M6" s="918"/>
      <c r="N6" s="918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307" t="s">
        <v>32</v>
      </c>
      <c r="D8" s="308" t="s">
        <v>33</v>
      </c>
      <c r="E8" s="309" t="s">
        <v>21</v>
      </c>
      <c r="F8" s="307" t="s">
        <v>32</v>
      </c>
      <c r="G8" s="308" t="s">
        <v>33</v>
      </c>
      <c r="H8" s="309" t="s">
        <v>825</v>
      </c>
      <c r="I8" s="307" t="s">
        <v>32</v>
      </c>
      <c r="J8" s="308" t="s">
        <v>33</v>
      </c>
      <c r="K8" s="199" t="s">
        <v>864</v>
      </c>
      <c r="L8" s="307" t="s">
        <v>32</v>
      </c>
      <c r="M8" s="308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10409100</v>
      </c>
      <c r="D9" s="244">
        <f>SUM(D10,D17,D18,D20,D21,D19)</f>
        <v>0</v>
      </c>
      <c r="E9" s="245">
        <f t="shared" ref="E9:E73" si="0">SUM(C9:D9)</f>
        <v>10409100</v>
      </c>
      <c r="F9" s="244">
        <f>SUM(F10,F17,F18,F20,F21,F19)</f>
        <v>11896600</v>
      </c>
      <c r="G9" s="244">
        <f>SUM(G10,G17,G18,G20,G21,G19)</f>
        <v>0</v>
      </c>
      <c r="H9" s="245">
        <f t="shared" ref="H9:H73" si="1">SUM(F9:G9)</f>
        <v>11896600</v>
      </c>
      <c r="I9" s="244">
        <f>SUM(I10,I17,I18,I20,I21,I19)</f>
        <v>11639900</v>
      </c>
      <c r="J9" s="244">
        <f>SUM(J10,J17,J18,J20,J21,J19)</f>
        <v>0</v>
      </c>
      <c r="K9" s="245">
        <f t="shared" ref="K9:K73" si="2">SUM(I9:J9)</f>
        <v>11639900</v>
      </c>
      <c r="L9" s="244">
        <f>SUM(L10,L17,L18,L20,L21,L19)</f>
        <v>11639900</v>
      </c>
      <c r="M9" s="244">
        <f>SUM(M10,M17,M18,M20,M21,M19)</f>
        <v>0</v>
      </c>
      <c r="N9" s="245">
        <f t="shared" ref="N9:N73" si="3">SUM(L9:M9)</f>
        <v>11639900</v>
      </c>
    </row>
    <row r="10" spans="1:14" hidden="1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thickBot="1" x14ac:dyDescent="0.3">
      <c r="A21" s="55" t="s">
        <v>65</v>
      </c>
      <c r="B21" s="64" t="s">
        <v>66</v>
      </c>
      <c r="C21" s="248">
        <v>10409100</v>
      </c>
      <c r="D21" s="248"/>
      <c r="E21" s="249">
        <f t="shared" si="0"/>
        <v>10409100</v>
      </c>
      <c r="F21" s="248">
        <f>10409100+1487500</f>
        <v>11896600</v>
      </c>
      <c r="G21" s="248"/>
      <c r="H21" s="249">
        <f t="shared" si="1"/>
        <v>11896600</v>
      </c>
      <c r="I21" s="248">
        <v>11639900</v>
      </c>
      <c r="J21" s="248"/>
      <c r="K21" s="249">
        <f t="shared" si="2"/>
        <v>11639900</v>
      </c>
      <c r="L21" s="248">
        <v>11639900</v>
      </c>
      <c r="M21" s="248"/>
      <c r="N21" s="249">
        <f t="shared" si="3"/>
        <v>11639900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11200</v>
      </c>
      <c r="M45" s="244">
        <f>M46+M47+M48+M49+M54+M55+M56+M57+M58+M59+M60</f>
        <v>0</v>
      </c>
      <c r="N45" s="245">
        <f t="shared" si="3"/>
        <v>11200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>
        <v>11200</v>
      </c>
      <c r="M47" s="246"/>
      <c r="N47" s="247">
        <f t="shared" si="3"/>
        <v>11200</v>
      </c>
    </row>
    <row r="48" spans="1:14" x14ac:dyDescent="0.25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x14ac:dyDescent="0.25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10409100</v>
      </c>
      <c r="D73" s="250">
        <f>D9+D22+D25+D45+D61+D67+D70</f>
        <v>0</v>
      </c>
      <c r="E73" s="251">
        <f t="shared" si="0"/>
        <v>10409100</v>
      </c>
      <c r="F73" s="250">
        <f>F9+F22+F25+F45+F61+F67+F70</f>
        <v>11896600</v>
      </c>
      <c r="G73" s="250">
        <f>G9+G22+G25+G45+G61+G67+G70</f>
        <v>0</v>
      </c>
      <c r="H73" s="251">
        <f t="shared" si="1"/>
        <v>11896600</v>
      </c>
      <c r="I73" s="250">
        <f>I9+I22+I25+I45+I61+I67+I70</f>
        <v>11639900</v>
      </c>
      <c r="J73" s="250">
        <f>J9+J22+J25+J45+J61+J67+J70</f>
        <v>0</v>
      </c>
      <c r="K73" s="251">
        <f t="shared" si="2"/>
        <v>11639900</v>
      </c>
      <c r="L73" s="250">
        <f>L9+L22+L25+L45+L61+L67+L70</f>
        <v>11651100</v>
      </c>
      <c r="M73" s="250">
        <f>M9+M22+M25+M45+M61+M67+M70</f>
        <v>0</v>
      </c>
      <c r="N73" s="251">
        <f t="shared" si="3"/>
        <v>11651100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10409100</v>
      </c>
      <c r="D85" s="250">
        <f>D73+D74</f>
        <v>0</v>
      </c>
      <c r="E85" s="251">
        <f t="shared" si="4"/>
        <v>10409100</v>
      </c>
      <c r="F85" s="250">
        <f>F73+F74</f>
        <v>11896600</v>
      </c>
      <c r="G85" s="250">
        <f>G73+G74</f>
        <v>0</v>
      </c>
      <c r="H85" s="251">
        <f t="shared" si="12"/>
        <v>11896600</v>
      </c>
      <c r="I85" s="250">
        <f>I73+I74</f>
        <v>11639900</v>
      </c>
      <c r="J85" s="250">
        <f>J73+J74</f>
        <v>0</v>
      </c>
      <c r="K85" s="251">
        <f t="shared" si="13"/>
        <v>11639900</v>
      </c>
      <c r="L85" s="250">
        <f>L73+L74</f>
        <v>11651100</v>
      </c>
      <c r="M85" s="250">
        <f>M73+M74</f>
        <v>0</v>
      </c>
      <c r="N85" s="251">
        <f t="shared" si="14"/>
        <v>11651100</v>
      </c>
    </row>
    <row r="86" spans="1:14" x14ac:dyDescent="0.25">
      <c r="A86" s="58"/>
      <c r="B86" s="59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7997132</v>
      </c>
      <c r="D88" s="244">
        <f>D89+D101</f>
        <v>0</v>
      </c>
      <c r="E88" s="253">
        <f t="shared" ref="E88:E150" si="15">SUM(C88:D88)</f>
        <v>7997132</v>
      </c>
      <c r="F88" s="244">
        <f>F89+F101</f>
        <v>9263089</v>
      </c>
      <c r="G88" s="244">
        <f>G89+G101</f>
        <v>0</v>
      </c>
      <c r="H88" s="253">
        <f t="shared" ref="H88:H90" si="16">SUM(F88:G88)</f>
        <v>9263089</v>
      </c>
      <c r="I88" s="244">
        <f>I89+I101</f>
        <v>8917172</v>
      </c>
      <c r="J88" s="244">
        <f>J89+J101</f>
        <v>0</v>
      </c>
      <c r="K88" s="253">
        <f t="shared" ref="K88:K91" si="17">SUM(I88:J88)</f>
        <v>8917172</v>
      </c>
      <c r="L88" s="244">
        <f>L89+L101</f>
        <v>8867047</v>
      </c>
      <c r="M88" s="244">
        <f>M89+M101</f>
        <v>0</v>
      </c>
      <c r="N88" s="253">
        <f t="shared" ref="N88:N91" si="18">SUM(L88:M88)</f>
        <v>8867047</v>
      </c>
    </row>
    <row r="89" spans="1:14" x14ac:dyDescent="0.25">
      <c r="A89" s="61" t="s">
        <v>161</v>
      </c>
      <c r="B89" s="62" t="s">
        <v>162</v>
      </c>
      <c r="C89" s="246">
        <f>SUM(C90:C100)</f>
        <v>7997132</v>
      </c>
      <c r="D89" s="246">
        <f>SUM(D90:D100)</f>
        <v>0</v>
      </c>
      <c r="E89" s="247">
        <f t="shared" si="15"/>
        <v>7997132</v>
      </c>
      <c r="F89" s="246">
        <f>SUM(F90:F100)</f>
        <v>9263089</v>
      </c>
      <c r="G89" s="246">
        <f>SUM(G90:G100)</f>
        <v>0</v>
      </c>
      <c r="H89" s="247">
        <f t="shared" si="16"/>
        <v>9263089</v>
      </c>
      <c r="I89" s="246">
        <f>SUM(I90:I100)</f>
        <v>8917172</v>
      </c>
      <c r="J89" s="246">
        <f>SUM(J90:J100)</f>
        <v>0</v>
      </c>
      <c r="K89" s="247">
        <f t="shared" si="17"/>
        <v>8917172</v>
      </c>
      <c r="L89" s="246">
        <f>SUM(L90:L100)</f>
        <v>8867047</v>
      </c>
      <c r="M89" s="246">
        <f>SUM(M90:M100)</f>
        <v>0</v>
      </c>
      <c r="N89" s="247">
        <f t="shared" si="18"/>
        <v>8867047</v>
      </c>
    </row>
    <row r="90" spans="1:14" x14ac:dyDescent="0.25">
      <c r="A90" s="61" t="s">
        <v>163</v>
      </c>
      <c r="B90" s="62" t="s">
        <v>164</v>
      </c>
      <c r="C90" s="246">
        <f>8115576-498444</f>
        <v>7617132</v>
      </c>
      <c r="D90" s="246"/>
      <c r="E90" s="247">
        <f t="shared" si="15"/>
        <v>7617132</v>
      </c>
      <c r="F90" s="246">
        <f>8115576-498444+1265957</f>
        <v>8883089</v>
      </c>
      <c r="G90" s="246"/>
      <c r="H90" s="247">
        <f t="shared" si="16"/>
        <v>8883089</v>
      </c>
      <c r="I90" s="246">
        <v>8457056</v>
      </c>
      <c r="J90" s="246"/>
      <c r="K90" s="247">
        <f t="shared" si="17"/>
        <v>8457056</v>
      </c>
      <c r="L90" s="246">
        <v>8457056</v>
      </c>
      <c r="M90" s="246"/>
      <c r="N90" s="247">
        <f t="shared" si="18"/>
        <v>8457056</v>
      </c>
    </row>
    <row r="91" spans="1:14" s="179" customFormat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>
        <v>60116</v>
      </c>
      <c r="J91" s="246"/>
      <c r="K91" s="247">
        <f t="shared" si="17"/>
        <v>60116</v>
      </c>
      <c r="L91" s="246">
        <v>60116</v>
      </c>
      <c r="M91" s="246"/>
      <c r="N91" s="247">
        <f t="shared" si="18"/>
        <v>60116</v>
      </c>
    </row>
    <row r="92" spans="1:14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61" t="s">
        <v>173</v>
      </c>
      <c r="B96" s="62" t="s">
        <v>174</v>
      </c>
      <c r="C96" s="246">
        <v>180000</v>
      </c>
      <c r="D96" s="246"/>
      <c r="E96" s="247">
        <f t="shared" si="15"/>
        <v>180000</v>
      </c>
      <c r="F96" s="246">
        <v>180000</v>
      </c>
      <c r="G96" s="246"/>
      <c r="H96" s="247">
        <f t="shared" si="19"/>
        <v>180000</v>
      </c>
      <c r="I96" s="246">
        <v>180000</v>
      </c>
      <c r="J96" s="246"/>
      <c r="K96" s="247">
        <f t="shared" si="20"/>
        <v>180000</v>
      </c>
      <c r="L96" s="246">
        <v>165000</v>
      </c>
      <c r="M96" s="246"/>
      <c r="N96" s="247">
        <f t="shared" si="21"/>
        <v>165000</v>
      </c>
    </row>
    <row r="97" spans="1:14" x14ac:dyDescent="0.25">
      <c r="A97" s="61" t="s">
        <v>175</v>
      </c>
      <c r="B97" s="62" t="s">
        <v>176</v>
      </c>
      <c r="C97" s="246">
        <v>200000</v>
      </c>
      <c r="D97" s="246"/>
      <c r="E97" s="247">
        <f t="shared" si="15"/>
        <v>200000</v>
      </c>
      <c r="F97" s="246">
        <v>200000</v>
      </c>
      <c r="G97" s="246"/>
      <c r="H97" s="247">
        <f t="shared" si="19"/>
        <v>200000</v>
      </c>
      <c r="I97" s="246">
        <v>200000</v>
      </c>
      <c r="J97" s="246"/>
      <c r="K97" s="247">
        <f t="shared" si="20"/>
        <v>200000</v>
      </c>
      <c r="L97" s="246">
        <v>164875</v>
      </c>
      <c r="M97" s="246"/>
      <c r="N97" s="247">
        <f t="shared" si="21"/>
        <v>164875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>
        <v>20000</v>
      </c>
      <c r="J100" s="246"/>
      <c r="K100" s="247">
        <f t="shared" si="20"/>
        <v>20000</v>
      </c>
      <c r="L100" s="246">
        <v>20000</v>
      </c>
      <c r="M100" s="246"/>
      <c r="N100" s="247">
        <f t="shared" si="21"/>
        <v>20000</v>
      </c>
    </row>
    <row r="101" spans="1:14" ht="15.75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1558619</v>
      </c>
      <c r="D105" s="244">
        <f>SUM(D106:D110)</f>
        <v>0</v>
      </c>
      <c r="E105" s="245">
        <f t="shared" si="15"/>
        <v>1558619</v>
      </c>
      <c r="F105" s="244">
        <f>SUM(F106:F110)</f>
        <v>1780162</v>
      </c>
      <c r="G105" s="244">
        <f>SUM(G106:G110)</f>
        <v>0</v>
      </c>
      <c r="H105" s="245">
        <f t="shared" si="19"/>
        <v>1780162</v>
      </c>
      <c r="I105" s="244">
        <f>SUM(I106:I110)</f>
        <v>1610675</v>
      </c>
      <c r="J105" s="244">
        <f>SUM(J106:J110)</f>
        <v>0</v>
      </c>
      <c r="K105" s="245">
        <f t="shared" si="20"/>
        <v>1610675</v>
      </c>
      <c r="L105" s="244">
        <f>SUM(L106:L110)</f>
        <v>1610675</v>
      </c>
      <c r="M105" s="244">
        <f>SUM(M106:M110)</f>
        <v>0</v>
      </c>
      <c r="N105" s="245">
        <f t="shared" si="21"/>
        <v>1610675</v>
      </c>
    </row>
    <row r="106" spans="1:14" x14ac:dyDescent="0.25">
      <c r="A106" s="61"/>
      <c r="B106" s="62" t="s">
        <v>193</v>
      </c>
      <c r="C106" s="246">
        <v>1485341</v>
      </c>
      <c r="D106" s="246"/>
      <c r="E106" s="247">
        <f t="shared" si="15"/>
        <v>1485341</v>
      </c>
      <c r="F106" s="246">
        <f>1485341+221543</f>
        <v>1706884</v>
      </c>
      <c r="G106" s="246"/>
      <c r="H106" s="247">
        <f t="shared" si="19"/>
        <v>1706884</v>
      </c>
      <c r="I106" s="246">
        <v>1599111</v>
      </c>
      <c r="J106" s="246"/>
      <c r="K106" s="247">
        <f t="shared" si="20"/>
        <v>1599111</v>
      </c>
      <c r="L106" s="246">
        <v>1599111</v>
      </c>
      <c r="M106" s="246"/>
      <c r="N106" s="247">
        <f t="shared" si="21"/>
        <v>1599111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>
        <v>41418</v>
      </c>
      <c r="D108" s="246"/>
      <c r="E108" s="247">
        <f t="shared" si="15"/>
        <v>41418</v>
      </c>
      <c r="F108" s="246">
        <v>41418</v>
      </c>
      <c r="G108" s="246"/>
      <c r="H108" s="247">
        <f t="shared" si="19"/>
        <v>41418</v>
      </c>
      <c r="I108" s="246">
        <v>6254</v>
      </c>
      <c r="J108" s="246"/>
      <c r="K108" s="247">
        <f t="shared" si="20"/>
        <v>6254</v>
      </c>
      <c r="L108" s="246">
        <v>6254</v>
      </c>
      <c r="M108" s="246"/>
      <c r="N108" s="247">
        <f t="shared" si="21"/>
        <v>6254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thickBot="1" x14ac:dyDescent="0.3">
      <c r="A110" s="63"/>
      <c r="B110" s="64" t="s">
        <v>197</v>
      </c>
      <c r="C110" s="248">
        <v>31860</v>
      </c>
      <c r="D110" s="248"/>
      <c r="E110" s="249">
        <f t="shared" si="15"/>
        <v>31860</v>
      </c>
      <c r="F110" s="248">
        <v>31860</v>
      </c>
      <c r="G110" s="248"/>
      <c r="H110" s="249">
        <f t="shared" si="19"/>
        <v>31860</v>
      </c>
      <c r="I110" s="248">
        <v>5310</v>
      </c>
      <c r="J110" s="248"/>
      <c r="K110" s="249">
        <f t="shared" si="20"/>
        <v>5310</v>
      </c>
      <c r="L110" s="248">
        <v>5310</v>
      </c>
      <c r="M110" s="248"/>
      <c r="N110" s="249">
        <f t="shared" si="21"/>
        <v>5310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1005000</v>
      </c>
      <c r="D111" s="244">
        <f>SUM(D112:D113,D114,D123,D122)</f>
        <v>0</v>
      </c>
      <c r="E111" s="245">
        <f t="shared" si="15"/>
        <v>1005000</v>
      </c>
      <c r="F111" s="244">
        <f>SUM(F112:F113,F114,F123,F122)</f>
        <v>1005000</v>
      </c>
      <c r="G111" s="244">
        <f>SUM(G112:G113,G114,G123,G122)</f>
        <v>0</v>
      </c>
      <c r="H111" s="245">
        <f t="shared" si="19"/>
        <v>1005000</v>
      </c>
      <c r="I111" s="244">
        <f>SUM(I112:I113,I114,I123,I122)</f>
        <v>1345000</v>
      </c>
      <c r="J111" s="244">
        <f>SUM(J112:J113,J114,J123,J122)</f>
        <v>0</v>
      </c>
      <c r="K111" s="245">
        <f t="shared" si="20"/>
        <v>1345000</v>
      </c>
      <c r="L111" s="244">
        <f>SUM(L112:L113,L114,L123,L122)</f>
        <v>1180855</v>
      </c>
      <c r="M111" s="244">
        <f>SUM(M112:M113,M114,M123,M122)</f>
        <v>0</v>
      </c>
      <c r="N111" s="245">
        <f t="shared" si="21"/>
        <v>1180855</v>
      </c>
    </row>
    <row r="112" spans="1:14" x14ac:dyDescent="0.25">
      <c r="A112" s="61" t="s">
        <v>199</v>
      </c>
      <c r="B112" s="62" t="s">
        <v>200</v>
      </c>
      <c r="C112" s="246">
        <v>230000</v>
      </c>
      <c r="D112" s="246"/>
      <c r="E112" s="247">
        <f t="shared" si="15"/>
        <v>230000</v>
      </c>
      <c r="F112" s="246">
        <v>230000</v>
      </c>
      <c r="G112" s="246"/>
      <c r="H112" s="247">
        <f t="shared" si="19"/>
        <v>230000</v>
      </c>
      <c r="I112" s="246">
        <v>230000</v>
      </c>
      <c r="J112" s="246"/>
      <c r="K112" s="247">
        <f t="shared" si="20"/>
        <v>230000</v>
      </c>
      <c r="L112" s="246">
        <v>222027</v>
      </c>
      <c r="M112" s="246"/>
      <c r="N112" s="247">
        <f t="shared" si="21"/>
        <v>222027</v>
      </c>
    </row>
    <row r="113" spans="1:14" x14ac:dyDescent="0.25">
      <c r="A113" s="61" t="s">
        <v>201</v>
      </c>
      <c r="B113" s="62" t="s">
        <v>202</v>
      </c>
      <c r="C113" s="246">
        <v>40000</v>
      </c>
      <c r="D113" s="246"/>
      <c r="E113" s="247">
        <f t="shared" si="15"/>
        <v>40000</v>
      </c>
      <c r="F113" s="246">
        <v>40000</v>
      </c>
      <c r="G113" s="246"/>
      <c r="H113" s="247">
        <f t="shared" si="19"/>
        <v>40000</v>
      </c>
      <c r="I113" s="246">
        <v>60000</v>
      </c>
      <c r="J113" s="246"/>
      <c r="K113" s="247">
        <f t="shared" si="20"/>
        <v>60000</v>
      </c>
      <c r="L113" s="246">
        <v>55171</v>
      </c>
      <c r="M113" s="246"/>
      <c r="N113" s="247">
        <f t="shared" si="21"/>
        <v>55171</v>
      </c>
    </row>
    <row r="114" spans="1:14" x14ac:dyDescent="0.25">
      <c r="A114" s="61" t="s">
        <v>203</v>
      </c>
      <c r="B114" s="62" t="s">
        <v>204</v>
      </c>
      <c r="C114" s="246">
        <f>SUM(C115:C121)</f>
        <v>569000</v>
      </c>
      <c r="D114" s="246">
        <f>SUM(D115:D121)</f>
        <v>0</v>
      </c>
      <c r="E114" s="247">
        <f t="shared" si="15"/>
        <v>569000</v>
      </c>
      <c r="F114" s="246">
        <f>SUM(F115:F121)</f>
        <v>569000</v>
      </c>
      <c r="G114" s="246">
        <f>SUM(G115:G121)</f>
        <v>0</v>
      </c>
      <c r="H114" s="247">
        <f t="shared" si="19"/>
        <v>569000</v>
      </c>
      <c r="I114" s="246">
        <f>SUM(I115:I121)</f>
        <v>789000</v>
      </c>
      <c r="J114" s="246">
        <f>SUM(J115:J121)</f>
        <v>0</v>
      </c>
      <c r="K114" s="247">
        <f t="shared" si="20"/>
        <v>789000</v>
      </c>
      <c r="L114" s="246">
        <f>SUM(L115:L121)</f>
        <v>668454</v>
      </c>
      <c r="M114" s="246">
        <f>SUM(M115:M121)</f>
        <v>0</v>
      </c>
      <c r="N114" s="247">
        <f t="shared" si="21"/>
        <v>668454</v>
      </c>
    </row>
    <row r="115" spans="1:14" x14ac:dyDescent="0.25">
      <c r="A115" s="61" t="s">
        <v>205</v>
      </c>
      <c r="B115" s="62" t="s">
        <v>206</v>
      </c>
      <c r="C115" s="246">
        <f>433000+71000</f>
        <v>504000</v>
      </c>
      <c r="D115" s="246"/>
      <c r="E115" s="247">
        <f t="shared" si="15"/>
        <v>504000</v>
      </c>
      <c r="F115" s="246">
        <f>433000+71000</f>
        <v>504000</v>
      </c>
      <c r="G115" s="246"/>
      <c r="H115" s="247">
        <f t="shared" si="19"/>
        <v>504000</v>
      </c>
      <c r="I115" s="246">
        <f>433000+71000+200000</f>
        <v>704000</v>
      </c>
      <c r="J115" s="246"/>
      <c r="K115" s="247">
        <f t="shared" si="20"/>
        <v>704000</v>
      </c>
      <c r="L115" s="246">
        <v>586223</v>
      </c>
      <c r="M115" s="246"/>
      <c r="N115" s="247">
        <f t="shared" si="21"/>
        <v>586223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61" t="s">
        <v>211</v>
      </c>
      <c r="B118" s="62" t="s">
        <v>212</v>
      </c>
      <c r="C118" s="246">
        <v>25000</v>
      </c>
      <c r="D118" s="246"/>
      <c r="E118" s="247">
        <f t="shared" si="15"/>
        <v>25000</v>
      </c>
      <c r="F118" s="246">
        <v>25000</v>
      </c>
      <c r="G118" s="246"/>
      <c r="H118" s="247">
        <f t="shared" si="19"/>
        <v>25000</v>
      </c>
      <c r="I118" s="246">
        <v>25000</v>
      </c>
      <c r="J118" s="246"/>
      <c r="K118" s="247">
        <f t="shared" si="20"/>
        <v>25000</v>
      </c>
      <c r="L118" s="246">
        <v>26585</v>
      </c>
      <c r="M118" s="246"/>
      <c r="N118" s="247">
        <f t="shared" si="21"/>
        <v>26585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>
        <v>20000</v>
      </c>
      <c r="J119" s="246"/>
      <c r="K119" s="247">
        <f t="shared" si="20"/>
        <v>20000</v>
      </c>
      <c r="L119" s="246">
        <v>8924</v>
      </c>
      <c r="M119" s="246"/>
      <c r="N119" s="247">
        <f t="shared" si="21"/>
        <v>8924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61" t="s">
        <v>217</v>
      </c>
      <c r="B121" s="62" t="s">
        <v>218</v>
      </c>
      <c r="C121" s="246">
        <v>40000</v>
      </c>
      <c r="D121" s="246"/>
      <c r="E121" s="247">
        <f t="shared" si="15"/>
        <v>40000</v>
      </c>
      <c r="F121" s="246">
        <v>40000</v>
      </c>
      <c r="G121" s="246"/>
      <c r="H121" s="247">
        <f t="shared" si="19"/>
        <v>40000</v>
      </c>
      <c r="I121" s="246">
        <v>40000</v>
      </c>
      <c r="J121" s="246"/>
      <c r="K121" s="247">
        <f t="shared" si="20"/>
        <v>40000</v>
      </c>
      <c r="L121" s="246">
        <v>46722</v>
      </c>
      <c r="M121" s="246"/>
      <c r="N121" s="247">
        <f t="shared" si="21"/>
        <v>46722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>
        <v>100000</v>
      </c>
      <c r="J122" s="246"/>
      <c r="K122" s="247">
        <f t="shared" si="20"/>
        <v>100000</v>
      </c>
      <c r="L122" s="246">
        <v>73230</v>
      </c>
      <c r="M122" s="246"/>
      <c r="N122" s="247">
        <f t="shared" si="21"/>
        <v>73230</v>
      </c>
    </row>
    <row r="123" spans="1:14" x14ac:dyDescent="0.25">
      <c r="A123" s="61" t="s">
        <v>221</v>
      </c>
      <c r="B123" s="62" t="s">
        <v>222</v>
      </c>
      <c r="C123" s="246">
        <f>SUM(C124:C126)</f>
        <v>166000</v>
      </c>
      <c r="D123" s="246">
        <f>SUM(D124:D126)</f>
        <v>0</v>
      </c>
      <c r="E123" s="247">
        <f t="shared" si="15"/>
        <v>166000</v>
      </c>
      <c r="F123" s="246">
        <f>SUM(F124:F126)</f>
        <v>166000</v>
      </c>
      <c r="G123" s="246">
        <f>SUM(G124:G126)</f>
        <v>0</v>
      </c>
      <c r="H123" s="247">
        <f t="shared" si="19"/>
        <v>166000</v>
      </c>
      <c r="I123" s="246">
        <f>SUM(I124:I126)</f>
        <v>166000</v>
      </c>
      <c r="J123" s="246">
        <f>SUM(J124:J126)</f>
        <v>0</v>
      </c>
      <c r="K123" s="247">
        <f t="shared" si="20"/>
        <v>166000</v>
      </c>
      <c r="L123" s="246">
        <f>SUM(L124:L126)</f>
        <v>161973</v>
      </c>
      <c r="M123" s="246">
        <f>SUM(M124:M126)</f>
        <v>0</v>
      </c>
      <c r="N123" s="247">
        <f t="shared" si="21"/>
        <v>161973</v>
      </c>
    </row>
    <row r="124" spans="1:14" x14ac:dyDescent="0.25">
      <c r="A124" s="61"/>
      <c r="B124" s="62" t="s">
        <v>223</v>
      </c>
      <c r="C124" s="246">
        <f>147000+19000</f>
        <v>166000</v>
      </c>
      <c r="D124" s="246"/>
      <c r="E124" s="247">
        <f t="shared" si="15"/>
        <v>166000</v>
      </c>
      <c r="F124" s="246">
        <f>147000+19000</f>
        <v>166000</v>
      </c>
      <c r="G124" s="246"/>
      <c r="H124" s="247">
        <f t="shared" si="19"/>
        <v>166000</v>
      </c>
      <c r="I124" s="246">
        <f>147000+19000</f>
        <v>166000</v>
      </c>
      <c r="J124" s="246"/>
      <c r="K124" s="247">
        <f t="shared" si="20"/>
        <v>166000</v>
      </c>
      <c r="L124" s="246">
        <v>162445</v>
      </c>
      <c r="M124" s="246"/>
      <c r="N124" s="247">
        <f t="shared" si="21"/>
        <v>162445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317">
        <v>-472</v>
      </c>
      <c r="M126" s="248"/>
      <c r="N126" s="249">
        <f t="shared" si="21"/>
        <v>-472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10560751</v>
      </c>
      <c r="D142" s="250">
        <f>D141+D140+D139+D138+D137+D128+D127+D111+D105+D88</f>
        <v>0</v>
      </c>
      <c r="E142" s="251">
        <f t="shared" si="15"/>
        <v>10560751</v>
      </c>
      <c r="F142" s="250">
        <f>F141+F140+F139+F138+F137+F128+F127+F111+F105+F88</f>
        <v>12048251</v>
      </c>
      <c r="G142" s="250">
        <f>G141+G140+G139+G138+G137+G128+G127+G111+G105+G88</f>
        <v>0</v>
      </c>
      <c r="H142" s="251">
        <f t="shared" si="19"/>
        <v>12048251</v>
      </c>
      <c r="I142" s="250">
        <f>I141+I140+I139+I138+I137+I128+I127+I111+I105+I88</f>
        <v>11872847</v>
      </c>
      <c r="J142" s="250">
        <f>J141+J140+J139+J138+J137+J128+J127+J111+J105+J88</f>
        <v>0</v>
      </c>
      <c r="K142" s="251">
        <f t="shared" si="20"/>
        <v>11872847</v>
      </c>
      <c r="L142" s="250">
        <f>L141+L140+L139+L138+L137+L128+L127+L111+L105+L88</f>
        <v>11658577</v>
      </c>
      <c r="M142" s="250">
        <f>M141+M140+M139+M138+M137+M128+M127+M111+M105+M88</f>
        <v>0</v>
      </c>
      <c r="N142" s="251">
        <f t="shared" si="21"/>
        <v>11658577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10560751</v>
      </c>
      <c r="D151" s="257">
        <f>D143+D142</f>
        <v>0</v>
      </c>
      <c r="E151" s="258">
        <f>SUM(C151:D151)</f>
        <v>10560751</v>
      </c>
      <c r="F151" s="250">
        <f>F143+F142</f>
        <v>12048251</v>
      </c>
      <c r="G151" s="257">
        <f>G143+G142</f>
        <v>0</v>
      </c>
      <c r="H151" s="258">
        <f>SUM(F151:G151)</f>
        <v>12048251</v>
      </c>
      <c r="I151" s="250">
        <f>I143+I142</f>
        <v>11872847</v>
      </c>
      <c r="J151" s="257">
        <f>J143+J142</f>
        <v>0</v>
      </c>
      <c r="K151" s="258">
        <f>SUM(I151:J151)</f>
        <v>11872847</v>
      </c>
      <c r="L151" s="250">
        <f>L143+L142</f>
        <v>11658577</v>
      </c>
      <c r="M151" s="257">
        <f>M143+M142</f>
        <v>0</v>
      </c>
      <c r="N151" s="258">
        <f>SUM(L151:M151)</f>
        <v>11658577</v>
      </c>
    </row>
    <row r="152" spans="1:14" x14ac:dyDescent="0.25">
      <c r="D152" s="310"/>
      <c r="E152" s="310"/>
      <c r="G152" s="310"/>
      <c r="H152" s="310"/>
      <c r="J152" s="310"/>
      <c r="K152" s="310"/>
      <c r="M152" s="310"/>
      <c r="N152" s="310"/>
    </row>
    <row r="153" spans="1:14" x14ac:dyDescent="0.25">
      <c r="E153" s="148">
        <f>E85-E151</f>
        <v>-151651</v>
      </c>
      <c r="H153" s="148">
        <f>H85-H151</f>
        <v>-151651</v>
      </c>
      <c r="K153" s="148">
        <f>K85-K151</f>
        <v>-232947</v>
      </c>
      <c r="N153" s="148">
        <f>N85-N151</f>
        <v>-7477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9" fitToHeight="0" orientation="portrait" horizontalDpi="300" verticalDpi="300" r:id="rId1"/>
  <headerFooter>
    <oddFooter>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4" width="9.140625" style="148"/>
    <col min="5" max="5" width="9.85546875" style="148" customWidth="1"/>
    <col min="6" max="7" width="9.140625" style="148"/>
    <col min="8" max="8" width="9.85546875" style="148" customWidth="1"/>
    <col min="9" max="10" width="9.140625" style="148"/>
    <col min="11" max="11" width="9.85546875" style="148" customWidth="1"/>
    <col min="12" max="13" width="9.140625" style="148"/>
    <col min="14" max="14" width="9.85546875" style="148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  <c r="F1" s="306"/>
      <c r="G1" s="306"/>
      <c r="H1" s="306"/>
      <c r="I1" s="306"/>
      <c r="J1" s="306"/>
      <c r="K1" s="306"/>
      <c r="L1" s="306"/>
      <c r="M1" s="306"/>
      <c r="N1" s="306"/>
    </row>
    <row r="2" spans="1:14" s="79" customFormat="1" ht="15" customHeight="1" x14ac:dyDescent="0.2">
      <c r="A2" s="912">
        <v>2019</v>
      </c>
      <c r="B2" s="912"/>
      <c r="C2" s="912"/>
      <c r="D2" s="912"/>
      <c r="E2" s="912"/>
      <c r="F2" s="306"/>
      <c r="G2" s="306"/>
      <c r="H2" s="306"/>
      <c r="I2" s="306"/>
      <c r="J2" s="306"/>
      <c r="K2" s="306"/>
      <c r="L2" s="306"/>
      <c r="M2" s="306"/>
      <c r="N2" s="306"/>
    </row>
    <row r="3" spans="1:14" s="79" customFormat="1" ht="5.25" customHeight="1" x14ac:dyDescent="0.2"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</row>
    <row r="4" spans="1:14" x14ac:dyDescent="0.25">
      <c r="A4" s="79" t="s">
        <v>270</v>
      </c>
      <c r="C4" s="45" t="str">
        <f>'7.21 védőnők 074031'!C4</f>
        <v xml:space="preserve"> 12 / 2020. (VI.15) sz rendelet</v>
      </c>
    </row>
    <row r="5" spans="1:14" s="81" customFormat="1" ht="12.75" x14ac:dyDescent="0.2">
      <c r="A5" s="90" t="s">
        <v>370</v>
      </c>
      <c r="B5" s="81" t="s">
        <v>371</v>
      </c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</row>
    <row r="6" spans="1:14" x14ac:dyDescent="0.25">
      <c r="C6" s="713" t="s">
        <v>750</v>
      </c>
      <c r="D6" s="715" t="str">
        <f>'7.21 védőnők 074031'!D6</f>
        <v xml:space="preserve"> melléklet az 12/2020. (VI.15.) rendelethez</v>
      </c>
      <c r="E6" s="715"/>
      <c r="F6" s="715"/>
      <c r="G6" s="715"/>
      <c r="H6" s="715"/>
      <c r="I6" s="918"/>
      <c r="J6" s="918"/>
      <c r="K6" s="918"/>
      <c r="L6" s="918"/>
      <c r="M6" s="918"/>
      <c r="N6" s="918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307" t="s">
        <v>32</v>
      </c>
      <c r="D8" s="308" t="s">
        <v>33</v>
      </c>
      <c r="E8" s="309" t="s">
        <v>21</v>
      </c>
      <c r="F8" s="307" t="s">
        <v>32</v>
      </c>
      <c r="G8" s="308" t="s">
        <v>33</v>
      </c>
      <c r="H8" s="309" t="s">
        <v>825</v>
      </c>
      <c r="I8" s="307" t="s">
        <v>32</v>
      </c>
      <c r="J8" s="308" t="s">
        <v>33</v>
      </c>
      <c r="K8" s="199" t="s">
        <v>864</v>
      </c>
      <c r="L8" s="307" t="s">
        <v>32</v>
      </c>
      <c r="M8" s="308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498444</v>
      </c>
      <c r="D88" s="244">
        <f>D89+D101</f>
        <v>0</v>
      </c>
      <c r="E88" s="253">
        <f t="shared" ref="E88:E150" si="15">SUM(C88:D88)</f>
        <v>498444</v>
      </c>
      <c r="F88" s="244">
        <f>F89+F101</f>
        <v>498444</v>
      </c>
      <c r="G88" s="244">
        <f>G89+G101</f>
        <v>0</v>
      </c>
      <c r="H88" s="253">
        <f t="shared" ref="H88:H90" si="16">SUM(F88:G88)</f>
        <v>498444</v>
      </c>
      <c r="I88" s="244">
        <f>I89+I101</f>
        <v>349122</v>
      </c>
      <c r="J88" s="244">
        <f>J89+J101</f>
        <v>0</v>
      </c>
      <c r="K88" s="253">
        <f t="shared" ref="K88:K90" si="17">SUM(I88:J88)</f>
        <v>349122</v>
      </c>
      <c r="L88" s="244">
        <f>L89+L101</f>
        <v>349122</v>
      </c>
      <c r="M88" s="244">
        <f>M89+M101</f>
        <v>0</v>
      </c>
      <c r="N88" s="253">
        <f t="shared" ref="N88:N90" si="18">SUM(L88:M88)</f>
        <v>349122</v>
      </c>
    </row>
    <row r="89" spans="1:14" x14ac:dyDescent="0.25">
      <c r="A89" s="61" t="s">
        <v>161</v>
      </c>
      <c r="B89" s="62" t="s">
        <v>162</v>
      </c>
      <c r="C89" s="246">
        <f>SUM(C90:C100)</f>
        <v>498444</v>
      </c>
      <c r="D89" s="246">
        <f>SUM(D90:D100)</f>
        <v>0</v>
      </c>
      <c r="E89" s="247">
        <f t="shared" si="15"/>
        <v>498444</v>
      </c>
      <c r="F89" s="246">
        <f>SUM(F90:F100)</f>
        <v>498444</v>
      </c>
      <c r="G89" s="246">
        <f>SUM(G90:G100)</f>
        <v>0</v>
      </c>
      <c r="H89" s="247">
        <f t="shared" si="16"/>
        <v>498444</v>
      </c>
      <c r="I89" s="246">
        <f>SUM(I90:I100)</f>
        <v>349122</v>
      </c>
      <c r="J89" s="246">
        <f>SUM(J90:J100)</f>
        <v>0</v>
      </c>
      <c r="K89" s="247">
        <f t="shared" si="17"/>
        <v>349122</v>
      </c>
      <c r="L89" s="246">
        <f>SUM(L90:L100)</f>
        <v>349122</v>
      </c>
      <c r="M89" s="246">
        <f>SUM(M90:M100)</f>
        <v>0</v>
      </c>
      <c r="N89" s="247">
        <f t="shared" si="18"/>
        <v>349122</v>
      </c>
    </row>
    <row r="90" spans="1:14" x14ac:dyDescent="0.25">
      <c r="A90" s="61" t="s">
        <v>163</v>
      </c>
      <c r="B90" s="62" t="s">
        <v>164</v>
      </c>
      <c r="C90" s="246">
        <v>498444</v>
      </c>
      <c r="D90" s="246"/>
      <c r="E90" s="247">
        <f t="shared" si="15"/>
        <v>498444</v>
      </c>
      <c r="F90" s="246">
        <v>498444</v>
      </c>
      <c r="G90" s="246"/>
      <c r="H90" s="247">
        <f t="shared" si="16"/>
        <v>498444</v>
      </c>
      <c r="I90" s="246">
        <v>346295</v>
      </c>
      <c r="J90" s="246"/>
      <c r="K90" s="247">
        <f t="shared" si="17"/>
        <v>346295</v>
      </c>
      <c r="L90" s="246">
        <v>346295</v>
      </c>
      <c r="M90" s="246"/>
      <c r="N90" s="247">
        <f t="shared" si="18"/>
        <v>346295</v>
      </c>
    </row>
    <row r="91" spans="1:14" s="179" customFormat="1" hidden="1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idden="1" x14ac:dyDescent="0.25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idden="1" x14ac:dyDescent="0.25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idden="1" x14ac:dyDescent="0.25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idden="1" x14ac:dyDescent="0.25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idden="1" x14ac:dyDescent="0.25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idden="1" x14ac:dyDescent="0.25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idden="1" x14ac:dyDescent="0.25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idden="1" x14ac:dyDescent="0.25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>
        <v>2827</v>
      </c>
      <c r="J100" s="246"/>
      <c r="K100" s="247">
        <f t="shared" si="20"/>
        <v>2827</v>
      </c>
      <c r="L100" s="246">
        <v>2827</v>
      </c>
      <c r="M100" s="246"/>
      <c r="N100" s="247">
        <f t="shared" si="21"/>
        <v>2827</v>
      </c>
    </row>
    <row r="101" spans="1:14" ht="15.75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97196</v>
      </c>
      <c r="D105" s="244">
        <f>SUM(D106:D110)</f>
        <v>0</v>
      </c>
      <c r="E105" s="245">
        <f t="shared" si="15"/>
        <v>97196</v>
      </c>
      <c r="F105" s="244">
        <f>SUM(F106:F110)</f>
        <v>97196</v>
      </c>
      <c r="G105" s="244">
        <f>SUM(G106:G110)</f>
        <v>0</v>
      </c>
      <c r="H105" s="245">
        <f t="shared" si="19"/>
        <v>97196</v>
      </c>
      <c r="I105" s="244">
        <f>SUM(I106:I110)</f>
        <v>67154</v>
      </c>
      <c r="J105" s="244">
        <f>SUM(J106:J110)</f>
        <v>0</v>
      </c>
      <c r="K105" s="245">
        <f t="shared" si="20"/>
        <v>67154</v>
      </c>
      <c r="L105" s="244">
        <f>SUM(L106:L110)</f>
        <v>67154</v>
      </c>
      <c r="M105" s="244">
        <f>SUM(M106:M110)</f>
        <v>0</v>
      </c>
      <c r="N105" s="245">
        <f t="shared" si="21"/>
        <v>67154</v>
      </c>
    </row>
    <row r="106" spans="1:14" x14ac:dyDescent="0.25">
      <c r="A106" s="61"/>
      <c r="B106" s="62" t="s">
        <v>193</v>
      </c>
      <c r="C106" s="246">
        <v>97196</v>
      </c>
      <c r="D106" s="246"/>
      <c r="E106" s="247">
        <f t="shared" si="15"/>
        <v>97196</v>
      </c>
      <c r="F106" s="246">
        <v>97196</v>
      </c>
      <c r="G106" s="246"/>
      <c r="H106" s="247">
        <f t="shared" si="19"/>
        <v>97196</v>
      </c>
      <c r="I106" s="246">
        <v>67154</v>
      </c>
      <c r="J106" s="246"/>
      <c r="K106" s="247">
        <f t="shared" si="20"/>
        <v>67154</v>
      </c>
      <c r="L106" s="246">
        <v>67154</v>
      </c>
      <c r="M106" s="246"/>
      <c r="N106" s="247">
        <f t="shared" si="21"/>
        <v>67154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x14ac:dyDescent="0.25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595640</v>
      </c>
      <c r="D142" s="250">
        <f>D141+D140+D139+D138+D137+D128+D127+D111+D105+D88</f>
        <v>0</v>
      </c>
      <c r="E142" s="251">
        <f t="shared" si="15"/>
        <v>595640</v>
      </c>
      <c r="F142" s="250">
        <f>F141+F140+F139+F138+F137+F128+F127+F111+F105+F88</f>
        <v>595640</v>
      </c>
      <c r="G142" s="250">
        <f>G141+G140+G139+G138+G137+G128+G127+G111+G105+G88</f>
        <v>0</v>
      </c>
      <c r="H142" s="251">
        <f t="shared" si="19"/>
        <v>595640</v>
      </c>
      <c r="I142" s="250">
        <f>I141+I140+I139+I138+I137+I128+I127+I111+I105+I88</f>
        <v>416276</v>
      </c>
      <c r="J142" s="250">
        <f>J141+J140+J139+J138+J137+J128+J127+J111+J105+J88</f>
        <v>0</v>
      </c>
      <c r="K142" s="251">
        <f t="shared" si="20"/>
        <v>416276</v>
      </c>
      <c r="L142" s="250">
        <f>L141+L140+L139+L138+L137+L128+L127+L111+L105+L88</f>
        <v>416276</v>
      </c>
      <c r="M142" s="250">
        <f>M141+M140+M139+M138+M137+M128+M127+M111+M105+M88</f>
        <v>0</v>
      </c>
      <c r="N142" s="251">
        <f t="shared" si="21"/>
        <v>416276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595640</v>
      </c>
      <c r="D151" s="257">
        <f>D143+D142</f>
        <v>0</v>
      </c>
      <c r="E151" s="258">
        <f>SUM(C151:D151)</f>
        <v>595640</v>
      </c>
      <c r="F151" s="250">
        <f>F143+F142</f>
        <v>595640</v>
      </c>
      <c r="G151" s="257">
        <f>G143+G142</f>
        <v>0</v>
      </c>
      <c r="H151" s="258">
        <f>SUM(F151:G151)</f>
        <v>595640</v>
      </c>
      <c r="I151" s="250">
        <f>I143+I142</f>
        <v>416276</v>
      </c>
      <c r="J151" s="257">
        <f>J143+J142</f>
        <v>0</v>
      </c>
      <c r="K151" s="258">
        <f>SUM(I151:J151)</f>
        <v>416276</v>
      </c>
      <c r="L151" s="250">
        <f>L143+L142</f>
        <v>416276</v>
      </c>
      <c r="M151" s="257">
        <f>M143+M142</f>
        <v>0</v>
      </c>
      <c r="N151" s="258">
        <f>SUM(L151:M151)</f>
        <v>416276</v>
      </c>
    </row>
    <row r="152" spans="1:14" x14ac:dyDescent="0.25">
      <c r="D152" s="310"/>
      <c r="E152" s="310"/>
      <c r="G152" s="310"/>
      <c r="H152" s="310"/>
      <c r="J152" s="310"/>
      <c r="K152" s="310"/>
      <c r="M152" s="310"/>
      <c r="N152" s="310"/>
    </row>
    <row r="153" spans="1:14" x14ac:dyDescent="0.25">
      <c r="E153" s="148">
        <f>E85-E151</f>
        <v>-595640</v>
      </c>
      <c r="H153" s="148">
        <f>H85-H151</f>
        <v>-595640</v>
      </c>
      <c r="K153" s="148">
        <f>K85-K151</f>
        <v>-416276</v>
      </c>
      <c r="N153" s="148">
        <f>N85-N151</f>
        <v>-416276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4" fitToHeight="0" orientation="portrait" horizontalDpi="300" verticalDpi="300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57"/>
  <sheetViews>
    <sheetView zoomScale="90" zoomScaleNormal="90" workbookViewId="0">
      <selection activeCell="K26" sqref="K26"/>
    </sheetView>
  </sheetViews>
  <sheetFormatPr defaultRowHeight="15" x14ac:dyDescent="0.25"/>
  <cols>
    <col min="1" max="1" width="33.5703125" style="179" customWidth="1"/>
    <col min="2" max="2" width="14.28515625" style="179" customWidth="1"/>
    <col min="3" max="3" width="10.85546875" style="179" customWidth="1"/>
    <col min="4" max="4" width="13.5703125" style="179" customWidth="1"/>
    <col min="5" max="5" width="14.28515625" style="179" hidden="1" customWidth="1"/>
    <col min="6" max="6" width="11.5703125" style="179" hidden="1" customWidth="1"/>
    <col min="7" max="7" width="13.5703125" style="179" hidden="1" customWidth="1"/>
    <col min="8" max="8" width="14" style="179" customWidth="1"/>
    <col min="9" max="9" width="11" style="179" customWidth="1"/>
    <col min="10" max="10" width="13.5703125" style="179" customWidth="1"/>
    <col min="11" max="11" width="14" style="179" customWidth="1"/>
    <col min="12" max="12" width="11" style="179" customWidth="1"/>
    <col min="13" max="13" width="13.5703125" style="179" customWidth="1"/>
    <col min="14" max="14" width="4.28515625" style="179" customWidth="1"/>
    <col min="15" max="15" width="34.85546875" style="179" customWidth="1"/>
    <col min="16" max="16" width="13.85546875" style="179" customWidth="1"/>
    <col min="17" max="17" width="11" style="179" customWidth="1"/>
    <col min="18" max="18" width="13.7109375" style="179" customWidth="1"/>
    <col min="19" max="19" width="13.85546875" style="179" hidden="1" customWidth="1"/>
    <col min="20" max="20" width="11" style="179" hidden="1" customWidth="1"/>
    <col min="21" max="21" width="13.7109375" style="179" hidden="1" customWidth="1"/>
    <col min="22" max="22" width="13.5703125" style="179" customWidth="1"/>
    <col min="23" max="23" width="11" style="179" customWidth="1"/>
    <col min="24" max="24" width="13.7109375" style="179" customWidth="1"/>
    <col min="25" max="25" width="13.5703125" style="179" customWidth="1"/>
    <col min="26" max="26" width="11" style="179" customWidth="1"/>
    <col min="27" max="27" width="13.7109375" style="179" customWidth="1"/>
    <col min="28" max="16384" width="9.140625" style="179"/>
  </cols>
  <sheetData>
    <row r="1" spans="1:27" x14ac:dyDescent="0.25">
      <c r="A1" s="907" t="s">
        <v>780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</row>
    <row r="2" spans="1:27" x14ac:dyDescent="0.25">
      <c r="A2" s="907" t="s">
        <v>803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</row>
    <row r="3" spans="1:27" x14ac:dyDescent="0.25">
      <c r="A3" s="690"/>
      <c r="B3" s="690"/>
      <c r="C3" s="690"/>
      <c r="D3" s="690"/>
      <c r="E3" s="690"/>
      <c r="F3" s="690"/>
      <c r="G3" s="690"/>
      <c r="H3" s="690"/>
      <c r="I3" s="690"/>
      <c r="J3" s="690"/>
      <c r="K3" s="701"/>
      <c r="L3" s="701"/>
      <c r="M3" s="701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90"/>
      <c r="Y3" s="701"/>
      <c r="Z3" s="701"/>
      <c r="AA3" s="701"/>
    </row>
    <row r="4" spans="1:27" x14ac:dyDescent="0.25">
      <c r="A4" s="690"/>
      <c r="B4" s="690"/>
      <c r="C4" s="690"/>
      <c r="D4" s="690"/>
      <c r="E4" s="690"/>
      <c r="F4" s="690"/>
      <c r="G4" s="690"/>
      <c r="H4" s="690"/>
      <c r="I4" s="690"/>
      <c r="J4" s="690"/>
      <c r="K4" s="701"/>
      <c r="L4" s="701"/>
      <c r="M4" s="701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701"/>
      <c r="Z4" s="701"/>
      <c r="AA4" s="701"/>
    </row>
    <row r="5" spans="1:27" x14ac:dyDescent="0.25">
      <c r="A5" s="564"/>
      <c r="B5" s="564"/>
      <c r="C5" s="564"/>
      <c r="D5" s="564"/>
      <c r="E5" s="628"/>
      <c r="F5" s="628"/>
      <c r="G5" s="628"/>
      <c r="H5" s="643"/>
      <c r="I5" s="643"/>
      <c r="J5" s="643"/>
      <c r="K5" s="701"/>
      <c r="L5" s="701"/>
      <c r="M5" s="701"/>
      <c r="N5" s="565"/>
      <c r="O5" s="697"/>
      <c r="P5" s="906" t="str">
        <f>'3 mérleg'!H3</f>
        <v xml:space="preserve"> 12 / 2020. (VI.15) sz rendelet</v>
      </c>
      <c r="Q5" s="906"/>
      <c r="R5" s="906"/>
      <c r="S5" s="906"/>
      <c r="T5" s="906"/>
      <c r="U5" s="906"/>
      <c r="V5" s="643"/>
      <c r="W5" s="643"/>
      <c r="Y5" s="701"/>
      <c r="Z5" s="701"/>
    </row>
    <row r="6" spans="1:27" x14ac:dyDescent="0.25">
      <c r="A6" s="566"/>
      <c r="B6" s="567"/>
      <c r="C6" s="568"/>
      <c r="D6" s="566"/>
      <c r="E6" s="567"/>
      <c r="F6" s="568"/>
      <c r="G6" s="566"/>
      <c r="H6" s="567"/>
      <c r="I6" s="568"/>
      <c r="J6" s="566"/>
      <c r="K6" s="567"/>
      <c r="L6" s="568"/>
      <c r="M6" s="700"/>
      <c r="N6" s="565"/>
      <c r="O6" s="591" t="s">
        <v>807</v>
      </c>
      <c r="P6" s="837" t="str">
        <f>'3 mérleg'!H5</f>
        <v xml:space="preserve"> melléklet az 12/2020. (VI.15.) rendelethez</v>
      </c>
      <c r="Q6" s="836"/>
      <c r="R6" s="836"/>
      <c r="S6" s="904"/>
      <c r="T6" s="904"/>
      <c r="U6" s="904"/>
      <c r="V6" s="904"/>
      <c r="W6" s="904"/>
      <c r="X6" s="904"/>
      <c r="Y6" s="904"/>
      <c r="Z6" s="904"/>
      <c r="AA6" s="904"/>
    </row>
    <row r="7" spans="1:27" x14ac:dyDescent="0.25">
      <c r="A7" s="566"/>
      <c r="B7" s="567"/>
      <c r="C7" s="568"/>
      <c r="D7" s="566"/>
      <c r="E7" s="567"/>
      <c r="F7" s="568"/>
      <c r="G7" s="566"/>
      <c r="H7" s="567"/>
      <c r="I7" s="568"/>
      <c r="J7" s="566"/>
      <c r="K7" s="567"/>
      <c r="L7" s="568"/>
      <c r="M7" s="700"/>
      <c r="N7" s="565"/>
      <c r="O7" s="591"/>
      <c r="P7" s="691"/>
      <c r="Q7" s="691"/>
      <c r="R7" s="691"/>
      <c r="S7" s="691"/>
      <c r="T7" s="691"/>
      <c r="U7" s="691"/>
      <c r="V7" s="691"/>
      <c r="W7" s="691"/>
      <c r="X7" s="691"/>
      <c r="Y7" s="702"/>
      <c r="Z7" s="702"/>
      <c r="AA7" s="702"/>
    </row>
    <row r="8" spans="1:27" x14ac:dyDescent="0.25">
      <c r="A8" s="566"/>
      <c r="B8" s="567"/>
      <c r="C8" s="568"/>
      <c r="D8" s="566"/>
      <c r="E8" s="567"/>
      <c r="F8" s="568"/>
      <c r="G8" s="566"/>
      <c r="H8" s="567"/>
      <c r="I8" s="568"/>
      <c r="J8" s="566"/>
      <c r="K8" s="567"/>
      <c r="L8" s="568"/>
      <c r="M8" s="700"/>
      <c r="N8" s="565"/>
      <c r="O8" s="591"/>
      <c r="P8" s="691"/>
      <c r="Q8" s="691"/>
      <c r="R8" s="691"/>
      <c r="S8" s="691"/>
      <c r="T8" s="691"/>
      <c r="U8" s="691"/>
      <c r="V8" s="691"/>
      <c r="W8" s="691"/>
      <c r="X8" s="691"/>
      <c r="Y8" s="702"/>
      <c r="Z8" s="702"/>
      <c r="AA8" s="702"/>
    </row>
    <row r="9" spans="1:27" x14ac:dyDescent="0.25">
      <c r="A9" s="566"/>
      <c r="B9" s="567"/>
      <c r="C9" s="568"/>
      <c r="D9" s="566"/>
      <c r="E9" s="567"/>
      <c r="F9" s="568"/>
      <c r="G9" s="566"/>
      <c r="H9" s="567"/>
      <c r="I9" s="568"/>
      <c r="J9" s="566"/>
      <c r="K9" s="567"/>
      <c r="L9" s="568"/>
      <c r="M9" s="700"/>
      <c r="N9" s="565"/>
      <c r="O9" s="591"/>
      <c r="P9" s="691"/>
      <c r="Q9" s="691"/>
      <c r="R9" s="691"/>
      <c r="S9" s="691"/>
      <c r="T9" s="691"/>
      <c r="U9" s="691"/>
      <c r="V9" s="691"/>
      <c r="W9" s="691"/>
      <c r="X9" s="691"/>
      <c r="Y9" s="702"/>
      <c r="Z9" s="702"/>
      <c r="AA9" s="702"/>
    </row>
    <row r="11" spans="1:27" ht="15.75" thickBot="1" x14ac:dyDescent="0.3">
      <c r="A11" s="632" t="s">
        <v>781</v>
      </c>
      <c r="B11" s="905" t="s">
        <v>841</v>
      </c>
      <c r="C11" s="905"/>
      <c r="D11" s="905"/>
      <c r="E11" s="905" t="s">
        <v>842</v>
      </c>
      <c r="F11" s="905"/>
      <c r="G11" s="905"/>
      <c r="H11" s="905" t="s">
        <v>861</v>
      </c>
      <c r="I11" s="905"/>
      <c r="J11" s="905"/>
      <c r="K11" s="905" t="s">
        <v>908</v>
      </c>
      <c r="L11" s="905"/>
      <c r="M11" s="905"/>
      <c r="O11" s="632" t="s">
        <v>782</v>
      </c>
      <c r="P11" s="905" t="s">
        <v>841</v>
      </c>
      <c r="Q11" s="905"/>
      <c r="R11" s="905"/>
      <c r="S11" s="905" t="s">
        <v>842</v>
      </c>
      <c r="T11" s="905"/>
      <c r="U11" s="905"/>
      <c r="V11" s="905" t="s">
        <v>861</v>
      </c>
      <c r="W11" s="905"/>
      <c r="X11" s="905"/>
      <c r="Y11" s="905" t="s">
        <v>908</v>
      </c>
      <c r="Z11" s="905"/>
      <c r="AA11" s="905"/>
    </row>
    <row r="12" spans="1:27" ht="32.25" thickBot="1" x14ac:dyDescent="0.3">
      <c r="A12" s="629" t="s">
        <v>23</v>
      </c>
      <c r="B12" s="630" t="s">
        <v>32</v>
      </c>
      <c r="C12" s="630" t="s">
        <v>33</v>
      </c>
      <c r="D12" s="630" t="s">
        <v>18</v>
      </c>
      <c r="E12" s="630" t="s">
        <v>32</v>
      </c>
      <c r="F12" s="630" t="s">
        <v>33</v>
      </c>
      <c r="G12" s="630" t="s">
        <v>18</v>
      </c>
      <c r="H12" s="630" t="s">
        <v>32</v>
      </c>
      <c r="I12" s="630" t="s">
        <v>33</v>
      </c>
      <c r="J12" s="630" t="s">
        <v>18</v>
      </c>
      <c r="K12" s="630" t="s">
        <v>32</v>
      </c>
      <c r="L12" s="630" t="s">
        <v>33</v>
      </c>
      <c r="M12" s="630" t="s">
        <v>18</v>
      </c>
      <c r="O12" s="631" t="s">
        <v>23</v>
      </c>
      <c r="P12" s="569" t="s">
        <v>32</v>
      </c>
      <c r="Q12" s="570" t="s">
        <v>33</v>
      </c>
      <c r="R12" s="571" t="s">
        <v>18</v>
      </c>
      <c r="S12" s="569" t="s">
        <v>32</v>
      </c>
      <c r="T12" s="570" t="s">
        <v>33</v>
      </c>
      <c r="U12" s="571" t="s">
        <v>18</v>
      </c>
      <c r="V12" s="569" t="s">
        <v>32</v>
      </c>
      <c r="W12" s="570" t="s">
        <v>33</v>
      </c>
      <c r="X12" s="571" t="s">
        <v>18</v>
      </c>
      <c r="Y12" s="569" t="s">
        <v>32</v>
      </c>
      <c r="Z12" s="570" t="s">
        <v>33</v>
      </c>
      <c r="AA12" s="571" t="s">
        <v>18</v>
      </c>
    </row>
    <row r="13" spans="1:27" x14ac:dyDescent="0.25">
      <c r="A13" s="572" t="s">
        <v>24</v>
      </c>
      <c r="B13" s="329">
        <v>725138205</v>
      </c>
      <c r="C13" s="329"/>
      <c r="D13" s="253">
        <f>SUM(B13:C13)</f>
        <v>725138205</v>
      </c>
      <c r="E13" s="329">
        <f>'4. Önkormányzat+int összesen'!AR9</f>
        <v>744700699</v>
      </c>
      <c r="F13" s="329"/>
      <c r="G13" s="253">
        <f>SUM(E13:F13)</f>
        <v>744700699</v>
      </c>
      <c r="H13" s="329">
        <f ca="1">'4. Önkormányzat+int összesen'!AU9</f>
        <v>751704599</v>
      </c>
      <c r="I13" s="329"/>
      <c r="J13" s="253">
        <f ca="1">SUM(H13:I13)</f>
        <v>751704599</v>
      </c>
      <c r="K13" s="329">
        <f ca="1">'4. Önkormányzat+int összesen'!AX9</f>
        <v>703373408</v>
      </c>
      <c r="L13" s="329"/>
      <c r="M13" s="253">
        <f ca="1">SUM(K13:L13)</f>
        <v>703373408</v>
      </c>
      <c r="O13" s="572" t="s">
        <v>34</v>
      </c>
      <c r="P13" s="328">
        <v>364604052</v>
      </c>
      <c r="Q13" s="329"/>
      <c r="R13" s="253">
        <f>SUM(P13:Q13)</f>
        <v>364604052</v>
      </c>
      <c r="S13" s="328">
        <f>'4. Önkormányzat+int összesen'!AR88</f>
        <v>368932112</v>
      </c>
      <c r="T13" s="329"/>
      <c r="U13" s="253">
        <f>SUM(S13:T13)</f>
        <v>368932112</v>
      </c>
      <c r="V13" s="328">
        <f ca="1">'4. Önkormányzat+int összesen'!AU88</f>
        <v>379409118</v>
      </c>
      <c r="W13" s="329"/>
      <c r="X13" s="647">
        <f ca="1">SUM(V13:W13)</f>
        <v>379409118</v>
      </c>
      <c r="Y13" s="328">
        <f ca="1">'4. Önkormányzat+int összesen'!AV88</f>
        <v>361784184</v>
      </c>
      <c r="Z13" s="328">
        <f>'4. Önkormányzat+int összesen'!AW88</f>
        <v>6750</v>
      </c>
      <c r="AA13" s="328">
        <f ca="1">'4. Önkormányzat+int összesen'!AX88</f>
        <v>361790934</v>
      </c>
    </row>
    <row r="14" spans="1:27" x14ac:dyDescent="0.25">
      <c r="A14" s="573" t="s">
        <v>25</v>
      </c>
      <c r="B14" s="246">
        <v>504000000</v>
      </c>
      <c r="C14" s="246"/>
      <c r="D14" s="247">
        <f t="shared" ref="D14:D31" si="0">SUM(B14:C14)</f>
        <v>504000000</v>
      </c>
      <c r="E14" s="246">
        <f>'4. Önkormányzat+int összesen'!AR25</f>
        <v>504000000</v>
      </c>
      <c r="F14" s="246"/>
      <c r="G14" s="247">
        <f t="shared" ref="G14:G31" si="1">SUM(E14:F14)</f>
        <v>504000000</v>
      </c>
      <c r="H14" s="246">
        <f ca="1">'4. Önkormányzat+int összesen'!AU25</f>
        <v>537389831</v>
      </c>
      <c r="I14" s="246"/>
      <c r="J14" s="247">
        <f t="shared" ref="J14:J31" ca="1" si="2">SUM(H14:I14)</f>
        <v>537389831</v>
      </c>
      <c r="K14" s="246">
        <f ca="1">'4. Önkormányzat+int összesen'!AX25</f>
        <v>570273424</v>
      </c>
      <c r="L14" s="246"/>
      <c r="M14" s="247">
        <f t="shared" ref="M14:M31" ca="1" si="3">SUM(K14:L14)</f>
        <v>570273424</v>
      </c>
      <c r="O14" s="573" t="s">
        <v>783</v>
      </c>
      <c r="P14" s="332">
        <v>80205642</v>
      </c>
      <c r="Q14" s="246"/>
      <c r="R14" s="247">
        <f t="shared" ref="R14:R31" si="4">SUM(P14:Q14)</f>
        <v>80205642</v>
      </c>
      <c r="S14" s="332">
        <f>'4. Önkormányzat+int összesen'!AR105</f>
        <v>81702283</v>
      </c>
      <c r="T14" s="246"/>
      <c r="U14" s="247">
        <f t="shared" ref="U14:U31" si="5">SUM(S14:T14)</f>
        <v>81702283</v>
      </c>
      <c r="V14" s="332">
        <f ca="1">'4. Önkormányzat+int összesen'!AU105</f>
        <v>81588283</v>
      </c>
      <c r="W14" s="246"/>
      <c r="X14" s="648">
        <f t="shared" ref="X14:X26" ca="1" si="6">SUM(V14:W14)</f>
        <v>81588283</v>
      </c>
      <c r="Y14" s="332">
        <f ca="1">'4. Önkormányzat+int összesen'!AV105</f>
        <v>77209497</v>
      </c>
      <c r="Z14" s="332">
        <f>'4. Önkormányzat+int összesen'!AW105</f>
        <v>0</v>
      </c>
      <c r="AA14" s="332">
        <f ca="1">'4. Önkormányzat+int összesen'!AX105</f>
        <v>77209497</v>
      </c>
    </row>
    <row r="15" spans="1:27" x14ac:dyDescent="0.25">
      <c r="A15" s="573" t="s">
        <v>26</v>
      </c>
      <c r="B15" s="246">
        <v>161955490</v>
      </c>
      <c r="C15" s="246"/>
      <c r="D15" s="247">
        <f t="shared" si="0"/>
        <v>161955490</v>
      </c>
      <c r="E15" s="246">
        <f>'4. Önkormányzat+int összesen'!AR45</f>
        <v>166987705</v>
      </c>
      <c r="F15" s="246"/>
      <c r="G15" s="247">
        <f t="shared" si="1"/>
        <v>166987705</v>
      </c>
      <c r="H15" s="246">
        <f ca="1">'4. Önkormányzat+int összesen'!AU45</f>
        <v>169394537</v>
      </c>
      <c r="I15" s="246"/>
      <c r="J15" s="247">
        <f t="shared" ca="1" si="2"/>
        <v>169394537</v>
      </c>
      <c r="K15" s="246">
        <f ca="1">'4. Önkormányzat+int összesen'!AX45</f>
        <v>157006935</v>
      </c>
      <c r="L15" s="246"/>
      <c r="M15" s="247">
        <f t="shared" ca="1" si="3"/>
        <v>157006935</v>
      </c>
      <c r="O15" s="573" t="s">
        <v>35</v>
      </c>
      <c r="P15" s="332">
        <v>859151761</v>
      </c>
      <c r="Q15" s="246">
        <v>1250000</v>
      </c>
      <c r="R15" s="247">
        <f t="shared" si="4"/>
        <v>860401761</v>
      </c>
      <c r="S15" s="332">
        <f>'4. Önkormányzat+int összesen'!AP111</f>
        <v>846540825</v>
      </c>
      <c r="T15" s="246">
        <f>'4. Önkormányzat+int összesen'!AQ111</f>
        <v>1250000</v>
      </c>
      <c r="U15" s="247">
        <f t="shared" si="5"/>
        <v>847790825</v>
      </c>
      <c r="V15" s="332">
        <f ca="1">'4. Önkormányzat+int összesen'!AS111</f>
        <v>862933866</v>
      </c>
      <c r="W15" s="246">
        <f>'4. Önkormányzat+int összesen'!AT111</f>
        <v>1265000</v>
      </c>
      <c r="X15" s="648">
        <f t="shared" ca="1" si="6"/>
        <v>864198866</v>
      </c>
      <c r="Y15" s="332">
        <f ca="1">'4. Önkormányzat+int összesen'!AV111</f>
        <v>606369566</v>
      </c>
      <c r="Z15" s="246">
        <f>'4. Önkormányzat+int összesen'!AW111</f>
        <v>1227546</v>
      </c>
      <c r="AA15" s="648">
        <f t="shared" ref="AA15:AA17" ca="1" si="7">SUM(Y15:Z15)</f>
        <v>607597112</v>
      </c>
    </row>
    <row r="16" spans="1:27" ht="15.75" thickBot="1" x14ac:dyDescent="0.3">
      <c r="A16" s="575" t="s">
        <v>784</v>
      </c>
      <c r="B16" s="256"/>
      <c r="C16" s="256"/>
      <c r="D16" s="579">
        <f t="shared" si="0"/>
        <v>0</v>
      </c>
      <c r="E16" s="256"/>
      <c r="F16" s="256"/>
      <c r="G16" s="579">
        <f t="shared" si="1"/>
        <v>0</v>
      </c>
      <c r="H16" s="246">
        <f ca="1">'4. Önkormányzat+int összesen'!AU67</f>
        <v>100000</v>
      </c>
      <c r="I16" s="256"/>
      <c r="J16" s="579">
        <f t="shared" ca="1" si="2"/>
        <v>100000</v>
      </c>
      <c r="K16" s="246">
        <f ca="1">'4. Önkormányzat+int összesen'!AX67</f>
        <v>268730</v>
      </c>
      <c r="L16" s="256"/>
      <c r="M16" s="579">
        <f t="shared" ca="1" si="3"/>
        <v>268730</v>
      </c>
      <c r="O16" s="573" t="s">
        <v>36</v>
      </c>
      <c r="P16" s="332">
        <v>4000000</v>
      </c>
      <c r="Q16" s="246"/>
      <c r="R16" s="247">
        <f t="shared" si="4"/>
        <v>4000000</v>
      </c>
      <c r="S16" s="332">
        <f>'4. Önkormányzat+int összesen'!AR127</f>
        <v>4000000</v>
      </c>
      <c r="T16" s="246"/>
      <c r="U16" s="247">
        <f t="shared" si="5"/>
        <v>4000000</v>
      </c>
      <c r="V16" s="332">
        <f ca="1">'4. Önkormányzat+int összesen'!AU127</f>
        <v>5388302</v>
      </c>
      <c r="W16" s="246"/>
      <c r="X16" s="648">
        <f t="shared" ca="1" si="6"/>
        <v>5388302</v>
      </c>
      <c r="Y16" s="332">
        <f ca="1">'4. Önkormányzat+int összesen'!AV127</f>
        <v>5151302</v>
      </c>
      <c r="Z16" s="332">
        <f>'4. Önkormányzat+int összesen'!AW127</f>
        <v>0</v>
      </c>
      <c r="AA16" s="332">
        <f ca="1">'4. Önkormányzat+int összesen'!AX127</f>
        <v>5151302</v>
      </c>
    </row>
    <row r="17" spans="1:27" ht="15.75" thickBot="1" x14ac:dyDescent="0.3">
      <c r="A17" s="574" t="s">
        <v>785</v>
      </c>
      <c r="B17" s="581">
        <f>SUM(B13:B16)</f>
        <v>1391093695</v>
      </c>
      <c r="C17" s="581"/>
      <c r="D17" s="582">
        <f t="shared" si="0"/>
        <v>1391093695</v>
      </c>
      <c r="E17" s="581">
        <f>SUM(E13:E16)</f>
        <v>1415688404</v>
      </c>
      <c r="F17" s="581"/>
      <c r="G17" s="582">
        <f t="shared" si="1"/>
        <v>1415688404</v>
      </c>
      <c r="H17" s="581">
        <f ca="1">SUM(H13:H16)</f>
        <v>1458588967</v>
      </c>
      <c r="I17" s="581"/>
      <c r="J17" s="582">
        <f t="shared" ca="1" si="2"/>
        <v>1458588967</v>
      </c>
      <c r="K17" s="581">
        <f ca="1">SUM(K13:K16)</f>
        <v>1430922497</v>
      </c>
      <c r="L17" s="581"/>
      <c r="M17" s="582">
        <f t="shared" ca="1" si="3"/>
        <v>1430922497</v>
      </c>
      <c r="O17" s="573" t="s">
        <v>37</v>
      </c>
      <c r="P17" s="332">
        <f>SUM(P18:P22)</f>
        <v>491721344</v>
      </c>
      <c r="Q17" s="246">
        <v>61812082</v>
      </c>
      <c r="R17" s="247">
        <f t="shared" si="4"/>
        <v>553533426</v>
      </c>
      <c r="S17" s="332">
        <f>SUM(S18:S22)</f>
        <v>456686326</v>
      </c>
      <c r="T17" s="246">
        <v>61812082</v>
      </c>
      <c r="U17" s="247">
        <f t="shared" si="5"/>
        <v>518498408</v>
      </c>
      <c r="V17" s="332">
        <f ca="1">SUM(V18:V22)</f>
        <v>458930378</v>
      </c>
      <c r="W17" s="332">
        <f>SUM(W18:W22)</f>
        <v>62412000</v>
      </c>
      <c r="X17" s="648">
        <f t="shared" ca="1" si="6"/>
        <v>521342378</v>
      </c>
      <c r="Y17" s="332">
        <f ca="1">SUM(Y18:Y22)</f>
        <v>392231809</v>
      </c>
      <c r="Z17" s="332">
        <f>SUM(Z18:Z22)</f>
        <v>62412000</v>
      </c>
      <c r="AA17" s="648">
        <f t="shared" ca="1" si="7"/>
        <v>454643809</v>
      </c>
    </row>
    <row r="18" spans="1:27" x14ac:dyDescent="0.25">
      <c r="A18" s="576" t="s">
        <v>27</v>
      </c>
      <c r="B18" s="244">
        <v>1006762937</v>
      </c>
      <c r="C18" s="244"/>
      <c r="D18" s="245">
        <f t="shared" si="0"/>
        <v>1006762937</v>
      </c>
      <c r="E18" s="244">
        <f>'4. Önkormányzat+int összesen'!AR22</f>
        <v>1006762937</v>
      </c>
      <c r="F18" s="244"/>
      <c r="G18" s="245">
        <f t="shared" si="1"/>
        <v>1006762937</v>
      </c>
      <c r="H18" s="244">
        <f ca="1">'4. Önkormányzat+int összesen'!AU22</f>
        <v>1011738782</v>
      </c>
      <c r="I18" s="244"/>
      <c r="J18" s="245">
        <f t="shared" ca="1" si="2"/>
        <v>1011738782</v>
      </c>
      <c r="K18" s="244">
        <f ca="1">'4. Önkormányzat+int összesen'!AX22</f>
        <v>957123845</v>
      </c>
      <c r="L18" s="244"/>
      <c r="M18" s="245">
        <f t="shared" ca="1" si="3"/>
        <v>957123845</v>
      </c>
      <c r="O18" s="573" t="s">
        <v>863</v>
      </c>
      <c r="P18" s="332"/>
      <c r="Q18" s="246"/>
      <c r="R18" s="247">
        <f t="shared" si="4"/>
        <v>0</v>
      </c>
      <c r="S18" s="332"/>
      <c r="T18" s="246"/>
      <c r="U18" s="247">
        <f t="shared" si="5"/>
        <v>0</v>
      </c>
      <c r="V18" s="332">
        <f ca="1">'4. Önkormányzat+int összesen'!AS129</f>
        <v>22052</v>
      </c>
      <c r="W18" s="246"/>
      <c r="X18" s="247">
        <f t="shared" ca="1" si="6"/>
        <v>22052</v>
      </c>
      <c r="Y18" s="332">
        <f ca="1">'4. Önkormányzat+int összesen'!AV129</f>
        <v>22052</v>
      </c>
      <c r="Z18" s="332">
        <f>'4. Önkormányzat+int összesen'!AW129</f>
        <v>0</v>
      </c>
      <c r="AA18" s="332">
        <f ca="1">'4. Önkormányzat+int összesen'!AX129</f>
        <v>22052</v>
      </c>
    </row>
    <row r="19" spans="1:27" x14ac:dyDescent="0.25">
      <c r="A19" s="576" t="s">
        <v>786</v>
      </c>
      <c r="B19" s="244">
        <v>375000</v>
      </c>
      <c r="C19" s="244"/>
      <c r="D19" s="245">
        <f t="shared" si="0"/>
        <v>375000</v>
      </c>
      <c r="E19" s="244">
        <f>'4. Önkormányzat+int összesen'!AR70+'4. Önkormányzat+int összesen'!AR72</f>
        <v>5497863</v>
      </c>
      <c r="F19" s="244"/>
      <c r="G19" s="245">
        <f t="shared" si="1"/>
        <v>5497863</v>
      </c>
      <c r="H19" s="244">
        <f ca="1">'4. Önkormányzat+int összesen'!AU70+'4. Önkormányzat+int összesen'!AU72</f>
        <v>5497863</v>
      </c>
      <c r="I19" s="244"/>
      <c r="J19" s="245">
        <f t="shared" ca="1" si="2"/>
        <v>5497863</v>
      </c>
      <c r="K19" s="244">
        <f ca="1">'4. Önkormányzat+int összesen'!AX70+'4. Önkormányzat+int összesen'!AX72</f>
        <v>406665</v>
      </c>
      <c r="L19" s="244"/>
      <c r="M19" s="245">
        <f t="shared" ca="1" si="3"/>
        <v>406665</v>
      </c>
      <c r="O19" s="573" t="s">
        <v>862</v>
      </c>
      <c r="P19" s="332"/>
      <c r="Q19" s="246"/>
      <c r="R19" s="247"/>
      <c r="S19" s="332"/>
      <c r="T19" s="246"/>
      <c r="U19" s="247"/>
      <c r="V19" s="332">
        <f ca="1">'4. Önkormányzat+int összesen'!AS132+'4. Önkormányzat+int összesen'!AS130</f>
        <v>2985000</v>
      </c>
      <c r="W19" s="332">
        <f>'4. Önkormányzat+int összesen'!AT132+'4. Önkormányzat+int összesen'!AT130</f>
        <v>0</v>
      </c>
      <c r="X19" s="332">
        <f ca="1">'4. Önkormányzat+int összesen'!AU132+'4. Önkormányzat+int összesen'!AU130</f>
        <v>2985000</v>
      </c>
      <c r="Y19" s="332">
        <f ca="1">'4. Önkormányzat+int összesen'!AV132+'4. Önkormányzat+int összesen'!AV130</f>
        <v>2985000</v>
      </c>
      <c r="Z19" s="332">
        <f>'4. Önkormányzat+int összesen'!AW132+'4. Önkormányzat+int összesen'!AW130</f>
        <v>0</v>
      </c>
      <c r="AA19" s="332">
        <f ca="1">'4. Önkormányzat+int összesen'!AX132+'4. Önkormányzat+int összesen'!AX130</f>
        <v>2985000</v>
      </c>
    </row>
    <row r="20" spans="1:27" x14ac:dyDescent="0.25">
      <c r="A20" s="573" t="s">
        <v>28</v>
      </c>
      <c r="B20" s="246">
        <v>7695000</v>
      </c>
      <c r="C20" s="246"/>
      <c r="D20" s="247">
        <f t="shared" si="0"/>
        <v>7695000</v>
      </c>
      <c r="E20" s="246">
        <f>'4. Önkormányzat+int összesen'!AR61</f>
        <v>9298826</v>
      </c>
      <c r="F20" s="246"/>
      <c r="G20" s="247">
        <f t="shared" si="1"/>
        <v>9298826</v>
      </c>
      <c r="H20" s="246">
        <f ca="1">'4. Önkormányzat+int összesen'!AU61</f>
        <v>9327233</v>
      </c>
      <c r="I20" s="246"/>
      <c r="J20" s="247">
        <f t="shared" ca="1" si="2"/>
        <v>9327233</v>
      </c>
      <c r="K20" s="246">
        <f ca="1">'4. Önkormányzat+int összesen'!AX61</f>
        <v>9298826</v>
      </c>
      <c r="L20" s="246"/>
      <c r="M20" s="247">
        <f t="shared" ca="1" si="3"/>
        <v>9298826</v>
      </c>
      <c r="O20" s="573" t="s">
        <v>787</v>
      </c>
      <c r="P20" s="332">
        <v>210731344</v>
      </c>
      <c r="Q20" s="246"/>
      <c r="R20" s="247">
        <f t="shared" si="4"/>
        <v>210731344</v>
      </c>
      <c r="S20" s="332">
        <f>'4. Önkormányzat+int összesen'!AR131</f>
        <v>215211326</v>
      </c>
      <c r="T20" s="246"/>
      <c r="U20" s="247">
        <f t="shared" si="5"/>
        <v>215211326</v>
      </c>
      <c r="V20" s="332">
        <f ca="1">'4. Önkormányzat+int összesen'!AU131</f>
        <v>215211326</v>
      </c>
      <c r="W20" s="246"/>
      <c r="X20" s="247">
        <f t="shared" ca="1" si="6"/>
        <v>215211326</v>
      </c>
      <c r="Y20" s="332">
        <f ca="1">'4. Önkormányzat+int összesen'!AV131</f>
        <v>211999757</v>
      </c>
      <c r="Z20" s="332">
        <f>'4. Önkormányzat+int összesen'!AW131</f>
        <v>0</v>
      </c>
      <c r="AA20" s="332">
        <f ca="1">'4. Önkormányzat+int összesen'!AX131</f>
        <v>211999757</v>
      </c>
    </row>
    <row r="21" spans="1:27" ht="15.75" thickBot="1" x14ac:dyDescent="0.3">
      <c r="A21" s="586" t="s">
        <v>789</v>
      </c>
      <c r="B21" s="256">
        <f>SUM(B18:B20)</f>
        <v>1014832937</v>
      </c>
      <c r="C21" s="256"/>
      <c r="D21" s="579">
        <f t="shared" si="0"/>
        <v>1014832937</v>
      </c>
      <c r="E21" s="256">
        <f>SUM(E18:E20)</f>
        <v>1021559626</v>
      </c>
      <c r="F21" s="256"/>
      <c r="G21" s="579">
        <f t="shared" si="1"/>
        <v>1021559626</v>
      </c>
      <c r="H21" s="256">
        <f ca="1">SUM(H18:H20)</f>
        <v>1026563878</v>
      </c>
      <c r="I21" s="256"/>
      <c r="J21" s="579">
        <f t="shared" ca="1" si="2"/>
        <v>1026563878</v>
      </c>
      <c r="K21" s="256">
        <f ca="1">SUM(K18:K20)</f>
        <v>966829336</v>
      </c>
      <c r="L21" s="256"/>
      <c r="M21" s="579">
        <f t="shared" ca="1" si="3"/>
        <v>966829336</v>
      </c>
      <c r="O21" s="573" t="s">
        <v>788</v>
      </c>
      <c r="P21" s="332">
        <v>180990000</v>
      </c>
      <c r="Q21" s="246">
        <v>61812082</v>
      </c>
      <c r="R21" s="247">
        <f t="shared" si="4"/>
        <v>242802082</v>
      </c>
      <c r="S21" s="332">
        <f>'4. Önkormányzat+int összesen'!AP133</f>
        <v>181475000</v>
      </c>
      <c r="T21" s="246">
        <f>'4. Önkormányzat+int összesen'!AQ133</f>
        <v>61812082</v>
      </c>
      <c r="U21" s="247">
        <f t="shared" si="5"/>
        <v>243287082</v>
      </c>
      <c r="V21" s="332">
        <f ca="1">'4. Önkormányzat+int összesen'!AS133</f>
        <v>180712000</v>
      </c>
      <c r="W21" s="246">
        <f>'4. Önkormányzat+int összesen'!AT133</f>
        <v>62412000</v>
      </c>
      <c r="X21" s="247">
        <f t="shared" ca="1" si="6"/>
        <v>243124000</v>
      </c>
      <c r="Y21" s="332">
        <f ca="1">'4. Önkormányzat+int összesen'!AV133</f>
        <v>177225000</v>
      </c>
      <c r="Z21" s="332">
        <f>'4. Önkormányzat+int összesen'!AW133</f>
        <v>62412000</v>
      </c>
      <c r="AA21" s="332">
        <f ca="1">'4. Önkormányzat+int összesen'!AX133</f>
        <v>239637000</v>
      </c>
    </row>
    <row r="22" spans="1:27" ht="15.75" thickBot="1" x14ac:dyDescent="0.3">
      <c r="A22" s="574" t="s">
        <v>791</v>
      </c>
      <c r="B22" s="580">
        <f>B21+B17</f>
        <v>2405926632</v>
      </c>
      <c r="C22" s="581"/>
      <c r="D22" s="582">
        <f t="shared" si="0"/>
        <v>2405926632</v>
      </c>
      <c r="E22" s="580">
        <f>E21+E17</f>
        <v>2437248030</v>
      </c>
      <c r="F22" s="581"/>
      <c r="G22" s="582">
        <f t="shared" si="1"/>
        <v>2437248030</v>
      </c>
      <c r="H22" s="580">
        <f ca="1">H21+H17</f>
        <v>2485152845</v>
      </c>
      <c r="I22" s="581"/>
      <c r="J22" s="582">
        <f t="shared" ca="1" si="2"/>
        <v>2485152845</v>
      </c>
      <c r="K22" s="580">
        <f ca="1">K21+K17</f>
        <v>2397751833</v>
      </c>
      <c r="L22" s="581"/>
      <c r="M22" s="582">
        <f t="shared" ca="1" si="3"/>
        <v>2397751833</v>
      </c>
      <c r="O22" s="575" t="s">
        <v>790</v>
      </c>
      <c r="P22" s="578">
        <v>100000000</v>
      </c>
      <c r="Q22" s="256"/>
      <c r="R22" s="579">
        <f t="shared" si="4"/>
        <v>100000000</v>
      </c>
      <c r="S22" s="578">
        <f>'4. Önkormányzat+int összesen'!AR134</f>
        <v>60000000</v>
      </c>
      <c r="T22" s="256"/>
      <c r="U22" s="579">
        <f t="shared" si="5"/>
        <v>60000000</v>
      </c>
      <c r="V22" s="578">
        <f ca="1">'4. Önkormányzat+int összesen'!AU134</f>
        <v>60000000</v>
      </c>
      <c r="W22" s="256"/>
      <c r="X22" s="579">
        <f t="shared" ca="1" si="6"/>
        <v>60000000</v>
      </c>
      <c r="Y22" s="578">
        <f ca="1">'4. Önkormányzat+int összesen'!AV134</f>
        <v>0</v>
      </c>
      <c r="Z22" s="578">
        <f>'4. Önkormányzat+int összesen'!AW134</f>
        <v>0</v>
      </c>
      <c r="AA22" s="578">
        <f ca="1">'4. Önkormányzat+int összesen'!AX134</f>
        <v>0</v>
      </c>
    </row>
    <row r="23" spans="1:27" ht="15.75" thickBot="1" x14ac:dyDescent="0.3">
      <c r="A23" s="572" t="s">
        <v>603</v>
      </c>
      <c r="B23" s="244"/>
      <c r="C23" s="244"/>
      <c r="D23" s="245">
        <f t="shared" si="0"/>
        <v>0</v>
      </c>
      <c r="E23" s="244"/>
      <c r="F23" s="244"/>
      <c r="G23" s="245">
        <f t="shared" si="1"/>
        <v>0</v>
      </c>
      <c r="H23" s="244"/>
      <c r="I23" s="244"/>
      <c r="J23" s="245">
        <f t="shared" si="2"/>
        <v>0</v>
      </c>
      <c r="K23" s="244">
        <f ca="1">'4. Önkormányzat+int összesen'!AX82</f>
        <v>19068717</v>
      </c>
      <c r="L23" s="244"/>
      <c r="M23" s="245">
        <f t="shared" ca="1" si="3"/>
        <v>19068717</v>
      </c>
      <c r="O23" s="574" t="s">
        <v>792</v>
      </c>
      <c r="P23" s="580">
        <f>SUM(P13:P17)</f>
        <v>1799682799</v>
      </c>
      <c r="Q23" s="580">
        <f>SUM(Q13:Q17)</f>
        <v>63062082</v>
      </c>
      <c r="R23" s="582">
        <f t="shared" si="4"/>
        <v>1862744881</v>
      </c>
      <c r="S23" s="580">
        <f>SUM(S13:S17)</f>
        <v>1757861546</v>
      </c>
      <c r="T23" s="580">
        <f>SUM(T13:T17)</f>
        <v>63062082</v>
      </c>
      <c r="U23" s="582">
        <f t="shared" si="5"/>
        <v>1820923628</v>
      </c>
      <c r="V23" s="580">
        <f ca="1">SUM(V13:V17)</f>
        <v>1788249947</v>
      </c>
      <c r="W23" s="580">
        <f>SUM(W13:W17)</f>
        <v>63677000</v>
      </c>
      <c r="X23" s="582">
        <f t="shared" ca="1" si="6"/>
        <v>1851926947</v>
      </c>
      <c r="Y23" s="580">
        <f ca="1">SUM(Y13:Y17)</f>
        <v>1442746358</v>
      </c>
      <c r="Z23" s="580">
        <f>SUM(Z13:Z17)</f>
        <v>63646296</v>
      </c>
      <c r="AA23" s="582">
        <f t="shared" ref="AA23:AA26" ca="1" si="8">SUM(Y23:Z23)</f>
        <v>1506392654</v>
      </c>
    </row>
    <row r="24" spans="1:27" ht="15.75" thickBot="1" x14ac:dyDescent="0.3">
      <c r="A24" s="575" t="s">
        <v>29</v>
      </c>
      <c r="B24" s="256">
        <v>488571724</v>
      </c>
      <c r="C24" s="256"/>
      <c r="D24" s="579">
        <f t="shared" si="0"/>
        <v>488571724</v>
      </c>
      <c r="E24" s="256">
        <f>'4. Önkormányzat+int összesen'!AR80</f>
        <v>495376893</v>
      </c>
      <c r="F24" s="256"/>
      <c r="G24" s="579">
        <f t="shared" si="1"/>
        <v>495376893</v>
      </c>
      <c r="H24" s="256">
        <f ca="1">'4. Önkormányzat+int összesen'!AU80</f>
        <v>495376893</v>
      </c>
      <c r="I24" s="256"/>
      <c r="J24" s="579">
        <f t="shared" ca="1" si="2"/>
        <v>495376893</v>
      </c>
      <c r="K24" s="256">
        <f ca="1">'4. Önkormányzat+int összesen'!AX80</f>
        <v>495376893</v>
      </c>
      <c r="L24" s="256"/>
      <c r="M24" s="579">
        <f t="shared" ca="1" si="3"/>
        <v>495376893</v>
      </c>
      <c r="O24" s="576" t="s">
        <v>38</v>
      </c>
      <c r="P24" s="328">
        <v>2478055779</v>
      </c>
      <c r="Q24" s="329"/>
      <c r="R24" s="253">
        <f t="shared" si="4"/>
        <v>2478055779</v>
      </c>
      <c r="S24" s="328">
        <f>'4. Önkormányzat+int összesen'!AR137+'4. Önkormányzat+int összesen'!AR138</f>
        <v>2675670651</v>
      </c>
      <c r="T24" s="329"/>
      <c r="U24" s="253">
        <f t="shared" si="5"/>
        <v>2675670651</v>
      </c>
      <c r="V24" s="328">
        <f ca="1">'4. Önkormányzat+int összesen'!AU137+'4. Önkormányzat+int összesen'!AU138</f>
        <v>2653596958</v>
      </c>
      <c r="W24" s="329"/>
      <c r="X24" s="253">
        <f t="shared" ca="1" si="6"/>
        <v>2653596958</v>
      </c>
      <c r="Y24" s="328">
        <f ca="1">'4. Önkormányzat+int összesen'!AV137+'4. Önkormányzat+int összesen'!AV138</f>
        <v>1536343937</v>
      </c>
      <c r="Z24" s="328">
        <f>'4. Önkormányzat+int összesen'!AW137+'4. Önkormányzat+int összesen'!AW138</f>
        <v>0</v>
      </c>
      <c r="AA24" s="328">
        <f ca="1">'4. Önkormányzat+int összesen'!AX137+'4. Önkormányzat+int összesen'!AX138</f>
        <v>1536343937</v>
      </c>
    </row>
    <row r="25" spans="1:27" ht="15.75" thickBot="1" x14ac:dyDescent="0.3">
      <c r="A25" s="574" t="s">
        <v>793</v>
      </c>
      <c r="B25" s="390">
        <f>SUM(B23:B24)</f>
        <v>488571724</v>
      </c>
      <c r="C25" s="250"/>
      <c r="D25" s="251">
        <f t="shared" si="0"/>
        <v>488571724</v>
      </c>
      <c r="E25" s="390">
        <f>SUM(E23:E24)</f>
        <v>495376893</v>
      </c>
      <c r="F25" s="250"/>
      <c r="G25" s="251">
        <f t="shared" si="1"/>
        <v>495376893</v>
      </c>
      <c r="H25" s="390">
        <f ca="1">SUM(H23:H24)</f>
        <v>495376893</v>
      </c>
      <c r="I25" s="250"/>
      <c r="J25" s="251">
        <f t="shared" ca="1" si="2"/>
        <v>495376893</v>
      </c>
      <c r="K25" s="390">
        <f ca="1">SUM(K23:K24)</f>
        <v>514445610</v>
      </c>
      <c r="L25" s="250"/>
      <c r="M25" s="251">
        <f t="shared" ca="1" si="3"/>
        <v>514445610</v>
      </c>
      <c r="O25" s="573" t="s">
        <v>39</v>
      </c>
      <c r="P25" s="332">
        <v>499768804</v>
      </c>
      <c r="Q25" s="246"/>
      <c r="R25" s="247">
        <f t="shared" si="4"/>
        <v>499768804</v>
      </c>
      <c r="S25" s="332">
        <f>'4. Önkormányzat+int összesen'!AR139+'4. Önkormányzat+int összesen'!AR140</f>
        <v>376978889</v>
      </c>
      <c r="T25" s="246"/>
      <c r="U25" s="247">
        <f t="shared" si="5"/>
        <v>376978889</v>
      </c>
      <c r="V25" s="332">
        <f ca="1">'4. Önkormányzat+int összesen'!AU139+'4. Önkormányzat+int összesen'!AU140</f>
        <v>410374174</v>
      </c>
      <c r="W25" s="246"/>
      <c r="X25" s="247">
        <f t="shared" ca="1" si="6"/>
        <v>410374174</v>
      </c>
      <c r="Y25" s="332">
        <f ca="1">'4. Önkormányzat+int összesen'!AV139+'4. Önkormányzat+int összesen'!AV140</f>
        <v>356911715</v>
      </c>
      <c r="Z25" s="332">
        <f>'4. Önkormányzat+int összesen'!AW139+'4. Önkormányzat+int összesen'!AW140</f>
        <v>0</v>
      </c>
      <c r="AA25" s="332">
        <f ca="1">'4. Önkormányzat+int összesen'!AX139+'4. Önkormányzat+int összesen'!AX140</f>
        <v>356911715</v>
      </c>
    </row>
    <row r="26" spans="1:27" ht="15.75" thickBot="1" x14ac:dyDescent="0.3">
      <c r="A26" s="587" t="s">
        <v>30</v>
      </c>
      <c r="B26" s="244">
        <v>1980903646</v>
      </c>
      <c r="C26" s="244"/>
      <c r="D26" s="245">
        <f t="shared" si="0"/>
        <v>1980903646</v>
      </c>
      <c r="E26" s="244">
        <f>'4. Önkormányzat+int összesen'!AR81</f>
        <v>1980903646</v>
      </c>
      <c r="F26" s="244"/>
      <c r="G26" s="245">
        <f t="shared" si="1"/>
        <v>1980903646</v>
      </c>
      <c r="H26" s="244">
        <f ca="1">'4. Önkormányzat+int összesen'!AU81</f>
        <v>1980903646</v>
      </c>
      <c r="I26" s="244"/>
      <c r="J26" s="245">
        <f t="shared" ca="1" si="2"/>
        <v>1980903646</v>
      </c>
      <c r="K26" s="244">
        <f ca="1">'4. Önkormányzat+int összesen'!AX81</f>
        <v>1980903646</v>
      </c>
      <c r="L26" s="244"/>
      <c r="M26" s="245">
        <f t="shared" ca="1" si="3"/>
        <v>1980903646</v>
      </c>
      <c r="O26" s="575" t="s">
        <v>40</v>
      </c>
      <c r="P26" s="578">
        <v>17912000</v>
      </c>
      <c r="Q26" s="256"/>
      <c r="R26" s="579">
        <f t="shared" si="4"/>
        <v>17912000</v>
      </c>
      <c r="S26" s="578">
        <f>'4. Önkormányzat+int összesen'!AP141</f>
        <v>20122863</v>
      </c>
      <c r="T26" s="256">
        <f>'4. Önkormányzat+int összesen'!AQ141</f>
        <v>2912000</v>
      </c>
      <c r="U26" s="579">
        <f t="shared" si="5"/>
        <v>23034863</v>
      </c>
      <c r="V26" s="578">
        <f ca="1">'4. Önkormányzat+int összesen'!AS141</f>
        <v>25702767</v>
      </c>
      <c r="W26" s="256">
        <f>'4. Önkormányzat+int összesen'!AT141</f>
        <v>2912000</v>
      </c>
      <c r="X26" s="579">
        <f t="shared" ca="1" si="6"/>
        <v>28614767</v>
      </c>
      <c r="Y26" s="578">
        <f ca="1">'4. Önkormányzat+int összesen'!AV141</f>
        <v>25702767</v>
      </c>
      <c r="Z26" s="256">
        <f>'4. Önkormányzat+int összesen'!AW141</f>
        <v>2912000</v>
      </c>
      <c r="AA26" s="579">
        <f t="shared" ca="1" si="8"/>
        <v>28614767</v>
      </c>
    </row>
    <row r="27" spans="1:27" ht="15.75" thickBot="1" x14ac:dyDescent="0.3">
      <c r="A27" s="574" t="s">
        <v>31</v>
      </c>
      <c r="B27" s="580">
        <f>SUM(B26)</f>
        <v>1980903646</v>
      </c>
      <c r="C27" s="581"/>
      <c r="D27" s="582">
        <f t="shared" si="0"/>
        <v>1980903646</v>
      </c>
      <c r="E27" s="580">
        <f>SUM(E26)</f>
        <v>1980903646</v>
      </c>
      <c r="F27" s="581"/>
      <c r="G27" s="582">
        <f t="shared" si="1"/>
        <v>1980903646</v>
      </c>
      <c r="H27" s="580">
        <f ca="1">SUM(H26)</f>
        <v>1980903646</v>
      </c>
      <c r="I27" s="581"/>
      <c r="J27" s="582">
        <f t="shared" ca="1" si="2"/>
        <v>1980903646</v>
      </c>
      <c r="K27" s="580">
        <f ca="1">SUM(K26)</f>
        <v>1980903646</v>
      </c>
      <c r="L27" s="581"/>
      <c r="M27" s="582">
        <f t="shared" ca="1" si="3"/>
        <v>1980903646</v>
      </c>
      <c r="O27" s="574" t="s">
        <v>794</v>
      </c>
      <c r="P27" s="580">
        <f>SUM(P24:P26)</f>
        <v>2995736583</v>
      </c>
      <c r="Q27" s="581"/>
      <c r="R27" s="582">
        <f t="shared" si="4"/>
        <v>2995736583</v>
      </c>
      <c r="S27" s="580">
        <f>SUM(S24:S26)</f>
        <v>3072772403</v>
      </c>
      <c r="T27" s="580">
        <f>SUM(T24:T26)</f>
        <v>2912000</v>
      </c>
      <c r="U27" s="582">
        <f>SUM(S27:T27)</f>
        <v>3075684403</v>
      </c>
      <c r="V27" s="580">
        <f ca="1">SUM(V24:V26)</f>
        <v>3089673899</v>
      </c>
      <c r="W27" s="580">
        <f>SUM(W24:W26)</f>
        <v>2912000</v>
      </c>
      <c r="X27" s="582">
        <f ca="1">SUM(V27:W27)</f>
        <v>3092585899</v>
      </c>
      <c r="Y27" s="580">
        <f ca="1">SUM(Y24:Y26)</f>
        <v>1918958419</v>
      </c>
      <c r="Z27" s="580">
        <f>SUM(Z24:Z26)</f>
        <v>2912000</v>
      </c>
      <c r="AA27" s="582">
        <f ca="1">SUM(Y27:Z27)</f>
        <v>1921870419</v>
      </c>
    </row>
    <row r="28" spans="1:27" ht="15.75" thickBot="1" x14ac:dyDescent="0.3">
      <c r="A28" s="574" t="s">
        <v>796</v>
      </c>
      <c r="B28" s="580">
        <f>B27+B25</f>
        <v>2469475370</v>
      </c>
      <c r="C28" s="581"/>
      <c r="D28" s="582">
        <f t="shared" si="0"/>
        <v>2469475370</v>
      </c>
      <c r="E28" s="580">
        <f>E27+E25</f>
        <v>2476280539</v>
      </c>
      <c r="F28" s="581"/>
      <c r="G28" s="582">
        <f t="shared" si="1"/>
        <v>2476280539</v>
      </c>
      <c r="H28" s="580">
        <f ca="1">H27+H25</f>
        <v>2476280539</v>
      </c>
      <c r="I28" s="581"/>
      <c r="J28" s="582">
        <f t="shared" ca="1" si="2"/>
        <v>2476280539</v>
      </c>
      <c r="K28" s="580">
        <f ca="1">K27+K25</f>
        <v>2495349256</v>
      </c>
      <c r="L28" s="581"/>
      <c r="M28" s="582">
        <f t="shared" ca="1" si="3"/>
        <v>2495349256</v>
      </c>
      <c r="O28" s="574" t="s">
        <v>795</v>
      </c>
      <c r="P28" s="580">
        <f>P27+P23</f>
        <v>4795419382</v>
      </c>
      <c r="Q28" s="580">
        <f>Q27+Q23</f>
        <v>63062082</v>
      </c>
      <c r="R28" s="582">
        <f t="shared" si="4"/>
        <v>4858481464</v>
      </c>
      <c r="S28" s="580">
        <f>S27+S23</f>
        <v>4830633949</v>
      </c>
      <c r="T28" s="580">
        <f>T27+T23</f>
        <v>65974082</v>
      </c>
      <c r="U28" s="582">
        <f t="shared" si="5"/>
        <v>4896608031</v>
      </c>
      <c r="V28" s="580">
        <f ca="1">V27+V23</f>
        <v>4877923846</v>
      </c>
      <c r="W28" s="580">
        <f>W27+W23</f>
        <v>66589000</v>
      </c>
      <c r="X28" s="582">
        <f t="shared" ref="X28:X31" ca="1" si="9">SUM(V28:W28)</f>
        <v>4944512846</v>
      </c>
      <c r="Y28" s="580">
        <f ca="1">Y27+Y23</f>
        <v>3361704777</v>
      </c>
      <c r="Z28" s="580">
        <f>Z27+Z23</f>
        <v>66558296</v>
      </c>
      <c r="AA28" s="582">
        <f t="shared" ref="AA28:AA31" ca="1" si="10">SUM(Y28:Z28)</f>
        <v>3428263073</v>
      </c>
    </row>
    <row r="29" spans="1:27" ht="15.75" thickBot="1" x14ac:dyDescent="0.3">
      <c r="A29" s="574" t="s">
        <v>797</v>
      </c>
      <c r="B29" s="580">
        <f>B17+B25</f>
        <v>1879665419</v>
      </c>
      <c r="C29" s="581"/>
      <c r="D29" s="582">
        <f t="shared" si="0"/>
        <v>1879665419</v>
      </c>
      <c r="E29" s="580">
        <f>E17+E25</f>
        <v>1911065297</v>
      </c>
      <c r="F29" s="581"/>
      <c r="G29" s="582">
        <f t="shared" si="1"/>
        <v>1911065297</v>
      </c>
      <c r="H29" s="580">
        <f ca="1">H17+H25</f>
        <v>1953965860</v>
      </c>
      <c r="I29" s="581"/>
      <c r="J29" s="582">
        <f t="shared" ca="1" si="2"/>
        <v>1953965860</v>
      </c>
      <c r="K29" s="580">
        <f ca="1">K17+K25</f>
        <v>1945368107</v>
      </c>
      <c r="L29" s="581"/>
      <c r="M29" s="582">
        <f t="shared" ca="1" si="3"/>
        <v>1945368107</v>
      </c>
      <c r="O29" s="573" t="s">
        <v>798</v>
      </c>
      <c r="P29" s="332">
        <v>16920538</v>
      </c>
      <c r="Q29" s="246"/>
      <c r="R29" s="247">
        <f t="shared" si="4"/>
        <v>16920538</v>
      </c>
      <c r="S29" s="332">
        <f>'4. Önkormányzat+int összesen'!AR146</f>
        <v>16920538</v>
      </c>
      <c r="T29" s="246"/>
      <c r="U29" s="247">
        <f t="shared" si="5"/>
        <v>16920538</v>
      </c>
      <c r="V29" s="332">
        <f ca="1">'4. Önkormányzat+int összesen'!AU146</f>
        <v>16920538</v>
      </c>
      <c r="W29" s="246"/>
      <c r="X29" s="247">
        <f t="shared" ca="1" si="9"/>
        <v>16920538</v>
      </c>
      <c r="Y29" s="332">
        <f ca="1">'4. Önkormányzat+int összesen'!AV146</f>
        <v>16920538</v>
      </c>
      <c r="Z29" s="246"/>
      <c r="AA29" s="247">
        <f t="shared" ca="1" si="10"/>
        <v>16920538</v>
      </c>
    </row>
    <row r="30" spans="1:27" ht="15.75" thickBot="1" x14ac:dyDescent="0.3">
      <c r="A30" s="574" t="s">
        <v>799</v>
      </c>
      <c r="B30" s="580">
        <f>B21+B27</f>
        <v>2995736583</v>
      </c>
      <c r="C30" s="581"/>
      <c r="D30" s="582">
        <f t="shared" si="0"/>
        <v>2995736583</v>
      </c>
      <c r="E30" s="580">
        <f>E21+E27</f>
        <v>3002463272</v>
      </c>
      <c r="F30" s="581"/>
      <c r="G30" s="582">
        <f t="shared" si="1"/>
        <v>3002463272</v>
      </c>
      <c r="H30" s="580">
        <f ca="1">H21+H27</f>
        <v>3007467524</v>
      </c>
      <c r="I30" s="581"/>
      <c r="J30" s="582">
        <f t="shared" ca="1" si="2"/>
        <v>3007467524</v>
      </c>
      <c r="K30" s="580">
        <f ca="1">K21+K27</f>
        <v>2947732982</v>
      </c>
      <c r="L30" s="581"/>
      <c r="M30" s="582">
        <f t="shared" ca="1" si="3"/>
        <v>2947732982</v>
      </c>
      <c r="O30" s="577" t="s">
        <v>800</v>
      </c>
      <c r="P30" s="588">
        <f>SUM(P29)</f>
        <v>16920538</v>
      </c>
      <c r="Q30" s="589"/>
      <c r="R30" s="590">
        <f t="shared" si="4"/>
        <v>16920538</v>
      </c>
      <c r="S30" s="588">
        <f>SUM(S29)</f>
        <v>16920538</v>
      </c>
      <c r="T30" s="589"/>
      <c r="U30" s="590">
        <f t="shared" si="5"/>
        <v>16920538</v>
      </c>
      <c r="V30" s="588">
        <f ca="1">SUM(V29)</f>
        <v>16920538</v>
      </c>
      <c r="W30" s="589"/>
      <c r="X30" s="590">
        <f t="shared" ca="1" si="9"/>
        <v>16920538</v>
      </c>
      <c r="Y30" s="588">
        <f ca="1">SUM(Y29)</f>
        <v>16920538</v>
      </c>
      <c r="Z30" s="589"/>
      <c r="AA30" s="590">
        <f t="shared" ca="1" si="10"/>
        <v>16920538</v>
      </c>
    </row>
    <row r="31" spans="1:27" ht="15.75" thickBot="1" x14ac:dyDescent="0.3">
      <c r="A31" s="574" t="s">
        <v>801</v>
      </c>
      <c r="B31" s="583">
        <f>B30+B29</f>
        <v>4875402002</v>
      </c>
      <c r="C31" s="584"/>
      <c r="D31" s="585">
        <f t="shared" si="0"/>
        <v>4875402002</v>
      </c>
      <c r="E31" s="583">
        <f>E30+E29</f>
        <v>4913528569</v>
      </c>
      <c r="F31" s="584"/>
      <c r="G31" s="585">
        <f t="shared" si="1"/>
        <v>4913528569</v>
      </c>
      <c r="H31" s="583">
        <f ca="1">H30+H29</f>
        <v>4961433384</v>
      </c>
      <c r="I31" s="584"/>
      <c r="J31" s="585">
        <f t="shared" ca="1" si="2"/>
        <v>4961433384</v>
      </c>
      <c r="K31" s="583">
        <f ca="1">K30+K29</f>
        <v>4893101089</v>
      </c>
      <c r="L31" s="584"/>
      <c r="M31" s="585">
        <f t="shared" ca="1" si="3"/>
        <v>4893101089</v>
      </c>
      <c r="O31" s="574" t="s">
        <v>802</v>
      </c>
      <c r="P31" s="580">
        <f>P30+P28</f>
        <v>4812339920</v>
      </c>
      <c r="Q31" s="580">
        <f>Q30+Q28</f>
        <v>63062082</v>
      </c>
      <c r="R31" s="582">
        <f t="shared" si="4"/>
        <v>4875402002</v>
      </c>
      <c r="S31" s="580">
        <f>S30+S28</f>
        <v>4847554487</v>
      </c>
      <c r="T31" s="580">
        <f>T30+T28</f>
        <v>65974082</v>
      </c>
      <c r="U31" s="582">
        <f t="shared" si="5"/>
        <v>4913528569</v>
      </c>
      <c r="V31" s="580">
        <f ca="1">V30+V28</f>
        <v>4894844384</v>
      </c>
      <c r="W31" s="580">
        <f>W30+W28</f>
        <v>66589000</v>
      </c>
      <c r="X31" s="582">
        <f t="shared" ca="1" si="9"/>
        <v>4961433384</v>
      </c>
      <c r="Y31" s="580">
        <f ca="1">Y30+Y28</f>
        <v>3378625315</v>
      </c>
      <c r="Z31" s="580">
        <f>Z30+Z28</f>
        <v>66558296</v>
      </c>
      <c r="AA31" s="582">
        <f t="shared" ca="1" si="10"/>
        <v>3445183611</v>
      </c>
    </row>
    <row r="33" spans="1:27" x14ac:dyDescent="0.25">
      <c r="G33" s="148"/>
      <c r="J33" s="148"/>
      <c r="M33" s="148"/>
      <c r="U33" s="148"/>
      <c r="X33" s="148"/>
      <c r="AA33" s="148"/>
    </row>
    <row r="34" spans="1:27" x14ac:dyDescent="0.25">
      <c r="H34" s="148"/>
      <c r="K34" s="148"/>
      <c r="P34" s="148"/>
      <c r="S34" s="148"/>
      <c r="V34" s="148"/>
      <c r="Y34" s="148"/>
    </row>
    <row r="35" spans="1:27" s="388" customFormat="1" x14ac:dyDescent="0.25">
      <c r="A35" s="696"/>
      <c r="B35" s="908"/>
      <c r="C35" s="908"/>
      <c r="D35" s="908"/>
      <c r="E35" s="908"/>
      <c r="F35" s="908"/>
      <c r="G35" s="908"/>
      <c r="H35" s="908"/>
      <c r="I35" s="908"/>
      <c r="J35" s="908"/>
      <c r="K35" s="908"/>
      <c r="L35" s="908"/>
      <c r="M35" s="908"/>
    </row>
    <row r="36" spans="1:27" s="388" customFormat="1" x14ac:dyDescent="0.25"/>
    <row r="37" spans="1:27" s="388" customFormat="1" x14ac:dyDescent="0.25"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</row>
    <row r="38" spans="1:27" s="388" customFormat="1" x14ac:dyDescent="0.25"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4"/>
    </row>
    <row r="39" spans="1:27" s="388" customFormat="1" x14ac:dyDescent="0.25"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</row>
    <row r="40" spans="1:27" s="388" customFormat="1" x14ac:dyDescent="0.25"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</row>
    <row r="41" spans="1:27" s="388" customFormat="1" x14ac:dyDescent="0.25"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</row>
    <row r="42" spans="1:27" s="388" customFormat="1" x14ac:dyDescent="0.25"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</row>
    <row r="43" spans="1:27" s="388" customFormat="1" x14ac:dyDescent="0.25"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</row>
    <row r="44" spans="1:27" s="388" customFormat="1" x14ac:dyDescent="0.25">
      <c r="B44" s="314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</row>
    <row r="45" spans="1:27" s="388" customFormat="1" x14ac:dyDescent="0.25">
      <c r="B45" s="314"/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</row>
    <row r="46" spans="1:27" s="388" customFormat="1" x14ac:dyDescent="0.25"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</row>
    <row r="47" spans="1:27" s="388" customFormat="1" x14ac:dyDescent="0.25">
      <c r="B47" s="314"/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</row>
    <row r="48" spans="1:27" s="388" customFormat="1" x14ac:dyDescent="0.25">
      <c r="B48" s="314"/>
      <c r="C48" s="314"/>
      <c r="D48" s="314"/>
      <c r="E48" s="314"/>
      <c r="F48" s="314"/>
      <c r="G48" s="314"/>
      <c r="H48" s="314"/>
      <c r="I48" s="314"/>
      <c r="J48" s="314"/>
      <c r="K48" s="314"/>
      <c r="L48" s="314"/>
      <c r="M48" s="314"/>
    </row>
    <row r="49" spans="2:13" s="388" customFormat="1" x14ac:dyDescent="0.25">
      <c r="B49" s="314"/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</row>
    <row r="50" spans="2:13" s="388" customFormat="1" x14ac:dyDescent="0.25">
      <c r="B50" s="314"/>
      <c r="C50" s="314"/>
      <c r="D50" s="314"/>
      <c r="E50" s="314"/>
      <c r="F50" s="314"/>
      <c r="G50" s="314"/>
      <c r="H50" s="314"/>
      <c r="I50" s="314"/>
      <c r="J50" s="314"/>
      <c r="K50" s="314"/>
      <c r="L50" s="314"/>
      <c r="M50" s="314"/>
    </row>
    <row r="51" spans="2:13" s="388" customFormat="1" x14ac:dyDescent="0.25">
      <c r="B51" s="314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</row>
    <row r="52" spans="2:13" s="388" customFormat="1" x14ac:dyDescent="0.25">
      <c r="B52" s="314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</row>
    <row r="53" spans="2:13" s="388" customFormat="1" x14ac:dyDescent="0.25">
      <c r="B53" s="314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</row>
    <row r="54" spans="2:13" s="388" customFormat="1" x14ac:dyDescent="0.25">
      <c r="B54" s="314"/>
      <c r="C54" s="314"/>
      <c r="D54" s="314"/>
      <c r="E54" s="314"/>
      <c r="F54" s="314"/>
      <c r="G54" s="314"/>
      <c r="H54" s="314"/>
      <c r="I54" s="314"/>
      <c r="J54" s="314"/>
      <c r="K54" s="314"/>
      <c r="L54" s="314"/>
      <c r="M54" s="314"/>
    </row>
    <row r="55" spans="2:13" s="388" customFormat="1" x14ac:dyDescent="0.25">
      <c r="B55" s="314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</row>
    <row r="56" spans="2:13" s="388" customFormat="1" x14ac:dyDescent="0.25"/>
    <row r="57" spans="2:13" s="388" customFormat="1" x14ac:dyDescent="0.25"/>
  </sheetData>
  <mergeCells count="18">
    <mergeCell ref="B35:D35"/>
    <mergeCell ref="E35:G35"/>
    <mergeCell ref="H35:J35"/>
    <mergeCell ref="V6:X6"/>
    <mergeCell ref="V11:X11"/>
    <mergeCell ref="S6:U6"/>
    <mergeCell ref="B11:D11"/>
    <mergeCell ref="E11:G11"/>
    <mergeCell ref="P11:R11"/>
    <mergeCell ref="S11:U11"/>
    <mergeCell ref="H11:J11"/>
    <mergeCell ref="K11:M11"/>
    <mergeCell ref="K35:M35"/>
    <mergeCell ref="Y6:AA6"/>
    <mergeCell ref="Y11:AA11"/>
    <mergeCell ref="P5:U5"/>
    <mergeCell ref="A2:X2"/>
    <mergeCell ref="A1:X1"/>
  </mergeCells>
  <pageMargins left="0.17" right="0.15748031496062992" top="0.67" bottom="0.43307086614173229" header="1.34" footer="0.31496062992125984"/>
  <pageSetup paperSize="9" scale="48" fitToHeight="0" orientation="landscape" horizontalDpi="300" verticalDpi="300" r:id="rId1"/>
  <headerFooter>
    <oddFooter>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10.85546875" style="179" bestFit="1" customWidth="1"/>
    <col min="4" max="4" width="9.140625" style="179"/>
    <col min="5" max="5" width="11.5703125" style="179" bestFit="1" customWidth="1"/>
    <col min="6" max="6" width="10.85546875" style="179" bestFit="1" customWidth="1"/>
    <col min="7" max="7" width="9.140625" style="179"/>
    <col min="8" max="8" width="11.5703125" style="179" bestFit="1" customWidth="1"/>
    <col min="9" max="9" width="10.85546875" style="179" bestFit="1" customWidth="1"/>
    <col min="10" max="10" width="9.140625" style="179"/>
    <col min="11" max="11" width="11.5703125" style="179" bestFit="1" customWidth="1"/>
    <col min="12" max="12" width="10.85546875" style="179" bestFit="1" customWidth="1"/>
    <col min="13" max="13" width="9.140625" style="179"/>
    <col min="14" max="14" width="11.5703125" style="179" bestFit="1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'7.22 isk eü 074032'!C4</f>
        <v xml:space="preserve"> 12 / 2020. (VI.15) sz rendelet</v>
      </c>
    </row>
    <row r="5" spans="1:14" s="81" customFormat="1" ht="12.75" x14ac:dyDescent="0.2">
      <c r="A5" s="90" t="s">
        <v>535</v>
      </c>
      <c r="B5" s="81" t="s">
        <v>553</v>
      </c>
    </row>
    <row r="6" spans="1:14" x14ac:dyDescent="0.25">
      <c r="C6" s="713" t="s">
        <v>751</v>
      </c>
      <c r="D6" s="715" t="str">
        <f>'7.22 isk eü 074032'!D6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188" t="s">
        <v>160</v>
      </c>
      <c r="B88" s="189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190" t="s">
        <v>163</v>
      </c>
      <c r="B90" s="180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190" t="s">
        <v>165</v>
      </c>
      <c r="B92" s="180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190" t="s">
        <v>167</v>
      </c>
      <c r="B93" s="180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190" t="s">
        <v>169</v>
      </c>
      <c r="B94" s="180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190" t="s">
        <v>171</v>
      </c>
      <c r="B95" s="180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190" t="s">
        <v>173</v>
      </c>
      <c r="B96" s="180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190" t="s">
        <v>175</v>
      </c>
      <c r="B97" s="180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190" t="s">
        <v>177</v>
      </c>
      <c r="B98" s="180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190" t="s">
        <v>179</v>
      </c>
      <c r="B99" s="180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190" t="s">
        <v>181</v>
      </c>
      <c r="B100" s="180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190" t="s">
        <v>185</v>
      </c>
      <c r="B102" s="180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190" t="s">
        <v>187</v>
      </c>
      <c r="B103" s="180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191" t="s">
        <v>189</v>
      </c>
      <c r="B104" s="192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188" t="s">
        <v>191</v>
      </c>
      <c r="B105" s="189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190"/>
      <c r="B106" s="180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223520</v>
      </c>
      <c r="M111" s="244">
        <f>SUM(M112:M113,M114,M123,M122)</f>
        <v>0</v>
      </c>
      <c r="N111" s="245">
        <f t="shared" si="21"/>
        <v>223520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>
        <v>1000</v>
      </c>
      <c r="M112" s="246"/>
      <c r="N112" s="247">
        <f t="shared" si="21"/>
        <v>1000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175000</v>
      </c>
      <c r="M114" s="246">
        <f>SUM(M115:M121)</f>
        <v>0</v>
      </c>
      <c r="N114" s="247">
        <f t="shared" si="21"/>
        <v>175000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>
        <v>5000</v>
      </c>
      <c r="M118" s="246"/>
      <c r="N118" s="247">
        <f t="shared" si="21"/>
        <v>5000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>
        <v>170000</v>
      </c>
      <c r="M121" s="246"/>
      <c r="N121" s="247">
        <f t="shared" si="21"/>
        <v>170000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47520</v>
      </c>
      <c r="M123" s="246">
        <f>SUM(M124:M126)</f>
        <v>0</v>
      </c>
      <c r="N123" s="247">
        <f t="shared" si="21"/>
        <v>47520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>
        <v>47520</v>
      </c>
      <c r="M124" s="246"/>
      <c r="N124" s="247">
        <f t="shared" si="21"/>
        <v>47520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188" t="s">
        <v>241</v>
      </c>
      <c r="B137" s="189" t="s">
        <v>38</v>
      </c>
      <c r="C137" s="244">
        <v>1074378</v>
      </c>
      <c r="D137" s="244"/>
      <c r="E137" s="245">
        <f t="shared" si="15"/>
        <v>1074378</v>
      </c>
      <c r="F137" s="244">
        <v>1074378</v>
      </c>
      <c r="G137" s="244"/>
      <c r="H137" s="245">
        <f t="shared" si="19"/>
        <v>1074378</v>
      </c>
      <c r="I137" s="244">
        <f>1082960+140000</f>
        <v>1222960</v>
      </c>
      <c r="J137" s="244"/>
      <c r="K137" s="245">
        <f t="shared" si="20"/>
        <v>1222960</v>
      </c>
      <c r="L137" s="244">
        <f>1082960+140000</f>
        <v>1222960</v>
      </c>
      <c r="M137" s="244"/>
      <c r="N137" s="245">
        <f t="shared" si="21"/>
        <v>1222960</v>
      </c>
    </row>
    <row r="138" spans="1:14" ht="15.75" thickBot="1" x14ac:dyDescent="0.3">
      <c r="A138" s="191" t="s">
        <v>242</v>
      </c>
      <c r="B138" s="192" t="s">
        <v>243</v>
      </c>
      <c r="C138" s="248">
        <v>290082</v>
      </c>
      <c r="D138" s="248"/>
      <c r="E138" s="249">
        <f t="shared" si="15"/>
        <v>290082</v>
      </c>
      <c r="F138" s="248">
        <v>290082</v>
      </c>
      <c r="G138" s="248"/>
      <c r="H138" s="249">
        <f t="shared" si="19"/>
        <v>290082</v>
      </c>
      <c r="I138" s="248">
        <v>330199</v>
      </c>
      <c r="J138" s="248"/>
      <c r="K138" s="249">
        <f t="shared" si="20"/>
        <v>330199</v>
      </c>
      <c r="L138" s="248">
        <v>330199</v>
      </c>
      <c r="M138" s="248"/>
      <c r="N138" s="249">
        <f t="shared" si="21"/>
        <v>330199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1364460</v>
      </c>
      <c r="D142" s="250">
        <f>D141+D140+D139+D138+D137+D128+D127+D111+D105+D88</f>
        <v>0</v>
      </c>
      <c r="E142" s="251">
        <f t="shared" si="15"/>
        <v>1364460</v>
      </c>
      <c r="F142" s="250">
        <f>F141+F140+F139+F138+F137+F128+F127+F111+F105+F88</f>
        <v>1364460</v>
      </c>
      <c r="G142" s="250">
        <f>G141+G140+G139+G138+G137+G128+G127+G111+G105+G88</f>
        <v>0</v>
      </c>
      <c r="H142" s="251">
        <f t="shared" si="19"/>
        <v>1364460</v>
      </c>
      <c r="I142" s="250">
        <f>I141+I140+I139+I138+I137+I128+I127+I111+I105+I88</f>
        <v>1553159</v>
      </c>
      <c r="J142" s="250">
        <f>J141+J140+J139+J138+J137+J128+J127+J111+J105+J88</f>
        <v>0</v>
      </c>
      <c r="K142" s="251">
        <f t="shared" si="20"/>
        <v>1553159</v>
      </c>
      <c r="L142" s="250">
        <f>L141+L140+L139+L138+L137+L128+L127+L111+L105+L88</f>
        <v>1776679</v>
      </c>
      <c r="M142" s="250">
        <f>M141+M140+M139+M138+M137+M128+M127+M111+M105+M88</f>
        <v>0</v>
      </c>
      <c r="N142" s="251">
        <f t="shared" si="21"/>
        <v>1776679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1364460</v>
      </c>
      <c r="D151" s="257">
        <f>D143+D142</f>
        <v>0</v>
      </c>
      <c r="E151" s="258">
        <f>SUM(C151:D151)</f>
        <v>1364460</v>
      </c>
      <c r="F151" s="250">
        <f>F143+F142</f>
        <v>1364460</v>
      </c>
      <c r="G151" s="257">
        <f>G143+G142</f>
        <v>0</v>
      </c>
      <c r="H151" s="258">
        <f>SUM(F151:G151)</f>
        <v>1364460</v>
      </c>
      <c r="I151" s="250">
        <f>I143+I142</f>
        <v>1553159</v>
      </c>
      <c r="J151" s="257">
        <f>J143+J142</f>
        <v>0</v>
      </c>
      <c r="K151" s="258">
        <f>SUM(I151:J151)</f>
        <v>1553159</v>
      </c>
      <c r="L151" s="250">
        <f>L143+L142</f>
        <v>1776679</v>
      </c>
      <c r="M151" s="257">
        <f>M143+M142</f>
        <v>0</v>
      </c>
      <c r="N151" s="258">
        <f>SUM(L151:M151)</f>
        <v>1776679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-1364460</v>
      </c>
      <c r="H153" s="148">
        <f>H85-H151</f>
        <v>-1364460</v>
      </c>
      <c r="K153" s="148">
        <f>K85-K151</f>
        <v>-1553159</v>
      </c>
      <c r="N153" s="148">
        <f>N85-N151</f>
        <v>-1776679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M133" sqref="M133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9.85546875" style="44" customWidth="1"/>
    <col min="4" max="4" width="12" style="44" bestFit="1" customWidth="1"/>
    <col min="5" max="5" width="12.7109375" style="44" bestFit="1" customWidth="1"/>
    <col min="6" max="6" width="9.85546875" style="179" customWidth="1"/>
    <col min="7" max="7" width="12" style="179" bestFit="1" customWidth="1"/>
    <col min="8" max="8" width="12.7109375" style="179" bestFit="1" customWidth="1"/>
    <col min="9" max="9" width="9.85546875" style="179" customWidth="1"/>
    <col min="10" max="10" width="12" style="179" bestFit="1" customWidth="1"/>
    <col min="11" max="11" width="12.7109375" style="179" bestFit="1" customWidth="1"/>
    <col min="12" max="12" width="9.85546875" style="179" customWidth="1"/>
    <col min="13" max="13" width="12" style="179" bestFit="1" customWidth="1"/>
    <col min="14" max="14" width="12.7109375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'7.23 sportcsépület 081030'!C4</f>
        <v xml:space="preserve"> 12 / 2020. (VI.15) sz rendelet</v>
      </c>
    </row>
    <row r="5" spans="1:14" s="81" customFormat="1" ht="12.75" x14ac:dyDescent="0.2">
      <c r="A5" s="90" t="s">
        <v>372</v>
      </c>
      <c r="B5" s="81" t="s">
        <v>373</v>
      </c>
    </row>
    <row r="6" spans="1:14" x14ac:dyDescent="0.25">
      <c r="C6" s="713" t="s">
        <v>752</v>
      </c>
      <c r="D6" s="715" t="str">
        <f>'7.23 sportcsépület 081030'!D6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21.7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0</v>
      </c>
      <c r="D128" s="244">
        <f>SUM(D129:D134)</f>
        <v>8900000</v>
      </c>
      <c r="E128" s="245">
        <f t="shared" si="15"/>
        <v>8900000</v>
      </c>
      <c r="F128" s="244">
        <f>SUM(F129:F134)</f>
        <v>0</v>
      </c>
      <c r="G128" s="244">
        <f>SUM(G129:G134)</f>
        <v>8900000</v>
      </c>
      <c r="H128" s="245">
        <f t="shared" si="19"/>
        <v>8900000</v>
      </c>
      <c r="I128" s="244">
        <f>SUM(I129:I134)</f>
        <v>0</v>
      </c>
      <c r="J128" s="244">
        <f>SUM(J129:J134)</f>
        <v>9500000</v>
      </c>
      <c r="K128" s="245">
        <f t="shared" si="20"/>
        <v>9500000</v>
      </c>
      <c r="L128" s="244">
        <f>SUM(L129:L134)</f>
        <v>0</v>
      </c>
      <c r="M128" s="244">
        <f>SUM(M129:M134)</f>
        <v>9500000</v>
      </c>
      <c r="N128" s="245">
        <f t="shared" si="21"/>
        <v>9500000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61" t="s">
        <v>235</v>
      </c>
      <c r="B133" s="62" t="s">
        <v>236</v>
      </c>
      <c r="C133" s="246"/>
      <c r="D133" s="246">
        <v>8900000</v>
      </c>
      <c r="E133" s="247">
        <f t="shared" si="15"/>
        <v>8900000</v>
      </c>
      <c r="F133" s="246"/>
      <c r="G133" s="246">
        <v>8900000</v>
      </c>
      <c r="H133" s="247">
        <f t="shared" si="19"/>
        <v>8900000</v>
      </c>
      <c r="I133" s="246"/>
      <c r="J133" s="246">
        <f>8900000+1000000-400000</f>
        <v>9500000</v>
      </c>
      <c r="K133" s="247">
        <f t="shared" si="20"/>
        <v>9500000</v>
      </c>
      <c r="L133" s="246"/>
      <c r="M133" s="336">
        <v>9500000</v>
      </c>
      <c r="N133" s="247">
        <f t="shared" si="21"/>
        <v>9500000</v>
      </c>
    </row>
    <row r="134" spans="1:14" ht="15.75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>
        <v>2912000</v>
      </c>
      <c r="E141" s="255">
        <f t="shared" si="15"/>
        <v>2912000</v>
      </c>
      <c r="F141" s="254"/>
      <c r="G141" s="254">
        <v>2912000</v>
      </c>
      <c r="H141" s="255">
        <f t="shared" si="19"/>
        <v>2912000</v>
      </c>
      <c r="I141" s="254"/>
      <c r="J141" s="254">
        <v>2912000</v>
      </c>
      <c r="K141" s="255">
        <f t="shared" si="20"/>
        <v>2912000</v>
      </c>
      <c r="L141" s="254"/>
      <c r="M141" s="254">
        <v>2912000</v>
      </c>
      <c r="N141" s="255">
        <f t="shared" si="21"/>
        <v>2912000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0</v>
      </c>
      <c r="D142" s="250">
        <f>D141+D140+D139+D138+D137+D128+D127+D111+D105+D88</f>
        <v>11812000</v>
      </c>
      <c r="E142" s="251">
        <f t="shared" si="15"/>
        <v>11812000</v>
      </c>
      <c r="F142" s="250">
        <f>F141+F140+F139+F138+F137+F128+F127+F111+F105+F88</f>
        <v>0</v>
      </c>
      <c r="G142" s="250">
        <f>G141+G140+G139+G138+G137+G128+G127+G111+G105+G88</f>
        <v>11812000</v>
      </c>
      <c r="H142" s="251">
        <f t="shared" si="19"/>
        <v>11812000</v>
      </c>
      <c r="I142" s="250">
        <f>I141+I140+I139+I138+I137+I128+I127+I111+I105+I88</f>
        <v>0</v>
      </c>
      <c r="J142" s="250">
        <f>J141+J140+J139+J138+J137+J128+J127+J111+J105+J88</f>
        <v>12412000</v>
      </c>
      <c r="K142" s="251">
        <f t="shared" si="20"/>
        <v>12412000</v>
      </c>
      <c r="L142" s="250">
        <f>L141+L140+L139+L138+L137+L128+L127+L111+L105+L88</f>
        <v>0</v>
      </c>
      <c r="M142" s="250">
        <f>M141+M140+M139+M138+M137+M128+M127+M111+M105+M88</f>
        <v>12412000</v>
      </c>
      <c r="N142" s="251">
        <f t="shared" si="21"/>
        <v>12412000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0</v>
      </c>
      <c r="D151" s="257">
        <f>D143+D142</f>
        <v>11812000</v>
      </c>
      <c r="E151" s="258">
        <f>SUM(C151:D151)</f>
        <v>11812000</v>
      </c>
      <c r="F151" s="250">
        <f>F143+F142</f>
        <v>0</v>
      </c>
      <c r="G151" s="257">
        <f>G143+G142</f>
        <v>11812000</v>
      </c>
      <c r="H151" s="258">
        <f>SUM(F151:G151)</f>
        <v>11812000</v>
      </c>
      <c r="I151" s="250">
        <f>I143+I142</f>
        <v>0</v>
      </c>
      <c r="J151" s="257">
        <f>J143+J142</f>
        <v>12412000</v>
      </c>
      <c r="K151" s="258">
        <f>SUM(I151:J151)</f>
        <v>12412000</v>
      </c>
      <c r="L151" s="250">
        <f>L143+L142</f>
        <v>0</v>
      </c>
      <c r="M151" s="257">
        <f>M143+M142</f>
        <v>12412000</v>
      </c>
      <c r="N151" s="258">
        <f>SUM(L151:M151)</f>
        <v>12412000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-11812000</v>
      </c>
      <c r="H153" s="148">
        <f>H85-H151</f>
        <v>-11812000</v>
      </c>
      <c r="K153" s="148">
        <f>K85-K151</f>
        <v>-12412000</v>
      </c>
      <c r="N153" s="148">
        <f>N85-N151</f>
        <v>-12412000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7" fitToHeight="0" orientation="portrait" horizontalDpi="300" verticalDpi="300" r:id="rId1"/>
  <headerFooter>
    <oddFooter>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N153"/>
  <sheetViews>
    <sheetView zoomScaleNormal="100" workbookViewId="0">
      <pane ySplit="8" topLeftCell="A9" activePane="bottomLeft" state="frozen"/>
      <selection activeCell="AB159" sqref="AB159"/>
      <selection pane="bottomLeft" activeCell="M133" sqref="M133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9.140625" style="44"/>
    <col min="4" max="4" width="10.85546875" style="44" bestFit="1" customWidth="1"/>
    <col min="5" max="5" width="11.5703125" style="44" bestFit="1" customWidth="1"/>
    <col min="6" max="6" width="9.140625" style="179"/>
    <col min="7" max="7" width="10.85546875" style="179" bestFit="1" customWidth="1"/>
    <col min="8" max="8" width="11.5703125" style="179" bestFit="1" customWidth="1"/>
    <col min="9" max="9" width="9.140625" style="179"/>
    <col min="10" max="10" width="10.85546875" style="179" bestFit="1" customWidth="1"/>
    <col min="11" max="11" width="11.5703125" style="179" bestFit="1" customWidth="1"/>
    <col min="12" max="12" width="9.140625" style="179"/>
    <col min="13" max="13" width="10.85546875" style="179" bestFit="1" customWidth="1"/>
    <col min="14" max="14" width="11.5703125" style="179" bestFit="1" customWidth="1"/>
    <col min="15" max="16384" width="9.140625" style="44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'7.24 sport tám 081041'!C4</f>
        <v xml:space="preserve"> 12 / 2020. (VI.15) sz rendelet</v>
      </c>
    </row>
    <row r="5" spans="1:14" s="81" customFormat="1" ht="12.75" x14ac:dyDescent="0.2">
      <c r="A5" s="90" t="s">
        <v>374</v>
      </c>
      <c r="B5" s="81" t="s">
        <v>375</v>
      </c>
    </row>
    <row r="6" spans="1:14" x14ac:dyDescent="0.25">
      <c r="C6" s="713" t="s">
        <v>753</v>
      </c>
      <c r="D6" s="715" t="str">
        <f>'7.24 sport tám 081041'!D6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60" t="s">
        <v>160</v>
      </c>
      <c r="B88" s="48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61" t="s">
        <v>161</v>
      </c>
      <c r="B89" s="62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61" t="s">
        <v>163</v>
      </c>
      <c r="B90" s="62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s="179" customFormat="1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61" t="s">
        <v>165</v>
      </c>
      <c r="B92" s="62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61" t="s">
        <v>167</v>
      </c>
      <c r="B93" s="62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61" t="s">
        <v>169</v>
      </c>
      <c r="B94" s="62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61" t="s">
        <v>171</v>
      </c>
      <c r="B95" s="62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61" t="s">
        <v>173</v>
      </c>
      <c r="B96" s="62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61" t="s">
        <v>175</v>
      </c>
      <c r="B97" s="62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61" t="s">
        <v>177</v>
      </c>
      <c r="B98" s="62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61" t="s">
        <v>179</v>
      </c>
      <c r="B99" s="62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61" t="s">
        <v>181</v>
      </c>
      <c r="B100" s="62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60" t="s">
        <v>191</v>
      </c>
      <c r="B105" s="48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61"/>
      <c r="B106" s="62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61"/>
      <c r="B107" s="62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63"/>
      <c r="B108" s="64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63"/>
      <c r="B109" s="64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63"/>
      <c r="B110" s="64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60" t="s">
        <v>198</v>
      </c>
      <c r="B111" s="48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61" t="s">
        <v>199</v>
      </c>
      <c r="B112" s="62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61" t="s">
        <v>201</v>
      </c>
      <c r="B113" s="62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61" t="s">
        <v>205</v>
      </c>
      <c r="B115" s="62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61" t="s">
        <v>207</v>
      </c>
      <c r="B116" s="62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61" t="s">
        <v>209</v>
      </c>
      <c r="B117" s="62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61" t="s">
        <v>211</v>
      </c>
      <c r="B118" s="62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61" t="s">
        <v>213</v>
      </c>
      <c r="B119" s="62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61" t="s">
        <v>215</v>
      </c>
      <c r="B120" s="62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61" t="s">
        <v>217</v>
      </c>
      <c r="B121" s="62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61" t="s">
        <v>219</v>
      </c>
      <c r="B122" s="62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61" t="s">
        <v>221</v>
      </c>
      <c r="B123" s="62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61"/>
      <c r="B124" s="62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60" t="s">
        <v>228</v>
      </c>
      <c r="B128" s="48" t="s">
        <v>37</v>
      </c>
      <c r="C128" s="244">
        <f>SUM(C129:C134)</f>
        <v>0</v>
      </c>
      <c r="D128" s="244">
        <f>SUM(D129:D134)</f>
        <v>1700000</v>
      </c>
      <c r="E128" s="245">
        <f t="shared" si="15"/>
        <v>1700000</v>
      </c>
      <c r="F128" s="244">
        <f>SUM(F129:F134)</f>
        <v>0</v>
      </c>
      <c r="G128" s="244">
        <f>SUM(G129:G134)</f>
        <v>1700000</v>
      </c>
      <c r="H128" s="245">
        <f t="shared" si="19"/>
        <v>1700000</v>
      </c>
      <c r="I128" s="244">
        <f>SUM(I129:I134)</f>
        <v>0</v>
      </c>
      <c r="J128" s="244">
        <f>SUM(J129:J134)</f>
        <v>1700000</v>
      </c>
      <c r="K128" s="245">
        <f t="shared" si="20"/>
        <v>1700000</v>
      </c>
      <c r="L128" s="244">
        <f>SUM(L129:L134)</f>
        <v>0</v>
      </c>
      <c r="M128" s="244">
        <f>SUM(M129:M134)</f>
        <v>1700000</v>
      </c>
      <c r="N128" s="245">
        <f t="shared" si="21"/>
        <v>1700000</v>
      </c>
    </row>
    <row r="129" spans="1:14" x14ac:dyDescent="0.25">
      <c r="A129" s="61" t="s">
        <v>229</v>
      </c>
      <c r="B129" s="62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x14ac:dyDescent="0.25">
      <c r="A131" s="61" t="s">
        <v>231</v>
      </c>
      <c r="B131" s="62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x14ac:dyDescent="0.25">
      <c r="A132" s="61" t="s">
        <v>233</v>
      </c>
      <c r="B132" s="62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61" t="s">
        <v>235</v>
      </c>
      <c r="B133" s="62" t="s">
        <v>236</v>
      </c>
      <c r="C133" s="246"/>
      <c r="D133" s="246">
        <v>1700000</v>
      </c>
      <c r="E133" s="247">
        <f t="shared" si="15"/>
        <v>1700000</v>
      </c>
      <c r="F133" s="246"/>
      <c r="G133" s="246">
        <v>1700000</v>
      </c>
      <c r="H133" s="247">
        <f t="shared" si="19"/>
        <v>1700000</v>
      </c>
      <c r="I133" s="246"/>
      <c r="J133" s="246">
        <v>1700000</v>
      </c>
      <c r="K133" s="247">
        <f t="shared" si="20"/>
        <v>1700000</v>
      </c>
      <c r="L133" s="246"/>
      <c r="M133" s="336">
        <v>1700000</v>
      </c>
      <c r="N133" s="247">
        <f t="shared" si="21"/>
        <v>1700000</v>
      </c>
    </row>
    <row r="134" spans="1:14" ht="15.75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0</v>
      </c>
      <c r="D142" s="250">
        <f>D141+D140+D139+D138+D137+D128+D127+D111+D105+D88</f>
        <v>1700000</v>
      </c>
      <c r="E142" s="251">
        <f t="shared" si="15"/>
        <v>1700000</v>
      </c>
      <c r="F142" s="250">
        <f>F141+F140+F139+F138+F137+F128+F127+F111+F105+F88</f>
        <v>0</v>
      </c>
      <c r="G142" s="250">
        <f>G141+G140+G139+G138+G137+G128+G127+G111+G105+G88</f>
        <v>1700000</v>
      </c>
      <c r="H142" s="251">
        <f t="shared" si="19"/>
        <v>1700000</v>
      </c>
      <c r="I142" s="250">
        <f>I141+I140+I139+I138+I137+I128+I127+I111+I105+I88</f>
        <v>0</v>
      </c>
      <c r="J142" s="250">
        <f>J141+J140+J139+J138+J137+J128+J127+J111+J105+J88</f>
        <v>1700000</v>
      </c>
      <c r="K142" s="251">
        <f t="shared" si="20"/>
        <v>1700000</v>
      </c>
      <c r="L142" s="250">
        <f>L141+L140+L139+L138+L137+L128+L127+L111+L105+L88</f>
        <v>0</v>
      </c>
      <c r="M142" s="250">
        <f>M141+M140+M139+M138+M137+M128+M127+M111+M105+M88</f>
        <v>1700000</v>
      </c>
      <c r="N142" s="251">
        <f t="shared" si="21"/>
        <v>1700000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0</v>
      </c>
      <c r="D151" s="257">
        <f>D143+D142</f>
        <v>1700000</v>
      </c>
      <c r="E151" s="258">
        <f>SUM(C151:D151)</f>
        <v>1700000</v>
      </c>
      <c r="F151" s="250">
        <f>F143+F142</f>
        <v>0</v>
      </c>
      <c r="G151" s="257">
        <f>G143+G142</f>
        <v>1700000</v>
      </c>
      <c r="H151" s="258">
        <f>SUM(F151:G151)</f>
        <v>1700000</v>
      </c>
      <c r="I151" s="250">
        <f>I143+I142</f>
        <v>0</v>
      </c>
      <c r="J151" s="257">
        <f>J143+J142</f>
        <v>1700000</v>
      </c>
      <c r="K151" s="258">
        <f>SUM(I151:J151)</f>
        <v>1700000</v>
      </c>
      <c r="L151" s="250">
        <f>L143+L142</f>
        <v>0</v>
      </c>
      <c r="M151" s="257">
        <f>M143+M142</f>
        <v>1700000</v>
      </c>
      <c r="N151" s="258">
        <f>SUM(L151:M151)</f>
        <v>1700000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-1700000</v>
      </c>
      <c r="H153" s="148">
        <f>H85-H151</f>
        <v>-1700000</v>
      </c>
      <c r="K153" s="148">
        <f>K85-K151</f>
        <v>-1700000</v>
      </c>
      <c r="N153" s="148">
        <f>N85-N151</f>
        <v>-1700000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N153"/>
  <sheetViews>
    <sheetView zoomScaleNormal="100" workbookViewId="0">
      <pane ySplit="8" topLeftCell="A116" activePane="bottomLeft" state="frozen"/>
      <selection activeCell="AB159" sqref="AB159"/>
      <selection pane="bottomLeft" activeCell="K158" sqref="K158"/>
    </sheetView>
  </sheetViews>
  <sheetFormatPr defaultRowHeight="15" x14ac:dyDescent="0.25"/>
  <cols>
    <col min="1" max="1" width="9.140625" style="179"/>
    <col min="2" max="2" width="59.140625" style="179" bestFit="1" customWidth="1"/>
    <col min="3" max="4" width="9.140625" style="179"/>
    <col min="5" max="5" width="9.85546875" style="179" customWidth="1"/>
    <col min="6" max="7" width="9.140625" style="179"/>
    <col min="8" max="8" width="9.85546875" style="179" customWidth="1"/>
    <col min="9" max="10" width="9.140625" style="179"/>
    <col min="11" max="11" width="9.85546875" style="179" customWidth="1"/>
    <col min="12" max="13" width="9.140625" style="179"/>
    <col min="14" max="14" width="9.85546875" style="179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'7.25 diáksport 081043'!C4</f>
        <v xml:space="preserve"> 12 / 2020. (VI.15) sz rendelet</v>
      </c>
    </row>
    <row r="5" spans="1:14" s="81" customFormat="1" ht="12.75" x14ac:dyDescent="0.2">
      <c r="A5" s="90" t="s">
        <v>555</v>
      </c>
      <c r="B5" s="81" t="s">
        <v>562</v>
      </c>
    </row>
    <row r="6" spans="1:14" x14ac:dyDescent="0.25">
      <c r="C6" s="713" t="s">
        <v>754</v>
      </c>
      <c r="D6" s="715" t="str">
        <f>'7.25 diáksport 081043'!D6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188" t="s">
        <v>160</v>
      </c>
      <c r="B88" s="189" t="s">
        <v>34</v>
      </c>
      <c r="C88" s="244">
        <f>C89+C101</f>
        <v>120000</v>
      </c>
      <c r="D88" s="244">
        <f>D89+D101</f>
        <v>0</v>
      </c>
      <c r="E88" s="253">
        <f t="shared" ref="E88:E150" si="15">SUM(C88:D88)</f>
        <v>120000</v>
      </c>
      <c r="F88" s="244">
        <f>F89+F101</f>
        <v>120000</v>
      </c>
      <c r="G88" s="244">
        <f>G89+G101</f>
        <v>0</v>
      </c>
      <c r="H88" s="253">
        <f t="shared" ref="H88:H90" si="16">SUM(F88:G88)</f>
        <v>120000</v>
      </c>
      <c r="I88" s="244">
        <f>I89+I101</f>
        <v>120000</v>
      </c>
      <c r="J88" s="244">
        <f>J89+J101</f>
        <v>0</v>
      </c>
      <c r="K88" s="253">
        <f t="shared" ref="K88:K90" si="17">SUM(I88:J88)</f>
        <v>120000</v>
      </c>
      <c r="L88" s="244">
        <f>L89+L101</f>
        <v>120000</v>
      </c>
      <c r="M88" s="244">
        <f>M89+M101</f>
        <v>0</v>
      </c>
      <c r="N88" s="253">
        <f t="shared" ref="N88:N90" si="18">SUM(L88:M88)</f>
        <v>120000</v>
      </c>
    </row>
    <row r="89" spans="1:14" x14ac:dyDescent="0.25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x14ac:dyDescent="0.25">
      <c r="A90" s="190" t="s">
        <v>163</v>
      </c>
      <c r="B90" s="180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190" t="s">
        <v>165</v>
      </c>
      <c r="B92" s="180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x14ac:dyDescent="0.25">
      <c r="A93" s="190" t="s">
        <v>167</v>
      </c>
      <c r="B93" s="180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190" t="s">
        <v>169</v>
      </c>
      <c r="B94" s="180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190" t="s">
        <v>171</v>
      </c>
      <c r="B95" s="180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190" t="s">
        <v>173</v>
      </c>
      <c r="B96" s="180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x14ac:dyDescent="0.25">
      <c r="A97" s="190" t="s">
        <v>175</v>
      </c>
      <c r="B97" s="180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x14ac:dyDescent="0.25">
      <c r="A98" s="190" t="s">
        <v>177</v>
      </c>
      <c r="B98" s="180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190" t="s">
        <v>179</v>
      </c>
      <c r="B99" s="180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190" t="s">
        <v>181</v>
      </c>
      <c r="B100" s="180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316"/>
      <c r="J100" s="246"/>
      <c r="K100" s="247">
        <f t="shared" si="20"/>
        <v>0</v>
      </c>
      <c r="L100" s="316"/>
      <c r="M100" s="246"/>
      <c r="N100" s="247">
        <f t="shared" si="21"/>
        <v>0</v>
      </c>
    </row>
    <row r="101" spans="1:14" x14ac:dyDescent="0.25">
      <c r="A101" s="190" t="s">
        <v>183</v>
      </c>
      <c r="B101" s="180" t="s">
        <v>184</v>
      </c>
      <c r="C101" s="246">
        <f>SUM(C102:C104)</f>
        <v>120000</v>
      </c>
      <c r="D101" s="246">
        <f>SUM(D102:D104)</f>
        <v>0</v>
      </c>
      <c r="E101" s="247">
        <f t="shared" si="15"/>
        <v>120000</v>
      </c>
      <c r="F101" s="246">
        <f>SUM(F102:F104)</f>
        <v>120000</v>
      </c>
      <c r="G101" s="246">
        <f>SUM(G102:G104)</f>
        <v>0</v>
      </c>
      <c r="H101" s="247">
        <f t="shared" si="19"/>
        <v>120000</v>
      </c>
      <c r="I101" s="246">
        <f>SUM(I102:I104)</f>
        <v>120000</v>
      </c>
      <c r="J101" s="246">
        <f>SUM(J102:J104)</f>
        <v>0</v>
      </c>
      <c r="K101" s="247">
        <f t="shared" si="20"/>
        <v>120000</v>
      </c>
      <c r="L101" s="246">
        <f>SUM(L102:L104)</f>
        <v>120000</v>
      </c>
      <c r="M101" s="246">
        <f>SUM(M102:M104)</f>
        <v>0</v>
      </c>
      <c r="N101" s="247">
        <f t="shared" si="21"/>
        <v>120000</v>
      </c>
    </row>
    <row r="102" spans="1:14" x14ac:dyDescent="0.25">
      <c r="A102" s="190" t="s">
        <v>185</v>
      </c>
      <c r="B102" s="180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190" t="s">
        <v>187</v>
      </c>
      <c r="B103" s="180" t="s">
        <v>188</v>
      </c>
      <c r="C103" s="246">
        <v>120000</v>
      </c>
      <c r="D103" s="246"/>
      <c r="E103" s="247">
        <f t="shared" si="15"/>
        <v>120000</v>
      </c>
      <c r="F103" s="246">
        <v>120000</v>
      </c>
      <c r="G103" s="246"/>
      <c r="H103" s="247">
        <f t="shared" si="19"/>
        <v>120000</v>
      </c>
      <c r="I103" s="316">
        <v>120000</v>
      </c>
      <c r="J103" s="246"/>
      <c r="K103" s="247">
        <f t="shared" si="20"/>
        <v>120000</v>
      </c>
      <c r="L103" s="316">
        <v>120000</v>
      </c>
      <c r="M103" s="246"/>
      <c r="N103" s="247">
        <f t="shared" si="21"/>
        <v>120000</v>
      </c>
    </row>
    <row r="104" spans="1:14" ht="15.75" thickBot="1" x14ac:dyDescent="0.3">
      <c r="A104" s="191" t="s">
        <v>189</v>
      </c>
      <c r="B104" s="192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x14ac:dyDescent="0.25">
      <c r="A105" s="188" t="s">
        <v>191</v>
      </c>
      <c r="B105" s="189" t="s">
        <v>192</v>
      </c>
      <c r="C105" s="244">
        <f>SUM(C106:C110)</f>
        <v>23760</v>
      </c>
      <c r="D105" s="244">
        <f>SUM(D106:D110)</f>
        <v>0</v>
      </c>
      <c r="E105" s="245">
        <f t="shared" si="15"/>
        <v>23760</v>
      </c>
      <c r="F105" s="244">
        <f>SUM(F106:F110)</f>
        <v>23760</v>
      </c>
      <c r="G105" s="244">
        <f>SUM(G106:G110)</f>
        <v>0</v>
      </c>
      <c r="H105" s="245">
        <f t="shared" si="19"/>
        <v>23760</v>
      </c>
      <c r="I105" s="244">
        <f>SUM(I106:I110)</f>
        <v>23760</v>
      </c>
      <c r="J105" s="244">
        <f>SUM(J106:J110)</f>
        <v>0</v>
      </c>
      <c r="K105" s="245">
        <f t="shared" si="20"/>
        <v>23760</v>
      </c>
      <c r="L105" s="244">
        <f>SUM(L106:L110)</f>
        <v>20160</v>
      </c>
      <c r="M105" s="244">
        <f>SUM(M106:M110)</f>
        <v>0</v>
      </c>
      <c r="N105" s="245">
        <f t="shared" si="21"/>
        <v>20160</v>
      </c>
    </row>
    <row r="106" spans="1:14" ht="15.75" thickBot="1" x14ac:dyDescent="0.3">
      <c r="A106" s="190"/>
      <c r="B106" s="180" t="s">
        <v>193</v>
      </c>
      <c r="C106" s="246">
        <v>23760</v>
      </c>
      <c r="D106" s="246"/>
      <c r="E106" s="247">
        <f t="shared" si="15"/>
        <v>23760</v>
      </c>
      <c r="F106" s="246">
        <v>23760</v>
      </c>
      <c r="G106" s="246"/>
      <c r="H106" s="247">
        <f t="shared" si="19"/>
        <v>23760</v>
      </c>
      <c r="I106" s="246">
        <v>23760</v>
      </c>
      <c r="J106" s="246"/>
      <c r="K106" s="247">
        <f t="shared" si="20"/>
        <v>23760</v>
      </c>
      <c r="L106" s="246">
        <v>20160</v>
      </c>
      <c r="M106" s="246"/>
      <c r="N106" s="247">
        <f t="shared" si="21"/>
        <v>20160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143760</v>
      </c>
      <c r="D142" s="250">
        <f>D141+D140+D139+D138+D137+D128+D127+D111+D105+D88</f>
        <v>0</v>
      </c>
      <c r="E142" s="251">
        <f t="shared" si="15"/>
        <v>143760</v>
      </c>
      <c r="F142" s="250">
        <f>F141+F140+F139+F138+F137+F128+F127+F111+F105+F88</f>
        <v>143760</v>
      </c>
      <c r="G142" s="250">
        <f>G141+G140+G139+G138+G137+G128+G127+G111+G105+G88</f>
        <v>0</v>
      </c>
      <c r="H142" s="251">
        <f t="shared" si="19"/>
        <v>143760</v>
      </c>
      <c r="I142" s="250">
        <f>I141+I140+I139+I138+I137+I128+I127+I111+I105+I88</f>
        <v>143760</v>
      </c>
      <c r="J142" s="250">
        <f>J141+J140+J139+J138+J137+J128+J127+J111+J105+J88</f>
        <v>0</v>
      </c>
      <c r="K142" s="251">
        <f t="shared" si="20"/>
        <v>143760</v>
      </c>
      <c r="L142" s="250">
        <f>L141+L140+L139+L138+L137+L128+L127+L111+L105+L88</f>
        <v>140160</v>
      </c>
      <c r="M142" s="250">
        <f>M141+M140+M139+M138+M137+M128+M127+M111+M105+M88</f>
        <v>0</v>
      </c>
      <c r="N142" s="251">
        <f t="shared" si="21"/>
        <v>140160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143760</v>
      </c>
      <c r="D151" s="257">
        <f>D143+D142</f>
        <v>0</v>
      </c>
      <c r="E151" s="258">
        <f>SUM(C151:D151)</f>
        <v>143760</v>
      </c>
      <c r="F151" s="250">
        <f>F143+F142</f>
        <v>143760</v>
      </c>
      <c r="G151" s="257">
        <f>G143+G142</f>
        <v>0</v>
      </c>
      <c r="H151" s="258">
        <f>SUM(F151:G151)</f>
        <v>143760</v>
      </c>
      <c r="I151" s="250">
        <f>I143+I142</f>
        <v>143760</v>
      </c>
      <c r="J151" s="257">
        <f>J143+J142</f>
        <v>0</v>
      </c>
      <c r="K151" s="258">
        <f>SUM(I151:J151)</f>
        <v>143760</v>
      </c>
      <c r="L151" s="250">
        <f>L143+L142</f>
        <v>140160</v>
      </c>
      <c r="M151" s="257">
        <f>M143+M142</f>
        <v>0</v>
      </c>
      <c r="N151" s="258">
        <f>SUM(L151:M151)</f>
        <v>140160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-143760</v>
      </c>
      <c r="H153" s="148">
        <f>H85-H151</f>
        <v>-143760</v>
      </c>
      <c r="K153" s="148">
        <f>K85-K151</f>
        <v>-143760</v>
      </c>
      <c r="N153" s="148">
        <f>N85-N151</f>
        <v>-140160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4" fitToHeight="0" orientation="portrait" horizontalDpi="300" verticalDpi="300" r:id="rId1"/>
  <headerFooter>
    <oddFooter>&amp;R&amp;P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53"/>
  <sheetViews>
    <sheetView zoomScaleNormal="100" workbookViewId="0">
      <pane ySplit="8" topLeftCell="A118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9.140625" style="179"/>
    <col min="4" max="4" width="10.42578125" style="179" customWidth="1"/>
    <col min="5" max="5" width="11.5703125" style="179" bestFit="1" customWidth="1"/>
    <col min="6" max="6" width="9.140625" style="179"/>
    <col min="7" max="7" width="10.42578125" style="179" customWidth="1"/>
    <col min="8" max="8" width="11.5703125" style="179" bestFit="1" customWidth="1"/>
    <col min="9" max="9" width="9.140625" style="179"/>
    <col min="10" max="10" width="10.42578125" style="179" customWidth="1"/>
    <col min="11" max="11" width="11.5703125" style="179" bestFit="1" customWidth="1"/>
    <col min="12" max="12" width="9.140625" style="179"/>
    <col min="13" max="13" width="10.42578125" style="179" customWidth="1"/>
    <col min="14" max="14" width="11.5703125" style="179" bestFit="1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'7.26 közműv 082091'!C4</f>
        <v xml:space="preserve"> 12 / 2020. (VI.15) sz rendelet</v>
      </c>
    </row>
    <row r="5" spans="1:14" s="81" customFormat="1" ht="12.75" x14ac:dyDescent="0.2">
      <c r="A5" s="90" t="s">
        <v>537</v>
      </c>
      <c r="B5" s="81" t="s">
        <v>561</v>
      </c>
    </row>
    <row r="6" spans="1:14" x14ac:dyDescent="0.25">
      <c r="C6" s="713" t="s">
        <v>755</v>
      </c>
      <c r="D6" s="715" t="str">
        <f>'7.26 közműv 082091'!D6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187" t="s">
        <v>68</v>
      </c>
      <c r="B25" s="19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187" t="s">
        <v>143</v>
      </c>
      <c r="B74" s="19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0</v>
      </c>
      <c r="D85" s="250">
        <f>D73+D74</f>
        <v>0</v>
      </c>
      <c r="E85" s="251">
        <f t="shared" si="4"/>
        <v>0</v>
      </c>
      <c r="F85" s="250">
        <f>F73+F74</f>
        <v>0</v>
      </c>
      <c r="G85" s="250">
        <f>G73+G74</f>
        <v>0</v>
      </c>
      <c r="H85" s="251">
        <f t="shared" si="12"/>
        <v>0</v>
      </c>
      <c r="I85" s="250">
        <f>I73+I74</f>
        <v>0</v>
      </c>
      <c r="J85" s="250">
        <f>J73+J74</f>
        <v>0</v>
      </c>
      <c r="K85" s="251">
        <f t="shared" si="13"/>
        <v>0</v>
      </c>
      <c r="L85" s="250">
        <f>L73+L74</f>
        <v>0</v>
      </c>
      <c r="M85" s="250">
        <f>M73+M74</f>
        <v>0</v>
      </c>
      <c r="N85" s="251">
        <f t="shared" si="14"/>
        <v>0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188" t="s">
        <v>160</v>
      </c>
      <c r="B88" s="189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2751699</v>
      </c>
      <c r="J88" s="244">
        <f>J89+J101</f>
        <v>0</v>
      </c>
      <c r="K88" s="253">
        <f t="shared" ref="K88:K90" si="17">SUM(I88:J88)</f>
        <v>2751699</v>
      </c>
      <c r="L88" s="244">
        <f>L89+L101</f>
        <v>2751699</v>
      </c>
      <c r="M88" s="244">
        <f>M89+M101</f>
        <v>0</v>
      </c>
      <c r="N88" s="253">
        <f t="shared" ref="N88:N90" si="18">SUM(L88:M88)</f>
        <v>2751699</v>
      </c>
    </row>
    <row r="89" spans="1:14" x14ac:dyDescent="0.25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x14ac:dyDescent="0.25">
      <c r="A90" s="190" t="s">
        <v>163</v>
      </c>
      <c r="B90" s="180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190" t="s">
        <v>165</v>
      </c>
      <c r="B92" s="180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x14ac:dyDescent="0.25">
      <c r="A93" s="190" t="s">
        <v>167</v>
      </c>
      <c r="B93" s="180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x14ac:dyDescent="0.25">
      <c r="A94" s="190" t="s">
        <v>169</v>
      </c>
      <c r="B94" s="180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x14ac:dyDescent="0.25">
      <c r="A95" s="190" t="s">
        <v>171</v>
      </c>
      <c r="B95" s="180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x14ac:dyDescent="0.25">
      <c r="A96" s="190" t="s">
        <v>173</v>
      </c>
      <c r="B96" s="180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x14ac:dyDescent="0.25">
      <c r="A97" s="190" t="s">
        <v>175</v>
      </c>
      <c r="B97" s="180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x14ac:dyDescent="0.25">
      <c r="A98" s="190" t="s">
        <v>177</v>
      </c>
      <c r="B98" s="180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x14ac:dyDescent="0.25">
      <c r="A99" s="190" t="s">
        <v>179</v>
      </c>
      <c r="B99" s="180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x14ac:dyDescent="0.25">
      <c r="A100" s="190" t="s">
        <v>181</v>
      </c>
      <c r="B100" s="180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x14ac:dyDescent="0.25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2751699</v>
      </c>
      <c r="J101" s="246">
        <f>SUM(J102:J104)</f>
        <v>0</v>
      </c>
      <c r="K101" s="247">
        <f t="shared" si="20"/>
        <v>2751699</v>
      </c>
      <c r="L101" s="246">
        <f>SUM(L102:L104)</f>
        <v>2751699</v>
      </c>
      <c r="M101" s="246">
        <f>SUM(M102:M104)</f>
        <v>0</v>
      </c>
      <c r="N101" s="247">
        <f t="shared" si="21"/>
        <v>2751699</v>
      </c>
    </row>
    <row r="102" spans="1:14" x14ac:dyDescent="0.25">
      <c r="A102" s="190" t="s">
        <v>185</v>
      </c>
      <c r="B102" s="180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x14ac:dyDescent="0.25">
      <c r="A103" s="190" t="s">
        <v>187</v>
      </c>
      <c r="B103" s="180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thickBot="1" x14ac:dyDescent="0.3">
      <c r="A104" s="191" t="s">
        <v>189</v>
      </c>
      <c r="B104" s="192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>
        <v>2751699</v>
      </c>
      <c r="J104" s="248"/>
      <c r="K104" s="249">
        <f t="shared" si="20"/>
        <v>2751699</v>
      </c>
      <c r="L104" s="248">
        <v>2751699</v>
      </c>
      <c r="M104" s="248"/>
      <c r="N104" s="249">
        <f t="shared" si="21"/>
        <v>2751699</v>
      </c>
    </row>
    <row r="105" spans="1:14" ht="15.75" thickBot="1" x14ac:dyDescent="0.3">
      <c r="A105" s="188" t="s">
        <v>191</v>
      </c>
      <c r="B105" s="189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190"/>
      <c r="B106" s="180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x14ac:dyDescent="0.25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315682</v>
      </c>
      <c r="M111" s="244">
        <f>SUM(M112:M113,M114,M123,M122)</f>
        <v>0</v>
      </c>
      <c r="N111" s="245">
        <f t="shared" si="21"/>
        <v>315682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x14ac:dyDescent="0.25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x14ac:dyDescent="0.25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315682</v>
      </c>
      <c r="M123" s="246">
        <f>SUM(M124:M126)</f>
        <v>0</v>
      </c>
      <c r="N123" s="247">
        <f t="shared" si="21"/>
        <v>315682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>
        <v>315682</v>
      </c>
      <c r="M124" s="246"/>
      <c r="N124" s="247">
        <f t="shared" si="21"/>
        <v>315682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x14ac:dyDescent="0.25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2710000</v>
      </c>
      <c r="E128" s="245">
        <f t="shared" si="15"/>
        <v>2710000</v>
      </c>
      <c r="F128" s="244">
        <f>SUM(F129:F134)</f>
        <v>0</v>
      </c>
      <c r="G128" s="244">
        <f>SUM(G129:G134)</f>
        <v>2710000</v>
      </c>
      <c r="H128" s="245">
        <f t="shared" si="19"/>
        <v>2710000</v>
      </c>
      <c r="I128" s="244">
        <f>SUM(I129:I134)</f>
        <v>0</v>
      </c>
      <c r="J128" s="244">
        <f>SUM(J129:J134)</f>
        <v>2710000</v>
      </c>
      <c r="K128" s="245">
        <f t="shared" si="20"/>
        <v>2710000</v>
      </c>
      <c r="L128" s="244">
        <f>SUM(L129:L134)</f>
        <v>0</v>
      </c>
      <c r="M128" s="244">
        <f>SUM(M129:M134)</f>
        <v>2710000</v>
      </c>
      <c r="N128" s="245">
        <f t="shared" si="21"/>
        <v>2710000</v>
      </c>
    </row>
    <row r="129" spans="1:14" hidden="1" x14ac:dyDescent="0.25">
      <c r="A129" s="190" t="s">
        <v>229</v>
      </c>
      <c r="B129" s="180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idden="1" x14ac:dyDescent="0.25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idden="1" x14ac:dyDescent="0.25">
      <c r="A131" s="190" t="s">
        <v>231</v>
      </c>
      <c r="B131" s="180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idden="1" x14ac:dyDescent="0.25">
      <c r="A132" s="190" t="s">
        <v>233</v>
      </c>
      <c r="B132" s="180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x14ac:dyDescent="0.25">
      <c r="A133" s="190" t="s">
        <v>235</v>
      </c>
      <c r="B133" s="180" t="s">
        <v>236</v>
      </c>
      <c r="C133" s="246"/>
      <c r="D133" s="246">
        <v>2710000</v>
      </c>
      <c r="E133" s="247">
        <f t="shared" si="15"/>
        <v>2710000</v>
      </c>
      <c r="F133" s="246"/>
      <c r="G133" s="246">
        <v>2710000</v>
      </c>
      <c r="H133" s="247">
        <f t="shared" si="19"/>
        <v>2710000</v>
      </c>
      <c r="I133" s="246"/>
      <c r="J133" s="246">
        <v>2710000</v>
      </c>
      <c r="K133" s="247">
        <f t="shared" si="20"/>
        <v>2710000</v>
      </c>
      <c r="L133" s="246"/>
      <c r="M133" s="246">
        <v>2710000</v>
      </c>
      <c r="N133" s="247">
        <f t="shared" si="21"/>
        <v>2710000</v>
      </c>
    </row>
    <row r="134" spans="1:14" x14ac:dyDescent="0.25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x14ac:dyDescent="0.25">
      <c r="A135" s="190"/>
      <c r="B135" s="180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thickBot="1" x14ac:dyDescent="0.3">
      <c r="A136" s="191"/>
      <c r="B136" s="192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>
        <v>52830</v>
      </c>
      <c r="J139" s="244"/>
      <c r="K139" s="245">
        <f t="shared" si="20"/>
        <v>52830</v>
      </c>
      <c r="L139" s="244">
        <v>52830</v>
      </c>
      <c r="M139" s="244"/>
      <c r="N139" s="245">
        <f t="shared" si="21"/>
        <v>52830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>
        <v>14264</v>
      </c>
      <c r="J140" s="248"/>
      <c r="K140" s="249">
        <f t="shared" si="20"/>
        <v>14264</v>
      </c>
      <c r="L140" s="248">
        <v>14264</v>
      </c>
      <c r="M140" s="248"/>
      <c r="N140" s="249">
        <f t="shared" si="21"/>
        <v>14264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0</v>
      </c>
      <c r="D142" s="250">
        <f>D141+D140+D139+D138+D137+D128+D127+D111+D105+D88</f>
        <v>2710000</v>
      </c>
      <c r="E142" s="251">
        <f t="shared" si="15"/>
        <v>2710000</v>
      </c>
      <c r="F142" s="250">
        <f>F141+F140+F139+F138+F137+F128+F127+F111+F105+F88</f>
        <v>0</v>
      </c>
      <c r="G142" s="250">
        <f>G141+G140+G139+G138+G137+G128+G127+G111+G105+G88</f>
        <v>2710000</v>
      </c>
      <c r="H142" s="251">
        <f t="shared" si="19"/>
        <v>2710000</v>
      </c>
      <c r="I142" s="250">
        <f>I141+I140+I139+I138+I137+I128+I127+I111+I105+I88</f>
        <v>2818793</v>
      </c>
      <c r="J142" s="250">
        <f>J141+J140+J139+J138+J137+J128+J127+J111+J105+J88</f>
        <v>2710000</v>
      </c>
      <c r="K142" s="251">
        <f t="shared" si="20"/>
        <v>5528793</v>
      </c>
      <c r="L142" s="250">
        <f>L141+L140+L139+L138+L137+L128+L127+L111+L105+L88</f>
        <v>3134475</v>
      </c>
      <c r="M142" s="250">
        <f>M141+M140+M139+M138+M137+M128+M127+M111+M105+M88</f>
        <v>2710000</v>
      </c>
      <c r="N142" s="251">
        <f t="shared" si="21"/>
        <v>5844475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0</v>
      </c>
      <c r="D151" s="257">
        <f>D143+D142</f>
        <v>2710000</v>
      </c>
      <c r="E151" s="258">
        <f>SUM(C151:D151)</f>
        <v>2710000</v>
      </c>
      <c r="F151" s="250">
        <f>F143+F142</f>
        <v>0</v>
      </c>
      <c r="G151" s="257">
        <f>G143+G142</f>
        <v>2710000</v>
      </c>
      <c r="H151" s="258">
        <f>SUM(F151:G151)</f>
        <v>2710000</v>
      </c>
      <c r="I151" s="250">
        <f>I143+I142</f>
        <v>2818793</v>
      </c>
      <c r="J151" s="257">
        <f>J143+J142</f>
        <v>2710000</v>
      </c>
      <c r="K151" s="258">
        <f>SUM(I151:J151)</f>
        <v>5528793</v>
      </c>
      <c r="L151" s="250">
        <f>L143+L142</f>
        <v>3134475</v>
      </c>
      <c r="M151" s="257">
        <f>M143+M142</f>
        <v>2710000</v>
      </c>
      <c r="N151" s="258">
        <f>SUM(L151:M151)</f>
        <v>5844475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148">
        <f>E85-E151</f>
        <v>-2710000</v>
      </c>
      <c r="H153" s="148">
        <f>H85-H151</f>
        <v>-2710000</v>
      </c>
      <c r="K153" s="148">
        <f>K85-K151</f>
        <v>-5528793</v>
      </c>
      <c r="N153" s="148">
        <f>N85-N151</f>
        <v>-5844475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1" fitToHeight="0" orientation="portrait" horizontalDpi="300" verticalDpi="300" r:id="rId1"/>
  <headerFooter>
    <oddFooter>&amp;R&amp;P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N153"/>
  <sheetViews>
    <sheetView zoomScaleNormal="100" workbookViewId="0">
      <pane ySplit="8" topLeftCell="A127" activePane="bottomLeft" state="frozen"/>
      <selection activeCell="AB159" sqref="AB159"/>
      <selection pane="bottomLeft" activeCell="D7" sqref="D7"/>
    </sheetView>
  </sheetViews>
  <sheetFormatPr defaultRowHeight="12.75" x14ac:dyDescent="0.2"/>
  <cols>
    <col min="1" max="1" width="9.140625" style="81"/>
    <col min="2" max="2" width="59.140625" style="81" bestFit="1" customWidth="1"/>
    <col min="3" max="4" width="9.140625" style="81"/>
    <col min="5" max="5" width="9.85546875" style="81" customWidth="1"/>
    <col min="6" max="7" width="9.140625" style="81"/>
    <col min="8" max="8" width="9.85546875" style="81" customWidth="1"/>
    <col min="9" max="10" width="9.140625" style="81"/>
    <col min="11" max="11" width="9.85546875" style="81" customWidth="1"/>
    <col min="12" max="13" width="9.140625" style="81"/>
    <col min="14" max="14" width="9.85546875" style="81" customWidth="1"/>
    <col min="15" max="16384" width="9.140625" style="8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">
      <c r="A4" s="79" t="s">
        <v>270</v>
      </c>
      <c r="C4" s="45" t="str">
        <f>'7.27 közműv 082092'!C4</f>
        <v xml:space="preserve"> 12 / 2020. (VI.15) sz rendelet</v>
      </c>
    </row>
    <row r="5" spans="1:14" x14ac:dyDescent="0.2">
      <c r="A5" s="90" t="s">
        <v>554</v>
      </c>
      <c r="B5" s="79" t="s">
        <v>565</v>
      </c>
    </row>
    <row r="6" spans="1:14" x14ac:dyDescent="0.2">
      <c r="C6" s="713" t="s">
        <v>756</v>
      </c>
      <c r="D6" s="715" t="str">
        <f>'7.27 közműv 082092'!D6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3.5" thickBot="1" x14ac:dyDescent="0.25"/>
    <row r="8" spans="1:14" ht="39" thickBot="1" x14ac:dyDescent="0.25">
      <c r="A8" s="259" t="s">
        <v>42</v>
      </c>
      <c r="B8" s="260" t="s">
        <v>23</v>
      </c>
      <c r="C8" s="259" t="s">
        <v>32</v>
      </c>
      <c r="D8" s="261" t="s">
        <v>33</v>
      </c>
      <c r="E8" s="262" t="s">
        <v>21</v>
      </c>
      <c r="F8" s="259" t="s">
        <v>32</v>
      </c>
      <c r="G8" s="261" t="s">
        <v>33</v>
      </c>
      <c r="H8" s="262" t="s">
        <v>825</v>
      </c>
      <c r="I8" s="259" t="s">
        <v>32</v>
      </c>
      <c r="J8" s="261" t="s">
        <v>33</v>
      </c>
      <c r="K8" s="199" t="s">
        <v>864</v>
      </c>
      <c r="L8" s="259" t="s">
        <v>32</v>
      </c>
      <c r="M8" s="261" t="s">
        <v>33</v>
      </c>
      <c r="N8" s="199" t="s">
        <v>908</v>
      </c>
    </row>
    <row r="9" spans="1:14" ht="13.5" thickBot="1" x14ac:dyDescent="0.25">
      <c r="A9" s="263" t="s">
        <v>43</v>
      </c>
      <c r="B9" s="264" t="s">
        <v>44</v>
      </c>
      <c r="C9" s="292">
        <f>SUM(C10,C17,C18,C20,C21,C19)</f>
        <v>0</v>
      </c>
      <c r="D9" s="292">
        <f>SUM(D10,D17,D18,D20,D21,D19)</f>
        <v>0</v>
      </c>
      <c r="E9" s="293">
        <f t="shared" ref="E9:E73" si="0">SUM(C9:D9)</f>
        <v>0</v>
      </c>
      <c r="F9" s="292">
        <f>SUM(F10,F17,F18,F20,F21,F19)</f>
        <v>0</v>
      </c>
      <c r="G9" s="292">
        <f>SUM(G10,G17,G18,G20,G21,G19)</f>
        <v>0</v>
      </c>
      <c r="H9" s="293">
        <f t="shared" ref="H9:H73" si="1">SUM(F9:G9)</f>
        <v>0</v>
      </c>
      <c r="I9" s="292">
        <f>SUM(I10,I17,I18,I20,I21,I19)</f>
        <v>0</v>
      </c>
      <c r="J9" s="292">
        <f>SUM(J10,J17,J18,J20,J21,J19)</f>
        <v>0</v>
      </c>
      <c r="K9" s="293">
        <f t="shared" ref="K9:K73" si="2">SUM(I9:J9)</f>
        <v>0</v>
      </c>
      <c r="L9" s="292">
        <f>SUM(L10,L17,L18,L20,L21,L19)</f>
        <v>0</v>
      </c>
      <c r="M9" s="292">
        <f>SUM(M10,M17,M18,M20,M21,M19)</f>
        <v>0</v>
      </c>
      <c r="N9" s="293">
        <f t="shared" ref="N9:N73" si="3">SUM(L9:M9)</f>
        <v>0</v>
      </c>
    </row>
    <row r="10" spans="1:14" ht="13.5" hidden="1" thickBot="1" x14ac:dyDescent="0.25">
      <c r="A10" s="265" t="s">
        <v>45</v>
      </c>
      <c r="B10" s="266" t="s">
        <v>46</v>
      </c>
      <c r="C10" s="279">
        <f>SUM(C11:C16)</f>
        <v>0</v>
      </c>
      <c r="D10" s="279">
        <f>SUM(D11:D16)</f>
        <v>0</v>
      </c>
      <c r="E10" s="280">
        <f t="shared" si="0"/>
        <v>0</v>
      </c>
      <c r="F10" s="279">
        <f>SUM(F11:F16)</f>
        <v>0</v>
      </c>
      <c r="G10" s="279">
        <f>SUM(G11:G16)</f>
        <v>0</v>
      </c>
      <c r="H10" s="280">
        <f t="shared" si="1"/>
        <v>0</v>
      </c>
      <c r="I10" s="279">
        <f>SUM(I11:I16)</f>
        <v>0</v>
      </c>
      <c r="J10" s="279">
        <f>SUM(J11:J16)</f>
        <v>0</v>
      </c>
      <c r="K10" s="280">
        <f t="shared" si="2"/>
        <v>0</v>
      </c>
      <c r="L10" s="279">
        <f>SUM(L11:L16)</f>
        <v>0</v>
      </c>
      <c r="M10" s="279">
        <f>SUM(M11:M16)</f>
        <v>0</v>
      </c>
      <c r="N10" s="280">
        <f t="shared" si="3"/>
        <v>0</v>
      </c>
    </row>
    <row r="11" spans="1:14" ht="13.5" hidden="1" thickBot="1" x14ac:dyDescent="0.25">
      <c r="A11" s="265" t="s">
        <v>47</v>
      </c>
      <c r="B11" s="266" t="s">
        <v>48</v>
      </c>
      <c r="C11" s="279"/>
      <c r="D11" s="279"/>
      <c r="E11" s="280">
        <f t="shared" si="0"/>
        <v>0</v>
      </c>
      <c r="F11" s="279"/>
      <c r="G11" s="279"/>
      <c r="H11" s="280">
        <f t="shared" si="1"/>
        <v>0</v>
      </c>
      <c r="I11" s="279"/>
      <c r="J11" s="279"/>
      <c r="K11" s="280">
        <f t="shared" si="2"/>
        <v>0</v>
      </c>
      <c r="L11" s="279"/>
      <c r="M11" s="279"/>
      <c r="N11" s="280">
        <f t="shared" si="3"/>
        <v>0</v>
      </c>
    </row>
    <row r="12" spans="1:14" ht="13.5" hidden="1" thickBot="1" x14ac:dyDescent="0.25">
      <c r="A12" s="265" t="s">
        <v>49</v>
      </c>
      <c r="B12" s="266" t="s">
        <v>50</v>
      </c>
      <c r="C12" s="279"/>
      <c r="D12" s="279"/>
      <c r="E12" s="280">
        <f t="shared" si="0"/>
        <v>0</v>
      </c>
      <c r="F12" s="279"/>
      <c r="G12" s="279"/>
      <c r="H12" s="280">
        <f t="shared" si="1"/>
        <v>0</v>
      </c>
      <c r="I12" s="279"/>
      <c r="J12" s="279"/>
      <c r="K12" s="280">
        <f t="shared" si="2"/>
        <v>0</v>
      </c>
      <c r="L12" s="279"/>
      <c r="M12" s="279"/>
      <c r="N12" s="280">
        <f t="shared" si="3"/>
        <v>0</v>
      </c>
    </row>
    <row r="13" spans="1:14" ht="13.5" hidden="1" thickBot="1" x14ac:dyDescent="0.25">
      <c r="A13" s="265" t="s">
        <v>51</v>
      </c>
      <c r="B13" s="266" t="s">
        <v>52</v>
      </c>
      <c r="C13" s="279"/>
      <c r="D13" s="279"/>
      <c r="E13" s="280">
        <f t="shared" si="0"/>
        <v>0</v>
      </c>
      <c r="F13" s="279"/>
      <c r="G13" s="279"/>
      <c r="H13" s="280">
        <f t="shared" si="1"/>
        <v>0</v>
      </c>
      <c r="I13" s="279"/>
      <c r="J13" s="279"/>
      <c r="K13" s="280">
        <f t="shared" si="2"/>
        <v>0</v>
      </c>
      <c r="L13" s="279"/>
      <c r="M13" s="279"/>
      <c r="N13" s="280">
        <f t="shared" si="3"/>
        <v>0</v>
      </c>
    </row>
    <row r="14" spans="1:14" ht="13.5" hidden="1" thickBot="1" x14ac:dyDescent="0.25">
      <c r="A14" s="265" t="s">
        <v>53</v>
      </c>
      <c r="B14" s="266" t="s">
        <v>54</v>
      </c>
      <c r="C14" s="279"/>
      <c r="D14" s="279"/>
      <c r="E14" s="280">
        <f t="shared" si="0"/>
        <v>0</v>
      </c>
      <c r="F14" s="279"/>
      <c r="G14" s="279"/>
      <c r="H14" s="280">
        <f t="shared" si="1"/>
        <v>0</v>
      </c>
      <c r="I14" s="279"/>
      <c r="J14" s="279"/>
      <c r="K14" s="280">
        <f t="shared" si="2"/>
        <v>0</v>
      </c>
      <c r="L14" s="279"/>
      <c r="M14" s="279"/>
      <c r="N14" s="280">
        <f t="shared" si="3"/>
        <v>0</v>
      </c>
    </row>
    <row r="15" spans="1:14" ht="13.5" hidden="1" thickBot="1" x14ac:dyDescent="0.25">
      <c r="A15" s="265" t="s">
        <v>55</v>
      </c>
      <c r="B15" s="266" t="s">
        <v>56</v>
      </c>
      <c r="C15" s="279"/>
      <c r="D15" s="279"/>
      <c r="E15" s="280">
        <f t="shared" si="0"/>
        <v>0</v>
      </c>
      <c r="F15" s="279"/>
      <c r="G15" s="279"/>
      <c r="H15" s="280">
        <f t="shared" si="1"/>
        <v>0</v>
      </c>
      <c r="I15" s="279"/>
      <c r="J15" s="279"/>
      <c r="K15" s="280">
        <f t="shared" si="2"/>
        <v>0</v>
      </c>
      <c r="L15" s="279"/>
      <c r="M15" s="279"/>
      <c r="N15" s="280">
        <f t="shared" si="3"/>
        <v>0</v>
      </c>
    </row>
    <row r="16" spans="1:14" ht="13.5" hidden="1" thickBot="1" x14ac:dyDescent="0.25">
      <c r="A16" s="265" t="s">
        <v>57</v>
      </c>
      <c r="B16" s="266" t="s">
        <v>58</v>
      </c>
      <c r="C16" s="279"/>
      <c r="D16" s="279"/>
      <c r="E16" s="280">
        <f t="shared" si="0"/>
        <v>0</v>
      </c>
      <c r="F16" s="279"/>
      <c r="G16" s="279"/>
      <c r="H16" s="280">
        <f t="shared" si="1"/>
        <v>0</v>
      </c>
      <c r="I16" s="279"/>
      <c r="J16" s="279"/>
      <c r="K16" s="280">
        <f t="shared" si="2"/>
        <v>0</v>
      </c>
      <c r="L16" s="279"/>
      <c r="M16" s="279"/>
      <c r="N16" s="280">
        <f t="shared" si="3"/>
        <v>0</v>
      </c>
    </row>
    <row r="17" spans="1:14" ht="13.5" hidden="1" thickBot="1" x14ac:dyDescent="0.25">
      <c r="A17" s="265" t="s">
        <v>59</v>
      </c>
      <c r="B17" s="266" t="s">
        <v>60</v>
      </c>
      <c r="C17" s="279"/>
      <c r="D17" s="279"/>
      <c r="E17" s="280">
        <f t="shared" si="0"/>
        <v>0</v>
      </c>
      <c r="F17" s="279"/>
      <c r="G17" s="279"/>
      <c r="H17" s="280">
        <f t="shared" si="1"/>
        <v>0</v>
      </c>
      <c r="I17" s="279"/>
      <c r="J17" s="279"/>
      <c r="K17" s="280">
        <f t="shared" si="2"/>
        <v>0</v>
      </c>
      <c r="L17" s="279"/>
      <c r="M17" s="279"/>
      <c r="N17" s="280">
        <f t="shared" si="3"/>
        <v>0</v>
      </c>
    </row>
    <row r="18" spans="1:14" ht="13.5" hidden="1" thickBot="1" x14ac:dyDescent="0.25">
      <c r="A18" s="265" t="s">
        <v>61</v>
      </c>
      <c r="B18" s="266" t="s">
        <v>62</v>
      </c>
      <c r="C18" s="279"/>
      <c r="D18" s="279"/>
      <c r="E18" s="280">
        <f t="shared" si="0"/>
        <v>0</v>
      </c>
      <c r="F18" s="279"/>
      <c r="G18" s="279"/>
      <c r="H18" s="280">
        <f t="shared" si="1"/>
        <v>0</v>
      </c>
      <c r="I18" s="279"/>
      <c r="J18" s="279"/>
      <c r="K18" s="280">
        <f t="shared" si="2"/>
        <v>0</v>
      </c>
      <c r="L18" s="279"/>
      <c r="M18" s="279"/>
      <c r="N18" s="280">
        <f t="shared" si="3"/>
        <v>0</v>
      </c>
    </row>
    <row r="19" spans="1:14" ht="13.5" hidden="1" thickBot="1" x14ac:dyDescent="0.25">
      <c r="A19" s="267" t="s">
        <v>266</v>
      </c>
      <c r="B19" s="268" t="s">
        <v>267</v>
      </c>
      <c r="C19" s="279"/>
      <c r="D19" s="279"/>
      <c r="E19" s="280">
        <f t="shared" si="0"/>
        <v>0</v>
      </c>
      <c r="F19" s="279"/>
      <c r="G19" s="279"/>
      <c r="H19" s="280">
        <f t="shared" si="1"/>
        <v>0</v>
      </c>
      <c r="I19" s="279"/>
      <c r="J19" s="279"/>
      <c r="K19" s="280">
        <f t="shared" si="2"/>
        <v>0</v>
      </c>
      <c r="L19" s="279"/>
      <c r="M19" s="279"/>
      <c r="N19" s="280">
        <f t="shared" si="3"/>
        <v>0</v>
      </c>
    </row>
    <row r="20" spans="1:14" ht="13.5" hidden="1" thickBot="1" x14ac:dyDescent="0.25">
      <c r="A20" s="267" t="s">
        <v>63</v>
      </c>
      <c r="B20" s="268" t="s">
        <v>64</v>
      </c>
      <c r="C20" s="279"/>
      <c r="D20" s="279"/>
      <c r="E20" s="280">
        <f t="shared" si="0"/>
        <v>0</v>
      </c>
      <c r="F20" s="279"/>
      <c r="G20" s="279"/>
      <c r="H20" s="280">
        <f t="shared" si="1"/>
        <v>0</v>
      </c>
      <c r="I20" s="279"/>
      <c r="J20" s="279"/>
      <c r="K20" s="280">
        <f t="shared" si="2"/>
        <v>0</v>
      </c>
      <c r="L20" s="279"/>
      <c r="M20" s="279"/>
      <c r="N20" s="280">
        <f t="shared" si="3"/>
        <v>0</v>
      </c>
    </row>
    <row r="21" spans="1:14" ht="13.5" hidden="1" thickBot="1" x14ac:dyDescent="0.25">
      <c r="A21" s="267" t="s">
        <v>65</v>
      </c>
      <c r="B21" s="268" t="s">
        <v>66</v>
      </c>
      <c r="C21" s="294"/>
      <c r="D21" s="294"/>
      <c r="E21" s="295">
        <f t="shared" si="0"/>
        <v>0</v>
      </c>
      <c r="F21" s="294"/>
      <c r="G21" s="294"/>
      <c r="H21" s="295">
        <f t="shared" si="1"/>
        <v>0</v>
      </c>
      <c r="I21" s="294"/>
      <c r="J21" s="294"/>
      <c r="K21" s="295">
        <f t="shared" si="2"/>
        <v>0</v>
      </c>
      <c r="L21" s="294"/>
      <c r="M21" s="294"/>
      <c r="N21" s="295">
        <f t="shared" si="3"/>
        <v>0</v>
      </c>
    </row>
    <row r="22" spans="1:14" x14ac:dyDescent="0.2">
      <c r="A22" s="269" t="s">
        <v>67</v>
      </c>
      <c r="B22" s="270" t="s">
        <v>27</v>
      </c>
      <c r="C22" s="292">
        <f>SUM(C23:C24)</f>
        <v>0</v>
      </c>
      <c r="D22" s="292">
        <f>SUM(D23:D24)</f>
        <v>0</v>
      </c>
      <c r="E22" s="293">
        <f t="shared" si="0"/>
        <v>0</v>
      </c>
      <c r="F22" s="292">
        <f>SUM(F23:F24)</f>
        <v>0</v>
      </c>
      <c r="G22" s="292">
        <f>SUM(G23:G24)</f>
        <v>0</v>
      </c>
      <c r="H22" s="293">
        <f t="shared" si="1"/>
        <v>0</v>
      </c>
      <c r="I22" s="292">
        <f>SUM(I23:I24)</f>
        <v>0</v>
      </c>
      <c r="J22" s="292">
        <f>SUM(J23:J24)</f>
        <v>0</v>
      </c>
      <c r="K22" s="293">
        <f t="shared" si="2"/>
        <v>0</v>
      </c>
      <c r="L22" s="292">
        <f>SUM(L23:L24)</f>
        <v>0</v>
      </c>
      <c r="M22" s="292">
        <f>SUM(M23:M24)</f>
        <v>0</v>
      </c>
      <c r="N22" s="293">
        <f t="shared" si="3"/>
        <v>0</v>
      </c>
    </row>
    <row r="23" spans="1:14" x14ac:dyDescent="0.2">
      <c r="A23" s="271"/>
      <c r="B23" s="272" t="s">
        <v>268</v>
      </c>
      <c r="C23" s="279"/>
      <c r="D23" s="279"/>
      <c r="E23" s="280">
        <f t="shared" si="0"/>
        <v>0</v>
      </c>
      <c r="F23" s="279"/>
      <c r="G23" s="279"/>
      <c r="H23" s="280">
        <f t="shared" si="1"/>
        <v>0</v>
      </c>
      <c r="I23" s="279"/>
      <c r="J23" s="279"/>
      <c r="K23" s="280">
        <f t="shared" si="2"/>
        <v>0</v>
      </c>
      <c r="L23" s="279"/>
      <c r="M23" s="279"/>
      <c r="N23" s="280">
        <f t="shared" si="3"/>
        <v>0</v>
      </c>
    </row>
    <row r="24" spans="1:14" ht="13.5" thickBot="1" x14ac:dyDescent="0.25">
      <c r="A24" s="273"/>
      <c r="B24" s="274" t="s">
        <v>269</v>
      </c>
      <c r="C24" s="294"/>
      <c r="D24" s="294"/>
      <c r="E24" s="295">
        <f t="shared" si="0"/>
        <v>0</v>
      </c>
      <c r="F24" s="294"/>
      <c r="G24" s="294"/>
      <c r="H24" s="295">
        <f t="shared" si="1"/>
        <v>0</v>
      </c>
      <c r="I24" s="294"/>
      <c r="J24" s="294"/>
      <c r="K24" s="295">
        <f t="shared" si="2"/>
        <v>0</v>
      </c>
      <c r="L24" s="294"/>
      <c r="M24" s="294"/>
      <c r="N24" s="295">
        <f t="shared" si="3"/>
        <v>0</v>
      </c>
    </row>
    <row r="25" spans="1:14" ht="13.5" thickBot="1" x14ac:dyDescent="0.25">
      <c r="A25" s="275" t="s">
        <v>68</v>
      </c>
      <c r="B25" s="276" t="s">
        <v>25</v>
      </c>
      <c r="C25" s="292">
        <f>C26+C30+C38</f>
        <v>0</v>
      </c>
      <c r="D25" s="292">
        <f>D26+D30+D38</f>
        <v>0</v>
      </c>
      <c r="E25" s="293">
        <f t="shared" si="0"/>
        <v>0</v>
      </c>
      <c r="F25" s="292">
        <f>F26+F30+F38</f>
        <v>0</v>
      </c>
      <c r="G25" s="292">
        <f>G26+G30+G38</f>
        <v>0</v>
      </c>
      <c r="H25" s="293">
        <f t="shared" si="1"/>
        <v>0</v>
      </c>
      <c r="I25" s="292">
        <f>I26+I30+I38</f>
        <v>0</v>
      </c>
      <c r="J25" s="292">
        <f>J26+J30+J38</f>
        <v>0</v>
      </c>
      <c r="K25" s="293">
        <f t="shared" si="2"/>
        <v>0</v>
      </c>
      <c r="L25" s="292">
        <f>L26+L30+L38</f>
        <v>0</v>
      </c>
      <c r="M25" s="292">
        <f>M26+M30+M38</f>
        <v>0</v>
      </c>
      <c r="N25" s="293">
        <f t="shared" si="3"/>
        <v>0</v>
      </c>
    </row>
    <row r="26" spans="1:14" ht="13.5" hidden="1" thickBot="1" x14ac:dyDescent="0.25">
      <c r="A26" s="265" t="s">
        <v>69</v>
      </c>
      <c r="B26" s="266" t="s">
        <v>70</v>
      </c>
      <c r="C26" s="279">
        <f>SUM(C27:C29)</f>
        <v>0</v>
      </c>
      <c r="D26" s="279">
        <f>SUM(D27:D29)</f>
        <v>0</v>
      </c>
      <c r="E26" s="280">
        <f t="shared" si="0"/>
        <v>0</v>
      </c>
      <c r="F26" s="279">
        <f>SUM(F27:F29)</f>
        <v>0</v>
      </c>
      <c r="G26" s="279">
        <f>SUM(G27:G29)</f>
        <v>0</v>
      </c>
      <c r="H26" s="280">
        <f t="shared" si="1"/>
        <v>0</v>
      </c>
      <c r="I26" s="279">
        <f>SUM(I27:I29)</f>
        <v>0</v>
      </c>
      <c r="J26" s="279">
        <f>SUM(J27:J29)</f>
        <v>0</v>
      </c>
      <c r="K26" s="280">
        <f t="shared" si="2"/>
        <v>0</v>
      </c>
      <c r="L26" s="279">
        <f>SUM(L27:L29)</f>
        <v>0</v>
      </c>
      <c r="M26" s="279">
        <f>SUM(M27:M29)</f>
        <v>0</v>
      </c>
      <c r="N26" s="280">
        <f t="shared" si="3"/>
        <v>0</v>
      </c>
    </row>
    <row r="27" spans="1:14" ht="13.5" hidden="1" thickBot="1" x14ac:dyDescent="0.25">
      <c r="A27" s="265"/>
      <c r="B27" s="266" t="s">
        <v>71</v>
      </c>
      <c r="C27" s="279"/>
      <c r="D27" s="279"/>
      <c r="E27" s="280">
        <f t="shared" si="0"/>
        <v>0</v>
      </c>
      <c r="F27" s="279"/>
      <c r="G27" s="279"/>
      <c r="H27" s="280">
        <f t="shared" si="1"/>
        <v>0</v>
      </c>
      <c r="I27" s="279"/>
      <c r="J27" s="279"/>
      <c r="K27" s="280">
        <f t="shared" si="2"/>
        <v>0</v>
      </c>
      <c r="L27" s="279"/>
      <c r="M27" s="279"/>
      <c r="N27" s="280">
        <f t="shared" si="3"/>
        <v>0</v>
      </c>
    </row>
    <row r="28" spans="1:14" ht="13.5" hidden="1" thickBot="1" x14ac:dyDescent="0.25">
      <c r="A28" s="265"/>
      <c r="B28" s="266" t="s">
        <v>72</v>
      </c>
      <c r="C28" s="279"/>
      <c r="D28" s="279"/>
      <c r="E28" s="280">
        <f t="shared" si="0"/>
        <v>0</v>
      </c>
      <c r="F28" s="279"/>
      <c r="G28" s="279"/>
      <c r="H28" s="280">
        <f t="shared" si="1"/>
        <v>0</v>
      </c>
      <c r="I28" s="279"/>
      <c r="J28" s="279"/>
      <c r="K28" s="280">
        <f t="shared" si="2"/>
        <v>0</v>
      </c>
      <c r="L28" s="279"/>
      <c r="M28" s="279"/>
      <c r="N28" s="280">
        <f t="shared" si="3"/>
        <v>0</v>
      </c>
    </row>
    <row r="29" spans="1:14" ht="13.5" hidden="1" thickBot="1" x14ac:dyDescent="0.25">
      <c r="A29" s="265"/>
      <c r="B29" s="266" t="s">
        <v>73</v>
      </c>
      <c r="C29" s="279"/>
      <c r="D29" s="279"/>
      <c r="E29" s="280">
        <f t="shared" si="0"/>
        <v>0</v>
      </c>
      <c r="F29" s="279"/>
      <c r="G29" s="279"/>
      <c r="H29" s="280">
        <f t="shared" si="1"/>
        <v>0</v>
      </c>
      <c r="I29" s="279"/>
      <c r="J29" s="279"/>
      <c r="K29" s="280">
        <f t="shared" si="2"/>
        <v>0</v>
      </c>
      <c r="L29" s="279"/>
      <c r="M29" s="279"/>
      <c r="N29" s="280">
        <f t="shared" si="3"/>
        <v>0</v>
      </c>
    </row>
    <row r="30" spans="1:14" ht="13.5" hidden="1" thickBot="1" x14ac:dyDescent="0.25">
      <c r="A30" s="265" t="s">
        <v>74</v>
      </c>
      <c r="B30" s="266" t="s">
        <v>75</v>
      </c>
      <c r="C30" s="279">
        <f>C31+C33+C34</f>
        <v>0</v>
      </c>
      <c r="D30" s="279">
        <f>D31+D33+D34</f>
        <v>0</v>
      </c>
      <c r="E30" s="280">
        <f t="shared" si="0"/>
        <v>0</v>
      </c>
      <c r="F30" s="279">
        <f>F31+F33+F34</f>
        <v>0</v>
      </c>
      <c r="G30" s="279">
        <f>G31+G33+G34</f>
        <v>0</v>
      </c>
      <c r="H30" s="280">
        <f t="shared" si="1"/>
        <v>0</v>
      </c>
      <c r="I30" s="279">
        <f>I31+I33+I34</f>
        <v>0</v>
      </c>
      <c r="J30" s="279">
        <f>J31+J33+J34</f>
        <v>0</v>
      </c>
      <c r="K30" s="280">
        <f t="shared" si="2"/>
        <v>0</v>
      </c>
      <c r="L30" s="279">
        <f>L31+L33+L34</f>
        <v>0</v>
      </c>
      <c r="M30" s="279">
        <f>M31+M33+M34</f>
        <v>0</v>
      </c>
      <c r="N30" s="280">
        <f t="shared" si="3"/>
        <v>0</v>
      </c>
    </row>
    <row r="31" spans="1:14" ht="13.5" hidden="1" thickBot="1" x14ac:dyDescent="0.25">
      <c r="A31" s="265" t="s">
        <v>76</v>
      </c>
      <c r="B31" s="266" t="s">
        <v>77</v>
      </c>
      <c r="C31" s="279">
        <f>C32</f>
        <v>0</v>
      </c>
      <c r="D31" s="279">
        <f>D32</f>
        <v>0</v>
      </c>
      <c r="E31" s="280">
        <f t="shared" si="0"/>
        <v>0</v>
      </c>
      <c r="F31" s="279">
        <f>F32</f>
        <v>0</v>
      </c>
      <c r="G31" s="279">
        <f>G32</f>
        <v>0</v>
      </c>
      <c r="H31" s="280">
        <f t="shared" si="1"/>
        <v>0</v>
      </c>
      <c r="I31" s="279">
        <f>I32</f>
        <v>0</v>
      </c>
      <c r="J31" s="279">
        <f>J32</f>
        <v>0</v>
      </c>
      <c r="K31" s="280">
        <f t="shared" si="2"/>
        <v>0</v>
      </c>
      <c r="L31" s="279">
        <f>L32</f>
        <v>0</v>
      </c>
      <c r="M31" s="279">
        <f>M32</f>
        <v>0</v>
      </c>
      <c r="N31" s="280">
        <f t="shared" si="3"/>
        <v>0</v>
      </c>
    </row>
    <row r="32" spans="1:14" ht="13.5" hidden="1" thickBot="1" x14ac:dyDescent="0.25">
      <c r="A32" s="265"/>
      <c r="B32" s="266" t="s">
        <v>78</v>
      </c>
      <c r="C32" s="279"/>
      <c r="D32" s="279"/>
      <c r="E32" s="280">
        <f t="shared" si="0"/>
        <v>0</v>
      </c>
      <c r="F32" s="279"/>
      <c r="G32" s="279"/>
      <c r="H32" s="280">
        <f t="shared" si="1"/>
        <v>0</v>
      </c>
      <c r="I32" s="279"/>
      <c r="J32" s="279"/>
      <c r="K32" s="280">
        <f t="shared" si="2"/>
        <v>0</v>
      </c>
      <c r="L32" s="279"/>
      <c r="M32" s="279"/>
      <c r="N32" s="280">
        <f t="shared" si="3"/>
        <v>0</v>
      </c>
    </row>
    <row r="33" spans="1:14" ht="13.5" hidden="1" thickBot="1" x14ac:dyDescent="0.25">
      <c r="A33" s="265" t="s">
        <v>79</v>
      </c>
      <c r="B33" s="266" t="s">
        <v>80</v>
      </c>
      <c r="C33" s="279"/>
      <c r="D33" s="279"/>
      <c r="E33" s="280">
        <f t="shared" si="0"/>
        <v>0</v>
      </c>
      <c r="F33" s="279"/>
      <c r="G33" s="279"/>
      <c r="H33" s="280">
        <f t="shared" si="1"/>
        <v>0</v>
      </c>
      <c r="I33" s="279"/>
      <c r="J33" s="279"/>
      <c r="K33" s="280">
        <f t="shared" si="2"/>
        <v>0</v>
      </c>
      <c r="L33" s="279"/>
      <c r="M33" s="279"/>
      <c r="N33" s="280">
        <f t="shared" si="3"/>
        <v>0</v>
      </c>
    </row>
    <row r="34" spans="1:14" ht="13.5" hidden="1" thickBot="1" x14ac:dyDescent="0.25">
      <c r="A34" s="265" t="s">
        <v>81</v>
      </c>
      <c r="B34" s="266" t="s">
        <v>82</v>
      </c>
      <c r="C34" s="279">
        <f>SUM(C35:C37)</f>
        <v>0</v>
      </c>
      <c r="D34" s="279">
        <f>SUM(D35:D37)</f>
        <v>0</v>
      </c>
      <c r="E34" s="280">
        <f t="shared" si="0"/>
        <v>0</v>
      </c>
      <c r="F34" s="279">
        <f>SUM(F35:F37)</f>
        <v>0</v>
      </c>
      <c r="G34" s="279">
        <f>SUM(G35:G37)</f>
        <v>0</v>
      </c>
      <c r="H34" s="280">
        <f t="shared" si="1"/>
        <v>0</v>
      </c>
      <c r="I34" s="279">
        <f>SUM(I35:I37)</f>
        <v>0</v>
      </c>
      <c r="J34" s="279">
        <f>SUM(J35:J37)</f>
        <v>0</v>
      </c>
      <c r="K34" s="280">
        <f t="shared" si="2"/>
        <v>0</v>
      </c>
      <c r="L34" s="279">
        <f>SUM(L35:L37)</f>
        <v>0</v>
      </c>
      <c r="M34" s="279">
        <f>SUM(M35:M37)</f>
        <v>0</v>
      </c>
      <c r="N34" s="280">
        <f t="shared" si="3"/>
        <v>0</v>
      </c>
    </row>
    <row r="35" spans="1:14" ht="13.5" hidden="1" thickBot="1" x14ac:dyDescent="0.25">
      <c r="A35" s="265"/>
      <c r="B35" s="266" t="s">
        <v>83</v>
      </c>
      <c r="C35" s="279"/>
      <c r="D35" s="279"/>
      <c r="E35" s="280">
        <f t="shared" si="0"/>
        <v>0</v>
      </c>
      <c r="F35" s="279"/>
      <c r="G35" s="279"/>
      <c r="H35" s="280">
        <f t="shared" si="1"/>
        <v>0</v>
      </c>
      <c r="I35" s="279"/>
      <c r="J35" s="279"/>
      <c r="K35" s="280">
        <f t="shared" si="2"/>
        <v>0</v>
      </c>
      <c r="L35" s="279"/>
      <c r="M35" s="279"/>
      <c r="N35" s="280">
        <f t="shared" si="3"/>
        <v>0</v>
      </c>
    </row>
    <row r="36" spans="1:14" ht="13.5" hidden="1" thickBot="1" x14ac:dyDescent="0.25">
      <c r="A36" s="265"/>
      <c r="B36" s="266" t="s">
        <v>84</v>
      </c>
      <c r="C36" s="279"/>
      <c r="D36" s="279"/>
      <c r="E36" s="280">
        <f t="shared" si="0"/>
        <v>0</v>
      </c>
      <c r="F36" s="279"/>
      <c r="G36" s="279"/>
      <c r="H36" s="280">
        <f t="shared" si="1"/>
        <v>0</v>
      </c>
      <c r="I36" s="279"/>
      <c r="J36" s="279"/>
      <c r="K36" s="280">
        <f t="shared" si="2"/>
        <v>0</v>
      </c>
      <c r="L36" s="279"/>
      <c r="M36" s="279"/>
      <c r="N36" s="280">
        <f t="shared" si="3"/>
        <v>0</v>
      </c>
    </row>
    <row r="37" spans="1:14" ht="13.5" hidden="1" thickBot="1" x14ac:dyDescent="0.25">
      <c r="A37" s="265"/>
      <c r="B37" s="266" t="s">
        <v>85</v>
      </c>
      <c r="C37" s="279"/>
      <c r="D37" s="279"/>
      <c r="E37" s="280">
        <f t="shared" si="0"/>
        <v>0</v>
      </c>
      <c r="F37" s="279"/>
      <c r="G37" s="279"/>
      <c r="H37" s="280">
        <f t="shared" si="1"/>
        <v>0</v>
      </c>
      <c r="I37" s="279"/>
      <c r="J37" s="279"/>
      <c r="K37" s="280">
        <f t="shared" si="2"/>
        <v>0</v>
      </c>
      <c r="L37" s="279"/>
      <c r="M37" s="279"/>
      <c r="N37" s="280">
        <f t="shared" si="3"/>
        <v>0</v>
      </c>
    </row>
    <row r="38" spans="1:14" ht="13.5" hidden="1" thickBot="1" x14ac:dyDescent="0.25">
      <c r="A38" s="265" t="s">
        <v>86</v>
      </c>
      <c r="B38" s="266" t="s">
        <v>87</v>
      </c>
      <c r="C38" s="279">
        <f>SUM(C39:C44)</f>
        <v>0</v>
      </c>
      <c r="D38" s="279">
        <f>SUM(D39:D44)</f>
        <v>0</v>
      </c>
      <c r="E38" s="280">
        <f t="shared" si="0"/>
        <v>0</v>
      </c>
      <c r="F38" s="279">
        <f>SUM(F39:F44)</f>
        <v>0</v>
      </c>
      <c r="G38" s="279">
        <f>SUM(G39:G44)</f>
        <v>0</v>
      </c>
      <c r="H38" s="280">
        <f t="shared" si="1"/>
        <v>0</v>
      </c>
      <c r="I38" s="279">
        <f>SUM(I39:I44)</f>
        <v>0</v>
      </c>
      <c r="J38" s="279">
        <f>SUM(J39:J44)</f>
        <v>0</v>
      </c>
      <c r="K38" s="280">
        <f t="shared" si="2"/>
        <v>0</v>
      </c>
      <c r="L38" s="279">
        <f>SUM(L39:L44)</f>
        <v>0</v>
      </c>
      <c r="M38" s="279">
        <f>SUM(M39:M44)</f>
        <v>0</v>
      </c>
      <c r="N38" s="280">
        <f t="shared" si="3"/>
        <v>0</v>
      </c>
    </row>
    <row r="39" spans="1:14" ht="13.5" hidden="1" thickBot="1" x14ac:dyDescent="0.25">
      <c r="A39" s="265"/>
      <c r="B39" s="266" t="s">
        <v>88</v>
      </c>
      <c r="C39" s="279"/>
      <c r="D39" s="279"/>
      <c r="E39" s="280">
        <f t="shared" si="0"/>
        <v>0</v>
      </c>
      <c r="F39" s="279"/>
      <c r="G39" s="279"/>
      <c r="H39" s="280">
        <f t="shared" si="1"/>
        <v>0</v>
      </c>
      <c r="I39" s="279"/>
      <c r="J39" s="279"/>
      <c r="K39" s="280">
        <f t="shared" si="2"/>
        <v>0</v>
      </c>
      <c r="L39" s="279"/>
      <c r="M39" s="279"/>
      <c r="N39" s="280">
        <f t="shared" si="3"/>
        <v>0</v>
      </c>
    </row>
    <row r="40" spans="1:14" ht="13.5" hidden="1" thickBot="1" x14ac:dyDescent="0.25">
      <c r="A40" s="265"/>
      <c r="B40" s="266" t="s">
        <v>89</v>
      </c>
      <c r="C40" s="279"/>
      <c r="D40" s="279"/>
      <c r="E40" s="280">
        <f t="shared" si="0"/>
        <v>0</v>
      </c>
      <c r="F40" s="279"/>
      <c r="G40" s="279"/>
      <c r="H40" s="280">
        <f t="shared" si="1"/>
        <v>0</v>
      </c>
      <c r="I40" s="279"/>
      <c r="J40" s="279"/>
      <c r="K40" s="280">
        <f t="shared" si="2"/>
        <v>0</v>
      </c>
      <c r="L40" s="279"/>
      <c r="M40" s="279"/>
      <c r="N40" s="280">
        <f t="shared" si="3"/>
        <v>0</v>
      </c>
    </row>
    <row r="41" spans="1:14" ht="13.5" hidden="1" thickBot="1" x14ac:dyDescent="0.25">
      <c r="A41" s="265"/>
      <c r="B41" s="266" t="s">
        <v>90</v>
      </c>
      <c r="C41" s="279"/>
      <c r="D41" s="279"/>
      <c r="E41" s="280">
        <f t="shared" si="0"/>
        <v>0</v>
      </c>
      <c r="F41" s="279"/>
      <c r="G41" s="279"/>
      <c r="H41" s="280">
        <f t="shared" si="1"/>
        <v>0</v>
      </c>
      <c r="I41" s="279"/>
      <c r="J41" s="279"/>
      <c r="K41" s="280">
        <f t="shared" si="2"/>
        <v>0</v>
      </c>
      <c r="L41" s="279"/>
      <c r="M41" s="279"/>
      <c r="N41" s="280">
        <f t="shared" si="3"/>
        <v>0</v>
      </c>
    </row>
    <row r="42" spans="1:14" ht="13.5" hidden="1" thickBot="1" x14ac:dyDescent="0.25">
      <c r="A42" s="265"/>
      <c r="B42" s="266" t="s">
        <v>91</v>
      </c>
      <c r="C42" s="279"/>
      <c r="D42" s="279"/>
      <c r="E42" s="280">
        <f t="shared" si="0"/>
        <v>0</v>
      </c>
      <c r="F42" s="279"/>
      <c r="G42" s="279"/>
      <c r="H42" s="280">
        <f t="shared" si="1"/>
        <v>0</v>
      </c>
      <c r="I42" s="279"/>
      <c r="J42" s="279"/>
      <c r="K42" s="280">
        <f t="shared" si="2"/>
        <v>0</v>
      </c>
      <c r="L42" s="279"/>
      <c r="M42" s="279"/>
      <c r="N42" s="280">
        <f t="shared" si="3"/>
        <v>0</v>
      </c>
    </row>
    <row r="43" spans="1:14" ht="13.5" hidden="1" thickBot="1" x14ac:dyDescent="0.25">
      <c r="A43" s="265"/>
      <c r="B43" s="266" t="s">
        <v>92</v>
      </c>
      <c r="C43" s="279"/>
      <c r="D43" s="279"/>
      <c r="E43" s="280">
        <f t="shared" si="0"/>
        <v>0</v>
      </c>
      <c r="F43" s="279"/>
      <c r="G43" s="279"/>
      <c r="H43" s="280">
        <f t="shared" si="1"/>
        <v>0</v>
      </c>
      <c r="I43" s="279"/>
      <c r="J43" s="279"/>
      <c r="K43" s="280">
        <f t="shared" si="2"/>
        <v>0</v>
      </c>
      <c r="L43" s="279"/>
      <c r="M43" s="279"/>
      <c r="N43" s="280">
        <f t="shared" si="3"/>
        <v>0</v>
      </c>
    </row>
    <row r="44" spans="1:14" ht="13.5" hidden="1" thickBot="1" x14ac:dyDescent="0.25">
      <c r="A44" s="267"/>
      <c r="B44" s="268" t="s">
        <v>93</v>
      </c>
      <c r="C44" s="294"/>
      <c r="D44" s="294"/>
      <c r="E44" s="295">
        <f t="shared" si="0"/>
        <v>0</v>
      </c>
      <c r="F44" s="294"/>
      <c r="G44" s="294"/>
      <c r="H44" s="295">
        <f t="shared" si="1"/>
        <v>0</v>
      </c>
      <c r="I44" s="294"/>
      <c r="J44" s="294"/>
      <c r="K44" s="295">
        <f t="shared" si="2"/>
        <v>0</v>
      </c>
      <c r="L44" s="294"/>
      <c r="M44" s="294"/>
      <c r="N44" s="295">
        <f t="shared" si="3"/>
        <v>0</v>
      </c>
    </row>
    <row r="45" spans="1:14" ht="13.5" thickBot="1" x14ac:dyDescent="0.25">
      <c r="A45" s="263" t="s">
        <v>94</v>
      </c>
      <c r="B45" s="264" t="s">
        <v>26</v>
      </c>
      <c r="C45" s="292">
        <f>C46+C47+C48+C49+C54+C55+C56+C57+C58+C59+C60</f>
        <v>0</v>
      </c>
      <c r="D45" s="292">
        <f>D46+D47+D48+D49+D54+D55+D56+D57+D58+D59+D60</f>
        <v>0</v>
      </c>
      <c r="E45" s="293">
        <f t="shared" si="0"/>
        <v>0</v>
      </c>
      <c r="F45" s="292">
        <f>F46+F47+F48+F49+F54+F55+F56+F57+F58+F59+F60</f>
        <v>0</v>
      </c>
      <c r="G45" s="292">
        <f>G46+G47+G48+G49+G54+G55+G56+G57+G58+G59+G60</f>
        <v>0</v>
      </c>
      <c r="H45" s="293">
        <f t="shared" si="1"/>
        <v>0</v>
      </c>
      <c r="I45" s="292">
        <f>I46+I47+I48+I49+I54+I55+I56+I57+I58+I59+I60</f>
        <v>0</v>
      </c>
      <c r="J45" s="292">
        <f>J46+J47+J48+J49+J54+J55+J56+J57+J58+J59+J60</f>
        <v>0</v>
      </c>
      <c r="K45" s="293">
        <f t="shared" si="2"/>
        <v>0</v>
      </c>
      <c r="L45" s="292">
        <f>L46+L47+L48+L49+L54+L55+L56+L57+L58+L59+L60</f>
        <v>0</v>
      </c>
      <c r="M45" s="292">
        <f>M46+M47+M48+M49+M54+M55+M56+M57+M58+M59+M60</f>
        <v>0</v>
      </c>
      <c r="N45" s="293">
        <f t="shared" si="3"/>
        <v>0</v>
      </c>
    </row>
    <row r="46" spans="1:14" ht="13.5" hidden="1" thickBot="1" x14ac:dyDescent="0.25">
      <c r="A46" s="265" t="s">
        <v>95</v>
      </c>
      <c r="B46" s="266" t="s">
        <v>96</v>
      </c>
      <c r="C46" s="279"/>
      <c r="D46" s="279"/>
      <c r="E46" s="280">
        <f t="shared" si="0"/>
        <v>0</v>
      </c>
      <c r="F46" s="279"/>
      <c r="G46" s="279"/>
      <c r="H46" s="280">
        <f t="shared" si="1"/>
        <v>0</v>
      </c>
      <c r="I46" s="279"/>
      <c r="J46" s="279"/>
      <c r="K46" s="280">
        <f t="shared" si="2"/>
        <v>0</v>
      </c>
      <c r="L46" s="279"/>
      <c r="M46" s="279"/>
      <c r="N46" s="280">
        <f t="shared" si="3"/>
        <v>0</v>
      </c>
    </row>
    <row r="47" spans="1:14" ht="13.5" hidden="1" thickBot="1" x14ac:dyDescent="0.25">
      <c r="A47" s="265" t="s">
        <v>97</v>
      </c>
      <c r="B47" s="266" t="s">
        <v>98</v>
      </c>
      <c r="C47" s="279"/>
      <c r="D47" s="279"/>
      <c r="E47" s="280">
        <f t="shared" si="0"/>
        <v>0</v>
      </c>
      <c r="F47" s="279"/>
      <c r="G47" s="279"/>
      <c r="H47" s="280">
        <f t="shared" si="1"/>
        <v>0</v>
      </c>
      <c r="I47" s="279"/>
      <c r="J47" s="279"/>
      <c r="K47" s="280">
        <f t="shared" si="2"/>
        <v>0</v>
      </c>
      <c r="L47" s="279"/>
      <c r="M47" s="279"/>
      <c r="N47" s="280">
        <f t="shared" si="3"/>
        <v>0</v>
      </c>
    </row>
    <row r="48" spans="1:14" ht="13.5" hidden="1" thickBot="1" x14ac:dyDescent="0.25">
      <c r="A48" s="265" t="s">
        <v>99</v>
      </c>
      <c r="B48" s="266" t="s">
        <v>100</v>
      </c>
      <c r="C48" s="279"/>
      <c r="D48" s="279"/>
      <c r="E48" s="280">
        <f t="shared" si="0"/>
        <v>0</v>
      </c>
      <c r="F48" s="279"/>
      <c r="G48" s="279"/>
      <c r="H48" s="280">
        <f t="shared" si="1"/>
        <v>0</v>
      </c>
      <c r="I48" s="279"/>
      <c r="J48" s="279"/>
      <c r="K48" s="280">
        <f t="shared" si="2"/>
        <v>0</v>
      </c>
      <c r="L48" s="279"/>
      <c r="M48" s="279"/>
      <c r="N48" s="280">
        <f t="shared" si="3"/>
        <v>0</v>
      </c>
    </row>
    <row r="49" spans="1:14" ht="13.5" hidden="1" thickBot="1" x14ac:dyDescent="0.25">
      <c r="A49" s="265" t="s">
        <v>101</v>
      </c>
      <c r="B49" s="266" t="s">
        <v>102</v>
      </c>
      <c r="C49" s="279">
        <f>SUM(C50:C53)</f>
        <v>0</v>
      </c>
      <c r="D49" s="279">
        <f>SUM(D50:D53)</f>
        <v>0</v>
      </c>
      <c r="E49" s="280">
        <f t="shared" si="0"/>
        <v>0</v>
      </c>
      <c r="F49" s="279">
        <f>SUM(F50:F53)</f>
        <v>0</v>
      </c>
      <c r="G49" s="279">
        <f>SUM(G50:G53)</f>
        <v>0</v>
      </c>
      <c r="H49" s="280">
        <f t="shared" si="1"/>
        <v>0</v>
      </c>
      <c r="I49" s="279">
        <f>SUM(I50:I53)</f>
        <v>0</v>
      </c>
      <c r="J49" s="279">
        <f>SUM(J50:J53)</f>
        <v>0</v>
      </c>
      <c r="K49" s="280">
        <f t="shared" si="2"/>
        <v>0</v>
      </c>
      <c r="L49" s="279">
        <f>SUM(L50:L53)</f>
        <v>0</v>
      </c>
      <c r="M49" s="279">
        <f>SUM(M50:M53)</f>
        <v>0</v>
      </c>
      <c r="N49" s="280">
        <f t="shared" si="3"/>
        <v>0</v>
      </c>
    </row>
    <row r="50" spans="1:14" ht="13.5" hidden="1" thickBot="1" x14ac:dyDescent="0.25">
      <c r="A50" s="265"/>
      <c r="B50" s="266" t="s">
        <v>103</v>
      </c>
      <c r="C50" s="279"/>
      <c r="D50" s="279"/>
      <c r="E50" s="280">
        <f t="shared" si="0"/>
        <v>0</v>
      </c>
      <c r="F50" s="279"/>
      <c r="G50" s="279"/>
      <c r="H50" s="280">
        <f t="shared" si="1"/>
        <v>0</v>
      </c>
      <c r="I50" s="279"/>
      <c r="J50" s="279"/>
      <c r="K50" s="280">
        <f t="shared" si="2"/>
        <v>0</v>
      </c>
      <c r="L50" s="279"/>
      <c r="M50" s="279"/>
      <c r="N50" s="280">
        <f t="shared" si="3"/>
        <v>0</v>
      </c>
    </row>
    <row r="51" spans="1:14" ht="13.5" hidden="1" thickBot="1" x14ac:dyDescent="0.25">
      <c r="A51" s="265"/>
      <c r="B51" s="266" t="s">
        <v>104</v>
      </c>
      <c r="C51" s="279"/>
      <c r="D51" s="279"/>
      <c r="E51" s="280">
        <f t="shared" si="0"/>
        <v>0</v>
      </c>
      <c r="F51" s="279"/>
      <c r="G51" s="279"/>
      <c r="H51" s="280">
        <f t="shared" si="1"/>
        <v>0</v>
      </c>
      <c r="I51" s="279"/>
      <c r="J51" s="279"/>
      <c r="K51" s="280">
        <f t="shared" si="2"/>
        <v>0</v>
      </c>
      <c r="L51" s="279"/>
      <c r="M51" s="279"/>
      <c r="N51" s="280">
        <f t="shared" si="3"/>
        <v>0</v>
      </c>
    </row>
    <row r="52" spans="1:14" ht="13.5" hidden="1" thickBot="1" x14ac:dyDescent="0.25">
      <c r="A52" s="265"/>
      <c r="B52" s="266" t="s">
        <v>105</v>
      </c>
      <c r="C52" s="279"/>
      <c r="D52" s="279"/>
      <c r="E52" s="280">
        <f t="shared" si="0"/>
        <v>0</v>
      </c>
      <c r="F52" s="279"/>
      <c r="G52" s="279"/>
      <c r="H52" s="280">
        <f t="shared" si="1"/>
        <v>0</v>
      </c>
      <c r="I52" s="279"/>
      <c r="J52" s="279"/>
      <c r="K52" s="280">
        <f t="shared" si="2"/>
        <v>0</v>
      </c>
      <c r="L52" s="279"/>
      <c r="M52" s="279"/>
      <c r="N52" s="280">
        <f t="shared" si="3"/>
        <v>0</v>
      </c>
    </row>
    <row r="53" spans="1:14" ht="13.5" hidden="1" thickBot="1" x14ac:dyDescent="0.25">
      <c r="A53" s="265"/>
      <c r="B53" s="266" t="s">
        <v>106</v>
      </c>
      <c r="C53" s="279"/>
      <c r="D53" s="279"/>
      <c r="E53" s="280">
        <f t="shared" si="0"/>
        <v>0</v>
      </c>
      <c r="F53" s="279"/>
      <c r="G53" s="279"/>
      <c r="H53" s="280">
        <f t="shared" si="1"/>
        <v>0</v>
      </c>
      <c r="I53" s="279"/>
      <c r="J53" s="279"/>
      <c r="K53" s="280">
        <f t="shared" si="2"/>
        <v>0</v>
      </c>
      <c r="L53" s="279"/>
      <c r="M53" s="279"/>
      <c r="N53" s="280">
        <f t="shared" si="3"/>
        <v>0</v>
      </c>
    </row>
    <row r="54" spans="1:14" ht="13.5" hidden="1" thickBot="1" x14ac:dyDescent="0.25">
      <c r="A54" s="265" t="s">
        <v>107</v>
      </c>
      <c r="B54" s="266" t="s">
        <v>108</v>
      </c>
      <c r="C54" s="279"/>
      <c r="D54" s="279"/>
      <c r="E54" s="280">
        <f t="shared" si="0"/>
        <v>0</v>
      </c>
      <c r="F54" s="279"/>
      <c r="G54" s="279"/>
      <c r="H54" s="280">
        <f t="shared" si="1"/>
        <v>0</v>
      </c>
      <c r="I54" s="279"/>
      <c r="J54" s="279"/>
      <c r="K54" s="280">
        <f t="shared" si="2"/>
        <v>0</v>
      </c>
      <c r="L54" s="279"/>
      <c r="M54" s="279"/>
      <c r="N54" s="280">
        <f t="shared" si="3"/>
        <v>0</v>
      </c>
    </row>
    <row r="55" spans="1:14" ht="13.5" hidden="1" thickBot="1" x14ac:dyDescent="0.25">
      <c r="A55" s="265" t="s">
        <v>109</v>
      </c>
      <c r="B55" s="266" t="s">
        <v>110</v>
      </c>
      <c r="C55" s="279"/>
      <c r="D55" s="279"/>
      <c r="E55" s="280">
        <f t="shared" si="0"/>
        <v>0</v>
      </c>
      <c r="F55" s="279"/>
      <c r="G55" s="279"/>
      <c r="H55" s="280">
        <f t="shared" si="1"/>
        <v>0</v>
      </c>
      <c r="I55" s="279"/>
      <c r="J55" s="279"/>
      <c r="K55" s="280">
        <f t="shared" si="2"/>
        <v>0</v>
      </c>
      <c r="L55" s="279"/>
      <c r="M55" s="279"/>
      <c r="N55" s="280">
        <f t="shared" si="3"/>
        <v>0</v>
      </c>
    </row>
    <row r="56" spans="1:14" ht="13.5" hidden="1" thickBot="1" x14ac:dyDescent="0.25">
      <c r="A56" s="265" t="s">
        <v>111</v>
      </c>
      <c r="B56" s="266" t="s">
        <v>112</v>
      </c>
      <c r="C56" s="279"/>
      <c r="D56" s="279"/>
      <c r="E56" s="280">
        <f t="shared" si="0"/>
        <v>0</v>
      </c>
      <c r="F56" s="279"/>
      <c r="G56" s="279"/>
      <c r="H56" s="280">
        <f t="shared" si="1"/>
        <v>0</v>
      </c>
      <c r="I56" s="279"/>
      <c r="J56" s="279"/>
      <c r="K56" s="280">
        <f t="shared" si="2"/>
        <v>0</v>
      </c>
      <c r="L56" s="279"/>
      <c r="M56" s="279"/>
      <c r="N56" s="280">
        <f t="shared" si="3"/>
        <v>0</v>
      </c>
    </row>
    <row r="57" spans="1:14" ht="13.5" hidden="1" thickBot="1" x14ac:dyDescent="0.25">
      <c r="A57" s="265" t="s">
        <v>113</v>
      </c>
      <c r="B57" s="266" t="s">
        <v>114</v>
      </c>
      <c r="C57" s="279"/>
      <c r="D57" s="279"/>
      <c r="E57" s="280">
        <f t="shared" si="0"/>
        <v>0</v>
      </c>
      <c r="F57" s="279"/>
      <c r="G57" s="279"/>
      <c r="H57" s="280">
        <f t="shared" si="1"/>
        <v>0</v>
      </c>
      <c r="I57" s="279"/>
      <c r="J57" s="279"/>
      <c r="K57" s="280">
        <f t="shared" si="2"/>
        <v>0</v>
      </c>
      <c r="L57" s="279"/>
      <c r="M57" s="279"/>
      <c r="N57" s="280">
        <f t="shared" si="3"/>
        <v>0</v>
      </c>
    </row>
    <row r="58" spans="1:14" ht="13.5" hidden="1" thickBot="1" x14ac:dyDescent="0.25">
      <c r="A58" s="265" t="s">
        <v>115</v>
      </c>
      <c r="B58" s="266" t="s">
        <v>116</v>
      </c>
      <c r="C58" s="279"/>
      <c r="D58" s="279"/>
      <c r="E58" s="280">
        <f t="shared" si="0"/>
        <v>0</v>
      </c>
      <c r="F58" s="279"/>
      <c r="G58" s="279"/>
      <c r="H58" s="280">
        <f t="shared" si="1"/>
        <v>0</v>
      </c>
      <c r="I58" s="279"/>
      <c r="J58" s="279"/>
      <c r="K58" s="280">
        <f t="shared" si="2"/>
        <v>0</v>
      </c>
      <c r="L58" s="279"/>
      <c r="M58" s="279"/>
      <c r="N58" s="280">
        <f t="shared" si="3"/>
        <v>0</v>
      </c>
    </row>
    <row r="59" spans="1:14" ht="13.5" hidden="1" thickBot="1" x14ac:dyDescent="0.25">
      <c r="A59" s="265" t="s">
        <v>117</v>
      </c>
      <c r="B59" s="266" t="s">
        <v>118</v>
      </c>
      <c r="C59" s="279"/>
      <c r="D59" s="279"/>
      <c r="E59" s="280">
        <f t="shared" si="0"/>
        <v>0</v>
      </c>
      <c r="F59" s="279"/>
      <c r="G59" s="279"/>
      <c r="H59" s="280">
        <f t="shared" si="1"/>
        <v>0</v>
      </c>
      <c r="I59" s="279"/>
      <c r="J59" s="279"/>
      <c r="K59" s="280">
        <f t="shared" si="2"/>
        <v>0</v>
      </c>
      <c r="L59" s="279"/>
      <c r="M59" s="279"/>
      <c r="N59" s="280">
        <f t="shared" si="3"/>
        <v>0</v>
      </c>
    </row>
    <row r="60" spans="1:14" ht="13.5" hidden="1" thickBot="1" x14ac:dyDescent="0.25">
      <c r="A60" s="267" t="s">
        <v>119</v>
      </c>
      <c r="B60" s="268" t="s">
        <v>120</v>
      </c>
      <c r="C60" s="294"/>
      <c r="D60" s="294"/>
      <c r="E60" s="295">
        <f t="shared" si="0"/>
        <v>0</v>
      </c>
      <c r="F60" s="294"/>
      <c r="G60" s="294"/>
      <c r="H60" s="295">
        <f t="shared" si="1"/>
        <v>0</v>
      </c>
      <c r="I60" s="294"/>
      <c r="J60" s="294"/>
      <c r="K60" s="295">
        <f t="shared" si="2"/>
        <v>0</v>
      </c>
      <c r="L60" s="294"/>
      <c r="M60" s="294"/>
      <c r="N60" s="295">
        <f t="shared" si="3"/>
        <v>0</v>
      </c>
    </row>
    <row r="61" spans="1:14" ht="13.5" thickBot="1" x14ac:dyDescent="0.25">
      <c r="A61" s="263" t="s">
        <v>121</v>
      </c>
      <c r="B61" s="264" t="s">
        <v>28</v>
      </c>
      <c r="C61" s="292">
        <f>SUM(C62:C66)</f>
        <v>0</v>
      </c>
      <c r="D61" s="292">
        <f>SUM(D62:D66)</f>
        <v>0</v>
      </c>
      <c r="E61" s="293">
        <f t="shared" si="0"/>
        <v>0</v>
      </c>
      <c r="F61" s="292">
        <f>SUM(F62:F66)</f>
        <v>0</v>
      </c>
      <c r="G61" s="292">
        <f>SUM(G62:G66)</f>
        <v>0</v>
      </c>
      <c r="H61" s="293">
        <f t="shared" si="1"/>
        <v>0</v>
      </c>
      <c r="I61" s="292">
        <f>SUM(I62:I66)</f>
        <v>0</v>
      </c>
      <c r="J61" s="292">
        <f>SUM(J62:J66)</f>
        <v>0</v>
      </c>
      <c r="K61" s="293">
        <f t="shared" si="2"/>
        <v>0</v>
      </c>
      <c r="L61" s="292">
        <f>SUM(L62:L66)</f>
        <v>0</v>
      </c>
      <c r="M61" s="292">
        <f>SUM(M62:M66)</f>
        <v>0</v>
      </c>
      <c r="N61" s="293">
        <f t="shared" si="3"/>
        <v>0</v>
      </c>
    </row>
    <row r="62" spans="1:14" ht="13.5" hidden="1" thickBot="1" x14ac:dyDescent="0.25">
      <c r="A62" s="265" t="s">
        <v>122</v>
      </c>
      <c r="B62" s="266" t="s">
        <v>123</v>
      </c>
      <c r="C62" s="279"/>
      <c r="D62" s="279"/>
      <c r="E62" s="280">
        <f t="shared" si="0"/>
        <v>0</v>
      </c>
      <c r="F62" s="279"/>
      <c r="G62" s="279"/>
      <c r="H62" s="280">
        <f t="shared" si="1"/>
        <v>0</v>
      </c>
      <c r="I62" s="279"/>
      <c r="J62" s="279"/>
      <c r="K62" s="280">
        <f t="shared" si="2"/>
        <v>0</v>
      </c>
      <c r="L62" s="279"/>
      <c r="M62" s="279"/>
      <c r="N62" s="280">
        <f t="shared" si="3"/>
        <v>0</v>
      </c>
    </row>
    <row r="63" spans="1:14" ht="13.5" hidden="1" thickBot="1" x14ac:dyDescent="0.25">
      <c r="A63" s="265" t="s">
        <v>124</v>
      </c>
      <c r="B63" s="266" t="s">
        <v>125</v>
      </c>
      <c r="C63" s="279"/>
      <c r="D63" s="279"/>
      <c r="E63" s="280">
        <f t="shared" si="0"/>
        <v>0</v>
      </c>
      <c r="F63" s="279"/>
      <c r="G63" s="279"/>
      <c r="H63" s="280">
        <f t="shared" si="1"/>
        <v>0</v>
      </c>
      <c r="I63" s="279"/>
      <c r="J63" s="279"/>
      <c r="K63" s="280">
        <f t="shared" si="2"/>
        <v>0</v>
      </c>
      <c r="L63" s="279"/>
      <c r="M63" s="279"/>
      <c r="N63" s="280">
        <f t="shared" si="3"/>
        <v>0</v>
      </c>
    </row>
    <row r="64" spans="1:14" ht="13.5" hidden="1" thickBot="1" x14ac:dyDescent="0.25">
      <c r="A64" s="265" t="s">
        <v>126</v>
      </c>
      <c r="B64" s="266" t="s">
        <v>127</v>
      </c>
      <c r="C64" s="279"/>
      <c r="D64" s="279"/>
      <c r="E64" s="280">
        <f t="shared" si="0"/>
        <v>0</v>
      </c>
      <c r="F64" s="279"/>
      <c r="G64" s="279"/>
      <c r="H64" s="280">
        <f t="shared" si="1"/>
        <v>0</v>
      </c>
      <c r="I64" s="279"/>
      <c r="J64" s="279"/>
      <c r="K64" s="280">
        <f t="shared" si="2"/>
        <v>0</v>
      </c>
      <c r="L64" s="279"/>
      <c r="M64" s="279"/>
      <c r="N64" s="280">
        <f t="shared" si="3"/>
        <v>0</v>
      </c>
    </row>
    <row r="65" spans="1:14" ht="13.5" hidden="1" thickBot="1" x14ac:dyDescent="0.25">
      <c r="A65" s="265" t="s">
        <v>128</v>
      </c>
      <c r="B65" s="266" t="s">
        <v>129</v>
      </c>
      <c r="C65" s="279"/>
      <c r="D65" s="279"/>
      <c r="E65" s="280">
        <f t="shared" si="0"/>
        <v>0</v>
      </c>
      <c r="F65" s="279"/>
      <c r="G65" s="279"/>
      <c r="H65" s="280">
        <f t="shared" si="1"/>
        <v>0</v>
      </c>
      <c r="I65" s="279"/>
      <c r="J65" s="279"/>
      <c r="K65" s="280">
        <f t="shared" si="2"/>
        <v>0</v>
      </c>
      <c r="L65" s="279"/>
      <c r="M65" s="279"/>
      <c r="N65" s="280">
        <f t="shared" si="3"/>
        <v>0</v>
      </c>
    </row>
    <row r="66" spans="1:14" ht="13.5" hidden="1" thickBot="1" x14ac:dyDescent="0.25">
      <c r="A66" s="267" t="s">
        <v>130</v>
      </c>
      <c r="B66" s="268" t="s">
        <v>131</v>
      </c>
      <c r="C66" s="294"/>
      <c r="D66" s="294"/>
      <c r="E66" s="295">
        <f t="shared" si="0"/>
        <v>0</v>
      </c>
      <c r="F66" s="294"/>
      <c r="G66" s="294"/>
      <c r="H66" s="295">
        <f t="shared" si="1"/>
        <v>0</v>
      </c>
      <c r="I66" s="294"/>
      <c r="J66" s="294"/>
      <c r="K66" s="295">
        <f t="shared" si="2"/>
        <v>0</v>
      </c>
      <c r="L66" s="294"/>
      <c r="M66" s="294"/>
      <c r="N66" s="295">
        <f t="shared" si="3"/>
        <v>0</v>
      </c>
    </row>
    <row r="67" spans="1:14" ht="13.5" thickBot="1" x14ac:dyDescent="0.25">
      <c r="A67" s="263" t="s">
        <v>132</v>
      </c>
      <c r="B67" s="264" t="s">
        <v>133</v>
      </c>
      <c r="C67" s="292">
        <f>SUM(C68:C69)</f>
        <v>0</v>
      </c>
      <c r="D67" s="292">
        <f>SUM(D68:D69)</f>
        <v>0</v>
      </c>
      <c r="E67" s="293">
        <f t="shared" si="0"/>
        <v>0</v>
      </c>
      <c r="F67" s="292">
        <f>SUM(F68:F69)</f>
        <v>0</v>
      </c>
      <c r="G67" s="292">
        <f>SUM(G68:G69)</f>
        <v>0</v>
      </c>
      <c r="H67" s="293">
        <f t="shared" si="1"/>
        <v>0</v>
      </c>
      <c r="I67" s="292">
        <f>SUM(I68:I69)</f>
        <v>0</v>
      </c>
      <c r="J67" s="292">
        <f>SUM(J68:J69)</f>
        <v>0</v>
      </c>
      <c r="K67" s="293">
        <f t="shared" si="2"/>
        <v>0</v>
      </c>
      <c r="L67" s="292">
        <f>SUM(L68:L69)</f>
        <v>0</v>
      </c>
      <c r="M67" s="292">
        <f>SUM(M68:M69)</f>
        <v>0</v>
      </c>
      <c r="N67" s="293">
        <f t="shared" si="3"/>
        <v>0</v>
      </c>
    </row>
    <row r="68" spans="1:14" ht="13.5" hidden="1" thickBot="1" x14ac:dyDescent="0.25">
      <c r="A68" s="265" t="s">
        <v>134</v>
      </c>
      <c r="B68" s="266" t="s">
        <v>135</v>
      </c>
      <c r="C68" s="279"/>
      <c r="D68" s="279"/>
      <c r="E68" s="280">
        <f t="shared" si="0"/>
        <v>0</v>
      </c>
      <c r="F68" s="279"/>
      <c r="G68" s="279"/>
      <c r="H68" s="280">
        <f t="shared" si="1"/>
        <v>0</v>
      </c>
      <c r="I68" s="279"/>
      <c r="J68" s="279"/>
      <c r="K68" s="280">
        <f t="shared" si="2"/>
        <v>0</v>
      </c>
      <c r="L68" s="279"/>
      <c r="M68" s="279"/>
      <c r="N68" s="280">
        <f t="shared" si="3"/>
        <v>0</v>
      </c>
    </row>
    <row r="69" spans="1:14" ht="13.5" hidden="1" thickBot="1" x14ac:dyDescent="0.25">
      <c r="A69" s="267" t="s">
        <v>136</v>
      </c>
      <c r="B69" s="268" t="s">
        <v>137</v>
      </c>
      <c r="C69" s="294"/>
      <c r="D69" s="294"/>
      <c r="E69" s="295">
        <f t="shared" si="0"/>
        <v>0</v>
      </c>
      <c r="F69" s="294"/>
      <c r="G69" s="294"/>
      <c r="H69" s="295">
        <f t="shared" si="1"/>
        <v>0</v>
      </c>
      <c r="I69" s="294"/>
      <c r="J69" s="294"/>
      <c r="K69" s="295">
        <f t="shared" si="2"/>
        <v>0</v>
      </c>
      <c r="L69" s="294"/>
      <c r="M69" s="294"/>
      <c r="N69" s="295">
        <f t="shared" si="3"/>
        <v>0</v>
      </c>
    </row>
    <row r="70" spans="1:14" x14ac:dyDescent="0.2">
      <c r="A70" s="263" t="s">
        <v>138</v>
      </c>
      <c r="B70" s="264" t="s">
        <v>139</v>
      </c>
      <c r="C70" s="292">
        <f>C71</f>
        <v>0</v>
      </c>
      <c r="D70" s="292">
        <f>D71</f>
        <v>0</v>
      </c>
      <c r="E70" s="293">
        <f t="shared" si="0"/>
        <v>0</v>
      </c>
      <c r="F70" s="292">
        <f>F71</f>
        <v>0</v>
      </c>
      <c r="G70" s="292">
        <f>G71</f>
        <v>0</v>
      </c>
      <c r="H70" s="293">
        <f t="shared" si="1"/>
        <v>0</v>
      </c>
      <c r="I70" s="292">
        <f>I71</f>
        <v>0</v>
      </c>
      <c r="J70" s="292">
        <f>J71</f>
        <v>0</v>
      </c>
      <c r="K70" s="293">
        <f t="shared" si="2"/>
        <v>0</v>
      </c>
      <c r="L70" s="292">
        <f>L71</f>
        <v>0</v>
      </c>
      <c r="M70" s="292">
        <f>M71</f>
        <v>0</v>
      </c>
      <c r="N70" s="293">
        <f t="shared" si="3"/>
        <v>0</v>
      </c>
    </row>
    <row r="71" spans="1:14" ht="13.5" thickBot="1" x14ac:dyDescent="0.25">
      <c r="A71" s="267"/>
      <c r="B71" s="268" t="s">
        <v>140</v>
      </c>
      <c r="C71" s="294"/>
      <c r="D71" s="294"/>
      <c r="E71" s="295">
        <f t="shared" si="0"/>
        <v>0</v>
      </c>
      <c r="F71" s="294"/>
      <c r="G71" s="294"/>
      <c r="H71" s="295">
        <f t="shared" si="1"/>
        <v>0</v>
      </c>
      <c r="I71" s="294"/>
      <c r="J71" s="294"/>
      <c r="K71" s="295">
        <f t="shared" si="2"/>
        <v>0</v>
      </c>
      <c r="L71" s="294"/>
      <c r="M71" s="294"/>
      <c r="N71" s="295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3.5" thickBot="1" x14ac:dyDescent="0.25">
      <c r="A73" s="277" t="s">
        <v>141</v>
      </c>
      <c r="B73" s="278" t="s">
        <v>142</v>
      </c>
      <c r="C73" s="296">
        <f>C9+C22+C25+C45+C61+C67+C70</f>
        <v>0</v>
      </c>
      <c r="D73" s="296">
        <f>D9+D22+D25+D45+D61+D67+D70</f>
        <v>0</v>
      </c>
      <c r="E73" s="297">
        <f t="shared" si="0"/>
        <v>0</v>
      </c>
      <c r="F73" s="296">
        <f>F9+F22+F25+F45+F61+F67+F70</f>
        <v>0</v>
      </c>
      <c r="G73" s="296">
        <f>G9+G22+G25+G45+G61+G67+G70</f>
        <v>0</v>
      </c>
      <c r="H73" s="297">
        <f t="shared" si="1"/>
        <v>0</v>
      </c>
      <c r="I73" s="296">
        <f>I9+I22+I25+I45+I61+I67+I70</f>
        <v>0</v>
      </c>
      <c r="J73" s="296">
        <f>J9+J22+J25+J45+J61+J67+J70</f>
        <v>0</v>
      </c>
      <c r="K73" s="297">
        <f t="shared" si="2"/>
        <v>0</v>
      </c>
      <c r="L73" s="296">
        <f>L9+L22+L25+L45+L61+L67+L70</f>
        <v>0</v>
      </c>
      <c r="M73" s="296">
        <f>M9+M22+M25+M45+M61+M67+M70</f>
        <v>0</v>
      </c>
      <c r="N73" s="297">
        <f t="shared" si="3"/>
        <v>0</v>
      </c>
    </row>
    <row r="74" spans="1:14" ht="13.5" thickBot="1" x14ac:dyDescent="0.25">
      <c r="A74" s="275" t="s">
        <v>143</v>
      </c>
      <c r="B74" s="276" t="s">
        <v>144</v>
      </c>
      <c r="C74" s="292">
        <f>C75+C83</f>
        <v>0</v>
      </c>
      <c r="D74" s="292">
        <f>D75+D83</f>
        <v>0</v>
      </c>
      <c r="E74" s="293">
        <f t="shared" ref="E74:E85" si="4">SUM(C74:D74)</f>
        <v>0</v>
      </c>
      <c r="F74" s="292">
        <f>F75+F83</f>
        <v>0</v>
      </c>
      <c r="G74" s="292">
        <f>G75+G83</f>
        <v>0</v>
      </c>
      <c r="H74" s="293">
        <f t="shared" ref="H74:H81" si="5">SUM(F74:G74)</f>
        <v>0</v>
      </c>
      <c r="I74" s="292">
        <f>I75+I83</f>
        <v>0</v>
      </c>
      <c r="J74" s="292">
        <f>J75+J83</f>
        <v>0</v>
      </c>
      <c r="K74" s="293">
        <f t="shared" ref="K74:K81" si="6">SUM(I74:J74)</f>
        <v>0</v>
      </c>
      <c r="L74" s="292">
        <f>L75+L83</f>
        <v>0</v>
      </c>
      <c r="M74" s="292">
        <f>M75+M83</f>
        <v>0</v>
      </c>
      <c r="N74" s="293">
        <f t="shared" ref="N74:N81" si="7">SUM(L74:M74)</f>
        <v>0</v>
      </c>
    </row>
    <row r="75" spans="1:14" ht="13.5" hidden="1" thickBot="1" x14ac:dyDescent="0.25">
      <c r="A75" s="265" t="s">
        <v>145</v>
      </c>
      <c r="B75" s="266" t="s">
        <v>146</v>
      </c>
      <c r="C75" s="279">
        <f t="shared" ref="C75:D75" si="8">SUM(C76:C77,C78,C79,C83,C82)</f>
        <v>0</v>
      </c>
      <c r="D75" s="279">
        <f t="shared" si="8"/>
        <v>0</v>
      </c>
      <c r="E75" s="280">
        <f t="shared" si="4"/>
        <v>0</v>
      </c>
      <c r="F75" s="279">
        <f t="shared" ref="F75:G75" si="9">SUM(F76:F77,F78,F79,F83,F82)</f>
        <v>0</v>
      </c>
      <c r="G75" s="279">
        <f t="shared" si="9"/>
        <v>0</v>
      </c>
      <c r="H75" s="280">
        <f t="shared" si="5"/>
        <v>0</v>
      </c>
      <c r="I75" s="279">
        <f t="shared" ref="I75:J75" si="10">SUM(I76:I77,I78,I79,I83,I82)</f>
        <v>0</v>
      </c>
      <c r="J75" s="279">
        <f t="shared" si="10"/>
        <v>0</v>
      </c>
      <c r="K75" s="280">
        <f t="shared" si="6"/>
        <v>0</v>
      </c>
      <c r="L75" s="279">
        <f t="shared" ref="L75:M75" si="11">SUM(L76:L77,L78,L79,L83,L82)</f>
        <v>0</v>
      </c>
      <c r="M75" s="279">
        <f t="shared" si="11"/>
        <v>0</v>
      </c>
      <c r="N75" s="280">
        <f t="shared" si="7"/>
        <v>0</v>
      </c>
    </row>
    <row r="76" spans="1:14" ht="13.5" hidden="1" thickBot="1" x14ac:dyDescent="0.25">
      <c r="A76" s="265" t="s">
        <v>147</v>
      </c>
      <c r="B76" s="266" t="s">
        <v>148</v>
      </c>
      <c r="C76" s="279"/>
      <c r="D76" s="279"/>
      <c r="E76" s="280">
        <f t="shared" si="4"/>
        <v>0</v>
      </c>
      <c r="F76" s="279"/>
      <c r="G76" s="279"/>
      <c r="H76" s="280">
        <f t="shared" si="5"/>
        <v>0</v>
      </c>
      <c r="I76" s="279"/>
      <c r="J76" s="279"/>
      <c r="K76" s="280">
        <f t="shared" si="6"/>
        <v>0</v>
      </c>
      <c r="L76" s="279"/>
      <c r="M76" s="279"/>
      <c r="N76" s="280">
        <f t="shared" si="7"/>
        <v>0</v>
      </c>
    </row>
    <row r="77" spans="1:14" ht="13.5" hidden="1" thickBot="1" x14ac:dyDescent="0.25">
      <c r="A77" s="265" t="s">
        <v>149</v>
      </c>
      <c r="B77" s="266" t="s">
        <v>150</v>
      </c>
      <c r="C77" s="279"/>
      <c r="D77" s="279"/>
      <c r="E77" s="280">
        <f t="shared" si="4"/>
        <v>0</v>
      </c>
      <c r="F77" s="279"/>
      <c r="G77" s="279"/>
      <c r="H77" s="280">
        <f t="shared" si="5"/>
        <v>0</v>
      </c>
      <c r="I77" s="279"/>
      <c r="J77" s="279"/>
      <c r="K77" s="280">
        <f t="shared" si="6"/>
        <v>0</v>
      </c>
      <c r="L77" s="279"/>
      <c r="M77" s="279"/>
      <c r="N77" s="280">
        <f t="shared" si="7"/>
        <v>0</v>
      </c>
    </row>
    <row r="78" spans="1:14" ht="13.5" hidden="1" thickBot="1" x14ac:dyDescent="0.25">
      <c r="A78" s="265" t="s">
        <v>151</v>
      </c>
      <c r="B78" s="266" t="s">
        <v>152</v>
      </c>
      <c r="C78" s="279"/>
      <c r="D78" s="279"/>
      <c r="E78" s="280">
        <f t="shared" si="4"/>
        <v>0</v>
      </c>
      <c r="F78" s="279"/>
      <c r="G78" s="279"/>
      <c r="H78" s="280">
        <f t="shared" si="5"/>
        <v>0</v>
      </c>
      <c r="I78" s="279"/>
      <c r="J78" s="279"/>
      <c r="K78" s="280">
        <f t="shared" si="6"/>
        <v>0</v>
      </c>
      <c r="L78" s="279"/>
      <c r="M78" s="279"/>
      <c r="N78" s="280">
        <f t="shared" si="7"/>
        <v>0</v>
      </c>
    </row>
    <row r="79" spans="1:14" ht="13.5" hidden="1" thickBot="1" x14ac:dyDescent="0.25">
      <c r="A79" s="265" t="s">
        <v>153</v>
      </c>
      <c r="B79" s="266" t="s">
        <v>154</v>
      </c>
      <c r="C79" s="279">
        <f>SUM(C80:C81)</f>
        <v>0</v>
      </c>
      <c r="D79" s="279">
        <f>SUM(D80:D81)</f>
        <v>0</v>
      </c>
      <c r="E79" s="280">
        <f t="shared" si="4"/>
        <v>0</v>
      </c>
      <c r="F79" s="279">
        <f>SUM(F80:F81)</f>
        <v>0</v>
      </c>
      <c r="G79" s="279">
        <f>SUM(G80:G81)</f>
        <v>0</v>
      </c>
      <c r="H79" s="280">
        <f t="shared" si="5"/>
        <v>0</v>
      </c>
      <c r="I79" s="279">
        <f>SUM(I80:I81)</f>
        <v>0</v>
      </c>
      <c r="J79" s="279">
        <f>SUM(J80:J81)</f>
        <v>0</v>
      </c>
      <c r="K79" s="280">
        <f t="shared" si="6"/>
        <v>0</v>
      </c>
      <c r="L79" s="279">
        <f>SUM(L80:L81)</f>
        <v>0</v>
      </c>
      <c r="M79" s="279">
        <f>SUM(M80:M81)</f>
        <v>0</v>
      </c>
      <c r="N79" s="280">
        <f t="shared" si="7"/>
        <v>0</v>
      </c>
    </row>
    <row r="80" spans="1:14" ht="13.5" hidden="1" thickBot="1" x14ac:dyDescent="0.25">
      <c r="A80" s="265"/>
      <c r="B80" s="266" t="s">
        <v>29</v>
      </c>
      <c r="C80" s="279"/>
      <c r="D80" s="279"/>
      <c r="E80" s="280">
        <f t="shared" si="4"/>
        <v>0</v>
      </c>
      <c r="F80" s="279"/>
      <c r="G80" s="279"/>
      <c r="H80" s="280">
        <f t="shared" si="5"/>
        <v>0</v>
      </c>
      <c r="I80" s="279"/>
      <c r="J80" s="279"/>
      <c r="K80" s="280">
        <f t="shared" si="6"/>
        <v>0</v>
      </c>
      <c r="L80" s="279"/>
      <c r="M80" s="279"/>
      <c r="N80" s="280">
        <f t="shared" si="7"/>
        <v>0</v>
      </c>
    </row>
    <row r="81" spans="1:14" ht="13.5" hidden="1" thickBot="1" x14ac:dyDescent="0.25">
      <c r="A81" s="265"/>
      <c r="B81" s="266" t="s">
        <v>30</v>
      </c>
      <c r="C81" s="279"/>
      <c r="D81" s="279"/>
      <c r="E81" s="280">
        <f t="shared" si="4"/>
        <v>0</v>
      </c>
      <c r="F81" s="279"/>
      <c r="G81" s="279"/>
      <c r="H81" s="280">
        <f t="shared" si="5"/>
        <v>0</v>
      </c>
      <c r="I81" s="279"/>
      <c r="J81" s="279"/>
      <c r="K81" s="280">
        <f t="shared" si="6"/>
        <v>0</v>
      </c>
      <c r="L81" s="279"/>
      <c r="M81" s="279"/>
      <c r="N81" s="280">
        <f t="shared" si="7"/>
        <v>0</v>
      </c>
    </row>
    <row r="82" spans="1:14" ht="13.5" hidden="1" thickBot="1" x14ac:dyDescent="0.25">
      <c r="A82" s="265" t="s">
        <v>543</v>
      </c>
      <c r="B82" s="266" t="s">
        <v>337</v>
      </c>
      <c r="C82" s="279"/>
      <c r="D82" s="279"/>
      <c r="E82" s="280"/>
      <c r="F82" s="279"/>
      <c r="G82" s="279"/>
      <c r="H82" s="280"/>
      <c r="I82" s="279"/>
      <c r="J82" s="279"/>
      <c r="K82" s="280"/>
      <c r="L82" s="279"/>
      <c r="M82" s="279"/>
      <c r="N82" s="280"/>
    </row>
    <row r="83" spans="1:14" ht="13.5" hidden="1" thickBot="1" x14ac:dyDescent="0.25">
      <c r="A83" s="265" t="s">
        <v>155</v>
      </c>
      <c r="B83" s="266" t="s">
        <v>156</v>
      </c>
      <c r="C83" s="279"/>
      <c r="D83" s="279"/>
      <c r="E83" s="280">
        <f t="shared" si="4"/>
        <v>0</v>
      </c>
      <c r="F83" s="279"/>
      <c r="G83" s="279"/>
      <c r="H83" s="280">
        <f t="shared" ref="H83:H85" si="12">SUM(F83:G83)</f>
        <v>0</v>
      </c>
      <c r="I83" s="279"/>
      <c r="J83" s="279"/>
      <c r="K83" s="280">
        <f t="shared" ref="K83:K85" si="13">SUM(I83:J83)</f>
        <v>0</v>
      </c>
      <c r="L83" s="279"/>
      <c r="M83" s="279"/>
      <c r="N83" s="280">
        <f t="shared" ref="N83:N85" si="14">SUM(L83:M83)</f>
        <v>0</v>
      </c>
    </row>
    <row r="84" spans="1:14" ht="13.5" hidden="1" thickBot="1" x14ac:dyDescent="0.25">
      <c r="A84" s="267" t="s">
        <v>157</v>
      </c>
      <c r="B84" s="268" t="s">
        <v>158</v>
      </c>
      <c r="C84" s="294"/>
      <c r="D84" s="294"/>
      <c r="E84" s="295">
        <f t="shared" si="4"/>
        <v>0</v>
      </c>
      <c r="F84" s="294"/>
      <c r="G84" s="294"/>
      <c r="H84" s="295">
        <f t="shared" si="12"/>
        <v>0</v>
      </c>
      <c r="I84" s="294"/>
      <c r="J84" s="294"/>
      <c r="K84" s="295">
        <f t="shared" si="13"/>
        <v>0</v>
      </c>
      <c r="L84" s="294"/>
      <c r="M84" s="294"/>
      <c r="N84" s="295">
        <f t="shared" si="14"/>
        <v>0</v>
      </c>
    </row>
    <row r="85" spans="1:14" ht="13.5" thickBot="1" x14ac:dyDescent="0.25">
      <c r="A85" s="277" t="s">
        <v>264</v>
      </c>
      <c r="B85" s="278" t="s">
        <v>159</v>
      </c>
      <c r="C85" s="296">
        <f>C73+C74</f>
        <v>0</v>
      </c>
      <c r="D85" s="296">
        <f>D73+D74</f>
        <v>0</v>
      </c>
      <c r="E85" s="297">
        <f t="shared" si="4"/>
        <v>0</v>
      </c>
      <c r="F85" s="296">
        <f>F73+F74</f>
        <v>0</v>
      </c>
      <c r="G85" s="296">
        <f>G73+G74</f>
        <v>0</v>
      </c>
      <c r="H85" s="297">
        <f t="shared" si="12"/>
        <v>0</v>
      </c>
      <c r="I85" s="296">
        <f>I73+I74</f>
        <v>0</v>
      </c>
      <c r="J85" s="296">
        <f>J73+J74</f>
        <v>0</v>
      </c>
      <c r="K85" s="297">
        <f t="shared" si="13"/>
        <v>0</v>
      </c>
      <c r="L85" s="296">
        <f>L73+L74</f>
        <v>0</v>
      </c>
      <c r="M85" s="296">
        <f>M73+M74</f>
        <v>0</v>
      </c>
      <c r="N85" s="297">
        <f t="shared" si="14"/>
        <v>0</v>
      </c>
    </row>
    <row r="86" spans="1:14" x14ac:dyDescent="0.2">
      <c r="A86" s="281"/>
      <c r="B86" s="282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</row>
    <row r="87" spans="1:14" ht="13.5" thickBot="1" x14ac:dyDescent="0.25">
      <c r="A87" s="283"/>
      <c r="B87" s="284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</row>
    <row r="88" spans="1:14" x14ac:dyDescent="0.2">
      <c r="A88" s="285" t="s">
        <v>160</v>
      </c>
      <c r="B88" s="264" t="s">
        <v>34</v>
      </c>
      <c r="C88" s="292">
        <f>C89+C101</f>
        <v>0</v>
      </c>
      <c r="D88" s="292">
        <f>D89+D101</f>
        <v>0</v>
      </c>
      <c r="E88" s="300">
        <f t="shared" ref="E88:E150" si="15">SUM(C88:D88)</f>
        <v>0</v>
      </c>
      <c r="F88" s="292">
        <f>F89+F101</f>
        <v>0</v>
      </c>
      <c r="G88" s="292">
        <f>G89+G101</f>
        <v>0</v>
      </c>
      <c r="H88" s="300">
        <f t="shared" ref="H88:H90" si="16">SUM(F88:G88)</f>
        <v>0</v>
      </c>
      <c r="I88" s="292">
        <f>I89+I101</f>
        <v>2220412</v>
      </c>
      <c r="J88" s="292">
        <f>J89+J101</f>
        <v>0</v>
      </c>
      <c r="K88" s="300">
        <f t="shared" ref="K88:K90" si="17">SUM(I88:J88)</f>
        <v>2220412</v>
      </c>
      <c r="L88" s="292">
        <f>L89+L101</f>
        <v>2220412</v>
      </c>
      <c r="M88" s="292">
        <f>M89+M101</f>
        <v>0</v>
      </c>
      <c r="N88" s="300">
        <f t="shared" ref="N88:N90" si="18">SUM(L88:M88)</f>
        <v>2220412</v>
      </c>
    </row>
    <row r="89" spans="1:14" x14ac:dyDescent="0.2">
      <c r="A89" s="286" t="s">
        <v>161</v>
      </c>
      <c r="B89" s="266" t="s">
        <v>162</v>
      </c>
      <c r="C89" s="279">
        <f>SUM(C90:C100)</f>
        <v>0</v>
      </c>
      <c r="D89" s="279">
        <f>SUM(D90:D100)</f>
        <v>0</v>
      </c>
      <c r="E89" s="280">
        <f t="shared" si="15"/>
        <v>0</v>
      </c>
      <c r="F89" s="279">
        <f>SUM(F90:F100)</f>
        <v>0</v>
      </c>
      <c r="G89" s="279">
        <f>SUM(G90:G100)</f>
        <v>0</v>
      </c>
      <c r="H89" s="280">
        <f t="shared" si="16"/>
        <v>0</v>
      </c>
      <c r="I89" s="279">
        <f>SUM(I90:I100)</f>
        <v>2220412</v>
      </c>
      <c r="J89" s="279">
        <f>SUM(J90:J100)</f>
        <v>0</v>
      </c>
      <c r="K89" s="280">
        <f t="shared" si="17"/>
        <v>2220412</v>
      </c>
      <c r="L89" s="279">
        <f>SUM(L90:L100)</f>
        <v>2220412</v>
      </c>
      <c r="M89" s="279">
        <f>SUM(M90:M100)</f>
        <v>0</v>
      </c>
      <c r="N89" s="280">
        <f t="shared" si="18"/>
        <v>2220412</v>
      </c>
    </row>
    <row r="90" spans="1:14" x14ac:dyDescent="0.2">
      <c r="A90" s="286" t="s">
        <v>163</v>
      </c>
      <c r="B90" s="266" t="s">
        <v>164</v>
      </c>
      <c r="C90" s="279"/>
      <c r="D90" s="279"/>
      <c r="E90" s="280">
        <f t="shared" si="15"/>
        <v>0</v>
      </c>
      <c r="F90" s="279"/>
      <c r="G90" s="279"/>
      <c r="H90" s="280">
        <f t="shared" si="16"/>
        <v>0</v>
      </c>
      <c r="I90" s="279">
        <v>2220412</v>
      </c>
      <c r="J90" s="279"/>
      <c r="K90" s="280">
        <f t="shared" si="17"/>
        <v>2220412</v>
      </c>
      <c r="L90" s="279">
        <v>2220412</v>
      </c>
      <c r="M90" s="279"/>
      <c r="N90" s="280">
        <f t="shared" si="18"/>
        <v>2220412</v>
      </c>
    </row>
    <row r="91" spans="1:14" x14ac:dyDescent="0.2">
      <c r="A91" s="286" t="s">
        <v>533</v>
      </c>
      <c r="B91" s="266" t="s">
        <v>534</v>
      </c>
      <c r="C91" s="279"/>
      <c r="D91" s="279"/>
      <c r="E91" s="280"/>
      <c r="F91" s="279"/>
      <c r="G91" s="279"/>
      <c r="H91" s="280"/>
      <c r="I91" s="279"/>
      <c r="J91" s="279"/>
      <c r="K91" s="280"/>
      <c r="L91" s="279"/>
      <c r="M91" s="279"/>
      <c r="N91" s="280"/>
    </row>
    <row r="92" spans="1:14" x14ac:dyDescent="0.2">
      <c r="A92" s="286" t="s">
        <v>165</v>
      </c>
      <c r="B92" s="266" t="s">
        <v>166</v>
      </c>
      <c r="C92" s="279"/>
      <c r="D92" s="279"/>
      <c r="E92" s="280">
        <f t="shared" si="15"/>
        <v>0</v>
      </c>
      <c r="F92" s="279"/>
      <c r="G92" s="279"/>
      <c r="H92" s="280">
        <f t="shared" ref="H92:H145" si="19">SUM(F92:G92)</f>
        <v>0</v>
      </c>
      <c r="I92" s="279"/>
      <c r="J92" s="279"/>
      <c r="K92" s="280">
        <f t="shared" ref="K92:K145" si="20">SUM(I92:J92)</f>
        <v>0</v>
      </c>
      <c r="L92" s="279"/>
      <c r="M92" s="279"/>
      <c r="N92" s="280">
        <f t="shared" ref="N92:N145" si="21">SUM(L92:M92)</f>
        <v>0</v>
      </c>
    </row>
    <row r="93" spans="1:14" x14ac:dyDescent="0.2">
      <c r="A93" s="286" t="s">
        <v>167</v>
      </c>
      <c r="B93" s="266" t="s">
        <v>168</v>
      </c>
      <c r="C93" s="279"/>
      <c r="D93" s="279"/>
      <c r="E93" s="280">
        <f t="shared" si="15"/>
        <v>0</v>
      </c>
      <c r="F93" s="279"/>
      <c r="G93" s="279"/>
      <c r="H93" s="280">
        <f t="shared" si="19"/>
        <v>0</v>
      </c>
      <c r="I93" s="279"/>
      <c r="J93" s="279"/>
      <c r="K93" s="280">
        <f t="shared" si="20"/>
        <v>0</v>
      </c>
      <c r="L93" s="279"/>
      <c r="M93" s="279"/>
      <c r="N93" s="280">
        <f t="shared" si="21"/>
        <v>0</v>
      </c>
    </row>
    <row r="94" spans="1:14" x14ac:dyDescent="0.2">
      <c r="A94" s="286" t="s">
        <v>169</v>
      </c>
      <c r="B94" s="266" t="s">
        <v>170</v>
      </c>
      <c r="C94" s="279"/>
      <c r="D94" s="279"/>
      <c r="E94" s="280">
        <f t="shared" si="15"/>
        <v>0</v>
      </c>
      <c r="F94" s="279"/>
      <c r="G94" s="279"/>
      <c r="H94" s="280">
        <f t="shared" si="19"/>
        <v>0</v>
      </c>
      <c r="I94" s="279"/>
      <c r="J94" s="279"/>
      <c r="K94" s="280">
        <f t="shared" si="20"/>
        <v>0</v>
      </c>
      <c r="L94" s="279"/>
      <c r="M94" s="279"/>
      <c r="N94" s="280">
        <f t="shared" si="21"/>
        <v>0</v>
      </c>
    </row>
    <row r="95" spans="1:14" x14ac:dyDescent="0.2">
      <c r="A95" s="286" t="s">
        <v>171</v>
      </c>
      <c r="B95" s="266" t="s">
        <v>172</v>
      </c>
      <c r="C95" s="279"/>
      <c r="D95" s="279"/>
      <c r="E95" s="280">
        <f t="shared" si="15"/>
        <v>0</v>
      </c>
      <c r="F95" s="279"/>
      <c r="G95" s="279"/>
      <c r="H95" s="280">
        <f t="shared" si="19"/>
        <v>0</v>
      </c>
      <c r="I95" s="279"/>
      <c r="J95" s="279"/>
      <c r="K95" s="280">
        <f t="shared" si="20"/>
        <v>0</v>
      </c>
      <c r="L95" s="279"/>
      <c r="M95" s="279"/>
      <c r="N95" s="280">
        <f t="shared" si="21"/>
        <v>0</v>
      </c>
    </row>
    <row r="96" spans="1:14" x14ac:dyDescent="0.2">
      <c r="A96" s="286" t="s">
        <v>173</v>
      </c>
      <c r="B96" s="266" t="s">
        <v>174</v>
      </c>
      <c r="C96" s="279"/>
      <c r="D96" s="279"/>
      <c r="E96" s="280">
        <f t="shared" si="15"/>
        <v>0</v>
      </c>
      <c r="F96" s="279"/>
      <c r="G96" s="279"/>
      <c r="H96" s="280">
        <f t="shared" si="19"/>
        <v>0</v>
      </c>
      <c r="I96" s="279"/>
      <c r="J96" s="279"/>
      <c r="K96" s="280">
        <f t="shared" si="20"/>
        <v>0</v>
      </c>
      <c r="L96" s="279"/>
      <c r="M96" s="279"/>
      <c r="N96" s="280">
        <f t="shared" si="21"/>
        <v>0</v>
      </c>
    </row>
    <row r="97" spans="1:14" x14ac:dyDescent="0.2">
      <c r="A97" s="286" t="s">
        <v>175</v>
      </c>
      <c r="B97" s="266" t="s">
        <v>176</v>
      </c>
      <c r="C97" s="279"/>
      <c r="D97" s="279"/>
      <c r="E97" s="280">
        <f t="shared" si="15"/>
        <v>0</v>
      </c>
      <c r="F97" s="279"/>
      <c r="G97" s="279"/>
      <c r="H97" s="280">
        <f t="shared" si="19"/>
        <v>0</v>
      </c>
      <c r="I97" s="279"/>
      <c r="J97" s="279"/>
      <c r="K97" s="280">
        <f t="shared" si="20"/>
        <v>0</v>
      </c>
      <c r="L97" s="279"/>
      <c r="M97" s="279"/>
      <c r="N97" s="280">
        <f t="shared" si="21"/>
        <v>0</v>
      </c>
    </row>
    <row r="98" spans="1:14" x14ac:dyDescent="0.2">
      <c r="A98" s="286" t="s">
        <v>177</v>
      </c>
      <c r="B98" s="266" t="s">
        <v>178</v>
      </c>
      <c r="C98" s="279"/>
      <c r="D98" s="279"/>
      <c r="E98" s="280">
        <f t="shared" si="15"/>
        <v>0</v>
      </c>
      <c r="F98" s="279"/>
      <c r="G98" s="279"/>
      <c r="H98" s="280">
        <f t="shared" si="19"/>
        <v>0</v>
      </c>
      <c r="I98" s="279"/>
      <c r="J98" s="279"/>
      <c r="K98" s="280">
        <f t="shared" si="20"/>
        <v>0</v>
      </c>
      <c r="L98" s="279"/>
      <c r="M98" s="279"/>
      <c r="N98" s="280">
        <f t="shared" si="21"/>
        <v>0</v>
      </c>
    </row>
    <row r="99" spans="1:14" x14ac:dyDescent="0.2">
      <c r="A99" s="286" t="s">
        <v>179</v>
      </c>
      <c r="B99" s="266" t="s">
        <v>180</v>
      </c>
      <c r="C99" s="279"/>
      <c r="D99" s="279"/>
      <c r="E99" s="280">
        <f t="shared" si="15"/>
        <v>0</v>
      </c>
      <c r="F99" s="279"/>
      <c r="G99" s="279"/>
      <c r="H99" s="280">
        <f t="shared" si="19"/>
        <v>0</v>
      </c>
      <c r="I99" s="279"/>
      <c r="J99" s="279"/>
      <c r="K99" s="280">
        <f t="shared" si="20"/>
        <v>0</v>
      </c>
      <c r="L99" s="279"/>
      <c r="M99" s="279"/>
      <c r="N99" s="280">
        <f t="shared" si="21"/>
        <v>0</v>
      </c>
    </row>
    <row r="100" spans="1:14" x14ac:dyDescent="0.2">
      <c r="A100" s="286" t="s">
        <v>181</v>
      </c>
      <c r="B100" s="266" t="s">
        <v>182</v>
      </c>
      <c r="C100" s="279"/>
      <c r="D100" s="279"/>
      <c r="E100" s="280">
        <f t="shared" si="15"/>
        <v>0</v>
      </c>
      <c r="F100" s="279"/>
      <c r="G100" s="279"/>
      <c r="H100" s="280">
        <f t="shared" si="19"/>
        <v>0</v>
      </c>
      <c r="I100" s="279"/>
      <c r="J100" s="279"/>
      <c r="K100" s="280">
        <f t="shared" si="20"/>
        <v>0</v>
      </c>
      <c r="L100" s="279"/>
      <c r="M100" s="279"/>
      <c r="N100" s="280">
        <f t="shared" si="21"/>
        <v>0</v>
      </c>
    </row>
    <row r="101" spans="1:14" x14ac:dyDescent="0.2">
      <c r="A101" s="286" t="s">
        <v>183</v>
      </c>
      <c r="B101" s="266" t="s">
        <v>184</v>
      </c>
      <c r="C101" s="279">
        <f>SUM(C102:C104)</f>
        <v>0</v>
      </c>
      <c r="D101" s="279">
        <f>SUM(D102:D104)</f>
        <v>0</v>
      </c>
      <c r="E101" s="280">
        <f t="shared" si="15"/>
        <v>0</v>
      </c>
      <c r="F101" s="279">
        <f>SUM(F102:F104)</f>
        <v>0</v>
      </c>
      <c r="G101" s="279">
        <f>SUM(G102:G104)</f>
        <v>0</v>
      </c>
      <c r="H101" s="280">
        <f t="shared" si="19"/>
        <v>0</v>
      </c>
      <c r="I101" s="279">
        <f>SUM(I102:I104)</f>
        <v>0</v>
      </c>
      <c r="J101" s="279">
        <f>SUM(J102:J104)</f>
        <v>0</v>
      </c>
      <c r="K101" s="280">
        <f t="shared" si="20"/>
        <v>0</v>
      </c>
      <c r="L101" s="279">
        <f>SUM(L102:L104)</f>
        <v>0</v>
      </c>
      <c r="M101" s="279">
        <f>SUM(M102:M104)</f>
        <v>0</v>
      </c>
      <c r="N101" s="280">
        <f t="shared" si="21"/>
        <v>0</v>
      </c>
    </row>
    <row r="102" spans="1:14" x14ac:dyDescent="0.2">
      <c r="A102" s="286" t="s">
        <v>185</v>
      </c>
      <c r="B102" s="266" t="s">
        <v>186</v>
      </c>
      <c r="C102" s="279"/>
      <c r="D102" s="279"/>
      <c r="E102" s="280">
        <f t="shared" si="15"/>
        <v>0</v>
      </c>
      <c r="F102" s="279"/>
      <c r="G102" s="279"/>
      <c r="H102" s="280">
        <f t="shared" si="19"/>
        <v>0</v>
      </c>
      <c r="I102" s="279"/>
      <c r="J102" s="279"/>
      <c r="K102" s="280">
        <f t="shared" si="20"/>
        <v>0</v>
      </c>
      <c r="L102" s="279"/>
      <c r="M102" s="279"/>
      <c r="N102" s="280">
        <f t="shared" si="21"/>
        <v>0</v>
      </c>
    </row>
    <row r="103" spans="1:14" x14ac:dyDescent="0.2">
      <c r="A103" s="286" t="s">
        <v>187</v>
      </c>
      <c r="B103" s="266" t="s">
        <v>188</v>
      </c>
      <c r="C103" s="279"/>
      <c r="D103" s="279"/>
      <c r="E103" s="280">
        <f t="shared" si="15"/>
        <v>0</v>
      </c>
      <c r="F103" s="279"/>
      <c r="G103" s="279"/>
      <c r="H103" s="280">
        <f t="shared" si="19"/>
        <v>0</v>
      </c>
      <c r="I103" s="279"/>
      <c r="J103" s="279"/>
      <c r="K103" s="280">
        <f t="shared" si="20"/>
        <v>0</v>
      </c>
      <c r="L103" s="279"/>
      <c r="M103" s="279"/>
      <c r="N103" s="280">
        <f t="shared" si="21"/>
        <v>0</v>
      </c>
    </row>
    <row r="104" spans="1:14" ht="13.5" thickBot="1" x14ac:dyDescent="0.25">
      <c r="A104" s="287" t="s">
        <v>189</v>
      </c>
      <c r="B104" s="268" t="s">
        <v>190</v>
      </c>
      <c r="C104" s="294"/>
      <c r="D104" s="294"/>
      <c r="E104" s="295">
        <f t="shared" si="15"/>
        <v>0</v>
      </c>
      <c r="F104" s="294"/>
      <c r="G104" s="294"/>
      <c r="H104" s="295">
        <f t="shared" si="19"/>
        <v>0</v>
      </c>
      <c r="I104" s="294"/>
      <c r="J104" s="294"/>
      <c r="K104" s="295">
        <f t="shared" si="20"/>
        <v>0</v>
      </c>
      <c r="L104" s="294"/>
      <c r="M104" s="294"/>
      <c r="N104" s="295">
        <f t="shared" si="21"/>
        <v>0</v>
      </c>
    </row>
    <row r="105" spans="1:14" x14ac:dyDescent="0.2">
      <c r="A105" s="285" t="s">
        <v>191</v>
      </c>
      <c r="B105" s="264" t="s">
        <v>192</v>
      </c>
      <c r="C105" s="292">
        <f>SUM(C106:C110)</f>
        <v>0</v>
      </c>
      <c r="D105" s="292">
        <f>SUM(D106:D110)</f>
        <v>0</v>
      </c>
      <c r="E105" s="293">
        <f t="shared" si="15"/>
        <v>0</v>
      </c>
      <c r="F105" s="292">
        <f>SUM(F106:F110)</f>
        <v>0</v>
      </c>
      <c r="G105" s="292">
        <f>SUM(G106:G110)</f>
        <v>0</v>
      </c>
      <c r="H105" s="293">
        <f t="shared" si="19"/>
        <v>0</v>
      </c>
      <c r="I105" s="292">
        <f>SUM(I106:I110)</f>
        <v>415392</v>
      </c>
      <c r="J105" s="292">
        <f>SUM(J106:J110)</f>
        <v>0</v>
      </c>
      <c r="K105" s="293">
        <f t="shared" si="20"/>
        <v>415392</v>
      </c>
      <c r="L105" s="292">
        <f>SUM(L106:L110)</f>
        <v>415392</v>
      </c>
      <c r="M105" s="292">
        <f>SUM(M106:M110)</f>
        <v>0</v>
      </c>
      <c r="N105" s="293">
        <f t="shared" si="21"/>
        <v>415392</v>
      </c>
    </row>
    <row r="106" spans="1:14" x14ac:dyDescent="0.2">
      <c r="A106" s="286"/>
      <c r="B106" s="266" t="s">
        <v>193</v>
      </c>
      <c r="C106" s="279"/>
      <c r="D106" s="279"/>
      <c r="E106" s="280">
        <f t="shared" si="15"/>
        <v>0</v>
      </c>
      <c r="F106" s="279"/>
      <c r="G106" s="279"/>
      <c r="H106" s="280">
        <f t="shared" si="19"/>
        <v>0</v>
      </c>
      <c r="I106" s="279">
        <v>415392</v>
      </c>
      <c r="J106" s="279"/>
      <c r="K106" s="280">
        <f t="shared" si="20"/>
        <v>415392</v>
      </c>
      <c r="L106" s="279">
        <v>415392</v>
      </c>
      <c r="M106" s="279"/>
      <c r="N106" s="280">
        <f t="shared" si="21"/>
        <v>415392</v>
      </c>
    </row>
    <row r="107" spans="1:14" x14ac:dyDescent="0.2">
      <c r="A107" s="286"/>
      <c r="B107" s="266" t="s">
        <v>194</v>
      </c>
      <c r="C107" s="279"/>
      <c r="D107" s="279"/>
      <c r="E107" s="280">
        <f t="shared" si="15"/>
        <v>0</v>
      </c>
      <c r="F107" s="279"/>
      <c r="G107" s="279"/>
      <c r="H107" s="280">
        <f t="shared" si="19"/>
        <v>0</v>
      </c>
      <c r="I107" s="279"/>
      <c r="J107" s="279"/>
      <c r="K107" s="280">
        <f t="shared" si="20"/>
        <v>0</v>
      </c>
      <c r="L107" s="279"/>
      <c r="M107" s="279"/>
      <c r="N107" s="280">
        <f t="shared" si="21"/>
        <v>0</v>
      </c>
    </row>
    <row r="108" spans="1:14" x14ac:dyDescent="0.2">
      <c r="A108" s="287"/>
      <c r="B108" s="268" t="s">
        <v>195</v>
      </c>
      <c r="C108" s="279"/>
      <c r="D108" s="279"/>
      <c r="E108" s="280">
        <f t="shared" si="15"/>
        <v>0</v>
      </c>
      <c r="F108" s="279"/>
      <c r="G108" s="279"/>
      <c r="H108" s="280">
        <f t="shared" si="19"/>
        <v>0</v>
      </c>
      <c r="I108" s="279"/>
      <c r="J108" s="279"/>
      <c r="K108" s="280">
        <f t="shared" si="20"/>
        <v>0</v>
      </c>
      <c r="L108" s="279"/>
      <c r="M108" s="279"/>
      <c r="N108" s="280">
        <f t="shared" si="21"/>
        <v>0</v>
      </c>
    </row>
    <row r="109" spans="1:14" x14ac:dyDescent="0.2">
      <c r="A109" s="287"/>
      <c r="B109" s="268" t="s">
        <v>196</v>
      </c>
      <c r="C109" s="279"/>
      <c r="D109" s="279"/>
      <c r="E109" s="280">
        <f t="shared" si="15"/>
        <v>0</v>
      </c>
      <c r="F109" s="279"/>
      <c r="G109" s="279"/>
      <c r="H109" s="280">
        <f t="shared" si="19"/>
        <v>0</v>
      </c>
      <c r="I109" s="279"/>
      <c r="J109" s="279"/>
      <c r="K109" s="280">
        <f t="shared" si="20"/>
        <v>0</v>
      </c>
      <c r="L109" s="279"/>
      <c r="M109" s="279"/>
      <c r="N109" s="280">
        <f t="shared" si="21"/>
        <v>0</v>
      </c>
    </row>
    <row r="110" spans="1:14" ht="13.5" thickBot="1" x14ac:dyDescent="0.25">
      <c r="A110" s="287"/>
      <c r="B110" s="268" t="s">
        <v>197</v>
      </c>
      <c r="C110" s="294"/>
      <c r="D110" s="294"/>
      <c r="E110" s="295">
        <f t="shared" si="15"/>
        <v>0</v>
      </c>
      <c r="F110" s="294"/>
      <c r="G110" s="294"/>
      <c r="H110" s="295">
        <f t="shared" si="19"/>
        <v>0</v>
      </c>
      <c r="I110" s="294"/>
      <c r="J110" s="294"/>
      <c r="K110" s="295">
        <f t="shared" si="20"/>
        <v>0</v>
      </c>
      <c r="L110" s="294"/>
      <c r="M110" s="294"/>
      <c r="N110" s="295">
        <f t="shared" si="21"/>
        <v>0</v>
      </c>
    </row>
    <row r="111" spans="1:14" x14ac:dyDescent="0.2">
      <c r="A111" s="285" t="s">
        <v>198</v>
      </c>
      <c r="B111" s="264" t="s">
        <v>35</v>
      </c>
      <c r="C111" s="292">
        <f>SUM(C112:C113,C114,C123,C122)</f>
        <v>0</v>
      </c>
      <c r="D111" s="292">
        <f>SUM(D112:D113,D114,D123,D122)</f>
        <v>0</v>
      </c>
      <c r="E111" s="293">
        <f t="shared" si="15"/>
        <v>0</v>
      </c>
      <c r="F111" s="292">
        <f>SUM(F112:F113,F114,F123,F122)</f>
        <v>0</v>
      </c>
      <c r="G111" s="292">
        <f>SUM(G112:G113,G114,G123,G122)</f>
        <v>0</v>
      </c>
      <c r="H111" s="293">
        <f t="shared" si="19"/>
        <v>0</v>
      </c>
      <c r="I111" s="292">
        <f>SUM(I112:I113,I114,I123,I122)</f>
        <v>0</v>
      </c>
      <c r="J111" s="292">
        <f>SUM(J112:J113,J114,J123,J122)</f>
        <v>0</v>
      </c>
      <c r="K111" s="293">
        <f t="shared" si="20"/>
        <v>0</v>
      </c>
      <c r="L111" s="292">
        <f>SUM(L112:L113,L114,L123,L122)</f>
        <v>0</v>
      </c>
      <c r="M111" s="292">
        <f>SUM(M112:M113,M114,M123,M122)</f>
        <v>0</v>
      </c>
      <c r="N111" s="293">
        <f t="shared" si="21"/>
        <v>0</v>
      </c>
    </row>
    <row r="112" spans="1:14" x14ac:dyDescent="0.2">
      <c r="A112" s="286" t="s">
        <v>199</v>
      </c>
      <c r="B112" s="266" t="s">
        <v>200</v>
      </c>
      <c r="C112" s="279"/>
      <c r="D112" s="279"/>
      <c r="E112" s="280">
        <f t="shared" si="15"/>
        <v>0</v>
      </c>
      <c r="F112" s="279"/>
      <c r="G112" s="279"/>
      <c r="H112" s="280">
        <f t="shared" si="19"/>
        <v>0</v>
      </c>
      <c r="I112" s="279"/>
      <c r="J112" s="279"/>
      <c r="K112" s="280">
        <f t="shared" si="20"/>
        <v>0</v>
      </c>
      <c r="L112" s="279"/>
      <c r="M112" s="279"/>
      <c r="N112" s="280">
        <f t="shared" si="21"/>
        <v>0</v>
      </c>
    </row>
    <row r="113" spans="1:14" x14ac:dyDescent="0.2">
      <c r="A113" s="286" t="s">
        <v>201</v>
      </c>
      <c r="B113" s="266" t="s">
        <v>202</v>
      </c>
      <c r="C113" s="279"/>
      <c r="D113" s="279"/>
      <c r="E113" s="280">
        <f t="shared" si="15"/>
        <v>0</v>
      </c>
      <c r="F113" s="279"/>
      <c r="G113" s="279"/>
      <c r="H113" s="280">
        <f t="shared" si="19"/>
        <v>0</v>
      </c>
      <c r="I113" s="279"/>
      <c r="J113" s="279"/>
      <c r="K113" s="280">
        <f t="shared" si="20"/>
        <v>0</v>
      </c>
      <c r="L113" s="279"/>
      <c r="M113" s="279"/>
      <c r="N113" s="280">
        <f t="shared" si="21"/>
        <v>0</v>
      </c>
    </row>
    <row r="114" spans="1:14" x14ac:dyDescent="0.2">
      <c r="A114" s="286" t="s">
        <v>203</v>
      </c>
      <c r="B114" s="266" t="s">
        <v>204</v>
      </c>
      <c r="C114" s="279">
        <f>SUM(C115:C121)</f>
        <v>0</v>
      </c>
      <c r="D114" s="279">
        <f>SUM(D115:D121)</f>
        <v>0</v>
      </c>
      <c r="E114" s="280">
        <f t="shared" si="15"/>
        <v>0</v>
      </c>
      <c r="F114" s="279">
        <f>SUM(F115:F121)</f>
        <v>0</v>
      </c>
      <c r="G114" s="279">
        <f>SUM(G115:G121)</f>
        <v>0</v>
      </c>
      <c r="H114" s="280">
        <f t="shared" si="19"/>
        <v>0</v>
      </c>
      <c r="I114" s="279">
        <f>SUM(I115:I121)</f>
        <v>0</v>
      </c>
      <c r="J114" s="279">
        <f>SUM(J115:J121)</f>
        <v>0</v>
      </c>
      <c r="K114" s="280">
        <f t="shared" si="20"/>
        <v>0</v>
      </c>
      <c r="L114" s="279">
        <f>SUM(L115:L121)</f>
        <v>0</v>
      </c>
      <c r="M114" s="279">
        <f>SUM(M115:M121)</f>
        <v>0</v>
      </c>
      <c r="N114" s="280">
        <f t="shared" si="21"/>
        <v>0</v>
      </c>
    </row>
    <row r="115" spans="1:14" x14ac:dyDescent="0.2">
      <c r="A115" s="286" t="s">
        <v>205</v>
      </c>
      <c r="B115" s="266" t="s">
        <v>206</v>
      </c>
      <c r="C115" s="279"/>
      <c r="D115" s="279"/>
      <c r="E115" s="280">
        <f t="shared" si="15"/>
        <v>0</v>
      </c>
      <c r="F115" s="279"/>
      <c r="G115" s="279"/>
      <c r="H115" s="280">
        <f t="shared" si="19"/>
        <v>0</v>
      </c>
      <c r="I115" s="279"/>
      <c r="J115" s="279"/>
      <c r="K115" s="280">
        <f t="shared" si="20"/>
        <v>0</v>
      </c>
      <c r="L115" s="279"/>
      <c r="M115" s="279"/>
      <c r="N115" s="280">
        <f t="shared" si="21"/>
        <v>0</v>
      </c>
    </row>
    <row r="116" spans="1:14" x14ac:dyDescent="0.2">
      <c r="A116" s="286" t="s">
        <v>207</v>
      </c>
      <c r="B116" s="266" t="s">
        <v>208</v>
      </c>
      <c r="C116" s="279"/>
      <c r="D116" s="279"/>
      <c r="E116" s="280">
        <f t="shared" si="15"/>
        <v>0</v>
      </c>
      <c r="F116" s="279"/>
      <c r="G116" s="279"/>
      <c r="H116" s="280">
        <f t="shared" si="19"/>
        <v>0</v>
      </c>
      <c r="I116" s="279"/>
      <c r="J116" s="279"/>
      <c r="K116" s="280">
        <f t="shared" si="20"/>
        <v>0</v>
      </c>
      <c r="L116" s="279"/>
      <c r="M116" s="279"/>
      <c r="N116" s="280">
        <f t="shared" si="21"/>
        <v>0</v>
      </c>
    </row>
    <row r="117" spans="1:14" x14ac:dyDescent="0.2">
      <c r="A117" s="286" t="s">
        <v>209</v>
      </c>
      <c r="B117" s="266" t="s">
        <v>210</v>
      </c>
      <c r="C117" s="279"/>
      <c r="D117" s="279"/>
      <c r="E117" s="280">
        <f t="shared" si="15"/>
        <v>0</v>
      </c>
      <c r="F117" s="279"/>
      <c r="G117" s="279"/>
      <c r="H117" s="280">
        <f t="shared" si="19"/>
        <v>0</v>
      </c>
      <c r="I117" s="279"/>
      <c r="J117" s="279"/>
      <c r="K117" s="280">
        <f t="shared" si="20"/>
        <v>0</v>
      </c>
      <c r="L117" s="279"/>
      <c r="M117" s="279"/>
      <c r="N117" s="280">
        <f t="shared" si="21"/>
        <v>0</v>
      </c>
    </row>
    <row r="118" spans="1:14" x14ac:dyDescent="0.2">
      <c r="A118" s="286" t="s">
        <v>211</v>
      </c>
      <c r="B118" s="266" t="s">
        <v>212</v>
      </c>
      <c r="C118" s="279"/>
      <c r="D118" s="279"/>
      <c r="E118" s="280">
        <f t="shared" si="15"/>
        <v>0</v>
      </c>
      <c r="F118" s="279"/>
      <c r="G118" s="279"/>
      <c r="H118" s="280">
        <f t="shared" si="19"/>
        <v>0</v>
      </c>
      <c r="I118" s="279"/>
      <c r="J118" s="279"/>
      <c r="K118" s="280">
        <f t="shared" si="20"/>
        <v>0</v>
      </c>
      <c r="L118" s="279"/>
      <c r="M118" s="279"/>
      <c r="N118" s="280">
        <f t="shared" si="21"/>
        <v>0</v>
      </c>
    </row>
    <row r="119" spans="1:14" x14ac:dyDescent="0.2">
      <c r="A119" s="286" t="s">
        <v>213</v>
      </c>
      <c r="B119" s="266" t="s">
        <v>214</v>
      </c>
      <c r="C119" s="279"/>
      <c r="D119" s="279"/>
      <c r="E119" s="280">
        <f t="shared" si="15"/>
        <v>0</v>
      </c>
      <c r="F119" s="279"/>
      <c r="G119" s="279"/>
      <c r="H119" s="280">
        <f t="shared" si="19"/>
        <v>0</v>
      </c>
      <c r="I119" s="279"/>
      <c r="J119" s="279"/>
      <c r="K119" s="280">
        <f t="shared" si="20"/>
        <v>0</v>
      </c>
      <c r="L119" s="279"/>
      <c r="M119" s="279"/>
      <c r="N119" s="280">
        <f t="shared" si="21"/>
        <v>0</v>
      </c>
    </row>
    <row r="120" spans="1:14" x14ac:dyDescent="0.2">
      <c r="A120" s="286" t="s">
        <v>215</v>
      </c>
      <c r="B120" s="266" t="s">
        <v>216</v>
      </c>
      <c r="C120" s="279"/>
      <c r="D120" s="279"/>
      <c r="E120" s="280">
        <f t="shared" si="15"/>
        <v>0</v>
      </c>
      <c r="F120" s="279"/>
      <c r="G120" s="279"/>
      <c r="H120" s="280">
        <f t="shared" si="19"/>
        <v>0</v>
      </c>
      <c r="I120" s="279"/>
      <c r="J120" s="279"/>
      <c r="K120" s="280">
        <f t="shared" si="20"/>
        <v>0</v>
      </c>
      <c r="L120" s="279"/>
      <c r="M120" s="279"/>
      <c r="N120" s="280">
        <f t="shared" si="21"/>
        <v>0</v>
      </c>
    </row>
    <row r="121" spans="1:14" x14ac:dyDescent="0.2">
      <c r="A121" s="286" t="s">
        <v>217</v>
      </c>
      <c r="B121" s="266" t="s">
        <v>218</v>
      </c>
      <c r="C121" s="279"/>
      <c r="D121" s="279"/>
      <c r="E121" s="280">
        <f t="shared" si="15"/>
        <v>0</v>
      </c>
      <c r="F121" s="279"/>
      <c r="G121" s="279"/>
      <c r="H121" s="280">
        <f t="shared" si="19"/>
        <v>0</v>
      </c>
      <c r="I121" s="279"/>
      <c r="J121" s="279"/>
      <c r="K121" s="280">
        <f t="shared" si="20"/>
        <v>0</v>
      </c>
      <c r="L121" s="279"/>
      <c r="M121" s="279"/>
      <c r="N121" s="280">
        <f t="shared" si="21"/>
        <v>0</v>
      </c>
    </row>
    <row r="122" spans="1:14" x14ac:dyDescent="0.2">
      <c r="A122" s="286" t="s">
        <v>219</v>
      </c>
      <c r="B122" s="266" t="s">
        <v>220</v>
      </c>
      <c r="C122" s="279"/>
      <c r="D122" s="279"/>
      <c r="E122" s="280">
        <f t="shared" si="15"/>
        <v>0</v>
      </c>
      <c r="F122" s="279"/>
      <c r="G122" s="279"/>
      <c r="H122" s="280">
        <f t="shared" si="19"/>
        <v>0</v>
      </c>
      <c r="I122" s="279"/>
      <c r="J122" s="279"/>
      <c r="K122" s="280">
        <f t="shared" si="20"/>
        <v>0</v>
      </c>
      <c r="L122" s="279"/>
      <c r="M122" s="279"/>
      <c r="N122" s="280">
        <f t="shared" si="21"/>
        <v>0</v>
      </c>
    </row>
    <row r="123" spans="1:14" x14ac:dyDescent="0.2">
      <c r="A123" s="286" t="s">
        <v>221</v>
      </c>
      <c r="B123" s="266" t="s">
        <v>222</v>
      </c>
      <c r="C123" s="279">
        <f>SUM(C124:C126)</f>
        <v>0</v>
      </c>
      <c r="D123" s="279">
        <f>SUM(D124:D126)</f>
        <v>0</v>
      </c>
      <c r="E123" s="280">
        <f t="shared" si="15"/>
        <v>0</v>
      </c>
      <c r="F123" s="279">
        <f>SUM(F124:F126)</f>
        <v>0</v>
      </c>
      <c r="G123" s="279">
        <f>SUM(G124:G126)</f>
        <v>0</v>
      </c>
      <c r="H123" s="280">
        <f t="shared" si="19"/>
        <v>0</v>
      </c>
      <c r="I123" s="279">
        <f>SUM(I124:I126)</f>
        <v>0</v>
      </c>
      <c r="J123" s="279">
        <f>SUM(J124:J126)</f>
        <v>0</v>
      </c>
      <c r="K123" s="280">
        <f t="shared" si="20"/>
        <v>0</v>
      </c>
      <c r="L123" s="279">
        <f>SUM(L124:L126)</f>
        <v>0</v>
      </c>
      <c r="M123" s="279">
        <f>SUM(M124:M126)</f>
        <v>0</v>
      </c>
      <c r="N123" s="280">
        <f t="shared" si="21"/>
        <v>0</v>
      </c>
    </row>
    <row r="124" spans="1:14" x14ac:dyDescent="0.2">
      <c r="A124" s="286"/>
      <c r="B124" s="266" t="s">
        <v>223</v>
      </c>
      <c r="C124" s="279"/>
      <c r="D124" s="279"/>
      <c r="E124" s="280">
        <f t="shared" si="15"/>
        <v>0</v>
      </c>
      <c r="F124" s="279"/>
      <c r="G124" s="279"/>
      <c r="H124" s="280">
        <f t="shared" si="19"/>
        <v>0</v>
      </c>
      <c r="I124" s="279"/>
      <c r="J124" s="279"/>
      <c r="K124" s="280">
        <f t="shared" si="20"/>
        <v>0</v>
      </c>
      <c r="L124" s="279"/>
      <c r="M124" s="279"/>
      <c r="N124" s="280">
        <f t="shared" si="21"/>
        <v>0</v>
      </c>
    </row>
    <row r="125" spans="1:14" x14ac:dyDescent="0.2">
      <c r="A125" s="287"/>
      <c r="B125" s="268" t="s">
        <v>224</v>
      </c>
      <c r="C125" s="279"/>
      <c r="D125" s="279"/>
      <c r="E125" s="280">
        <f t="shared" si="15"/>
        <v>0</v>
      </c>
      <c r="F125" s="279"/>
      <c r="G125" s="279"/>
      <c r="H125" s="280">
        <f t="shared" si="19"/>
        <v>0</v>
      </c>
      <c r="I125" s="279"/>
      <c r="J125" s="279"/>
      <c r="K125" s="280">
        <f t="shared" si="20"/>
        <v>0</v>
      </c>
      <c r="L125" s="279"/>
      <c r="M125" s="279"/>
      <c r="N125" s="280">
        <f t="shared" si="21"/>
        <v>0</v>
      </c>
    </row>
    <row r="126" spans="1:14" ht="13.5" thickBot="1" x14ac:dyDescent="0.25">
      <c r="A126" s="287" t="s">
        <v>225</v>
      </c>
      <c r="B126" s="268" t="s">
        <v>226</v>
      </c>
      <c r="C126" s="294"/>
      <c r="D126" s="294"/>
      <c r="E126" s="295">
        <f t="shared" si="15"/>
        <v>0</v>
      </c>
      <c r="F126" s="294"/>
      <c r="G126" s="294"/>
      <c r="H126" s="295">
        <f t="shared" si="19"/>
        <v>0</v>
      </c>
      <c r="I126" s="294"/>
      <c r="J126" s="294"/>
      <c r="K126" s="295">
        <f t="shared" si="20"/>
        <v>0</v>
      </c>
      <c r="L126" s="294"/>
      <c r="M126" s="294"/>
      <c r="N126" s="295">
        <f t="shared" si="21"/>
        <v>0</v>
      </c>
    </row>
    <row r="127" spans="1:14" ht="13.5" thickBot="1" x14ac:dyDescent="0.25">
      <c r="A127" s="288" t="s">
        <v>227</v>
      </c>
      <c r="B127" s="278" t="s">
        <v>36</v>
      </c>
      <c r="C127" s="296"/>
      <c r="D127" s="296"/>
      <c r="E127" s="297">
        <f t="shared" si="15"/>
        <v>0</v>
      </c>
      <c r="F127" s="296"/>
      <c r="G127" s="296"/>
      <c r="H127" s="297">
        <f t="shared" si="19"/>
        <v>0</v>
      </c>
      <c r="I127" s="296"/>
      <c r="J127" s="296"/>
      <c r="K127" s="297">
        <f t="shared" si="20"/>
        <v>0</v>
      </c>
      <c r="L127" s="296"/>
      <c r="M127" s="296"/>
      <c r="N127" s="297">
        <f t="shared" si="21"/>
        <v>0</v>
      </c>
    </row>
    <row r="128" spans="1:14" ht="13.5" thickBot="1" x14ac:dyDescent="0.25">
      <c r="A128" s="285" t="s">
        <v>228</v>
      </c>
      <c r="B128" s="264" t="s">
        <v>37</v>
      </c>
      <c r="C128" s="292">
        <f>SUM(C129:C134)</f>
        <v>0</v>
      </c>
      <c r="D128" s="292">
        <f>SUM(D129:D134)</f>
        <v>0</v>
      </c>
      <c r="E128" s="293">
        <f t="shared" si="15"/>
        <v>0</v>
      </c>
      <c r="F128" s="292">
        <f>SUM(F129:F134)</f>
        <v>0</v>
      </c>
      <c r="G128" s="292">
        <f>SUM(G129:G134)</f>
        <v>0</v>
      </c>
      <c r="H128" s="293">
        <f t="shared" si="19"/>
        <v>0</v>
      </c>
      <c r="I128" s="292">
        <f>SUM(I129:I134)</f>
        <v>0</v>
      </c>
      <c r="J128" s="292">
        <f>SUM(J129:J134)</f>
        <v>0</v>
      </c>
      <c r="K128" s="293">
        <f t="shared" si="20"/>
        <v>0</v>
      </c>
      <c r="L128" s="292">
        <f>SUM(L129:L134)</f>
        <v>0</v>
      </c>
      <c r="M128" s="292">
        <f>SUM(M129:M134)</f>
        <v>0</v>
      </c>
      <c r="N128" s="293">
        <f t="shared" si="21"/>
        <v>0</v>
      </c>
    </row>
    <row r="129" spans="1:14" ht="13.5" hidden="1" thickBot="1" x14ac:dyDescent="0.25">
      <c r="A129" s="286" t="s">
        <v>229</v>
      </c>
      <c r="B129" s="266" t="s">
        <v>230</v>
      </c>
      <c r="C129" s="279"/>
      <c r="D129" s="279"/>
      <c r="E129" s="280">
        <f t="shared" si="15"/>
        <v>0</v>
      </c>
      <c r="F129" s="279"/>
      <c r="G129" s="279"/>
      <c r="H129" s="280">
        <f t="shared" si="19"/>
        <v>0</v>
      </c>
      <c r="I129" s="279"/>
      <c r="J129" s="279"/>
      <c r="K129" s="280">
        <f t="shared" si="20"/>
        <v>0</v>
      </c>
      <c r="L129" s="279"/>
      <c r="M129" s="279"/>
      <c r="N129" s="280">
        <f t="shared" si="21"/>
        <v>0</v>
      </c>
    </row>
    <row r="130" spans="1:14" ht="13.5" hidden="1" thickBot="1" x14ac:dyDescent="0.25">
      <c r="A130" s="190" t="s">
        <v>548</v>
      </c>
      <c r="B130" s="180" t="s">
        <v>549</v>
      </c>
      <c r="C130" s="279"/>
      <c r="D130" s="279"/>
      <c r="E130" s="280">
        <f t="shared" si="15"/>
        <v>0</v>
      </c>
      <c r="F130" s="279"/>
      <c r="G130" s="279"/>
      <c r="H130" s="280">
        <f t="shared" si="19"/>
        <v>0</v>
      </c>
      <c r="I130" s="279"/>
      <c r="J130" s="279"/>
      <c r="K130" s="280">
        <f t="shared" si="20"/>
        <v>0</v>
      </c>
      <c r="L130" s="279"/>
      <c r="M130" s="279"/>
      <c r="N130" s="280">
        <f t="shared" si="21"/>
        <v>0</v>
      </c>
    </row>
    <row r="131" spans="1:14" ht="13.5" hidden="1" thickBot="1" x14ac:dyDescent="0.25">
      <c r="A131" s="286" t="s">
        <v>231</v>
      </c>
      <c r="B131" s="266" t="s">
        <v>232</v>
      </c>
      <c r="C131" s="279"/>
      <c r="D131" s="279"/>
      <c r="E131" s="280">
        <f t="shared" si="15"/>
        <v>0</v>
      </c>
      <c r="F131" s="279"/>
      <c r="G131" s="279"/>
      <c r="H131" s="280">
        <f t="shared" si="19"/>
        <v>0</v>
      </c>
      <c r="I131" s="279"/>
      <c r="J131" s="279"/>
      <c r="K131" s="280">
        <f t="shared" si="20"/>
        <v>0</v>
      </c>
      <c r="L131" s="279"/>
      <c r="M131" s="279"/>
      <c r="N131" s="280">
        <f t="shared" si="21"/>
        <v>0</v>
      </c>
    </row>
    <row r="132" spans="1:14" ht="13.5" hidden="1" thickBot="1" x14ac:dyDescent="0.25">
      <c r="A132" s="286" t="s">
        <v>233</v>
      </c>
      <c r="B132" s="266" t="s">
        <v>234</v>
      </c>
      <c r="C132" s="279"/>
      <c r="D132" s="279"/>
      <c r="E132" s="280">
        <f t="shared" si="15"/>
        <v>0</v>
      </c>
      <c r="F132" s="279"/>
      <c r="G132" s="279"/>
      <c r="H132" s="280">
        <f t="shared" si="19"/>
        <v>0</v>
      </c>
      <c r="I132" s="279"/>
      <c r="J132" s="279"/>
      <c r="K132" s="280">
        <f t="shared" si="20"/>
        <v>0</v>
      </c>
      <c r="L132" s="279"/>
      <c r="M132" s="279"/>
      <c r="N132" s="280">
        <f t="shared" si="21"/>
        <v>0</v>
      </c>
    </row>
    <row r="133" spans="1:14" ht="13.5" hidden="1" thickBot="1" x14ac:dyDescent="0.25">
      <c r="A133" s="286" t="s">
        <v>235</v>
      </c>
      <c r="B133" s="266" t="s">
        <v>236</v>
      </c>
      <c r="C133" s="279"/>
      <c r="D133" s="279"/>
      <c r="E133" s="280">
        <f t="shared" si="15"/>
        <v>0</v>
      </c>
      <c r="F133" s="279"/>
      <c r="G133" s="279"/>
      <c r="H133" s="280">
        <f t="shared" si="19"/>
        <v>0</v>
      </c>
      <c r="I133" s="279"/>
      <c r="J133" s="279"/>
      <c r="K133" s="280">
        <f t="shared" si="20"/>
        <v>0</v>
      </c>
      <c r="L133" s="279"/>
      <c r="M133" s="279"/>
      <c r="N133" s="280">
        <f t="shared" si="21"/>
        <v>0</v>
      </c>
    </row>
    <row r="134" spans="1:14" ht="13.5" hidden="1" thickBot="1" x14ac:dyDescent="0.25">
      <c r="A134" s="286" t="s">
        <v>237</v>
      </c>
      <c r="B134" s="266" t="s">
        <v>238</v>
      </c>
      <c r="C134" s="279">
        <f>SUM(C135:C136)</f>
        <v>0</v>
      </c>
      <c r="D134" s="279">
        <f>SUM(D135:D136)</f>
        <v>0</v>
      </c>
      <c r="E134" s="280">
        <f t="shared" si="15"/>
        <v>0</v>
      </c>
      <c r="F134" s="279">
        <f>SUM(F135:F136)</f>
        <v>0</v>
      </c>
      <c r="G134" s="279">
        <f>SUM(G135:G136)</f>
        <v>0</v>
      </c>
      <c r="H134" s="280">
        <f t="shared" si="19"/>
        <v>0</v>
      </c>
      <c r="I134" s="279">
        <f>SUM(I135:I136)</f>
        <v>0</v>
      </c>
      <c r="J134" s="279">
        <f>SUM(J135:J136)</f>
        <v>0</v>
      </c>
      <c r="K134" s="280">
        <f t="shared" si="20"/>
        <v>0</v>
      </c>
      <c r="L134" s="279">
        <f>SUM(L135:L136)</f>
        <v>0</v>
      </c>
      <c r="M134" s="279">
        <f>SUM(M135:M136)</f>
        <v>0</v>
      </c>
      <c r="N134" s="280">
        <f t="shared" si="21"/>
        <v>0</v>
      </c>
    </row>
    <row r="135" spans="1:14" ht="13.5" hidden="1" thickBot="1" x14ac:dyDescent="0.25">
      <c r="A135" s="286"/>
      <c r="B135" s="266" t="s">
        <v>239</v>
      </c>
      <c r="C135" s="279"/>
      <c r="D135" s="279"/>
      <c r="E135" s="280">
        <f t="shared" si="15"/>
        <v>0</v>
      </c>
      <c r="F135" s="279"/>
      <c r="G135" s="279"/>
      <c r="H135" s="280">
        <f t="shared" si="19"/>
        <v>0</v>
      </c>
      <c r="I135" s="279"/>
      <c r="J135" s="279"/>
      <c r="K135" s="280">
        <f t="shared" si="20"/>
        <v>0</v>
      </c>
      <c r="L135" s="279"/>
      <c r="M135" s="279"/>
      <c r="N135" s="280">
        <f t="shared" si="21"/>
        <v>0</v>
      </c>
    </row>
    <row r="136" spans="1:14" ht="13.5" hidden="1" thickBot="1" x14ac:dyDescent="0.25">
      <c r="A136" s="287"/>
      <c r="B136" s="268" t="s">
        <v>240</v>
      </c>
      <c r="C136" s="294"/>
      <c r="D136" s="294"/>
      <c r="E136" s="295">
        <f t="shared" si="15"/>
        <v>0</v>
      </c>
      <c r="F136" s="294"/>
      <c r="G136" s="294"/>
      <c r="H136" s="295">
        <f t="shared" si="19"/>
        <v>0</v>
      </c>
      <c r="I136" s="294"/>
      <c r="J136" s="294"/>
      <c r="K136" s="295">
        <f t="shared" si="20"/>
        <v>0</v>
      </c>
      <c r="L136" s="294"/>
      <c r="M136" s="294"/>
      <c r="N136" s="295">
        <f t="shared" si="21"/>
        <v>0</v>
      </c>
    </row>
    <row r="137" spans="1:14" x14ac:dyDescent="0.2">
      <c r="A137" s="285" t="s">
        <v>241</v>
      </c>
      <c r="B137" s="264" t="s">
        <v>38</v>
      </c>
      <c r="C137" s="292"/>
      <c r="D137" s="292"/>
      <c r="E137" s="293">
        <f t="shared" si="15"/>
        <v>0</v>
      </c>
      <c r="F137" s="292"/>
      <c r="G137" s="292"/>
      <c r="H137" s="293">
        <f t="shared" si="19"/>
        <v>0</v>
      </c>
      <c r="I137" s="292"/>
      <c r="J137" s="292"/>
      <c r="K137" s="293">
        <f t="shared" si="20"/>
        <v>0</v>
      </c>
      <c r="L137" s="292"/>
      <c r="M137" s="292"/>
      <c r="N137" s="293">
        <f t="shared" si="21"/>
        <v>0</v>
      </c>
    </row>
    <row r="138" spans="1:14" ht="13.5" thickBot="1" x14ac:dyDescent="0.25">
      <c r="A138" s="287" t="s">
        <v>242</v>
      </c>
      <c r="B138" s="268" t="s">
        <v>243</v>
      </c>
      <c r="C138" s="294"/>
      <c r="D138" s="294"/>
      <c r="E138" s="295">
        <f t="shared" si="15"/>
        <v>0</v>
      </c>
      <c r="F138" s="294"/>
      <c r="G138" s="294"/>
      <c r="H138" s="295">
        <f t="shared" si="19"/>
        <v>0</v>
      </c>
      <c r="I138" s="294"/>
      <c r="J138" s="294"/>
      <c r="K138" s="295">
        <f t="shared" si="20"/>
        <v>0</v>
      </c>
      <c r="L138" s="294"/>
      <c r="M138" s="294"/>
      <c r="N138" s="295">
        <f t="shared" si="21"/>
        <v>0</v>
      </c>
    </row>
    <row r="139" spans="1:14" x14ac:dyDescent="0.2">
      <c r="A139" s="285" t="s">
        <v>244</v>
      </c>
      <c r="B139" s="264" t="s">
        <v>39</v>
      </c>
      <c r="C139" s="292"/>
      <c r="D139" s="292"/>
      <c r="E139" s="293">
        <f t="shared" si="15"/>
        <v>0</v>
      </c>
      <c r="F139" s="292"/>
      <c r="G139" s="292"/>
      <c r="H139" s="293">
        <f t="shared" si="19"/>
        <v>0</v>
      </c>
      <c r="I139" s="292"/>
      <c r="J139" s="292"/>
      <c r="K139" s="293">
        <f t="shared" si="20"/>
        <v>0</v>
      </c>
      <c r="L139" s="292"/>
      <c r="M139" s="292"/>
      <c r="N139" s="293">
        <f t="shared" si="21"/>
        <v>0</v>
      </c>
    </row>
    <row r="140" spans="1:14" ht="13.5" thickBot="1" x14ac:dyDescent="0.25">
      <c r="A140" s="287" t="s">
        <v>245</v>
      </c>
      <c r="B140" s="268" t="s">
        <v>246</v>
      </c>
      <c r="C140" s="294"/>
      <c r="D140" s="294"/>
      <c r="E140" s="295">
        <f t="shared" si="15"/>
        <v>0</v>
      </c>
      <c r="F140" s="294"/>
      <c r="G140" s="294"/>
      <c r="H140" s="295">
        <f t="shared" si="19"/>
        <v>0</v>
      </c>
      <c r="I140" s="294"/>
      <c r="J140" s="294"/>
      <c r="K140" s="295">
        <f t="shared" si="20"/>
        <v>0</v>
      </c>
      <c r="L140" s="294"/>
      <c r="M140" s="294"/>
      <c r="N140" s="295">
        <f t="shared" si="21"/>
        <v>0</v>
      </c>
    </row>
    <row r="141" spans="1:14" ht="13.5" thickBot="1" x14ac:dyDescent="0.25">
      <c r="A141" s="289" t="s">
        <v>247</v>
      </c>
      <c r="B141" s="270" t="s">
        <v>40</v>
      </c>
      <c r="C141" s="301"/>
      <c r="D141" s="301"/>
      <c r="E141" s="302">
        <f t="shared" si="15"/>
        <v>0</v>
      </c>
      <c r="F141" s="301"/>
      <c r="G141" s="301"/>
      <c r="H141" s="302">
        <f t="shared" si="19"/>
        <v>0</v>
      </c>
      <c r="I141" s="301"/>
      <c r="J141" s="301"/>
      <c r="K141" s="302">
        <f t="shared" si="20"/>
        <v>0</v>
      </c>
      <c r="L141" s="301"/>
      <c r="M141" s="301"/>
      <c r="N141" s="302">
        <f t="shared" si="21"/>
        <v>0</v>
      </c>
    </row>
    <row r="142" spans="1:14" ht="13.5" thickBot="1" x14ac:dyDescent="0.25">
      <c r="A142" s="288" t="s">
        <v>248</v>
      </c>
      <c r="B142" s="278" t="s">
        <v>249</v>
      </c>
      <c r="C142" s="296">
        <f>C141+C140+C139+C138+C137+C128+C127+C111+C105+C88</f>
        <v>0</v>
      </c>
      <c r="D142" s="296">
        <f>D141+D140+D139+D138+D137+D128+D127+D111+D105+D88</f>
        <v>0</v>
      </c>
      <c r="E142" s="297">
        <f t="shared" si="15"/>
        <v>0</v>
      </c>
      <c r="F142" s="296">
        <f>F141+F140+F139+F138+F137+F128+F127+F111+F105+F88</f>
        <v>0</v>
      </c>
      <c r="G142" s="296">
        <f>G141+G140+G139+G138+G137+G128+G127+G111+G105+G88</f>
        <v>0</v>
      </c>
      <c r="H142" s="297">
        <f t="shared" si="19"/>
        <v>0</v>
      </c>
      <c r="I142" s="296">
        <f>I141+I140+I139+I138+I137+I128+I127+I111+I105+I88</f>
        <v>2635804</v>
      </c>
      <c r="J142" s="296">
        <f>J141+J140+J139+J138+J137+J128+J127+J111+J105+J88</f>
        <v>0</v>
      </c>
      <c r="K142" s="297">
        <f t="shared" si="20"/>
        <v>2635804</v>
      </c>
      <c r="L142" s="296">
        <f>L141+L140+L139+L138+L137+L128+L127+L111+L105+L88</f>
        <v>2635804</v>
      </c>
      <c r="M142" s="296">
        <f>M141+M140+M139+M138+M137+M128+M127+M111+M105+M88</f>
        <v>0</v>
      </c>
      <c r="N142" s="297">
        <f t="shared" si="21"/>
        <v>2635804</v>
      </c>
    </row>
    <row r="143" spans="1:14" ht="13.5" thickBot="1" x14ac:dyDescent="0.25">
      <c r="A143" s="290" t="s">
        <v>250</v>
      </c>
      <c r="B143" s="276" t="s">
        <v>251</v>
      </c>
      <c r="C143" s="292">
        <f>SUM(C144:C150)</f>
        <v>0</v>
      </c>
      <c r="D143" s="292">
        <f>SUM(D144:D150)</f>
        <v>0</v>
      </c>
      <c r="E143" s="293">
        <f t="shared" si="15"/>
        <v>0</v>
      </c>
      <c r="F143" s="292">
        <f>SUM(F144:F150)</f>
        <v>0</v>
      </c>
      <c r="G143" s="292">
        <f>SUM(G144:G150)</f>
        <v>0</v>
      </c>
      <c r="H143" s="293">
        <f t="shared" si="19"/>
        <v>0</v>
      </c>
      <c r="I143" s="292">
        <f>SUM(I144:I150)</f>
        <v>0</v>
      </c>
      <c r="J143" s="292">
        <f>SUM(J144:J150)</f>
        <v>0</v>
      </c>
      <c r="K143" s="293">
        <f t="shared" si="20"/>
        <v>0</v>
      </c>
      <c r="L143" s="292">
        <f>SUM(L144:L150)</f>
        <v>0</v>
      </c>
      <c r="M143" s="292">
        <f>SUM(M144:M150)</f>
        <v>0</v>
      </c>
      <c r="N143" s="293">
        <f t="shared" si="21"/>
        <v>0</v>
      </c>
    </row>
    <row r="144" spans="1:14" ht="13.5" hidden="1" thickBot="1" x14ac:dyDescent="0.25">
      <c r="A144" s="286" t="s">
        <v>252</v>
      </c>
      <c r="B144" s="266" t="s">
        <v>253</v>
      </c>
      <c r="C144" s="279"/>
      <c r="D144" s="279"/>
      <c r="E144" s="280">
        <f t="shared" si="15"/>
        <v>0</v>
      </c>
      <c r="F144" s="279"/>
      <c r="G144" s="279"/>
      <c r="H144" s="280">
        <f t="shared" si="19"/>
        <v>0</v>
      </c>
      <c r="I144" s="279"/>
      <c r="J144" s="279"/>
      <c r="K144" s="280">
        <f t="shared" si="20"/>
        <v>0</v>
      </c>
      <c r="L144" s="279"/>
      <c r="M144" s="279"/>
      <c r="N144" s="280">
        <f t="shared" si="21"/>
        <v>0</v>
      </c>
    </row>
    <row r="145" spans="1:14" ht="13.5" hidden="1" thickBot="1" x14ac:dyDescent="0.25">
      <c r="A145" s="286" t="s">
        <v>254</v>
      </c>
      <c r="B145" s="266" t="s">
        <v>255</v>
      </c>
      <c r="C145" s="279"/>
      <c r="D145" s="279"/>
      <c r="E145" s="280">
        <f t="shared" si="15"/>
        <v>0</v>
      </c>
      <c r="F145" s="279"/>
      <c r="G145" s="279"/>
      <c r="H145" s="280">
        <f t="shared" si="19"/>
        <v>0</v>
      </c>
      <c r="I145" s="279"/>
      <c r="J145" s="279"/>
      <c r="K145" s="280">
        <f t="shared" si="20"/>
        <v>0</v>
      </c>
      <c r="L145" s="279"/>
      <c r="M145" s="279"/>
      <c r="N145" s="280">
        <f t="shared" si="21"/>
        <v>0</v>
      </c>
    </row>
    <row r="146" spans="1:14" ht="13.5" hidden="1" thickBot="1" x14ac:dyDescent="0.25">
      <c r="A146" s="286" t="s">
        <v>541</v>
      </c>
      <c r="B146" s="266" t="s">
        <v>542</v>
      </c>
      <c r="C146" s="279"/>
      <c r="D146" s="279"/>
      <c r="E146" s="280"/>
      <c r="F146" s="279"/>
      <c r="G146" s="279"/>
      <c r="H146" s="280"/>
      <c r="I146" s="279"/>
      <c r="J146" s="279"/>
      <c r="K146" s="280"/>
      <c r="L146" s="279"/>
      <c r="M146" s="279"/>
      <c r="N146" s="280"/>
    </row>
    <row r="147" spans="1:14" ht="13.5" hidden="1" thickBot="1" x14ac:dyDescent="0.25">
      <c r="A147" s="286" t="s">
        <v>256</v>
      </c>
      <c r="B147" s="266" t="s">
        <v>257</v>
      </c>
      <c r="C147" s="279"/>
      <c r="D147" s="279"/>
      <c r="E147" s="280">
        <f t="shared" si="15"/>
        <v>0</v>
      </c>
      <c r="F147" s="279"/>
      <c r="G147" s="279"/>
      <c r="H147" s="280">
        <f t="shared" ref="H147:H150" si="22">SUM(F147:G147)</f>
        <v>0</v>
      </c>
      <c r="I147" s="279"/>
      <c r="J147" s="279"/>
      <c r="K147" s="280">
        <f t="shared" ref="K147:K150" si="23">SUM(I147:J147)</f>
        <v>0</v>
      </c>
      <c r="L147" s="279"/>
      <c r="M147" s="279"/>
      <c r="N147" s="280">
        <f t="shared" ref="N147:N150" si="24">SUM(L147:M147)</f>
        <v>0</v>
      </c>
    </row>
    <row r="148" spans="1:14" ht="13.5" hidden="1" thickBot="1" x14ac:dyDescent="0.25">
      <c r="A148" s="286" t="s">
        <v>258</v>
      </c>
      <c r="B148" s="266" t="s">
        <v>259</v>
      </c>
      <c r="C148" s="279"/>
      <c r="D148" s="279"/>
      <c r="E148" s="280">
        <f t="shared" si="15"/>
        <v>0</v>
      </c>
      <c r="F148" s="279"/>
      <c r="G148" s="279"/>
      <c r="H148" s="280">
        <f t="shared" si="22"/>
        <v>0</v>
      </c>
      <c r="I148" s="279"/>
      <c r="J148" s="279"/>
      <c r="K148" s="280">
        <f t="shared" si="23"/>
        <v>0</v>
      </c>
      <c r="L148" s="279"/>
      <c r="M148" s="279"/>
      <c r="N148" s="280">
        <f t="shared" si="24"/>
        <v>0</v>
      </c>
    </row>
    <row r="149" spans="1:14" ht="13.5" hidden="1" thickBot="1" x14ac:dyDescent="0.25">
      <c r="A149" s="286" t="s">
        <v>260</v>
      </c>
      <c r="B149" s="266" t="s">
        <v>261</v>
      </c>
      <c r="C149" s="279"/>
      <c r="D149" s="279"/>
      <c r="E149" s="280">
        <f t="shared" si="15"/>
        <v>0</v>
      </c>
      <c r="F149" s="279"/>
      <c r="G149" s="279"/>
      <c r="H149" s="280">
        <f t="shared" si="22"/>
        <v>0</v>
      </c>
      <c r="I149" s="279"/>
      <c r="J149" s="279"/>
      <c r="K149" s="280">
        <f t="shared" si="23"/>
        <v>0</v>
      </c>
      <c r="L149" s="279"/>
      <c r="M149" s="279"/>
      <c r="N149" s="280">
        <f t="shared" si="24"/>
        <v>0</v>
      </c>
    </row>
    <row r="150" spans="1:14" ht="13.5" hidden="1" thickBot="1" x14ac:dyDescent="0.25">
      <c r="A150" s="287"/>
      <c r="B150" s="268" t="s">
        <v>262</v>
      </c>
      <c r="C150" s="303"/>
      <c r="D150" s="294"/>
      <c r="E150" s="295">
        <f t="shared" si="15"/>
        <v>0</v>
      </c>
      <c r="F150" s="303"/>
      <c r="G150" s="294"/>
      <c r="H150" s="295">
        <f t="shared" si="22"/>
        <v>0</v>
      </c>
      <c r="I150" s="303"/>
      <c r="J150" s="294"/>
      <c r="K150" s="295">
        <f t="shared" si="23"/>
        <v>0</v>
      </c>
      <c r="L150" s="303"/>
      <c r="M150" s="294"/>
      <c r="N150" s="295">
        <f t="shared" si="24"/>
        <v>0</v>
      </c>
    </row>
    <row r="151" spans="1:14" ht="13.5" thickBot="1" x14ac:dyDescent="0.25">
      <c r="A151" s="288" t="s">
        <v>265</v>
      </c>
      <c r="B151" s="278" t="s">
        <v>263</v>
      </c>
      <c r="C151" s="296">
        <f>C143+C142</f>
        <v>0</v>
      </c>
      <c r="D151" s="304">
        <f>D143+D142</f>
        <v>0</v>
      </c>
      <c r="E151" s="305">
        <f>SUM(C151:D151)</f>
        <v>0</v>
      </c>
      <c r="F151" s="296">
        <f>F143+F142</f>
        <v>0</v>
      </c>
      <c r="G151" s="304">
        <f>G143+G142</f>
        <v>0</v>
      </c>
      <c r="H151" s="305">
        <f>SUM(F151:G151)</f>
        <v>0</v>
      </c>
      <c r="I151" s="296">
        <f>I143+I142</f>
        <v>2635804</v>
      </c>
      <c r="J151" s="304">
        <f>J143+J142</f>
        <v>0</v>
      </c>
      <c r="K151" s="305">
        <f>SUM(I151:J151)</f>
        <v>2635804</v>
      </c>
      <c r="L151" s="296">
        <f>L143+L142</f>
        <v>2635804</v>
      </c>
      <c r="M151" s="304">
        <f>M143+M142</f>
        <v>0</v>
      </c>
      <c r="N151" s="305">
        <f>SUM(L151:M151)</f>
        <v>2635804</v>
      </c>
    </row>
    <row r="152" spans="1:14" x14ac:dyDescent="0.2">
      <c r="D152" s="291"/>
      <c r="E152" s="291"/>
      <c r="G152" s="291"/>
      <c r="H152" s="291"/>
      <c r="J152" s="291"/>
      <c r="K152" s="291"/>
      <c r="M152" s="291"/>
      <c r="N152" s="291"/>
    </row>
    <row r="153" spans="1:14" ht="15" x14ac:dyDescent="0.25">
      <c r="E153" s="148">
        <f>E85-E151</f>
        <v>0</v>
      </c>
      <c r="H153" s="148">
        <f>H85-H151</f>
        <v>0</v>
      </c>
      <c r="K153" s="148">
        <f>K85-K151</f>
        <v>-2635804</v>
      </c>
      <c r="N153" s="148">
        <f>N85-N151</f>
        <v>-2635804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4" fitToHeight="0" orientation="portrait" horizontalDpi="300" verticalDpi="300" r:id="rId1"/>
  <headerFooter>
    <oddFooter>&amp;R&amp;P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N153"/>
  <sheetViews>
    <sheetView zoomScaleNormal="100" workbookViewId="0">
      <pane ySplit="8" topLeftCell="A111" activePane="bottomLeft" state="frozen"/>
      <selection activeCell="AB159" sqref="AB159"/>
      <selection pane="bottomLeft" activeCell="J2" sqref="J2"/>
    </sheetView>
  </sheetViews>
  <sheetFormatPr defaultRowHeight="12.75" x14ac:dyDescent="0.2"/>
  <cols>
    <col min="1" max="1" width="9.140625" style="81"/>
    <col min="2" max="2" width="59.140625" style="81" bestFit="1" customWidth="1"/>
    <col min="3" max="4" width="9.140625" style="81"/>
    <col min="5" max="5" width="9.85546875" style="81" customWidth="1"/>
    <col min="6" max="7" width="9.140625" style="81"/>
    <col min="8" max="8" width="9.85546875" style="81" customWidth="1"/>
    <col min="9" max="10" width="9.140625" style="81"/>
    <col min="11" max="11" width="9.85546875" style="81" customWidth="1"/>
    <col min="12" max="13" width="9.140625" style="81"/>
    <col min="14" max="14" width="9.85546875" style="81" customWidth="1"/>
    <col min="15" max="16384" width="9.140625" style="8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">
      <c r="A4" s="79" t="s">
        <v>270</v>
      </c>
      <c r="C4" s="45" t="str">
        <f>'7.28  óvoda 091140'!C4</f>
        <v xml:space="preserve"> 12 / 2020. (VI.15) sz rendelet</v>
      </c>
    </row>
    <row r="5" spans="1:14" x14ac:dyDescent="0.2">
      <c r="A5" s="90" t="s">
        <v>563</v>
      </c>
      <c r="B5" s="79" t="s">
        <v>564</v>
      </c>
    </row>
    <row r="6" spans="1:14" x14ac:dyDescent="0.2">
      <c r="A6" s="90" t="s">
        <v>912</v>
      </c>
      <c r="C6" s="713" t="s">
        <v>757</v>
      </c>
      <c r="D6" s="715" t="str">
        <f>'7.28  óvoda 091140'!D6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3.5" thickBot="1" x14ac:dyDescent="0.25"/>
    <row r="8" spans="1:14" ht="39" thickBot="1" x14ac:dyDescent="0.25">
      <c r="A8" s="259" t="s">
        <v>42</v>
      </c>
      <c r="B8" s="260" t="s">
        <v>23</v>
      </c>
      <c r="C8" s="259" t="s">
        <v>32</v>
      </c>
      <c r="D8" s="261" t="s">
        <v>33</v>
      </c>
      <c r="E8" s="262" t="s">
        <v>21</v>
      </c>
      <c r="F8" s="259" t="s">
        <v>32</v>
      </c>
      <c r="G8" s="261" t="s">
        <v>33</v>
      </c>
      <c r="H8" s="262" t="s">
        <v>825</v>
      </c>
      <c r="I8" s="259" t="s">
        <v>32</v>
      </c>
      <c r="J8" s="261" t="s">
        <v>33</v>
      </c>
      <c r="K8" s="199" t="s">
        <v>864</v>
      </c>
      <c r="L8" s="259" t="s">
        <v>32</v>
      </c>
      <c r="M8" s="261" t="s">
        <v>33</v>
      </c>
      <c r="N8" s="199" t="s">
        <v>908</v>
      </c>
    </row>
    <row r="9" spans="1:14" ht="13.5" thickBot="1" x14ac:dyDescent="0.25">
      <c r="A9" s="263" t="s">
        <v>43</v>
      </c>
      <c r="B9" s="264" t="s">
        <v>44</v>
      </c>
      <c r="C9" s="292">
        <f>SUM(C10,C17,C18,C20,C21,C19)</f>
        <v>0</v>
      </c>
      <c r="D9" s="292">
        <f>SUM(D10,D17,D18,D20,D21,D19)</f>
        <v>0</v>
      </c>
      <c r="E9" s="293">
        <f t="shared" ref="E9:E73" si="0">SUM(C9:D9)</f>
        <v>0</v>
      </c>
      <c r="F9" s="292">
        <f>SUM(F10,F17,F18,F20,F21,F19)</f>
        <v>0</v>
      </c>
      <c r="G9" s="292">
        <f>SUM(G10,G17,G18,G20,G21,G19)</f>
        <v>0</v>
      </c>
      <c r="H9" s="293">
        <f t="shared" ref="H9:H73" si="1">SUM(F9:G9)</f>
        <v>0</v>
      </c>
      <c r="I9" s="292">
        <f>SUM(I10,I17,I18,I20,I21,I19)</f>
        <v>0</v>
      </c>
      <c r="J9" s="292">
        <f>SUM(J10,J17,J18,J20,J21,J19)</f>
        <v>0</v>
      </c>
      <c r="K9" s="293">
        <f t="shared" ref="K9:K73" si="2">SUM(I9:J9)</f>
        <v>0</v>
      </c>
      <c r="L9" s="292">
        <f>SUM(L10,L17,L18,L20,L21,L19)</f>
        <v>0</v>
      </c>
      <c r="M9" s="292">
        <f>SUM(M10,M17,M18,M20,M21,M19)</f>
        <v>0</v>
      </c>
      <c r="N9" s="293">
        <f t="shared" ref="N9:N73" si="3">SUM(L9:M9)</f>
        <v>0</v>
      </c>
    </row>
    <row r="10" spans="1:14" ht="13.5" hidden="1" thickBot="1" x14ac:dyDescent="0.25">
      <c r="A10" s="265" t="s">
        <v>45</v>
      </c>
      <c r="B10" s="266" t="s">
        <v>46</v>
      </c>
      <c r="C10" s="279">
        <f>SUM(C11:C16)</f>
        <v>0</v>
      </c>
      <c r="D10" s="279">
        <f>SUM(D11:D16)</f>
        <v>0</v>
      </c>
      <c r="E10" s="280">
        <f t="shared" si="0"/>
        <v>0</v>
      </c>
      <c r="F10" s="279">
        <f>SUM(F11:F16)</f>
        <v>0</v>
      </c>
      <c r="G10" s="279">
        <f>SUM(G11:G16)</f>
        <v>0</v>
      </c>
      <c r="H10" s="280">
        <f t="shared" si="1"/>
        <v>0</v>
      </c>
      <c r="I10" s="279">
        <f>SUM(I11:I16)</f>
        <v>0</v>
      </c>
      <c r="J10" s="279">
        <f>SUM(J11:J16)</f>
        <v>0</v>
      </c>
      <c r="K10" s="280">
        <f t="shared" si="2"/>
        <v>0</v>
      </c>
      <c r="L10" s="279">
        <f>SUM(L11:L16)</f>
        <v>0</v>
      </c>
      <c r="M10" s="279">
        <f>SUM(M11:M16)</f>
        <v>0</v>
      </c>
      <c r="N10" s="280">
        <f t="shared" si="3"/>
        <v>0</v>
      </c>
    </row>
    <row r="11" spans="1:14" ht="13.5" hidden="1" thickBot="1" x14ac:dyDescent="0.25">
      <c r="A11" s="265" t="s">
        <v>47</v>
      </c>
      <c r="B11" s="266" t="s">
        <v>48</v>
      </c>
      <c r="C11" s="279"/>
      <c r="D11" s="279"/>
      <c r="E11" s="280">
        <f t="shared" si="0"/>
        <v>0</v>
      </c>
      <c r="F11" s="279"/>
      <c r="G11" s="279"/>
      <c r="H11" s="280">
        <f t="shared" si="1"/>
        <v>0</v>
      </c>
      <c r="I11" s="279"/>
      <c r="J11" s="279"/>
      <c r="K11" s="280">
        <f t="shared" si="2"/>
        <v>0</v>
      </c>
      <c r="L11" s="279"/>
      <c r="M11" s="279"/>
      <c r="N11" s="280">
        <f t="shared" si="3"/>
        <v>0</v>
      </c>
    </row>
    <row r="12" spans="1:14" ht="13.5" hidden="1" thickBot="1" x14ac:dyDescent="0.25">
      <c r="A12" s="265" t="s">
        <v>49</v>
      </c>
      <c r="B12" s="266" t="s">
        <v>50</v>
      </c>
      <c r="C12" s="279"/>
      <c r="D12" s="279"/>
      <c r="E12" s="280">
        <f t="shared" si="0"/>
        <v>0</v>
      </c>
      <c r="F12" s="279"/>
      <c r="G12" s="279"/>
      <c r="H12" s="280">
        <f t="shared" si="1"/>
        <v>0</v>
      </c>
      <c r="I12" s="279"/>
      <c r="J12" s="279"/>
      <c r="K12" s="280">
        <f t="shared" si="2"/>
        <v>0</v>
      </c>
      <c r="L12" s="279"/>
      <c r="M12" s="279"/>
      <c r="N12" s="280">
        <f t="shared" si="3"/>
        <v>0</v>
      </c>
    </row>
    <row r="13" spans="1:14" ht="13.5" hidden="1" thickBot="1" x14ac:dyDescent="0.25">
      <c r="A13" s="265" t="s">
        <v>51</v>
      </c>
      <c r="B13" s="266" t="s">
        <v>52</v>
      </c>
      <c r="C13" s="279"/>
      <c r="D13" s="279"/>
      <c r="E13" s="280">
        <f t="shared" si="0"/>
        <v>0</v>
      </c>
      <c r="F13" s="279"/>
      <c r="G13" s="279"/>
      <c r="H13" s="280">
        <f t="shared" si="1"/>
        <v>0</v>
      </c>
      <c r="I13" s="279"/>
      <c r="J13" s="279"/>
      <c r="K13" s="280">
        <f t="shared" si="2"/>
        <v>0</v>
      </c>
      <c r="L13" s="279"/>
      <c r="M13" s="279"/>
      <c r="N13" s="280">
        <f t="shared" si="3"/>
        <v>0</v>
      </c>
    </row>
    <row r="14" spans="1:14" ht="13.5" hidden="1" thickBot="1" x14ac:dyDescent="0.25">
      <c r="A14" s="265" t="s">
        <v>53</v>
      </c>
      <c r="B14" s="266" t="s">
        <v>54</v>
      </c>
      <c r="C14" s="279"/>
      <c r="D14" s="279"/>
      <c r="E14" s="280">
        <f t="shared" si="0"/>
        <v>0</v>
      </c>
      <c r="F14" s="279"/>
      <c r="G14" s="279"/>
      <c r="H14" s="280">
        <f t="shared" si="1"/>
        <v>0</v>
      </c>
      <c r="I14" s="279"/>
      <c r="J14" s="279"/>
      <c r="K14" s="280">
        <f t="shared" si="2"/>
        <v>0</v>
      </c>
      <c r="L14" s="279"/>
      <c r="M14" s="279"/>
      <c r="N14" s="280">
        <f t="shared" si="3"/>
        <v>0</v>
      </c>
    </row>
    <row r="15" spans="1:14" ht="13.5" hidden="1" thickBot="1" x14ac:dyDescent="0.25">
      <c r="A15" s="265" t="s">
        <v>55</v>
      </c>
      <c r="B15" s="266" t="s">
        <v>56</v>
      </c>
      <c r="C15" s="279"/>
      <c r="D15" s="279"/>
      <c r="E15" s="280">
        <f t="shared" si="0"/>
        <v>0</v>
      </c>
      <c r="F15" s="279"/>
      <c r="G15" s="279"/>
      <c r="H15" s="280">
        <f t="shared" si="1"/>
        <v>0</v>
      </c>
      <c r="I15" s="279"/>
      <c r="J15" s="279"/>
      <c r="K15" s="280">
        <f t="shared" si="2"/>
        <v>0</v>
      </c>
      <c r="L15" s="279"/>
      <c r="M15" s="279"/>
      <c r="N15" s="280">
        <f t="shared" si="3"/>
        <v>0</v>
      </c>
    </row>
    <row r="16" spans="1:14" ht="13.5" hidden="1" thickBot="1" x14ac:dyDescent="0.25">
      <c r="A16" s="265" t="s">
        <v>57</v>
      </c>
      <c r="B16" s="266" t="s">
        <v>58</v>
      </c>
      <c r="C16" s="279"/>
      <c r="D16" s="279"/>
      <c r="E16" s="280">
        <f t="shared" si="0"/>
        <v>0</v>
      </c>
      <c r="F16" s="279"/>
      <c r="G16" s="279"/>
      <c r="H16" s="280">
        <f t="shared" si="1"/>
        <v>0</v>
      </c>
      <c r="I16" s="279"/>
      <c r="J16" s="279"/>
      <c r="K16" s="280">
        <f t="shared" si="2"/>
        <v>0</v>
      </c>
      <c r="L16" s="279"/>
      <c r="M16" s="279"/>
      <c r="N16" s="280">
        <f t="shared" si="3"/>
        <v>0</v>
      </c>
    </row>
    <row r="17" spans="1:14" ht="13.5" hidden="1" thickBot="1" x14ac:dyDescent="0.25">
      <c r="A17" s="265" t="s">
        <v>59</v>
      </c>
      <c r="B17" s="266" t="s">
        <v>60</v>
      </c>
      <c r="C17" s="279"/>
      <c r="D17" s="279"/>
      <c r="E17" s="280">
        <f t="shared" si="0"/>
        <v>0</v>
      </c>
      <c r="F17" s="279"/>
      <c r="G17" s="279"/>
      <c r="H17" s="280">
        <f t="shared" si="1"/>
        <v>0</v>
      </c>
      <c r="I17" s="279"/>
      <c r="J17" s="279"/>
      <c r="K17" s="280">
        <f t="shared" si="2"/>
        <v>0</v>
      </c>
      <c r="L17" s="279"/>
      <c r="M17" s="279"/>
      <c r="N17" s="280">
        <f t="shared" si="3"/>
        <v>0</v>
      </c>
    </row>
    <row r="18" spans="1:14" ht="13.5" hidden="1" thickBot="1" x14ac:dyDescent="0.25">
      <c r="A18" s="265" t="s">
        <v>61</v>
      </c>
      <c r="B18" s="266" t="s">
        <v>62</v>
      </c>
      <c r="C18" s="279"/>
      <c r="D18" s="279"/>
      <c r="E18" s="280">
        <f t="shared" si="0"/>
        <v>0</v>
      </c>
      <c r="F18" s="279"/>
      <c r="G18" s="279"/>
      <c r="H18" s="280">
        <f t="shared" si="1"/>
        <v>0</v>
      </c>
      <c r="I18" s="279"/>
      <c r="J18" s="279"/>
      <c r="K18" s="280">
        <f t="shared" si="2"/>
        <v>0</v>
      </c>
      <c r="L18" s="279"/>
      <c r="M18" s="279"/>
      <c r="N18" s="280">
        <f t="shared" si="3"/>
        <v>0</v>
      </c>
    </row>
    <row r="19" spans="1:14" ht="13.5" hidden="1" thickBot="1" x14ac:dyDescent="0.25">
      <c r="A19" s="267" t="s">
        <v>266</v>
      </c>
      <c r="B19" s="268" t="s">
        <v>267</v>
      </c>
      <c r="C19" s="279"/>
      <c r="D19" s="279"/>
      <c r="E19" s="280">
        <f t="shared" si="0"/>
        <v>0</v>
      </c>
      <c r="F19" s="279"/>
      <c r="G19" s="279"/>
      <c r="H19" s="280">
        <f t="shared" si="1"/>
        <v>0</v>
      </c>
      <c r="I19" s="279"/>
      <c r="J19" s="279"/>
      <c r="K19" s="280">
        <f t="shared" si="2"/>
        <v>0</v>
      </c>
      <c r="L19" s="279"/>
      <c r="M19" s="279"/>
      <c r="N19" s="280">
        <f t="shared" si="3"/>
        <v>0</v>
      </c>
    </row>
    <row r="20" spans="1:14" ht="13.5" hidden="1" thickBot="1" x14ac:dyDescent="0.25">
      <c r="A20" s="267" t="s">
        <v>63</v>
      </c>
      <c r="B20" s="268" t="s">
        <v>64</v>
      </c>
      <c r="C20" s="279"/>
      <c r="D20" s="279"/>
      <c r="E20" s="280">
        <f t="shared" si="0"/>
        <v>0</v>
      </c>
      <c r="F20" s="279"/>
      <c r="G20" s="279"/>
      <c r="H20" s="280">
        <f t="shared" si="1"/>
        <v>0</v>
      </c>
      <c r="I20" s="279"/>
      <c r="J20" s="279"/>
      <c r="K20" s="280">
        <f t="shared" si="2"/>
        <v>0</v>
      </c>
      <c r="L20" s="279"/>
      <c r="M20" s="279"/>
      <c r="N20" s="280">
        <f t="shared" si="3"/>
        <v>0</v>
      </c>
    </row>
    <row r="21" spans="1:14" ht="13.5" hidden="1" thickBot="1" x14ac:dyDescent="0.25">
      <c r="A21" s="267" t="s">
        <v>65</v>
      </c>
      <c r="B21" s="268" t="s">
        <v>66</v>
      </c>
      <c r="C21" s="294"/>
      <c r="D21" s="294"/>
      <c r="E21" s="295">
        <f t="shared" si="0"/>
        <v>0</v>
      </c>
      <c r="F21" s="294"/>
      <c r="G21" s="294"/>
      <c r="H21" s="295">
        <f t="shared" si="1"/>
        <v>0</v>
      </c>
      <c r="I21" s="294"/>
      <c r="J21" s="294"/>
      <c r="K21" s="295">
        <f t="shared" si="2"/>
        <v>0</v>
      </c>
      <c r="L21" s="294"/>
      <c r="M21" s="294"/>
      <c r="N21" s="295">
        <f t="shared" si="3"/>
        <v>0</v>
      </c>
    </row>
    <row r="22" spans="1:14" x14ac:dyDescent="0.2">
      <c r="A22" s="269" t="s">
        <v>67</v>
      </c>
      <c r="B22" s="270" t="s">
        <v>27</v>
      </c>
      <c r="C22" s="292">
        <f>SUM(C23:C24)</f>
        <v>0</v>
      </c>
      <c r="D22" s="292">
        <f>SUM(D23:D24)</f>
        <v>0</v>
      </c>
      <c r="E22" s="293">
        <f t="shared" si="0"/>
        <v>0</v>
      </c>
      <c r="F22" s="292">
        <f>SUM(F23:F24)</f>
        <v>0</v>
      </c>
      <c r="G22" s="292">
        <f>SUM(G23:G24)</f>
        <v>0</v>
      </c>
      <c r="H22" s="293">
        <f t="shared" si="1"/>
        <v>0</v>
      </c>
      <c r="I22" s="292">
        <f>SUM(I23:I24)</f>
        <v>0</v>
      </c>
      <c r="J22" s="292">
        <f>SUM(J23:J24)</f>
        <v>0</v>
      </c>
      <c r="K22" s="293">
        <f t="shared" si="2"/>
        <v>0</v>
      </c>
      <c r="L22" s="292">
        <f>SUM(L23:L24)</f>
        <v>0</v>
      </c>
      <c r="M22" s="292">
        <f>SUM(M23:M24)</f>
        <v>0</v>
      </c>
      <c r="N22" s="293">
        <f t="shared" si="3"/>
        <v>0</v>
      </c>
    </row>
    <row r="23" spans="1:14" hidden="1" x14ac:dyDescent="0.2">
      <c r="A23" s="271"/>
      <c r="B23" s="272" t="s">
        <v>268</v>
      </c>
      <c r="C23" s="279"/>
      <c r="D23" s="279"/>
      <c r="E23" s="280">
        <f t="shared" si="0"/>
        <v>0</v>
      </c>
      <c r="F23" s="279"/>
      <c r="G23" s="279"/>
      <c r="H23" s="280">
        <f t="shared" si="1"/>
        <v>0</v>
      </c>
      <c r="I23" s="279"/>
      <c r="J23" s="279"/>
      <c r="K23" s="280">
        <f t="shared" si="2"/>
        <v>0</v>
      </c>
      <c r="L23" s="279"/>
      <c r="M23" s="279"/>
      <c r="N23" s="280">
        <f t="shared" si="3"/>
        <v>0</v>
      </c>
    </row>
    <row r="24" spans="1:14" ht="13.5" hidden="1" thickBot="1" x14ac:dyDescent="0.25">
      <c r="A24" s="273"/>
      <c r="B24" s="274" t="s">
        <v>269</v>
      </c>
      <c r="C24" s="294"/>
      <c r="D24" s="294"/>
      <c r="E24" s="295">
        <f t="shared" si="0"/>
        <v>0</v>
      </c>
      <c r="F24" s="294"/>
      <c r="G24" s="294"/>
      <c r="H24" s="295">
        <f t="shared" si="1"/>
        <v>0</v>
      </c>
      <c r="I24" s="294"/>
      <c r="J24" s="294"/>
      <c r="K24" s="295">
        <f t="shared" si="2"/>
        <v>0</v>
      </c>
      <c r="L24" s="294"/>
      <c r="M24" s="294"/>
      <c r="N24" s="295">
        <f t="shared" si="3"/>
        <v>0</v>
      </c>
    </row>
    <row r="25" spans="1:14" ht="13.5" thickBot="1" x14ac:dyDescent="0.25">
      <c r="A25" s="275" t="s">
        <v>68</v>
      </c>
      <c r="B25" s="276" t="s">
        <v>25</v>
      </c>
      <c r="C25" s="292">
        <f>C26+C30+C38</f>
        <v>0</v>
      </c>
      <c r="D25" s="292">
        <f>D26+D30+D38</f>
        <v>0</v>
      </c>
      <c r="E25" s="293">
        <f t="shared" si="0"/>
        <v>0</v>
      </c>
      <c r="F25" s="292">
        <f>F26+F30+F38</f>
        <v>0</v>
      </c>
      <c r="G25" s="292">
        <f>G26+G30+G38</f>
        <v>0</v>
      </c>
      <c r="H25" s="293">
        <f t="shared" si="1"/>
        <v>0</v>
      </c>
      <c r="I25" s="292">
        <f>I26+I30+I38</f>
        <v>0</v>
      </c>
      <c r="J25" s="292">
        <f>J26+J30+J38</f>
        <v>0</v>
      </c>
      <c r="K25" s="293">
        <f t="shared" si="2"/>
        <v>0</v>
      </c>
      <c r="L25" s="292">
        <f>L26+L30+L38</f>
        <v>0</v>
      </c>
      <c r="M25" s="292">
        <f>M26+M30+M38</f>
        <v>0</v>
      </c>
      <c r="N25" s="293">
        <f t="shared" si="3"/>
        <v>0</v>
      </c>
    </row>
    <row r="26" spans="1:14" ht="13.5" hidden="1" thickBot="1" x14ac:dyDescent="0.25">
      <c r="A26" s="265" t="s">
        <v>69</v>
      </c>
      <c r="B26" s="266" t="s">
        <v>70</v>
      </c>
      <c r="C26" s="279">
        <f>SUM(C27:C29)</f>
        <v>0</v>
      </c>
      <c r="D26" s="279">
        <f>SUM(D27:D29)</f>
        <v>0</v>
      </c>
      <c r="E26" s="280">
        <f t="shared" si="0"/>
        <v>0</v>
      </c>
      <c r="F26" s="279">
        <f>SUM(F27:F29)</f>
        <v>0</v>
      </c>
      <c r="G26" s="279">
        <f>SUM(G27:G29)</f>
        <v>0</v>
      </c>
      <c r="H26" s="280">
        <f t="shared" si="1"/>
        <v>0</v>
      </c>
      <c r="I26" s="279">
        <f>SUM(I27:I29)</f>
        <v>0</v>
      </c>
      <c r="J26" s="279">
        <f>SUM(J27:J29)</f>
        <v>0</v>
      </c>
      <c r="K26" s="280">
        <f t="shared" si="2"/>
        <v>0</v>
      </c>
      <c r="L26" s="279">
        <f>SUM(L27:L29)</f>
        <v>0</v>
      </c>
      <c r="M26" s="279">
        <f>SUM(M27:M29)</f>
        <v>0</v>
      </c>
      <c r="N26" s="280">
        <f t="shared" si="3"/>
        <v>0</v>
      </c>
    </row>
    <row r="27" spans="1:14" ht="13.5" hidden="1" thickBot="1" x14ac:dyDescent="0.25">
      <c r="A27" s="265"/>
      <c r="B27" s="266" t="s">
        <v>71</v>
      </c>
      <c r="C27" s="279"/>
      <c r="D27" s="279"/>
      <c r="E27" s="280">
        <f t="shared" si="0"/>
        <v>0</v>
      </c>
      <c r="F27" s="279"/>
      <c r="G27" s="279"/>
      <c r="H27" s="280">
        <f t="shared" si="1"/>
        <v>0</v>
      </c>
      <c r="I27" s="279"/>
      <c r="J27" s="279"/>
      <c r="K27" s="280">
        <f t="shared" si="2"/>
        <v>0</v>
      </c>
      <c r="L27" s="279"/>
      <c r="M27" s="279"/>
      <c r="N27" s="280">
        <f t="shared" si="3"/>
        <v>0</v>
      </c>
    </row>
    <row r="28" spans="1:14" ht="13.5" hidden="1" thickBot="1" x14ac:dyDescent="0.25">
      <c r="A28" s="265"/>
      <c r="B28" s="266" t="s">
        <v>72</v>
      </c>
      <c r="C28" s="279"/>
      <c r="D28" s="279"/>
      <c r="E28" s="280">
        <f t="shared" si="0"/>
        <v>0</v>
      </c>
      <c r="F28" s="279"/>
      <c r="G28" s="279"/>
      <c r="H28" s="280">
        <f t="shared" si="1"/>
        <v>0</v>
      </c>
      <c r="I28" s="279"/>
      <c r="J28" s="279"/>
      <c r="K28" s="280">
        <f t="shared" si="2"/>
        <v>0</v>
      </c>
      <c r="L28" s="279"/>
      <c r="M28" s="279"/>
      <c r="N28" s="280">
        <f t="shared" si="3"/>
        <v>0</v>
      </c>
    </row>
    <row r="29" spans="1:14" ht="13.5" hidden="1" thickBot="1" x14ac:dyDescent="0.25">
      <c r="A29" s="265"/>
      <c r="B29" s="266" t="s">
        <v>73</v>
      </c>
      <c r="C29" s="279"/>
      <c r="D29" s="279"/>
      <c r="E29" s="280">
        <f t="shared" si="0"/>
        <v>0</v>
      </c>
      <c r="F29" s="279"/>
      <c r="G29" s="279"/>
      <c r="H29" s="280">
        <f t="shared" si="1"/>
        <v>0</v>
      </c>
      <c r="I29" s="279"/>
      <c r="J29" s="279"/>
      <c r="K29" s="280">
        <f t="shared" si="2"/>
        <v>0</v>
      </c>
      <c r="L29" s="279"/>
      <c r="M29" s="279"/>
      <c r="N29" s="280">
        <f t="shared" si="3"/>
        <v>0</v>
      </c>
    </row>
    <row r="30" spans="1:14" ht="13.5" hidden="1" thickBot="1" x14ac:dyDescent="0.25">
      <c r="A30" s="265" t="s">
        <v>74</v>
      </c>
      <c r="B30" s="266" t="s">
        <v>75</v>
      </c>
      <c r="C30" s="279">
        <f>C31+C33+C34</f>
        <v>0</v>
      </c>
      <c r="D30" s="279">
        <f>D31+D33+D34</f>
        <v>0</v>
      </c>
      <c r="E30" s="280">
        <f t="shared" si="0"/>
        <v>0</v>
      </c>
      <c r="F30" s="279">
        <f>F31+F33+F34</f>
        <v>0</v>
      </c>
      <c r="G30" s="279">
        <f>G31+G33+G34</f>
        <v>0</v>
      </c>
      <c r="H30" s="280">
        <f t="shared" si="1"/>
        <v>0</v>
      </c>
      <c r="I30" s="279">
        <f>I31+I33+I34</f>
        <v>0</v>
      </c>
      <c r="J30" s="279">
        <f>J31+J33+J34</f>
        <v>0</v>
      </c>
      <c r="K30" s="280">
        <f t="shared" si="2"/>
        <v>0</v>
      </c>
      <c r="L30" s="279">
        <f>L31+L33+L34</f>
        <v>0</v>
      </c>
      <c r="M30" s="279">
        <f>M31+M33+M34</f>
        <v>0</v>
      </c>
      <c r="N30" s="280">
        <f t="shared" si="3"/>
        <v>0</v>
      </c>
    </row>
    <row r="31" spans="1:14" ht="13.5" hidden="1" thickBot="1" x14ac:dyDescent="0.25">
      <c r="A31" s="265" t="s">
        <v>76</v>
      </c>
      <c r="B31" s="266" t="s">
        <v>77</v>
      </c>
      <c r="C31" s="279">
        <f>C32</f>
        <v>0</v>
      </c>
      <c r="D31" s="279">
        <f>D32</f>
        <v>0</v>
      </c>
      <c r="E31" s="280">
        <f t="shared" si="0"/>
        <v>0</v>
      </c>
      <c r="F31" s="279">
        <f>F32</f>
        <v>0</v>
      </c>
      <c r="G31" s="279">
        <f>G32</f>
        <v>0</v>
      </c>
      <c r="H31" s="280">
        <f t="shared" si="1"/>
        <v>0</v>
      </c>
      <c r="I31" s="279">
        <f>I32</f>
        <v>0</v>
      </c>
      <c r="J31" s="279">
        <f>J32</f>
        <v>0</v>
      </c>
      <c r="K31" s="280">
        <f t="shared" si="2"/>
        <v>0</v>
      </c>
      <c r="L31" s="279">
        <f>L32</f>
        <v>0</v>
      </c>
      <c r="M31" s="279">
        <f>M32</f>
        <v>0</v>
      </c>
      <c r="N31" s="280">
        <f t="shared" si="3"/>
        <v>0</v>
      </c>
    </row>
    <row r="32" spans="1:14" ht="13.5" hidden="1" thickBot="1" x14ac:dyDescent="0.25">
      <c r="A32" s="265"/>
      <c r="B32" s="266" t="s">
        <v>78</v>
      </c>
      <c r="C32" s="279"/>
      <c r="D32" s="279"/>
      <c r="E32" s="280">
        <f t="shared" si="0"/>
        <v>0</v>
      </c>
      <c r="F32" s="279"/>
      <c r="G32" s="279"/>
      <c r="H32" s="280">
        <f t="shared" si="1"/>
        <v>0</v>
      </c>
      <c r="I32" s="279"/>
      <c r="J32" s="279"/>
      <c r="K32" s="280">
        <f t="shared" si="2"/>
        <v>0</v>
      </c>
      <c r="L32" s="279"/>
      <c r="M32" s="279"/>
      <c r="N32" s="280">
        <f t="shared" si="3"/>
        <v>0</v>
      </c>
    </row>
    <row r="33" spans="1:14" ht="13.5" hidden="1" thickBot="1" x14ac:dyDescent="0.25">
      <c r="A33" s="265" t="s">
        <v>79</v>
      </c>
      <c r="B33" s="266" t="s">
        <v>80</v>
      </c>
      <c r="C33" s="279"/>
      <c r="D33" s="279"/>
      <c r="E33" s="280">
        <f t="shared" si="0"/>
        <v>0</v>
      </c>
      <c r="F33" s="279"/>
      <c r="G33" s="279"/>
      <c r="H33" s="280">
        <f t="shared" si="1"/>
        <v>0</v>
      </c>
      <c r="I33" s="279"/>
      <c r="J33" s="279"/>
      <c r="K33" s="280">
        <f t="shared" si="2"/>
        <v>0</v>
      </c>
      <c r="L33" s="279"/>
      <c r="M33" s="279"/>
      <c r="N33" s="280">
        <f t="shared" si="3"/>
        <v>0</v>
      </c>
    </row>
    <row r="34" spans="1:14" ht="13.5" hidden="1" thickBot="1" x14ac:dyDescent="0.25">
      <c r="A34" s="265" t="s">
        <v>81</v>
      </c>
      <c r="B34" s="266" t="s">
        <v>82</v>
      </c>
      <c r="C34" s="279">
        <f>SUM(C35:C37)</f>
        <v>0</v>
      </c>
      <c r="D34" s="279">
        <f>SUM(D35:D37)</f>
        <v>0</v>
      </c>
      <c r="E34" s="280">
        <f t="shared" si="0"/>
        <v>0</v>
      </c>
      <c r="F34" s="279">
        <f>SUM(F35:F37)</f>
        <v>0</v>
      </c>
      <c r="G34" s="279">
        <f>SUM(G35:G37)</f>
        <v>0</v>
      </c>
      <c r="H34" s="280">
        <f t="shared" si="1"/>
        <v>0</v>
      </c>
      <c r="I34" s="279">
        <f>SUM(I35:I37)</f>
        <v>0</v>
      </c>
      <c r="J34" s="279">
        <f>SUM(J35:J37)</f>
        <v>0</v>
      </c>
      <c r="K34" s="280">
        <f t="shared" si="2"/>
        <v>0</v>
      </c>
      <c r="L34" s="279">
        <f>SUM(L35:L37)</f>
        <v>0</v>
      </c>
      <c r="M34" s="279">
        <f>SUM(M35:M37)</f>
        <v>0</v>
      </c>
      <c r="N34" s="280">
        <f t="shared" si="3"/>
        <v>0</v>
      </c>
    </row>
    <row r="35" spans="1:14" ht="13.5" hidden="1" thickBot="1" x14ac:dyDescent="0.25">
      <c r="A35" s="265"/>
      <c r="B35" s="266" t="s">
        <v>83</v>
      </c>
      <c r="C35" s="279"/>
      <c r="D35" s="279"/>
      <c r="E35" s="280">
        <f t="shared" si="0"/>
        <v>0</v>
      </c>
      <c r="F35" s="279"/>
      <c r="G35" s="279"/>
      <c r="H35" s="280">
        <f t="shared" si="1"/>
        <v>0</v>
      </c>
      <c r="I35" s="279"/>
      <c r="J35" s="279"/>
      <c r="K35" s="280">
        <f t="shared" si="2"/>
        <v>0</v>
      </c>
      <c r="L35" s="279"/>
      <c r="M35" s="279"/>
      <c r="N35" s="280">
        <f t="shared" si="3"/>
        <v>0</v>
      </c>
    </row>
    <row r="36" spans="1:14" ht="13.5" hidden="1" thickBot="1" x14ac:dyDescent="0.25">
      <c r="A36" s="265"/>
      <c r="B36" s="266" t="s">
        <v>84</v>
      </c>
      <c r="C36" s="279"/>
      <c r="D36" s="279"/>
      <c r="E36" s="280">
        <f t="shared" si="0"/>
        <v>0</v>
      </c>
      <c r="F36" s="279"/>
      <c r="G36" s="279"/>
      <c r="H36" s="280">
        <f t="shared" si="1"/>
        <v>0</v>
      </c>
      <c r="I36" s="279"/>
      <c r="J36" s="279"/>
      <c r="K36" s="280">
        <f t="shared" si="2"/>
        <v>0</v>
      </c>
      <c r="L36" s="279"/>
      <c r="M36" s="279"/>
      <c r="N36" s="280">
        <f t="shared" si="3"/>
        <v>0</v>
      </c>
    </row>
    <row r="37" spans="1:14" ht="13.5" hidden="1" thickBot="1" x14ac:dyDescent="0.25">
      <c r="A37" s="265"/>
      <c r="B37" s="266" t="s">
        <v>85</v>
      </c>
      <c r="C37" s="279"/>
      <c r="D37" s="279"/>
      <c r="E37" s="280">
        <f t="shared" si="0"/>
        <v>0</v>
      </c>
      <c r="F37" s="279"/>
      <c r="G37" s="279"/>
      <c r="H37" s="280">
        <f t="shared" si="1"/>
        <v>0</v>
      </c>
      <c r="I37" s="279"/>
      <c r="J37" s="279"/>
      <c r="K37" s="280">
        <f t="shared" si="2"/>
        <v>0</v>
      </c>
      <c r="L37" s="279"/>
      <c r="M37" s="279"/>
      <c r="N37" s="280">
        <f t="shared" si="3"/>
        <v>0</v>
      </c>
    </row>
    <row r="38" spans="1:14" ht="13.5" hidden="1" thickBot="1" x14ac:dyDescent="0.25">
      <c r="A38" s="265" t="s">
        <v>86</v>
      </c>
      <c r="B38" s="266" t="s">
        <v>87</v>
      </c>
      <c r="C38" s="279">
        <f>SUM(C39:C44)</f>
        <v>0</v>
      </c>
      <c r="D38" s="279">
        <f>SUM(D39:D44)</f>
        <v>0</v>
      </c>
      <c r="E38" s="280">
        <f t="shared" si="0"/>
        <v>0</v>
      </c>
      <c r="F38" s="279">
        <f>SUM(F39:F44)</f>
        <v>0</v>
      </c>
      <c r="G38" s="279">
        <f>SUM(G39:G44)</f>
        <v>0</v>
      </c>
      <c r="H38" s="280">
        <f t="shared" si="1"/>
        <v>0</v>
      </c>
      <c r="I38" s="279">
        <f>SUM(I39:I44)</f>
        <v>0</v>
      </c>
      <c r="J38" s="279">
        <f>SUM(J39:J44)</f>
        <v>0</v>
      </c>
      <c r="K38" s="280">
        <f t="shared" si="2"/>
        <v>0</v>
      </c>
      <c r="L38" s="279">
        <f>SUM(L39:L44)</f>
        <v>0</v>
      </c>
      <c r="M38" s="279">
        <f>SUM(M39:M44)</f>
        <v>0</v>
      </c>
      <c r="N38" s="280">
        <f t="shared" si="3"/>
        <v>0</v>
      </c>
    </row>
    <row r="39" spans="1:14" ht="13.5" hidden="1" thickBot="1" x14ac:dyDescent="0.25">
      <c r="A39" s="265"/>
      <c r="B39" s="266" t="s">
        <v>88</v>
      </c>
      <c r="C39" s="279"/>
      <c r="D39" s="279"/>
      <c r="E39" s="280">
        <f t="shared" si="0"/>
        <v>0</v>
      </c>
      <c r="F39" s="279"/>
      <c r="G39" s="279"/>
      <c r="H39" s="280">
        <f t="shared" si="1"/>
        <v>0</v>
      </c>
      <c r="I39" s="279"/>
      <c r="J39" s="279"/>
      <c r="K39" s="280">
        <f t="shared" si="2"/>
        <v>0</v>
      </c>
      <c r="L39" s="279"/>
      <c r="M39" s="279"/>
      <c r="N39" s="280">
        <f t="shared" si="3"/>
        <v>0</v>
      </c>
    </row>
    <row r="40" spans="1:14" ht="13.5" hidden="1" thickBot="1" x14ac:dyDescent="0.25">
      <c r="A40" s="265"/>
      <c r="B40" s="266" t="s">
        <v>89</v>
      </c>
      <c r="C40" s="279"/>
      <c r="D40" s="279"/>
      <c r="E40" s="280">
        <f t="shared" si="0"/>
        <v>0</v>
      </c>
      <c r="F40" s="279"/>
      <c r="G40" s="279"/>
      <c r="H40" s="280">
        <f t="shared" si="1"/>
        <v>0</v>
      </c>
      <c r="I40" s="279"/>
      <c r="J40" s="279"/>
      <c r="K40" s="280">
        <f t="shared" si="2"/>
        <v>0</v>
      </c>
      <c r="L40" s="279"/>
      <c r="M40" s="279"/>
      <c r="N40" s="280">
        <f t="shared" si="3"/>
        <v>0</v>
      </c>
    </row>
    <row r="41" spans="1:14" ht="13.5" hidden="1" thickBot="1" x14ac:dyDescent="0.25">
      <c r="A41" s="265"/>
      <c r="B41" s="266" t="s">
        <v>90</v>
      </c>
      <c r="C41" s="279"/>
      <c r="D41" s="279"/>
      <c r="E41" s="280">
        <f t="shared" si="0"/>
        <v>0</v>
      </c>
      <c r="F41" s="279"/>
      <c r="G41" s="279"/>
      <c r="H41" s="280">
        <f t="shared" si="1"/>
        <v>0</v>
      </c>
      <c r="I41" s="279"/>
      <c r="J41" s="279"/>
      <c r="K41" s="280">
        <f t="shared" si="2"/>
        <v>0</v>
      </c>
      <c r="L41" s="279"/>
      <c r="M41" s="279"/>
      <c r="N41" s="280">
        <f t="shared" si="3"/>
        <v>0</v>
      </c>
    </row>
    <row r="42" spans="1:14" ht="13.5" hidden="1" thickBot="1" x14ac:dyDescent="0.25">
      <c r="A42" s="265"/>
      <c r="B42" s="266" t="s">
        <v>91</v>
      </c>
      <c r="C42" s="279"/>
      <c r="D42" s="279"/>
      <c r="E42" s="280">
        <f t="shared" si="0"/>
        <v>0</v>
      </c>
      <c r="F42" s="279"/>
      <c r="G42" s="279"/>
      <c r="H42" s="280">
        <f t="shared" si="1"/>
        <v>0</v>
      </c>
      <c r="I42" s="279"/>
      <c r="J42" s="279"/>
      <c r="K42" s="280">
        <f t="shared" si="2"/>
        <v>0</v>
      </c>
      <c r="L42" s="279"/>
      <c r="M42" s="279"/>
      <c r="N42" s="280">
        <f t="shared" si="3"/>
        <v>0</v>
      </c>
    </row>
    <row r="43" spans="1:14" ht="13.5" hidden="1" thickBot="1" x14ac:dyDescent="0.25">
      <c r="A43" s="265"/>
      <c r="B43" s="266" t="s">
        <v>92</v>
      </c>
      <c r="C43" s="279"/>
      <c r="D43" s="279"/>
      <c r="E43" s="280">
        <f t="shared" si="0"/>
        <v>0</v>
      </c>
      <c r="F43" s="279"/>
      <c r="G43" s="279"/>
      <c r="H43" s="280">
        <f t="shared" si="1"/>
        <v>0</v>
      </c>
      <c r="I43" s="279"/>
      <c r="J43" s="279"/>
      <c r="K43" s="280">
        <f t="shared" si="2"/>
        <v>0</v>
      </c>
      <c r="L43" s="279"/>
      <c r="M43" s="279"/>
      <c r="N43" s="280">
        <f t="shared" si="3"/>
        <v>0</v>
      </c>
    </row>
    <row r="44" spans="1:14" ht="13.5" hidden="1" thickBot="1" x14ac:dyDescent="0.25">
      <c r="A44" s="267"/>
      <c r="B44" s="268" t="s">
        <v>93</v>
      </c>
      <c r="C44" s="294"/>
      <c r="D44" s="294"/>
      <c r="E44" s="295">
        <f t="shared" si="0"/>
        <v>0</v>
      </c>
      <c r="F44" s="294"/>
      <c r="G44" s="294"/>
      <c r="H44" s="295">
        <f t="shared" si="1"/>
        <v>0</v>
      </c>
      <c r="I44" s="294"/>
      <c r="J44" s="294"/>
      <c r="K44" s="295">
        <f t="shared" si="2"/>
        <v>0</v>
      </c>
      <c r="L44" s="294"/>
      <c r="M44" s="294"/>
      <c r="N44" s="295">
        <f t="shared" si="3"/>
        <v>0</v>
      </c>
    </row>
    <row r="45" spans="1:14" x14ac:dyDescent="0.2">
      <c r="A45" s="263" t="s">
        <v>94</v>
      </c>
      <c r="B45" s="264" t="s">
        <v>26</v>
      </c>
      <c r="C45" s="292">
        <f>C46+C47+C48+C49+C54+C55+C56+C57+C58+C59+C60</f>
        <v>0</v>
      </c>
      <c r="D45" s="292">
        <f>D46+D47+D48+D49+D54+D55+D56+D57+D58+D59+D60</f>
        <v>0</v>
      </c>
      <c r="E45" s="293">
        <f t="shared" si="0"/>
        <v>0</v>
      </c>
      <c r="F45" s="292">
        <f>F46+F47+F48+F49+F54+F55+F56+F57+F58+F59+F60</f>
        <v>0</v>
      </c>
      <c r="G45" s="292">
        <f>G46+G47+G48+G49+G54+G55+G56+G57+G58+G59+G60</f>
        <v>0</v>
      </c>
      <c r="H45" s="293">
        <f t="shared" si="1"/>
        <v>0</v>
      </c>
      <c r="I45" s="292">
        <f>I46+I47+I48+I49+I54+I55+I56+I57+I58+I59+I60</f>
        <v>0</v>
      </c>
      <c r="J45" s="292">
        <f>J46+J47+J48+J49+J54+J55+J56+J57+J58+J59+J60</f>
        <v>0</v>
      </c>
      <c r="K45" s="293">
        <f t="shared" si="2"/>
        <v>0</v>
      </c>
      <c r="L45" s="292">
        <f>L46+L47+L48+L49+L54+L55+L56+L57+L58+L59+L60</f>
        <v>71567</v>
      </c>
      <c r="M45" s="292">
        <f>M46+M47+M48+M49+M54+M55+M56+M57+M58+M59+M60</f>
        <v>0</v>
      </c>
      <c r="N45" s="293">
        <f t="shared" si="3"/>
        <v>71567</v>
      </c>
    </row>
    <row r="46" spans="1:14" x14ac:dyDescent="0.2">
      <c r="A46" s="265" t="s">
        <v>95</v>
      </c>
      <c r="B46" s="266" t="s">
        <v>96</v>
      </c>
      <c r="C46" s="279"/>
      <c r="D46" s="279"/>
      <c r="E46" s="280">
        <f t="shared" si="0"/>
        <v>0</v>
      </c>
      <c r="F46" s="279"/>
      <c r="G46" s="279"/>
      <c r="H46" s="280">
        <f t="shared" si="1"/>
        <v>0</v>
      </c>
      <c r="I46" s="279"/>
      <c r="J46" s="279"/>
      <c r="K46" s="280">
        <f t="shared" si="2"/>
        <v>0</v>
      </c>
      <c r="L46" s="279"/>
      <c r="M46" s="279"/>
      <c r="N46" s="280">
        <f t="shared" si="3"/>
        <v>0</v>
      </c>
    </row>
    <row r="47" spans="1:14" x14ac:dyDescent="0.2">
      <c r="A47" s="265" t="s">
        <v>97</v>
      </c>
      <c r="B47" s="266" t="s">
        <v>98</v>
      </c>
      <c r="C47" s="279"/>
      <c r="D47" s="279"/>
      <c r="E47" s="280">
        <f t="shared" si="0"/>
        <v>0</v>
      </c>
      <c r="F47" s="279"/>
      <c r="G47" s="279"/>
      <c r="H47" s="280">
        <f t="shared" si="1"/>
        <v>0</v>
      </c>
      <c r="I47" s="279"/>
      <c r="J47" s="279"/>
      <c r="K47" s="280">
        <f t="shared" si="2"/>
        <v>0</v>
      </c>
      <c r="L47" s="279"/>
      <c r="M47" s="279"/>
      <c r="N47" s="280">
        <f t="shared" si="3"/>
        <v>0</v>
      </c>
    </row>
    <row r="48" spans="1:14" x14ac:dyDescent="0.2">
      <c r="A48" s="265" t="s">
        <v>99</v>
      </c>
      <c r="B48" s="266" t="s">
        <v>100</v>
      </c>
      <c r="C48" s="279"/>
      <c r="D48" s="279"/>
      <c r="E48" s="280">
        <f t="shared" si="0"/>
        <v>0</v>
      </c>
      <c r="F48" s="279"/>
      <c r="G48" s="279"/>
      <c r="H48" s="280">
        <f t="shared" si="1"/>
        <v>0</v>
      </c>
      <c r="I48" s="279"/>
      <c r="J48" s="279"/>
      <c r="K48" s="280">
        <f t="shared" si="2"/>
        <v>0</v>
      </c>
      <c r="L48" s="279"/>
      <c r="M48" s="279"/>
      <c r="N48" s="280">
        <f t="shared" si="3"/>
        <v>0</v>
      </c>
    </row>
    <row r="49" spans="1:14" x14ac:dyDescent="0.2">
      <c r="A49" s="265" t="s">
        <v>101</v>
      </c>
      <c r="B49" s="266" t="s">
        <v>102</v>
      </c>
      <c r="C49" s="279">
        <f>SUM(C50:C53)</f>
        <v>0</v>
      </c>
      <c r="D49" s="279">
        <f>SUM(D50:D53)</f>
        <v>0</v>
      </c>
      <c r="E49" s="280">
        <f t="shared" si="0"/>
        <v>0</v>
      </c>
      <c r="F49" s="279">
        <f>SUM(F50:F53)</f>
        <v>0</v>
      </c>
      <c r="G49" s="279">
        <f>SUM(G50:G53)</f>
        <v>0</v>
      </c>
      <c r="H49" s="280">
        <f t="shared" si="1"/>
        <v>0</v>
      </c>
      <c r="I49" s="279">
        <f>SUM(I50:I53)</f>
        <v>0</v>
      </c>
      <c r="J49" s="279">
        <f>SUM(J50:J53)</f>
        <v>0</v>
      </c>
      <c r="K49" s="280">
        <f t="shared" si="2"/>
        <v>0</v>
      </c>
      <c r="L49" s="279">
        <f>SUM(L50:L53)</f>
        <v>0</v>
      </c>
      <c r="M49" s="279">
        <f>SUM(M50:M53)</f>
        <v>0</v>
      </c>
      <c r="N49" s="280">
        <f t="shared" si="3"/>
        <v>0</v>
      </c>
    </row>
    <row r="50" spans="1:14" x14ac:dyDescent="0.2">
      <c r="A50" s="265"/>
      <c r="B50" s="266" t="s">
        <v>103</v>
      </c>
      <c r="C50" s="279"/>
      <c r="D50" s="279"/>
      <c r="E50" s="280">
        <f t="shared" si="0"/>
        <v>0</v>
      </c>
      <c r="F50" s="279"/>
      <c r="G50" s="279"/>
      <c r="H50" s="280">
        <f t="shared" si="1"/>
        <v>0</v>
      </c>
      <c r="I50" s="279"/>
      <c r="J50" s="279"/>
      <c r="K50" s="280">
        <f t="shared" si="2"/>
        <v>0</v>
      </c>
      <c r="L50" s="279"/>
      <c r="M50" s="279"/>
      <c r="N50" s="280">
        <f t="shared" si="3"/>
        <v>0</v>
      </c>
    </row>
    <row r="51" spans="1:14" x14ac:dyDescent="0.2">
      <c r="A51" s="265"/>
      <c r="B51" s="266" t="s">
        <v>104</v>
      </c>
      <c r="C51" s="279"/>
      <c r="D51" s="279"/>
      <c r="E51" s="280">
        <f t="shared" si="0"/>
        <v>0</v>
      </c>
      <c r="F51" s="279"/>
      <c r="G51" s="279"/>
      <c r="H51" s="280">
        <f t="shared" si="1"/>
        <v>0</v>
      </c>
      <c r="I51" s="279"/>
      <c r="J51" s="279"/>
      <c r="K51" s="280">
        <f t="shared" si="2"/>
        <v>0</v>
      </c>
      <c r="L51" s="279"/>
      <c r="M51" s="279"/>
      <c r="N51" s="280">
        <f t="shared" si="3"/>
        <v>0</v>
      </c>
    </row>
    <row r="52" spans="1:14" x14ac:dyDescent="0.2">
      <c r="A52" s="265"/>
      <c r="B52" s="266" t="s">
        <v>105</v>
      </c>
      <c r="C52" s="279"/>
      <c r="D52" s="279"/>
      <c r="E52" s="280">
        <f t="shared" si="0"/>
        <v>0</v>
      </c>
      <c r="F52" s="279"/>
      <c r="G52" s="279"/>
      <c r="H52" s="280">
        <f t="shared" si="1"/>
        <v>0</v>
      </c>
      <c r="I52" s="279"/>
      <c r="J52" s="279"/>
      <c r="K52" s="280">
        <f t="shared" si="2"/>
        <v>0</v>
      </c>
      <c r="L52" s="279"/>
      <c r="M52" s="279"/>
      <c r="N52" s="280">
        <f t="shared" si="3"/>
        <v>0</v>
      </c>
    </row>
    <row r="53" spans="1:14" x14ac:dyDescent="0.2">
      <c r="A53" s="265"/>
      <c r="B53" s="266" t="s">
        <v>106</v>
      </c>
      <c r="C53" s="279"/>
      <c r="D53" s="279"/>
      <c r="E53" s="280">
        <f t="shared" si="0"/>
        <v>0</v>
      </c>
      <c r="F53" s="279"/>
      <c r="G53" s="279"/>
      <c r="H53" s="280">
        <f t="shared" si="1"/>
        <v>0</v>
      </c>
      <c r="I53" s="279"/>
      <c r="J53" s="279"/>
      <c r="K53" s="280">
        <f t="shared" si="2"/>
        <v>0</v>
      </c>
      <c r="L53" s="279"/>
      <c r="M53" s="279"/>
      <c r="N53" s="280">
        <f t="shared" si="3"/>
        <v>0</v>
      </c>
    </row>
    <row r="54" spans="1:14" x14ac:dyDescent="0.2">
      <c r="A54" s="265" t="s">
        <v>107</v>
      </c>
      <c r="B54" s="266" t="s">
        <v>108</v>
      </c>
      <c r="C54" s="279"/>
      <c r="D54" s="279"/>
      <c r="E54" s="280">
        <f t="shared" si="0"/>
        <v>0</v>
      </c>
      <c r="F54" s="279"/>
      <c r="G54" s="279"/>
      <c r="H54" s="280">
        <f t="shared" si="1"/>
        <v>0</v>
      </c>
      <c r="I54" s="279"/>
      <c r="J54" s="279"/>
      <c r="K54" s="280">
        <f t="shared" si="2"/>
        <v>0</v>
      </c>
      <c r="L54" s="279">
        <v>56501</v>
      </c>
      <c r="M54" s="279"/>
      <c r="N54" s="280">
        <f t="shared" si="3"/>
        <v>56501</v>
      </c>
    </row>
    <row r="55" spans="1:14" x14ac:dyDescent="0.2">
      <c r="A55" s="265" t="s">
        <v>109</v>
      </c>
      <c r="B55" s="266" t="s">
        <v>110</v>
      </c>
      <c r="C55" s="279"/>
      <c r="D55" s="279"/>
      <c r="E55" s="280">
        <f t="shared" si="0"/>
        <v>0</v>
      </c>
      <c r="F55" s="279"/>
      <c r="G55" s="279"/>
      <c r="H55" s="280">
        <f t="shared" si="1"/>
        <v>0</v>
      </c>
      <c r="I55" s="279"/>
      <c r="J55" s="279"/>
      <c r="K55" s="280">
        <f t="shared" si="2"/>
        <v>0</v>
      </c>
      <c r="L55" s="279">
        <v>15066</v>
      </c>
      <c r="M55" s="279"/>
      <c r="N55" s="280">
        <f t="shared" si="3"/>
        <v>15066</v>
      </c>
    </row>
    <row r="56" spans="1:14" x14ac:dyDescent="0.2">
      <c r="A56" s="265" t="s">
        <v>111</v>
      </c>
      <c r="B56" s="266" t="s">
        <v>112</v>
      </c>
      <c r="C56" s="279"/>
      <c r="D56" s="279"/>
      <c r="E56" s="280">
        <f t="shared" si="0"/>
        <v>0</v>
      </c>
      <c r="F56" s="279"/>
      <c r="G56" s="279"/>
      <c r="H56" s="280">
        <f t="shared" si="1"/>
        <v>0</v>
      </c>
      <c r="I56" s="279"/>
      <c r="J56" s="279"/>
      <c r="K56" s="280">
        <f t="shared" si="2"/>
        <v>0</v>
      </c>
      <c r="L56" s="279"/>
      <c r="M56" s="279"/>
      <c r="N56" s="280">
        <f t="shared" si="3"/>
        <v>0</v>
      </c>
    </row>
    <row r="57" spans="1:14" x14ac:dyDescent="0.2">
      <c r="A57" s="265" t="s">
        <v>113</v>
      </c>
      <c r="B57" s="266" t="s">
        <v>114</v>
      </c>
      <c r="C57" s="279"/>
      <c r="D57" s="279"/>
      <c r="E57" s="280">
        <f t="shared" si="0"/>
        <v>0</v>
      </c>
      <c r="F57" s="279"/>
      <c r="G57" s="279"/>
      <c r="H57" s="280">
        <f t="shared" si="1"/>
        <v>0</v>
      </c>
      <c r="I57" s="279"/>
      <c r="J57" s="279"/>
      <c r="K57" s="280">
        <f t="shared" si="2"/>
        <v>0</v>
      </c>
      <c r="L57" s="279"/>
      <c r="M57" s="279"/>
      <c r="N57" s="280">
        <f t="shared" si="3"/>
        <v>0</v>
      </c>
    </row>
    <row r="58" spans="1:14" x14ac:dyDescent="0.2">
      <c r="A58" s="265" t="s">
        <v>115</v>
      </c>
      <c r="B58" s="266" t="s">
        <v>116</v>
      </c>
      <c r="C58" s="279"/>
      <c r="D58" s="279"/>
      <c r="E58" s="280">
        <f t="shared" si="0"/>
        <v>0</v>
      </c>
      <c r="F58" s="279"/>
      <c r="G58" s="279"/>
      <c r="H58" s="280">
        <f t="shared" si="1"/>
        <v>0</v>
      </c>
      <c r="I58" s="279"/>
      <c r="J58" s="279"/>
      <c r="K58" s="280">
        <f t="shared" si="2"/>
        <v>0</v>
      </c>
      <c r="L58" s="279"/>
      <c r="M58" s="279"/>
      <c r="N58" s="280">
        <f t="shared" si="3"/>
        <v>0</v>
      </c>
    </row>
    <row r="59" spans="1:14" x14ac:dyDescent="0.2">
      <c r="A59" s="265" t="s">
        <v>117</v>
      </c>
      <c r="B59" s="266" t="s">
        <v>118</v>
      </c>
      <c r="C59" s="279"/>
      <c r="D59" s="279"/>
      <c r="E59" s="280">
        <f t="shared" si="0"/>
        <v>0</v>
      </c>
      <c r="F59" s="279"/>
      <c r="G59" s="279"/>
      <c r="H59" s="280">
        <f t="shared" si="1"/>
        <v>0</v>
      </c>
      <c r="I59" s="279"/>
      <c r="J59" s="279"/>
      <c r="K59" s="280">
        <f t="shared" si="2"/>
        <v>0</v>
      </c>
      <c r="L59" s="279"/>
      <c r="M59" s="279"/>
      <c r="N59" s="280">
        <f t="shared" si="3"/>
        <v>0</v>
      </c>
    </row>
    <row r="60" spans="1:14" ht="13.5" thickBot="1" x14ac:dyDescent="0.25">
      <c r="A60" s="267" t="s">
        <v>119</v>
      </c>
      <c r="B60" s="268" t="s">
        <v>120</v>
      </c>
      <c r="C60" s="294"/>
      <c r="D60" s="294"/>
      <c r="E60" s="295">
        <f t="shared" si="0"/>
        <v>0</v>
      </c>
      <c r="F60" s="294"/>
      <c r="G60" s="294"/>
      <c r="H60" s="295">
        <f t="shared" si="1"/>
        <v>0</v>
      </c>
      <c r="I60" s="294"/>
      <c r="J60" s="294"/>
      <c r="K60" s="295">
        <f t="shared" si="2"/>
        <v>0</v>
      </c>
      <c r="L60" s="294"/>
      <c r="M60" s="294"/>
      <c r="N60" s="295">
        <f t="shared" si="3"/>
        <v>0</v>
      </c>
    </row>
    <row r="61" spans="1:14" ht="13.5" thickBot="1" x14ac:dyDescent="0.25">
      <c r="A61" s="263" t="s">
        <v>121</v>
      </c>
      <c r="B61" s="264" t="s">
        <v>28</v>
      </c>
      <c r="C61" s="292">
        <f>SUM(C62:C66)</f>
        <v>0</v>
      </c>
      <c r="D61" s="292">
        <f>SUM(D62:D66)</f>
        <v>0</v>
      </c>
      <c r="E61" s="293">
        <f t="shared" si="0"/>
        <v>0</v>
      </c>
      <c r="F61" s="292">
        <f>SUM(F62:F66)</f>
        <v>0</v>
      </c>
      <c r="G61" s="292">
        <f>SUM(G62:G66)</f>
        <v>0</v>
      </c>
      <c r="H61" s="293">
        <f t="shared" si="1"/>
        <v>0</v>
      </c>
      <c r="I61" s="292">
        <f>SUM(I62:I66)</f>
        <v>0</v>
      </c>
      <c r="J61" s="292">
        <f>SUM(J62:J66)</f>
        <v>0</v>
      </c>
      <c r="K61" s="293">
        <f t="shared" si="2"/>
        <v>0</v>
      </c>
      <c r="L61" s="292">
        <f>SUM(L62:L66)</f>
        <v>0</v>
      </c>
      <c r="M61" s="292">
        <f>SUM(M62:M66)</f>
        <v>0</v>
      </c>
      <c r="N61" s="293">
        <f t="shared" si="3"/>
        <v>0</v>
      </c>
    </row>
    <row r="62" spans="1:14" ht="13.5" hidden="1" thickBot="1" x14ac:dyDescent="0.25">
      <c r="A62" s="265" t="s">
        <v>122</v>
      </c>
      <c r="B62" s="266" t="s">
        <v>123</v>
      </c>
      <c r="C62" s="279"/>
      <c r="D62" s="279"/>
      <c r="E62" s="280">
        <f t="shared" si="0"/>
        <v>0</v>
      </c>
      <c r="F62" s="279"/>
      <c r="G62" s="279"/>
      <c r="H62" s="280">
        <f t="shared" si="1"/>
        <v>0</v>
      </c>
      <c r="I62" s="279"/>
      <c r="J62" s="279"/>
      <c r="K62" s="280">
        <f t="shared" si="2"/>
        <v>0</v>
      </c>
      <c r="L62" s="279"/>
      <c r="M62" s="279"/>
      <c r="N62" s="280">
        <f t="shared" si="3"/>
        <v>0</v>
      </c>
    </row>
    <row r="63" spans="1:14" ht="13.5" hidden="1" thickBot="1" x14ac:dyDescent="0.25">
      <c r="A63" s="265" t="s">
        <v>124</v>
      </c>
      <c r="B63" s="266" t="s">
        <v>125</v>
      </c>
      <c r="C63" s="279"/>
      <c r="D63" s="279"/>
      <c r="E63" s="280">
        <f t="shared" si="0"/>
        <v>0</v>
      </c>
      <c r="F63" s="279"/>
      <c r="G63" s="279"/>
      <c r="H63" s="280">
        <f t="shared" si="1"/>
        <v>0</v>
      </c>
      <c r="I63" s="279"/>
      <c r="J63" s="279"/>
      <c r="K63" s="280">
        <f t="shared" si="2"/>
        <v>0</v>
      </c>
      <c r="L63" s="279"/>
      <c r="M63" s="279"/>
      <c r="N63" s="280">
        <f t="shared" si="3"/>
        <v>0</v>
      </c>
    </row>
    <row r="64" spans="1:14" ht="13.5" hidden="1" thickBot="1" x14ac:dyDescent="0.25">
      <c r="A64" s="265" t="s">
        <v>126</v>
      </c>
      <c r="B64" s="266" t="s">
        <v>127</v>
      </c>
      <c r="C64" s="279"/>
      <c r="D64" s="279"/>
      <c r="E64" s="280">
        <f t="shared" si="0"/>
        <v>0</v>
      </c>
      <c r="F64" s="279"/>
      <c r="G64" s="279"/>
      <c r="H64" s="280">
        <f t="shared" si="1"/>
        <v>0</v>
      </c>
      <c r="I64" s="279"/>
      <c r="J64" s="279"/>
      <c r="K64" s="280">
        <f t="shared" si="2"/>
        <v>0</v>
      </c>
      <c r="L64" s="279"/>
      <c r="M64" s="279"/>
      <c r="N64" s="280">
        <f t="shared" si="3"/>
        <v>0</v>
      </c>
    </row>
    <row r="65" spans="1:14" ht="13.5" hidden="1" thickBot="1" x14ac:dyDescent="0.25">
      <c r="A65" s="265" t="s">
        <v>128</v>
      </c>
      <c r="B65" s="266" t="s">
        <v>129</v>
      </c>
      <c r="C65" s="279"/>
      <c r="D65" s="279"/>
      <c r="E65" s="280">
        <f t="shared" si="0"/>
        <v>0</v>
      </c>
      <c r="F65" s="279"/>
      <c r="G65" s="279"/>
      <c r="H65" s="280">
        <f t="shared" si="1"/>
        <v>0</v>
      </c>
      <c r="I65" s="279"/>
      <c r="J65" s="279"/>
      <c r="K65" s="280">
        <f t="shared" si="2"/>
        <v>0</v>
      </c>
      <c r="L65" s="279"/>
      <c r="M65" s="279"/>
      <c r="N65" s="280">
        <f t="shared" si="3"/>
        <v>0</v>
      </c>
    </row>
    <row r="66" spans="1:14" ht="13.5" hidden="1" thickBot="1" x14ac:dyDescent="0.25">
      <c r="A66" s="267" t="s">
        <v>130</v>
      </c>
      <c r="B66" s="268" t="s">
        <v>131</v>
      </c>
      <c r="C66" s="294"/>
      <c r="D66" s="294"/>
      <c r="E66" s="295">
        <f t="shared" si="0"/>
        <v>0</v>
      </c>
      <c r="F66" s="294"/>
      <c r="G66" s="294"/>
      <c r="H66" s="295">
        <f t="shared" si="1"/>
        <v>0</v>
      </c>
      <c r="I66" s="294"/>
      <c r="J66" s="294"/>
      <c r="K66" s="295">
        <f t="shared" si="2"/>
        <v>0</v>
      </c>
      <c r="L66" s="294"/>
      <c r="M66" s="294"/>
      <c r="N66" s="295">
        <f t="shared" si="3"/>
        <v>0</v>
      </c>
    </row>
    <row r="67" spans="1:14" ht="13.5" thickBot="1" x14ac:dyDescent="0.25">
      <c r="A67" s="263" t="s">
        <v>132</v>
      </c>
      <c r="B67" s="264" t="s">
        <v>133</v>
      </c>
      <c r="C67" s="292">
        <f>SUM(C68:C69)</f>
        <v>0</v>
      </c>
      <c r="D67" s="292">
        <f>SUM(D68:D69)</f>
        <v>0</v>
      </c>
      <c r="E67" s="293">
        <f t="shared" si="0"/>
        <v>0</v>
      </c>
      <c r="F67" s="292">
        <f>SUM(F68:F69)</f>
        <v>0</v>
      </c>
      <c r="G67" s="292">
        <f>SUM(G68:G69)</f>
        <v>0</v>
      </c>
      <c r="H67" s="293">
        <f t="shared" si="1"/>
        <v>0</v>
      </c>
      <c r="I67" s="292">
        <f>SUM(I68:I69)</f>
        <v>0</v>
      </c>
      <c r="J67" s="292">
        <f>SUM(J68:J69)</f>
        <v>0</v>
      </c>
      <c r="K67" s="293">
        <f t="shared" si="2"/>
        <v>0</v>
      </c>
      <c r="L67" s="292">
        <f>SUM(L68:L69)</f>
        <v>0</v>
      </c>
      <c r="M67" s="292">
        <f>SUM(M68:M69)</f>
        <v>0</v>
      </c>
      <c r="N67" s="293">
        <f t="shared" si="3"/>
        <v>0</v>
      </c>
    </row>
    <row r="68" spans="1:14" ht="13.5" hidden="1" thickBot="1" x14ac:dyDescent="0.25">
      <c r="A68" s="265" t="s">
        <v>134</v>
      </c>
      <c r="B68" s="266" t="s">
        <v>135</v>
      </c>
      <c r="C68" s="279"/>
      <c r="D68" s="279"/>
      <c r="E68" s="280">
        <f t="shared" si="0"/>
        <v>0</v>
      </c>
      <c r="F68" s="279"/>
      <c r="G68" s="279"/>
      <c r="H68" s="280">
        <f t="shared" si="1"/>
        <v>0</v>
      </c>
      <c r="I68" s="279"/>
      <c r="J68" s="279"/>
      <c r="K68" s="280">
        <f t="shared" si="2"/>
        <v>0</v>
      </c>
      <c r="L68" s="279"/>
      <c r="M68" s="279"/>
      <c r="N68" s="280">
        <f t="shared" si="3"/>
        <v>0</v>
      </c>
    </row>
    <row r="69" spans="1:14" ht="13.5" hidden="1" thickBot="1" x14ac:dyDescent="0.25">
      <c r="A69" s="267" t="s">
        <v>136</v>
      </c>
      <c r="B69" s="268" t="s">
        <v>137</v>
      </c>
      <c r="C69" s="294"/>
      <c r="D69" s="294"/>
      <c r="E69" s="295">
        <f t="shared" si="0"/>
        <v>0</v>
      </c>
      <c r="F69" s="294"/>
      <c r="G69" s="294"/>
      <c r="H69" s="295">
        <f t="shared" si="1"/>
        <v>0</v>
      </c>
      <c r="I69" s="294"/>
      <c r="J69" s="294"/>
      <c r="K69" s="295">
        <f t="shared" si="2"/>
        <v>0</v>
      </c>
      <c r="L69" s="294"/>
      <c r="M69" s="294"/>
      <c r="N69" s="295">
        <f t="shared" si="3"/>
        <v>0</v>
      </c>
    </row>
    <row r="70" spans="1:14" x14ac:dyDescent="0.2">
      <c r="A70" s="263" t="s">
        <v>138</v>
      </c>
      <c r="B70" s="264" t="s">
        <v>139</v>
      </c>
      <c r="C70" s="292">
        <f>C71</f>
        <v>0</v>
      </c>
      <c r="D70" s="292">
        <f>D71</f>
        <v>0</v>
      </c>
      <c r="E70" s="293">
        <f t="shared" si="0"/>
        <v>0</v>
      </c>
      <c r="F70" s="292">
        <f>F71</f>
        <v>0</v>
      </c>
      <c r="G70" s="292">
        <f>G71</f>
        <v>0</v>
      </c>
      <c r="H70" s="293">
        <f t="shared" si="1"/>
        <v>0</v>
      </c>
      <c r="I70" s="292">
        <f>I71</f>
        <v>0</v>
      </c>
      <c r="J70" s="292">
        <f>J71</f>
        <v>0</v>
      </c>
      <c r="K70" s="293">
        <f t="shared" si="2"/>
        <v>0</v>
      </c>
      <c r="L70" s="292">
        <f>L71</f>
        <v>0</v>
      </c>
      <c r="M70" s="292">
        <f>M71</f>
        <v>0</v>
      </c>
      <c r="N70" s="293">
        <f t="shared" si="3"/>
        <v>0</v>
      </c>
    </row>
    <row r="71" spans="1:14" ht="13.5" hidden="1" thickBot="1" x14ac:dyDescent="0.25">
      <c r="A71" s="267"/>
      <c r="B71" s="268" t="s">
        <v>140</v>
      </c>
      <c r="C71" s="294"/>
      <c r="D71" s="294"/>
      <c r="E71" s="295">
        <f t="shared" si="0"/>
        <v>0</v>
      </c>
      <c r="F71" s="294"/>
      <c r="G71" s="294"/>
      <c r="H71" s="295">
        <f t="shared" si="1"/>
        <v>0</v>
      </c>
      <c r="I71" s="294"/>
      <c r="J71" s="294"/>
      <c r="K71" s="295">
        <f t="shared" si="2"/>
        <v>0</v>
      </c>
      <c r="L71" s="294"/>
      <c r="M71" s="294"/>
      <c r="N71" s="295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3.5" thickBot="1" x14ac:dyDescent="0.25">
      <c r="A73" s="277" t="s">
        <v>141</v>
      </c>
      <c r="B73" s="278" t="s">
        <v>142</v>
      </c>
      <c r="C73" s="296">
        <f>C9+C22+C25+C45+C61+C67+C70</f>
        <v>0</v>
      </c>
      <c r="D73" s="296">
        <f>D9+D22+D25+D45+D61+D67+D70</f>
        <v>0</v>
      </c>
      <c r="E73" s="297">
        <f t="shared" si="0"/>
        <v>0</v>
      </c>
      <c r="F73" s="296">
        <f>F9+F22+F25+F45+F61+F67+F70</f>
        <v>0</v>
      </c>
      <c r="G73" s="296">
        <f>G9+G22+G25+G45+G61+G67+G70</f>
        <v>0</v>
      </c>
      <c r="H73" s="297">
        <f t="shared" si="1"/>
        <v>0</v>
      </c>
      <c r="I73" s="296">
        <f>I9+I22+I25+I45+I61+I67+I70</f>
        <v>0</v>
      </c>
      <c r="J73" s="296">
        <f>J9+J22+J25+J45+J61+J67+J70</f>
        <v>0</v>
      </c>
      <c r="K73" s="297">
        <f t="shared" si="2"/>
        <v>0</v>
      </c>
      <c r="L73" s="296">
        <f>L9+L22+L25+L45+L61+L67+L70</f>
        <v>71567</v>
      </c>
      <c r="M73" s="296">
        <f>M9+M22+M25+M45+M61+M67+M70</f>
        <v>0</v>
      </c>
      <c r="N73" s="297">
        <f t="shared" si="3"/>
        <v>71567</v>
      </c>
    </row>
    <row r="74" spans="1:14" ht="13.5" thickBot="1" x14ac:dyDescent="0.25">
      <c r="A74" s="275" t="s">
        <v>143</v>
      </c>
      <c r="B74" s="276" t="s">
        <v>144</v>
      </c>
      <c r="C74" s="292">
        <f>C75+C83</f>
        <v>0</v>
      </c>
      <c r="D74" s="292">
        <f>D75+D83</f>
        <v>0</v>
      </c>
      <c r="E74" s="293">
        <f t="shared" ref="E74:E85" si="4">SUM(C74:D74)</f>
        <v>0</v>
      </c>
      <c r="F74" s="292">
        <f>F75+F83</f>
        <v>0</v>
      </c>
      <c r="G74" s="292">
        <f>G75+G83</f>
        <v>0</v>
      </c>
      <c r="H74" s="293">
        <f t="shared" ref="H74:H81" si="5">SUM(F74:G74)</f>
        <v>0</v>
      </c>
      <c r="I74" s="292">
        <f>I75+I83</f>
        <v>0</v>
      </c>
      <c r="J74" s="292">
        <f>J75+J83</f>
        <v>0</v>
      </c>
      <c r="K74" s="293">
        <f t="shared" ref="K74:K81" si="6">SUM(I74:J74)</f>
        <v>0</v>
      </c>
      <c r="L74" s="292">
        <f>L75+L83</f>
        <v>0</v>
      </c>
      <c r="M74" s="292">
        <f>M75+M83</f>
        <v>0</v>
      </c>
      <c r="N74" s="293">
        <f t="shared" ref="N74:N81" si="7">SUM(L74:M74)</f>
        <v>0</v>
      </c>
    </row>
    <row r="75" spans="1:14" ht="13.5" hidden="1" thickBot="1" x14ac:dyDescent="0.25">
      <c r="A75" s="265" t="s">
        <v>145</v>
      </c>
      <c r="B75" s="266" t="s">
        <v>146</v>
      </c>
      <c r="C75" s="279">
        <f t="shared" ref="C75:D75" si="8">SUM(C76:C77,C78,C79,C83,C82)</f>
        <v>0</v>
      </c>
      <c r="D75" s="279">
        <f t="shared" si="8"/>
        <v>0</v>
      </c>
      <c r="E75" s="280">
        <f t="shared" si="4"/>
        <v>0</v>
      </c>
      <c r="F75" s="279">
        <f t="shared" ref="F75:G75" si="9">SUM(F76:F77,F78,F79,F83,F82)</f>
        <v>0</v>
      </c>
      <c r="G75" s="279">
        <f t="shared" si="9"/>
        <v>0</v>
      </c>
      <c r="H75" s="280">
        <f t="shared" si="5"/>
        <v>0</v>
      </c>
      <c r="I75" s="279">
        <f t="shared" ref="I75:J75" si="10">SUM(I76:I77,I78,I79,I83,I82)</f>
        <v>0</v>
      </c>
      <c r="J75" s="279">
        <f t="shared" si="10"/>
        <v>0</v>
      </c>
      <c r="K75" s="280">
        <f t="shared" si="6"/>
        <v>0</v>
      </c>
      <c r="L75" s="279">
        <f t="shared" ref="L75:M75" si="11">SUM(L76:L77,L78,L79,L83,L82)</f>
        <v>0</v>
      </c>
      <c r="M75" s="279">
        <f t="shared" si="11"/>
        <v>0</v>
      </c>
      <c r="N75" s="280">
        <f t="shared" si="7"/>
        <v>0</v>
      </c>
    </row>
    <row r="76" spans="1:14" ht="13.5" hidden="1" thickBot="1" x14ac:dyDescent="0.25">
      <c r="A76" s="265" t="s">
        <v>147</v>
      </c>
      <c r="B76" s="266" t="s">
        <v>148</v>
      </c>
      <c r="C76" s="279"/>
      <c r="D76" s="279"/>
      <c r="E76" s="280">
        <f t="shared" si="4"/>
        <v>0</v>
      </c>
      <c r="F76" s="279"/>
      <c r="G76" s="279"/>
      <c r="H76" s="280">
        <f t="shared" si="5"/>
        <v>0</v>
      </c>
      <c r="I76" s="279"/>
      <c r="J76" s="279"/>
      <c r="K76" s="280">
        <f t="shared" si="6"/>
        <v>0</v>
      </c>
      <c r="L76" s="279"/>
      <c r="M76" s="279"/>
      <c r="N76" s="280">
        <f t="shared" si="7"/>
        <v>0</v>
      </c>
    </row>
    <row r="77" spans="1:14" ht="13.5" hidden="1" thickBot="1" x14ac:dyDescent="0.25">
      <c r="A77" s="265" t="s">
        <v>149</v>
      </c>
      <c r="B77" s="266" t="s">
        <v>150</v>
      </c>
      <c r="C77" s="279"/>
      <c r="D77" s="279"/>
      <c r="E77" s="280">
        <f t="shared" si="4"/>
        <v>0</v>
      </c>
      <c r="F77" s="279"/>
      <c r="G77" s="279"/>
      <c r="H77" s="280">
        <f t="shared" si="5"/>
        <v>0</v>
      </c>
      <c r="I77" s="279"/>
      <c r="J77" s="279"/>
      <c r="K77" s="280">
        <f t="shared" si="6"/>
        <v>0</v>
      </c>
      <c r="L77" s="279"/>
      <c r="M77" s="279"/>
      <c r="N77" s="280">
        <f t="shared" si="7"/>
        <v>0</v>
      </c>
    </row>
    <row r="78" spans="1:14" ht="13.5" hidden="1" thickBot="1" x14ac:dyDescent="0.25">
      <c r="A78" s="265" t="s">
        <v>151</v>
      </c>
      <c r="B78" s="266" t="s">
        <v>152</v>
      </c>
      <c r="C78" s="279"/>
      <c r="D78" s="279"/>
      <c r="E78" s="280">
        <f t="shared" si="4"/>
        <v>0</v>
      </c>
      <c r="F78" s="279"/>
      <c r="G78" s="279"/>
      <c r="H78" s="280">
        <f t="shared" si="5"/>
        <v>0</v>
      </c>
      <c r="I78" s="279"/>
      <c r="J78" s="279"/>
      <c r="K78" s="280">
        <f t="shared" si="6"/>
        <v>0</v>
      </c>
      <c r="L78" s="279"/>
      <c r="M78" s="279"/>
      <c r="N78" s="280">
        <f t="shared" si="7"/>
        <v>0</v>
      </c>
    </row>
    <row r="79" spans="1:14" ht="13.5" hidden="1" thickBot="1" x14ac:dyDescent="0.25">
      <c r="A79" s="265" t="s">
        <v>153</v>
      </c>
      <c r="B79" s="266" t="s">
        <v>154</v>
      </c>
      <c r="C79" s="279">
        <f>SUM(C80:C81)</f>
        <v>0</v>
      </c>
      <c r="D79" s="279">
        <f>SUM(D80:D81)</f>
        <v>0</v>
      </c>
      <c r="E79" s="280">
        <f t="shared" si="4"/>
        <v>0</v>
      </c>
      <c r="F79" s="279">
        <f>SUM(F80:F81)</f>
        <v>0</v>
      </c>
      <c r="G79" s="279">
        <f>SUM(G80:G81)</f>
        <v>0</v>
      </c>
      <c r="H79" s="280">
        <f t="shared" si="5"/>
        <v>0</v>
      </c>
      <c r="I79" s="279">
        <f>SUM(I80:I81)</f>
        <v>0</v>
      </c>
      <c r="J79" s="279">
        <f>SUM(J80:J81)</f>
        <v>0</v>
      </c>
      <c r="K79" s="280">
        <f t="shared" si="6"/>
        <v>0</v>
      </c>
      <c r="L79" s="279">
        <f>SUM(L80:L81)</f>
        <v>0</v>
      </c>
      <c r="M79" s="279">
        <f>SUM(M80:M81)</f>
        <v>0</v>
      </c>
      <c r="N79" s="280">
        <f t="shared" si="7"/>
        <v>0</v>
      </c>
    </row>
    <row r="80" spans="1:14" ht="13.5" hidden="1" thickBot="1" x14ac:dyDescent="0.25">
      <c r="A80" s="265"/>
      <c r="B80" s="266" t="s">
        <v>29</v>
      </c>
      <c r="C80" s="279"/>
      <c r="D80" s="279"/>
      <c r="E80" s="280">
        <f t="shared" si="4"/>
        <v>0</v>
      </c>
      <c r="F80" s="279"/>
      <c r="G80" s="279"/>
      <c r="H80" s="280">
        <f t="shared" si="5"/>
        <v>0</v>
      </c>
      <c r="I80" s="279"/>
      <c r="J80" s="279"/>
      <c r="K80" s="280">
        <f t="shared" si="6"/>
        <v>0</v>
      </c>
      <c r="L80" s="279"/>
      <c r="M80" s="279"/>
      <c r="N80" s="280">
        <f t="shared" si="7"/>
        <v>0</v>
      </c>
    </row>
    <row r="81" spans="1:14" ht="13.5" hidden="1" thickBot="1" x14ac:dyDescent="0.25">
      <c r="A81" s="265"/>
      <c r="B81" s="266" t="s">
        <v>30</v>
      </c>
      <c r="C81" s="279"/>
      <c r="D81" s="279"/>
      <c r="E81" s="280">
        <f t="shared" si="4"/>
        <v>0</v>
      </c>
      <c r="F81" s="279"/>
      <c r="G81" s="279"/>
      <c r="H81" s="280">
        <f t="shared" si="5"/>
        <v>0</v>
      </c>
      <c r="I81" s="279"/>
      <c r="J81" s="279"/>
      <c r="K81" s="280">
        <f t="shared" si="6"/>
        <v>0</v>
      </c>
      <c r="L81" s="279"/>
      <c r="M81" s="279"/>
      <c r="N81" s="280">
        <f t="shared" si="7"/>
        <v>0</v>
      </c>
    </row>
    <row r="82" spans="1:14" ht="13.5" hidden="1" thickBot="1" x14ac:dyDescent="0.25">
      <c r="A82" s="265" t="s">
        <v>543</v>
      </c>
      <c r="B82" s="266" t="s">
        <v>337</v>
      </c>
      <c r="C82" s="279"/>
      <c r="D82" s="279"/>
      <c r="E82" s="280"/>
      <c r="F82" s="279"/>
      <c r="G82" s="279"/>
      <c r="H82" s="280"/>
      <c r="I82" s="279"/>
      <c r="J82" s="279"/>
      <c r="K82" s="280"/>
      <c r="L82" s="279"/>
      <c r="M82" s="279"/>
      <c r="N82" s="280"/>
    </row>
    <row r="83" spans="1:14" ht="13.5" hidden="1" thickBot="1" x14ac:dyDescent="0.25">
      <c r="A83" s="265" t="s">
        <v>155</v>
      </c>
      <c r="B83" s="266" t="s">
        <v>156</v>
      </c>
      <c r="C83" s="279"/>
      <c r="D83" s="279"/>
      <c r="E83" s="280">
        <f t="shared" si="4"/>
        <v>0</v>
      </c>
      <c r="F83" s="279"/>
      <c r="G83" s="279"/>
      <c r="H83" s="280">
        <f t="shared" ref="H83:H85" si="12">SUM(F83:G83)</f>
        <v>0</v>
      </c>
      <c r="I83" s="279"/>
      <c r="J83" s="279"/>
      <c r="K83" s="280">
        <f t="shared" ref="K83:K85" si="13">SUM(I83:J83)</f>
        <v>0</v>
      </c>
      <c r="L83" s="279"/>
      <c r="M83" s="279"/>
      <c r="N83" s="280">
        <f t="shared" ref="N83:N85" si="14">SUM(L83:M83)</f>
        <v>0</v>
      </c>
    </row>
    <row r="84" spans="1:14" ht="13.5" hidden="1" thickBot="1" x14ac:dyDescent="0.25">
      <c r="A84" s="267" t="s">
        <v>157</v>
      </c>
      <c r="B84" s="268" t="s">
        <v>158</v>
      </c>
      <c r="C84" s="294"/>
      <c r="D84" s="294"/>
      <c r="E84" s="295">
        <f t="shared" si="4"/>
        <v>0</v>
      </c>
      <c r="F84" s="294"/>
      <c r="G84" s="294"/>
      <c r="H84" s="295">
        <f t="shared" si="12"/>
        <v>0</v>
      </c>
      <c r="I84" s="294"/>
      <c r="J84" s="294"/>
      <c r="K84" s="295">
        <f t="shared" si="13"/>
        <v>0</v>
      </c>
      <c r="L84" s="294"/>
      <c r="M84" s="294"/>
      <c r="N84" s="295">
        <f t="shared" si="14"/>
        <v>0</v>
      </c>
    </row>
    <row r="85" spans="1:14" ht="13.5" thickBot="1" x14ac:dyDescent="0.25">
      <c r="A85" s="277" t="s">
        <v>264</v>
      </c>
      <c r="B85" s="278" t="s">
        <v>159</v>
      </c>
      <c r="C85" s="296">
        <f>C73+C74</f>
        <v>0</v>
      </c>
      <c r="D85" s="296">
        <f>D73+D74</f>
        <v>0</v>
      </c>
      <c r="E85" s="297">
        <f t="shared" si="4"/>
        <v>0</v>
      </c>
      <c r="F85" s="296">
        <f>F73+F74</f>
        <v>0</v>
      </c>
      <c r="G85" s="296">
        <f>G73+G74</f>
        <v>0</v>
      </c>
      <c r="H85" s="297">
        <f t="shared" si="12"/>
        <v>0</v>
      </c>
      <c r="I85" s="296">
        <f>I73+I74</f>
        <v>0</v>
      </c>
      <c r="J85" s="296">
        <f>J73+J74</f>
        <v>0</v>
      </c>
      <c r="K85" s="297">
        <f t="shared" si="13"/>
        <v>0</v>
      </c>
      <c r="L85" s="296">
        <f>L73+L74</f>
        <v>71567</v>
      </c>
      <c r="M85" s="296">
        <f>M73+M74</f>
        <v>0</v>
      </c>
      <c r="N85" s="297">
        <f t="shared" si="14"/>
        <v>71567</v>
      </c>
    </row>
    <row r="86" spans="1:14" x14ac:dyDescent="0.2">
      <c r="A86" s="281"/>
      <c r="B86" s="282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</row>
    <row r="87" spans="1:14" ht="13.5" thickBot="1" x14ac:dyDescent="0.25">
      <c r="A87" s="283"/>
      <c r="B87" s="284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</row>
    <row r="88" spans="1:14" ht="13.5" thickBot="1" x14ac:dyDescent="0.25">
      <c r="A88" s="285" t="s">
        <v>160</v>
      </c>
      <c r="B88" s="264" t="s">
        <v>34</v>
      </c>
      <c r="C88" s="292">
        <f>C89+C101</f>
        <v>0</v>
      </c>
      <c r="D88" s="292">
        <f>D89+D101</f>
        <v>0</v>
      </c>
      <c r="E88" s="300">
        <f t="shared" ref="E88:E150" si="15">SUM(C88:D88)</f>
        <v>0</v>
      </c>
      <c r="F88" s="292">
        <f>F89+F101</f>
        <v>0</v>
      </c>
      <c r="G88" s="292">
        <f>G89+G101</f>
        <v>0</v>
      </c>
      <c r="H88" s="300">
        <f t="shared" ref="H88:H90" si="16">SUM(F88:G88)</f>
        <v>0</v>
      </c>
      <c r="I88" s="292">
        <f>I89+I101</f>
        <v>0</v>
      </c>
      <c r="J88" s="292">
        <f>J89+J101</f>
        <v>0</v>
      </c>
      <c r="K88" s="300">
        <f t="shared" ref="K88:K90" si="17">SUM(I88:J88)</f>
        <v>0</v>
      </c>
      <c r="L88" s="292">
        <f>L89+L101</f>
        <v>0</v>
      </c>
      <c r="M88" s="292">
        <f>M89+M101</f>
        <v>0</v>
      </c>
      <c r="N88" s="300">
        <f t="shared" ref="N88:N90" si="18">SUM(L88:M88)</f>
        <v>0</v>
      </c>
    </row>
    <row r="89" spans="1:14" ht="13.5" hidden="1" thickBot="1" x14ac:dyDescent="0.25">
      <c r="A89" s="286" t="s">
        <v>161</v>
      </c>
      <c r="B89" s="266" t="s">
        <v>162</v>
      </c>
      <c r="C89" s="279">
        <f>SUM(C90:C100)</f>
        <v>0</v>
      </c>
      <c r="D89" s="279">
        <f>SUM(D90:D100)</f>
        <v>0</v>
      </c>
      <c r="E89" s="280">
        <f t="shared" si="15"/>
        <v>0</v>
      </c>
      <c r="F89" s="279">
        <f>SUM(F90:F100)</f>
        <v>0</v>
      </c>
      <c r="G89" s="279">
        <f>SUM(G90:G100)</f>
        <v>0</v>
      </c>
      <c r="H89" s="280">
        <f t="shared" si="16"/>
        <v>0</v>
      </c>
      <c r="I89" s="279">
        <f>SUM(I90:I100)</f>
        <v>0</v>
      </c>
      <c r="J89" s="279">
        <f>SUM(J90:J100)</f>
        <v>0</v>
      </c>
      <c r="K89" s="280">
        <f t="shared" si="17"/>
        <v>0</v>
      </c>
      <c r="L89" s="279">
        <f>SUM(L90:L100)</f>
        <v>0</v>
      </c>
      <c r="M89" s="279">
        <f>SUM(M90:M100)</f>
        <v>0</v>
      </c>
      <c r="N89" s="280">
        <f t="shared" si="18"/>
        <v>0</v>
      </c>
    </row>
    <row r="90" spans="1:14" ht="13.5" hidden="1" thickBot="1" x14ac:dyDescent="0.25">
      <c r="A90" s="286" t="s">
        <v>163</v>
      </c>
      <c r="B90" s="266" t="s">
        <v>164</v>
      </c>
      <c r="C90" s="279"/>
      <c r="D90" s="279"/>
      <c r="E90" s="280">
        <f t="shared" si="15"/>
        <v>0</v>
      </c>
      <c r="F90" s="279"/>
      <c r="G90" s="279"/>
      <c r="H90" s="280">
        <f t="shared" si="16"/>
        <v>0</v>
      </c>
      <c r="I90" s="279"/>
      <c r="J90" s="279"/>
      <c r="K90" s="280">
        <f t="shared" si="17"/>
        <v>0</v>
      </c>
      <c r="L90" s="279"/>
      <c r="M90" s="279"/>
      <c r="N90" s="280">
        <f t="shared" si="18"/>
        <v>0</v>
      </c>
    </row>
    <row r="91" spans="1:14" ht="13.5" hidden="1" thickBot="1" x14ac:dyDescent="0.25">
      <c r="A91" s="286" t="s">
        <v>533</v>
      </c>
      <c r="B91" s="266" t="s">
        <v>534</v>
      </c>
      <c r="C91" s="279"/>
      <c r="D91" s="279"/>
      <c r="E91" s="280"/>
      <c r="F91" s="279"/>
      <c r="G91" s="279"/>
      <c r="H91" s="280"/>
      <c r="I91" s="279"/>
      <c r="J91" s="279"/>
      <c r="K91" s="280"/>
      <c r="L91" s="279"/>
      <c r="M91" s="279"/>
      <c r="N91" s="280"/>
    </row>
    <row r="92" spans="1:14" ht="13.5" hidden="1" thickBot="1" x14ac:dyDescent="0.25">
      <c r="A92" s="286" t="s">
        <v>165</v>
      </c>
      <c r="B92" s="266" t="s">
        <v>166</v>
      </c>
      <c r="C92" s="279"/>
      <c r="D92" s="279"/>
      <c r="E92" s="280">
        <f t="shared" si="15"/>
        <v>0</v>
      </c>
      <c r="F92" s="279"/>
      <c r="G92" s="279"/>
      <c r="H92" s="280">
        <f t="shared" ref="H92:H145" si="19">SUM(F92:G92)</f>
        <v>0</v>
      </c>
      <c r="I92" s="279"/>
      <c r="J92" s="279"/>
      <c r="K92" s="280">
        <f t="shared" ref="K92:K145" si="20">SUM(I92:J92)</f>
        <v>0</v>
      </c>
      <c r="L92" s="279"/>
      <c r="M92" s="279"/>
      <c r="N92" s="280">
        <f t="shared" ref="N92:N145" si="21">SUM(L92:M92)</f>
        <v>0</v>
      </c>
    </row>
    <row r="93" spans="1:14" ht="13.5" hidden="1" thickBot="1" x14ac:dyDescent="0.25">
      <c r="A93" s="286" t="s">
        <v>167</v>
      </c>
      <c r="B93" s="266" t="s">
        <v>168</v>
      </c>
      <c r="C93" s="279"/>
      <c r="D93" s="279"/>
      <c r="E93" s="280">
        <f t="shared" si="15"/>
        <v>0</v>
      </c>
      <c r="F93" s="279"/>
      <c r="G93" s="279"/>
      <c r="H93" s="280">
        <f t="shared" si="19"/>
        <v>0</v>
      </c>
      <c r="I93" s="279"/>
      <c r="J93" s="279"/>
      <c r="K93" s="280">
        <f t="shared" si="20"/>
        <v>0</v>
      </c>
      <c r="L93" s="279"/>
      <c r="M93" s="279"/>
      <c r="N93" s="280">
        <f t="shared" si="21"/>
        <v>0</v>
      </c>
    </row>
    <row r="94" spans="1:14" ht="13.5" hidden="1" thickBot="1" x14ac:dyDescent="0.25">
      <c r="A94" s="286" t="s">
        <v>169</v>
      </c>
      <c r="B94" s="266" t="s">
        <v>170</v>
      </c>
      <c r="C94" s="279"/>
      <c r="D94" s="279"/>
      <c r="E94" s="280">
        <f t="shared" si="15"/>
        <v>0</v>
      </c>
      <c r="F94" s="279"/>
      <c r="G94" s="279"/>
      <c r="H94" s="280">
        <f t="shared" si="19"/>
        <v>0</v>
      </c>
      <c r="I94" s="279"/>
      <c r="J94" s="279"/>
      <c r="K94" s="280">
        <f t="shared" si="20"/>
        <v>0</v>
      </c>
      <c r="L94" s="279"/>
      <c r="M94" s="279"/>
      <c r="N94" s="280">
        <f t="shared" si="21"/>
        <v>0</v>
      </c>
    </row>
    <row r="95" spans="1:14" ht="13.5" hidden="1" thickBot="1" x14ac:dyDescent="0.25">
      <c r="A95" s="286" t="s">
        <v>171</v>
      </c>
      <c r="B95" s="266" t="s">
        <v>172</v>
      </c>
      <c r="C95" s="279"/>
      <c r="D95" s="279"/>
      <c r="E95" s="280">
        <f t="shared" si="15"/>
        <v>0</v>
      </c>
      <c r="F95" s="279"/>
      <c r="G95" s="279"/>
      <c r="H95" s="280">
        <f t="shared" si="19"/>
        <v>0</v>
      </c>
      <c r="I95" s="279"/>
      <c r="J95" s="279"/>
      <c r="K95" s="280">
        <f t="shared" si="20"/>
        <v>0</v>
      </c>
      <c r="L95" s="279"/>
      <c r="M95" s="279"/>
      <c r="N95" s="280">
        <f t="shared" si="21"/>
        <v>0</v>
      </c>
    </row>
    <row r="96" spans="1:14" ht="13.5" hidden="1" thickBot="1" x14ac:dyDescent="0.25">
      <c r="A96" s="286" t="s">
        <v>173</v>
      </c>
      <c r="B96" s="266" t="s">
        <v>174</v>
      </c>
      <c r="C96" s="279"/>
      <c r="D96" s="279"/>
      <c r="E96" s="280">
        <f t="shared" si="15"/>
        <v>0</v>
      </c>
      <c r="F96" s="279"/>
      <c r="G96" s="279"/>
      <c r="H96" s="280">
        <f t="shared" si="19"/>
        <v>0</v>
      </c>
      <c r="I96" s="279"/>
      <c r="J96" s="279"/>
      <c r="K96" s="280">
        <f t="shared" si="20"/>
        <v>0</v>
      </c>
      <c r="L96" s="279"/>
      <c r="M96" s="279"/>
      <c r="N96" s="280">
        <f t="shared" si="21"/>
        <v>0</v>
      </c>
    </row>
    <row r="97" spans="1:14" ht="13.5" hidden="1" thickBot="1" x14ac:dyDescent="0.25">
      <c r="A97" s="286" t="s">
        <v>175</v>
      </c>
      <c r="B97" s="266" t="s">
        <v>176</v>
      </c>
      <c r="C97" s="279"/>
      <c r="D97" s="279"/>
      <c r="E97" s="280">
        <f t="shared" si="15"/>
        <v>0</v>
      </c>
      <c r="F97" s="279"/>
      <c r="G97" s="279"/>
      <c r="H97" s="280">
        <f t="shared" si="19"/>
        <v>0</v>
      </c>
      <c r="I97" s="279"/>
      <c r="J97" s="279"/>
      <c r="K97" s="280">
        <f t="shared" si="20"/>
        <v>0</v>
      </c>
      <c r="L97" s="279"/>
      <c r="M97" s="279"/>
      <c r="N97" s="280">
        <f t="shared" si="21"/>
        <v>0</v>
      </c>
    </row>
    <row r="98" spans="1:14" ht="13.5" hidden="1" thickBot="1" x14ac:dyDescent="0.25">
      <c r="A98" s="286" t="s">
        <v>177</v>
      </c>
      <c r="B98" s="266" t="s">
        <v>178</v>
      </c>
      <c r="C98" s="279"/>
      <c r="D98" s="279"/>
      <c r="E98" s="280">
        <f t="shared" si="15"/>
        <v>0</v>
      </c>
      <c r="F98" s="279"/>
      <c r="G98" s="279"/>
      <c r="H98" s="280">
        <f t="shared" si="19"/>
        <v>0</v>
      </c>
      <c r="I98" s="279"/>
      <c r="J98" s="279"/>
      <c r="K98" s="280">
        <f t="shared" si="20"/>
        <v>0</v>
      </c>
      <c r="L98" s="279"/>
      <c r="M98" s="279"/>
      <c r="N98" s="280">
        <f t="shared" si="21"/>
        <v>0</v>
      </c>
    </row>
    <row r="99" spans="1:14" ht="13.5" hidden="1" thickBot="1" x14ac:dyDescent="0.25">
      <c r="A99" s="286" t="s">
        <v>179</v>
      </c>
      <c r="B99" s="266" t="s">
        <v>180</v>
      </c>
      <c r="C99" s="279"/>
      <c r="D99" s="279"/>
      <c r="E99" s="280">
        <f t="shared" si="15"/>
        <v>0</v>
      </c>
      <c r="F99" s="279"/>
      <c r="G99" s="279"/>
      <c r="H99" s="280">
        <f t="shared" si="19"/>
        <v>0</v>
      </c>
      <c r="I99" s="279"/>
      <c r="J99" s="279"/>
      <c r="K99" s="280">
        <f t="shared" si="20"/>
        <v>0</v>
      </c>
      <c r="L99" s="279"/>
      <c r="M99" s="279"/>
      <c r="N99" s="280">
        <f t="shared" si="21"/>
        <v>0</v>
      </c>
    </row>
    <row r="100" spans="1:14" ht="13.5" hidden="1" thickBot="1" x14ac:dyDescent="0.25">
      <c r="A100" s="286" t="s">
        <v>181</v>
      </c>
      <c r="B100" s="266" t="s">
        <v>182</v>
      </c>
      <c r="C100" s="279"/>
      <c r="D100" s="279"/>
      <c r="E100" s="280">
        <f t="shared" si="15"/>
        <v>0</v>
      </c>
      <c r="F100" s="279"/>
      <c r="G100" s="279"/>
      <c r="H100" s="280">
        <f t="shared" si="19"/>
        <v>0</v>
      </c>
      <c r="I100" s="279"/>
      <c r="J100" s="279"/>
      <c r="K100" s="280">
        <f t="shared" si="20"/>
        <v>0</v>
      </c>
      <c r="L100" s="279"/>
      <c r="M100" s="279"/>
      <c r="N100" s="280">
        <f t="shared" si="21"/>
        <v>0</v>
      </c>
    </row>
    <row r="101" spans="1:14" ht="13.5" hidden="1" thickBot="1" x14ac:dyDescent="0.25">
      <c r="A101" s="286" t="s">
        <v>183</v>
      </c>
      <c r="B101" s="266" t="s">
        <v>184</v>
      </c>
      <c r="C101" s="279">
        <f>SUM(C102:C104)</f>
        <v>0</v>
      </c>
      <c r="D101" s="279">
        <f>SUM(D102:D104)</f>
        <v>0</v>
      </c>
      <c r="E101" s="280">
        <f t="shared" si="15"/>
        <v>0</v>
      </c>
      <c r="F101" s="279">
        <f>SUM(F102:F104)</f>
        <v>0</v>
      </c>
      <c r="G101" s="279">
        <f>SUM(G102:G104)</f>
        <v>0</v>
      </c>
      <c r="H101" s="280">
        <f t="shared" si="19"/>
        <v>0</v>
      </c>
      <c r="I101" s="279">
        <f>SUM(I102:I104)</f>
        <v>0</v>
      </c>
      <c r="J101" s="279">
        <f>SUM(J102:J104)</f>
        <v>0</v>
      </c>
      <c r="K101" s="280">
        <f t="shared" si="20"/>
        <v>0</v>
      </c>
      <c r="L101" s="279">
        <f>SUM(L102:L104)</f>
        <v>0</v>
      </c>
      <c r="M101" s="279">
        <f>SUM(M102:M104)</f>
        <v>0</v>
      </c>
      <c r="N101" s="280">
        <f t="shared" si="21"/>
        <v>0</v>
      </c>
    </row>
    <row r="102" spans="1:14" ht="13.5" hidden="1" thickBot="1" x14ac:dyDescent="0.25">
      <c r="A102" s="286" t="s">
        <v>185</v>
      </c>
      <c r="B102" s="266" t="s">
        <v>186</v>
      </c>
      <c r="C102" s="279"/>
      <c r="D102" s="279"/>
      <c r="E102" s="280">
        <f t="shared" si="15"/>
        <v>0</v>
      </c>
      <c r="F102" s="279"/>
      <c r="G102" s="279"/>
      <c r="H102" s="280">
        <f t="shared" si="19"/>
        <v>0</v>
      </c>
      <c r="I102" s="279"/>
      <c r="J102" s="279"/>
      <c r="K102" s="280">
        <f t="shared" si="20"/>
        <v>0</v>
      </c>
      <c r="L102" s="279"/>
      <c r="M102" s="279"/>
      <c r="N102" s="280">
        <f t="shared" si="21"/>
        <v>0</v>
      </c>
    </row>
    <row r="103" spans="1:14" ht="13.5" hidden="1" thickBot="1" x14ac:dyDescent="0.25">
      <c r="A103" s="286" t="s">
        <v>187</v>
      </c>
      <c r="B103" s="266" t="s">
        <v>188</v>
      </c>
      <c r="C103" s="279"/>
      <c r="D103" s="279"/>
      <c r="E103" s="280">
        <f t="shared" si="15"/>
        <v>0</v>
      </c>
      <c r="F103" s="279"/>
      <c r="G103" s="279"/>
      <c r="H103" s="280">
        <f t="shared" si="19"/>
        <v>0</v>
      </c>
      <c r="I103" s="279"/>
      <c r="J103" s="279"/>
      <c r="K103" s="280">
        <f t="shared" si="20"/>
        <v>0</v>
      </c>
      <c r="L103" s="279"/>
      <c r="M103" s="279"/>
      <c r="N103" s="280">
        <f t="shared" si="21"/>
        <v>0</v>
      </c>
    </row>
    <row r="104" spans="1:14" ht="13.5" hidden="1" thickBot="1" x14ac:dyDescent="0.25">
      <c r="A104" s="287" t="s">
        <v>189</v>
      </c>
      <c r="B104" s="268" t="s">
        <v>190</v>
      </c>
      <c r="C104" s="294"/>
      <c r="D104" s="294"/>
      <c r="E104" s="295">
        <f t="shared" si="15"/>
        <v>0</v>
      </c>
      <c r="F104" s="294"/>
      <c r="G104" s="294"/>
      <c r="H104" s="295">
        <f t="shared" si="19"/>
        <v>0</v>
      </c>
      <c r="I104" s="294"/>
      <c r="J104" s="294"/>
      <c r="K104" s="295">
        <f t="shared" si="20"/>
        <v>0</v>
      </c>
      <c r="L104" s="294"/>
      <c r="M104" s="294"/>
      <c r="N104" s="295">
        <f t="shared" si="21"/>
        <v>0</v>
      </c>
    </row>
    <row r="105" spans="1:14" ht="13.5" thickBot="1" x14ac:dyDescent="0.25">
      <c r="A105" s="285" t="s">
        <v>191</v>
      </c>
      <c r="B105" s="264" t="s">
        <v>192</v>
      </c>
      <c r="C105" s="292">
        <f>SUM(C106:C110)</f>
        <v>0</v>
      </c>
      <c r="D105" s="292">
        <f>SUM(D106:D110)</f>
        <v>0</v>
      </c>
      <c r="E105" s="293">
        <f t="shared" si="15"/>
        <v>0</v>
      </c>
      <c r="F105" s="292">
        <f>SUM(F106:F110)</f>
        <v>0</v>
      </c>
      <c r="G105" s="292">
        <f>SUM(G106:G110)</f>
        <v>0</v>
      </c>
      <c r="H105" s="293">
        <f t="shared" si="19"/>
        <v>0</v>
      </c>
      <c r="I105" s="292">
        <f>SUM(I106:I110)</f>
        <v>0</v>
      </c>
      <c r="J105" s="292">
        <f>SUM(J106:J110)</f>
        <v>0</v>
      </c>
      <c r="K105" s="293">
        <f t="shared" si="20"/>
        <v>0</v>
      </c>
      <c r="L105" s="292">
        <f>SUM(L106:L110)</f>
        <v>0</v>
      </c>
      <c r="M105" s="292">
        <f>SUM(M106:M110)</f>
        <v>0</v>
      </c>
      <c r="N105" s="293">
        <f t="shared" si="21"/>
        <v>0</v>
      </c>
    </row>
    <row r="106" spans="1:14" ht="13.5" hidden="1" thickBot="1" x14ac:dyDescent="0.25">
      <c r="A106" s="286"/>
      <c r="B106" s="266" t="s">
        <v>193</v>
      </c>
      <c r="C106" s="279"/>
      <c r="D106" s="279"/>
      <c r="E106" s="280">
        <f t="shared" si="15"/>
        <v>0</v>
      </c>
      <c r="F106" s="279"/>
      <c r="G106" s="279"/>
      <c r="H106" s="280">
        <f t="shared" si="19"/>
        <v>0</v>
      </c>
      <c r="I106" s="279"/>
      <c r="J106" s="279"/>
      <c r="K106" s="280">
        <f t="shared" si="20"/>
        <v>0</v>
      </c>
      <c r="L106" s="279"/>
      <c r="M106" s="279"/>
      <c r="N106" s="280">
        <f t="shared" si="21"/>
        <v>0</v>
      </c>
    </row>
    <row r="107" spans="1:14" ht="13.5" hidden="1" thickBot="1" x14ac:dyDescent="0.25">
      <c r="A107" s="286"/>
      <c r="B107" s="266" t="s">
        <v>194</v>
      </c>
      <c r="C107" s="279"/>
      <c r="D107" s="279"/>
      <c r="E107" s="280">
        <f t="shared" si="15"/>
        <v>0</v>
      </c>
      <c r="F107" s="279"/>
      <c r="G107" s="279"/>
      <c r="H107" s="280">
        <f t="shared" si="19"/>
        <v>0</v>
      </c>
      <c r="I107" s="279"/>
      <c r="J107" s="279"/>
      <c r="K107" s="280">
        <f t="shared" si="20"/>
        <v>0</v>
      </c>
      <c r="L107" s="279"/>
      <c r="M107" s="279"/>
      <c r="N107" s="280">
        <f t="shared" si="21"/>
        <v>0</v>
      </c>
    </row>
    <row r="108" spans="1:14" ht="13.5" hidden="1" thickBot="1" x14ac:dyDescent="0.25">
      <c r="A108" s="287"/>
      <c r="B108" s="268" t="s">
        <v>195</v>
      </c>
      <c r="C108" s="279"/>
      <c r="D108" s="279"/>
      <c r="E108" s="280">
        <f t="shared" si="15"/>
        <v>0</v>
      </c>
      <c r="F108" s="279"/>
      <c r="G108" s="279"/>
      <c r="H108" s="280">
        <f t="shared" si="19"/>
        <v>0</v>
      </c>
      <c r="I108" s="279"/>
      <c r="J108" s="279"/>
      <c r="K108" s="280">
        <f t="shared" si="20"/>
        <v>0</v>
      </c>
      <c r="L108" s="279"/>
      <c r="M108" s="279"/>
      <c r="N108" s="280">
        <f t="shared" si="21"/>
        <v>0</v>
      </c>
    </row>
    <row r="109" spans="1:14" ht="13.5" hidden="1" thickBot="1" x14ac:dyDescent="0.25">
      <c r="A109" s="287"/>
      <c r="B109" s="268" t="s">
        <v>196</v>
      </c>
      <c r="C109" s="279"/>
      <c r="D109" s="279"/>
      <c r="E109" s="280">
        <f t="shared" si="15"/>
        <v>0</v>
      </c>
      <c r="F109" s="279"/>
      <c r="G109" s="279"/>
      <c r="H109" s="280">
        <f t="shared" si="19"/>
        <v>0</v>
      </c>
      <c r="I109" s="279"/>
      <c r="J109" s="279"/>
      <c r="K109" s="280">
        <f t="shared" si="20"/>
        <v>0</v>
      </c>
      <c r="L109" s="279"/>
      <c r="M109" s="279"/>
      <c r="N109" s="280">
        <f t="shared" si="21"/>
        <v>0</v>
      </c>
    </row>
    <row r="110" spans="1:14" ht="13.5" hidden="1" thickBot="1" x14ac:dyDescent="0.25">
      <c r="A110" s="287"/>
      <c r="B110" s="268" t="s">
        <v>197</v>
      </c>
      <c r="C110" s="294"/>
      <c r="D110" s="294"/>
      <c r="E110" s="295">
        <f t="shared" si="15"/>
        <v>0</v>
      </c>
      <c r="F110" s="294"/>
      <c r="G110" s="294"/>
      <c r="H110" s="295">
        <f t="shared" si="19"/>
        <v>0</v>
      </c>
      <c r="I110" s="294"/>
      <c r="J110" s="294"/>
      <c r="K110" s="295">
        <f t="shared" si="20"/>
        <v>0</v>
      </c>
      <c r="L110" s="294"/>
      <c r="M110" s="294"/>
      <c r="N110" s="295">
        <f t="shared" si="21"/>
        <v>0</v>
      </c>
    </row>
    <row r="111" spans="1:14" x14ac:dyDescent="0.2">
      <c r="A111" s="285" t="s">
        <v>198</v>
      </c>
      <c r="B111" s="264" t="s">
        <v>35</v>
      </c>
      <c r="C111" s="292">
        <f>SUM(C112:C113,C114,C123,C122)</f>
        <v>381000</v>
      </c>
      <c r="D111" s="292">
        <f>SUM(D112:D113,D114,D123,D122)</f>
        <v>0</v>
      </c>
      <c r="E111" s="293">
        <f t="shared" si="15"/>
        <v>381000</v>
      </c>
      <c r="F111" s="292">
        <f>SUM(F112:F113,F114,F123,F122)</f>
        <v>381000</v>
      </c>
      <c r="G111" s="292">
        <f>SUM(G112:G113,G114,G123,G122)</f>
        <v>0</v>
      </c>
      <c r="H111" s="293">
        <f t="shared" si="19"/>
        <v>381000</v>
      </c>
      <c r="I111" s="292">
        <f>SUM(I112:I113,I114,I123,I122)</f>
        <v>381000</v>
      </c>
      <c r="J111" s="292">
        <f>SUM(J112:J113,J114,J123,J122)</f>
        <v>0</v>
      </c>
      <c r="K111" s="293">
        <f t="shared" si="20"/>
        <v>381000</v>
      </c>
      <c r="L111" s="292">
        <f>SUM(L112:L113,L114,L123,L122)</f>
        <v>277508</v>
      </c>
      <c r="M111" s="292">
        <f>SUM(M112:M113,M114,M123,M122)</f>
        <v>0</v>
      </c>
      <c r="N111" s="293">
        <f t="shared" si="21"/>
        <v>277508</v>
      </c>
    </row>
    <row r="112" spans="1:14" x14ac:dyDescent="0.2">
      <c r="A112" s="286" t="s">
        <v>199</v>
      </c>
      <c r="B112" s="266" t="s">
        <v>200</v>
      </c>
      <c r="C112" s="279"/>
      <c r="D112" s="279"/>
      <c r="E112" s="280">
        <f t="shared" si="15"/>
        <v>0</v>
      </c>
      <c r="F112" s="279"/>
      <c r="G112" s="279"/>
      <c r="H112" s="280">
        <f t="shared" si="19"/>
        <v>0</v>
      </c>
      <c r="I112" s="279"/>
      <c r="J112" s="279"/>
      <c r="K112" s="280">
        <f t="shared" si="20"/>
        <v>0</v>
      </c>
      <c r="L112" s="279"/>
      <c r="M112" s="279"/>
      <c r="N112" s="280">
        <f t="shared" si="21"/>
        <v>0</v>
      </c>
    </row>
    <row r="113" spans="1:14" x14ac:dyDescent="0.2">
      <c r="A113" s="286" t="s">
        <v>201</v>
      </c>
      <c r="B113" s="266" t="s">
        <v>202</v>
      </c>
      <c r="C113" s="279"/>
      <c r="D113" s="279"/>
      <c r="E113" s="280">
        <f t="shared" si="15"/>
        <v>0</v>
      </c>
      <c r="F113" s="279"/>
      <c r="G113" s="279"/>
      <c r="H113" s="280">
        <f t="shared" si="19"/>
        <v>0</v>
      </c>
      <c r="I113" s="279"/>
      <c r="J113" s="279"/>
      <c r="K113" s="280">
        <f t="shared" si="20"/>
        <v>0</v>
      </c>
      <c r="L113" s="279"/>
      <c r="M113" s="279"/>
      <c r="N113" s="280">
        <f t="shared" si="21"/>
        <v>0</v>
      </c>
    </row>
    <row r="114" spans="1:14" x14ac:dyDescent="0.2">
      <c r="A114" s="286" t="s">
        <v>203</v>
      </c>
      <c r="B114" s="266" t="s">
        <v>204</v>
      </c>
      <c r="C114" s="279">
        <f>SUM(C115:C121)</f>
        <v>300000</v>
      </c>
      <c r="D114" s="279">
        <f>SUM(D115:D121)</f>
        <v>0</v>
      </c>
      <c r="E114" s="280">
        <f t="shared" si="15"/>
        <v>300000</v>
      </c>
      <c r="F114" s="279">
        <f>SUM(F115:F121)</f>
        <v>300000</v>
      </c>
      <c r="G114" s="279">
        <f>SUM(G115:G121)</f>
        <v>0</v>
      </c>
      <c r="H114" s="280">
        <f t="shared" si="19"/>
        <v>300000</v>
      </c>
      <c r="I114" s="279">
        <f>SUM(I115:I121)</f>
        <v>300000</v>
      </c>
      <c r="J114" s="279">
        <f>SUM(J115:J121)</f>
        <v>0</v>
      </c>
      <c r="K114" s="280">
        <f t="shared" si="20"/>
        <v>300000</v>
      </c>
      <c r="L114" s="279">
        <f>SUM(L115:L121)</f>
        <v>218510</v>
      </c>
      <c r="M114" s="279">
        <f>SUM(M115:M121)</f>
        <v>0</v>
      </c>
      <c r="N114" s="280">
        <f t="shared" si="21"/>
        <v>218510</v>
      </c>
    </row>
    <row r="115" spans="1:14" x14ac:dyDescent="0.2">
      <c r="A115" s="286" t="s">
        <v>205</v>
      </c>
      <c r="B115" s="266" t="s">
        <v>206</v>
      </c>
      <c r="C115" s="279"/>
      <c r="D115" s="279"/>
      <c r="E115" s="280">
        <f t="shared" si="15"/>
        <v>0</v>
      </c>
      <c r="F115" s="279"/>
      <c r="G115" s="279"/>
      <c r="H115" s="280">
        <f t="shared" si="19"/>
        <v>0</v>
      </c>
      <c r="I115" s="279"/>
      <c r="J115" s="279"/>
      <c r="K115" s="280">
        <f t="shared" si="20"/>
        <v>0</v>
      </c>
      <c r="L115" s="279"/>
      <c r="M115" s="279"/>
      <c r="N115" s="280">
        <f t="shared" si="21"/>
        <v>0</v>
      </c>
    </row>
    <row r="116" spans="1:14" x14ac:dyDescent="0.2">
      <c r="A116" s="286" t="s">
        <v>207</v>
      </c>
      <c r="B116" s="266" t="s">
        <v>208</v>
      </c>
      <c r="C116" s="279">
        <v>300000</v>
      </c>
      <c r="D116" s="279"/>
      <c r="E116" s="280">
        <f t="shared" si="15"/>
        <v>300000</v>
      </c>
      <c r="F116" s="279">
        <v>300000</v>
      </c>
      <c r="G116" s="279"/>
      <c r="H116" s="280">
        <f t="shared" si="19"/>
        <v>300000</v>
      </c>
      <c r="I116" s="279">
        <v>300000</v>
      </c>
      <c r="J116" s="279"/>
      <c r="K116" s="280">
        <f t="shared" si="20"/>
        <v>300000</v>
      </c>
      <c r="L116" s="279">
        <v>218510</v>
      </c>
      <c r="M116" s="279"/>
      <c r="N116" s="280">
        <f t="shared" si="21"/>
        <v>218510</v>
      </c>
    </row>
    <row r="117" spans="1:14" x14ac:dyDescent="0.2">
      <c r="A117" s="286" t="s">
        <v>209</v>
      </c>
      <c r="B117" s="266" t="s">
        <v>210</v>
      </c>
      <c r="C117" s="279"/>
      <c r="D117" s="279"/>
      <c r="E117" s="280">
        <f t="shared" si="15"/>
        <v>0</v>
      </c>
      <c r="F117" s="279"/>
      <c r="G117" s="279"/>
      <c r="H117" s="280">
        <f t="shared" si="19"/>
        <v>0</v>
      </c>
      <c r="I117" s="279"/>
      <c r="J117" s="279"/>
      <c r="K117" s="280">
        <f t="shared" si="20"/>
        <v>0</v>
      </c>
      <c r="L117" s="279"/>
      <c r="M117" s="279"/>
      <c r="N117" s="280">
        <f t="shared" si="21"/>
        <v>0</v>
      </c>
    </row>
    <row r="118" spans="1:14" x14ac:dyDescent="0.2">
      <c r="A118" s="286" t="s">
        <v>211</v>
      </c>
      <c r="B118" s="266" t="s">
        <v>212</v>
      </c>
      <c r="C118" s="279"/>
      <c r="D118" s="279"/>
      <c r="E118" s="280">
        <f t="shared" si="15"/>
        <v>0</v>
      </c>
      <c r="F118" s="279"/>
      <c r="G118" s="279"/>
      <c r="H118" s="280">
        <f t="shared" si="19"/>
        <v>0</v>
      </c>
      <c r="I118" s="279"/>
      <c r="J118" s="279"/>
      <c r="K118" s="280">
        <f t="shared" si="20"/>
        <v>0</v>
      </c>
      <c r="L118" s="279"/>
      <c r="M118" s="279"/>
      <c r="N118" s="280">
        <f t="shared" si="21"/>
        <v>0</v>
      </c>
    </row>
    <row r="119" spans="1:14" x14ac:dyDescent="0.2">
      <c r="A119" s="286" t="s">
        <v>213</v>
      </c>
      <c r="B119" s="266" t="s">
        <v>214</v>
      </c>
      <c r="C119" s="279"/>
      <c r="D119" s="279"/>
      <c r="E119" s="280">
        <f t="shared" si="15"/>
        <v>0</v>
      </c>
      <c r="F119" s="279"/>
      <c r="G119" s="279"/>
      <c r="H119" s="280">
        <f t="shared" si="19"/>
        <v>0</v>
      </c>
      <c r="I119" s="279"/>
      <c r="J119" s="279"/>
      <c r="K119" s="280">
        <f t="shared" si="20"/>
        <v>0</v>
      </c>
      <c r="L119" s="279"/>
      <c r="M119" s="279"/>
      <c r="N119" s="280">
        <f t="shared" si="21"/>
        <v>0</v>
      </c>
    </row>
    <row r="120" spans="1:14" x14ac:dyDescent="0.2">
      <c r="A120" s="286" t="s">
        <v>215</v>
      </c>
      <c r="B120" s="266" t="s">
        <v>216</v>
      </c>
      <c r="C120" s="279"/>
      <c r="D120" s="279"/>
      <c r="E120" s="280">
        <f t="shared" si="15"/>
        <v>0</v>
      </c>
      <c r="F120" s="279"/>
      <c r="G120" s="279"/>
      <c r="H120" s="280">
        <f t="shared" si="19"/>
        <v>0</v>
      </c>
      <c r="I120" s="279"/>
      <c r="J120" s="279"/>
      <c r="K120" s="280">
        <f t="shared" si="20"/>
        <v>0</v>
      </c>
      <c r="L120" s="279"/>
      <c r="M120" s="279"/>
      <c r="N120" s="280">
        <f t="shared" si="21"/>
        <v>0</v>
      </c>
    </row>
    <row r="121" spans="1:14" x14ac:dyDescent="0.2">
      <c r="A121" s="286" t="s">
        <v>217</v>
      </c>
      <c r="B121" s="266" t="s">
        <v>218</v>
      </c>
      <c r="C121" s="279"/>
      <c r="D121" s="279"/>
      <c r="E121" s="280">
        <f t="shared" si="15"/>
        <v>0</v>
      </c>
      <c r="F121" s="279"/>
      <c r="G121" s="279"/>
      <c r="H121" s="280">
        <f t="shared" si="19"/>
        <v>0</v>
      </c>
      <c r="I121" s="279"/>
      <c r="J121" s="279"/>
      <c r="K121" s="280">
        <f t="shared" si="20"/>
        <v>0</v>
      </c>
      <c r="L121" s="279"/>
      <c r="M121" s="279"/>
      <c r="N121" s="280">
        <f t="shared" si="21"/>
        <v>0</v>
      </c>
    </row>
    <row r="122" spans="1:14" x14ac:dyDescent="0.2">
      <c r="A122" s="286" t="s">
        <v>219</v>
      </c>
      <c r="B122" s="266" t="s">
        <v>220</v>
      </c>
      <c r="C122" s="279"/>
      <c r="D122" s="279"/>
      <c r="E122" s="280">
        <f t="shared" si="15"/>
        <v>0</v>
      </c>
      <c r="F122" s="279"/>
      <c r="G122" s="279"/>
      <c r="H122" s="280">
        <f t="shared" si="19"/>
        <v>0</v>
      </c>
      <c r="I122" s="279"/>
      <c r="J122" s="279"/>
      <c r="K122" s="280">
        <f t="shared" si="20"/>
        <v>0</v>
      </c>
      <c r="L122" s="279"/>
      <c r="M122" s="279"/>
      <c r="N122" s="280">
        <f t="shared" si="21"/>
        <v>0</v>
      </c>
    </row>
    <row r="123" spans="1:14" x14ac:dyDescent="0.2">
      <c r="A123" s="286" t="s">
        <v>221</v>
      </c>
      <c r="B123" s="266" t="s">
        <v>222</v>
      </c>
      <c r="C123" s="279">
        <f>SUM(C124:C126)</f>
        <v>81000</v>
      </c>
      <c r="D123" s="279">
        <f>SUM(D124:D126)</f>
        <v>0</v>
      </c>
      <c r="E123" s="280">
        <f t="shared" si="15"/>
        <v>81000</v>
      </c>
      <c r="F123" s="279">
        <f>SUM(F124:F126)</f>
        <v>81000</v>
      </c>
      <c r="G123" s="279">
        <f>SUM(G124:G126)</f>
        <v>0</v>
      </c>
      <c r="H123" s="280">
        <f t="shared" si="19"/>
        <v>81000</v>
      </c>
      <c r="I123" s="279">
        <f>SUM(I124:I126)</f>
        <v>81000</v>
      </c>
      <c r="J123" s="279">
        <f>SUM(J124:J126)</f>
        <v>0</v>
      </c>
      <c r="K123" s="280">
        <f t="shared" si="20"/>
        <v>81000</v>
      </c>
      <c r="L123" s="279">
        <f>SUM(L124:L126)</f>
        <v>58998</v>
      </c>
      <c r="M123" s="279">
        <f>SUM(M124:M126)</f>
        <v>0</v>
      </c>
      <c r="N123" s="280">
        <f t="shared" si="21"/>
        <v>58998</v>
      </c>
    </row>
    <row r="124" spans="1:14" x14ac:dyDescent="0.2">
      <c r="A124" s="286"/>
      <c r="B124" s="266" t="s">
        <v>223</v>
      </c>
      <c r="C124" s="279">
        <v>81000</v>
      </c>
      <c r="D124" s="279"/>
      <c r="E124" s="280">
        <f t="shared" si="15"/>
        <v>81000</v>
      </c>
      <c r="F124" s="279">
        <v>81000</v>
      </c>
      <c r="G124" s="279"/>
      <c r="H124" s="280">
        <f t="shared" si="19"/>
        <v>81000</v>
      </c>
      <c r="I124" s="279">
        <v>81000</v>
      </c>
      <c r="J124" s="279"/>
      <c r="K124" s="280">
        <f t="shared" si="20"/>
        <v>81000</v>
      </c>
      <c r="L124" s="279">
        <v>58998</v>
      </c>
      <c r="M124" s="279"/>
      <c r="N124" s="280">
        <f t="shared" si="21"/>
        <v>58998</v>
      </c>
    </row>
    <row r="125" spans="1:14" x14ac:dyDescent="0.2">
      <c r="A125" s="287"/>
      <c r="B125" s="268" t="s">
        <v>224</v>
      </c>
      <c r="C125" s="279"/>
      <c r="D125" s="279"/>
      <c r="E125" s="280">
        <f t="shared" si="15"/>
        <v>0</v>
      </c>
      <c r="F125" s="279"/>
      <c r="G125" s="279"/>
      <c r="H125" s="280">
        <f t="shared" si="19"/>
        <v>0</v>
      </c>
      <c r="I125" s="279"/>
      <c r="J125" s="279"/>
      <c r="K125" s="280">
        <f t="shared" si="20"/>
        <v>0</v>
      </c>
      <c r="L125" s="279"/>
      <c r="M125" s="279"/>
      <c r="N125" s="280">
        <f t="shared" si="21"/>
        <v>0</v>
      </c>
    </row>
    <row r="126" spans="1:14" ht="13.5" thickBot="1" x14ac:dyDescent="0.25">
      <c r="A126" s="287" t="s">
        <v>225</v>
      </c>
      <c r="B126" s="268" t="s">
        <v>226</v>
      </c>
      <c r="C126" s="294"/>
      <c r="D126" s="294"/>
      <c r="E126" s="295">
        <f t="shared" si="15"/>
        <v>0</v>
      </c>
      <c r="F126" s="294"/>
      <c r="G126" s="294"/>
      <c r="H126" s="295">
        <f t="shared" si="19"/>
        <v>0</v>
      </c>
      <c r="I126" s="294"/>
      <c r="J126" s="294"/>
      <c r="K126" s="295">
        <f t="shared" si="20"/>
        <v>0</v>
      </c>
      <c r="L126" s="294"/>
      <c r="M126" s="294"/>
      <c r="N126" s="295">
        <f t="shared" si="21"/>
        <v>0</v>
      </c>
    </row>
    <row r="127" spans="1:14" ht="13.5" thickBot="1" x14ac:dyDescent="0.25">
      <c r="A127" s="288" t="s">
        <v>227</v>
      </c>
      <c r="B127" s="278" t="s">
        <v>36</v>
      </c>
      <c r="C127" s="296"/>
      <c r="D127" s="296"/>
      <c r="E127" s="297">
        <f t="shared" si="15"/>
        <v>0</v>
      </c>
      <c r="F127" s="296"/>
      <c r="G127" s="296"/>
      <c r="H127" s="297">
        <f t="shared" si="19"/>
        <v>0</v>
      </c>
      <c r="I127" s="296"/>
      <c r="J127" s="296"/>
      <c r="K127" s="297">
        <f t="shared" si="20"/>
        <v>0</v>
      </c>
      <c r="L127" s="296"/>
      <c r="M127" s="296"/>
      <c r="N127" s="297">
        <f t="shared" si="21"/>
        <v>0</v>
      </c>
    </row>
    <row r="128" spans="1:14" ht="13.5" thickBot="1" x14ac:dyDescent="0.25">
      <c r="A128" s="285" t="s">
        <v>228</v>
      </c>
      <c r="B128" s="264" t="s">
        <v>37</v>
      </c>
      <c r="C128" s="292">
        <f>SUM(C129:C134)</f>
        <v>0</v>
      </c>
      <c r="D128" s="292">
        <f>SUM(D129:D134)</f>
        <v>0</v>
      </c>
      <c r="E128" s="293">
        <f t="shared" si="15"/>
        <v>0</v>
      </c>
      <c r="F128" s="292">
        <f>SUM(F129:F134)</f>
        <v>0</v>
      </c>
      <c r="G128" s="292">
        <f>SUM(G129:G134)</f>
        <v>0</v>
      </c>
      <c r="H128" s="293">
        <f t="shared" si="19"/>
        <v>0</v>
      </c>
      <c r="I128" s="292">
        <f>SUM(I129:I134)</f>
        <v>0</v>
      </c>
      <c r="J128" s="292">
        <f>SUM(J129:J134)</f>
        <v>0</v>
      </c>
      <c r="K128" s="293">
        <f t="shared" si="20"/>
        <v>0</v>
      </c>
      <c r="L128" s="292">
        <f>SUM(L129:L134)</f>
        <v>0</v>
      </c>
      <c r="M128" s="292">
        <f>SUM(M129:M134)</f>
        <v>0</v>
      </c>
      <c r="N128" s="293">
        <f t="shared" si="21"/>
        <v>0</v>
      </c>
    </row>
    <row r="129" spans="1:14" ht="13.5" hidden="1" thickBot="1" x14ac:dyDescent="0.25">
      <c r="A129" s="286" t="s">
        <v>229</v>
      </c>
      <c r="B129" s="266" t="s">
        <v>230</v>
      </c>
      <c r="C129" s="279"/>
      <c r="D129" s="279"/>
      <c r="E129" s="280">
        <f t="shared" si="15"/>
        <v>0</v>
      </c>
      <c r="F129" s="279"/>
      <c r="G129" s="279"/>
      <c r="H129" s="280">
        <f t="shared" si="19"/>
        <v>0</v>
      </c>
      <c r="I129" s="279"/>
      <c r="J129" s="279"/>
      <c r="K129" s="280">
        <f t="shared" si="20"/>
        <v>0</v>
      </c>
      <c r="L129" s="279"/>
      <c r="M129" s="279"/>
      <c r="N129" s="280">
        <f t="shared" si="21"/>
        <v>0</v>
      </c>
    </row>
    <row r="130" spans="1:14" ht="13.5" hidden="1" thickBot="1" x14ac:dyDescent="0.25">
      <c r="A130" s="190" t="s">
        <v>548</v>
      </c>
      <c r="B130" s="180" t="s">
        <v>549</v>
      </c>
      <c r="C130" s="279"/>
      <c r="D130" s="279"/>
      <c r="E130" s="280">
        <f t="shared" si="15"/>
        <v>0</v>
      </c>
      <c r="F130" s="279"/>
      <c r="G130" s="279"/>
      <c r="H130" s="280">
        <f t="shared" si="19"/>
        <v>0</v>
      </c>
      <c r="I130" s="279"/>
      <c r="J130" s="279"/>
      <c r="K130" s="280">
        <f t="shared" si="20"/>
        <v>0</v>
      </c>
      <c r="L130" s="279"/>
      <c r="M130" s="279"/>
      <c r="N130" s="280">
        <f t="shared" si="21"/>
        <v>0</v>
      </c>
    </row>
    <row r="131" spans="1:14" ht="13.5" hidden="1" thickBot="1" x14ac:dyDescent="0.25">
      <c r="A131" s="286" t="s">
        <v>231</v>
      </c>
      <c r="B131" s="266" t="s">
        <v>232</v>
      </c>
      <c r="C131" s="279"/>
      <c r="D131" s="279"/>
      <c r="E131" s="280">
        <f t="shared" si="15"/>
        <v>0</v>
      </c>
      <c r="F131" s="279"/>
      <c r="G131" s="279"/>
      <c r="H131" s="280">
        <f t="shared" si="19"/>
        <v>0</v>
      </c>
      <c r="I131" s="279"/>
      <c r="J131" s="279"/>
      <c r="K131" s="280">
        <f t="shared" si="20"/>
        <v>0</v>
      </c>
      <c r="L131" s="279"/>
      <c r="M131" s="279"/>
      <c r="N131" s="280">
        <f t="shared" si="21"/>
        <v>0</v>
      </c>
    </row>
    <row r="132" spans="1:14" ht="13.5" hidden="1" thickBot="1" x14ac:dyDescent="0.25">
      <c r="A132" s="286" t="s">
        <v>233</v>
      </c>
      <c r="B132" s="266" t="s">
        <v>234</v>
      </c>
      <c r="C132" s="279"/>
      <c r="D132" s="279"/>
      <c r="E132" s="280">
        <f t="shared" si="15"/>
        <v>0</v>
      </c>
      <c r="F132" s="279"/>
      <c r="G132" s="279"/>
      <c r="H132" s="280">
        <f t="shared" si="19"/>
        <v>0</v>
      </c>
      <c r="I132" s="279"/>
      <c r="J132" s="279"/>
      <c r="K132" s="280">
        <f t="shared" si="20"/>
        <v>0</v>
      </c>
      <c r="L132" s="279"/>
      <c r="M132" s="279"/>
      <c r="N132" s="280">
        <f t="shared" si="21"/>
        <v>0</v>
      </c>
    </row>
    <row r="133" spans="1:14" ht="13.5" hidden="1" thickBot="1" x14ac:dyDescent="0.25">
      <c r="A133" s="286" t="s">
        <v>235</v>
      </c>
      <c r="B133" s="266" t="s">
        <v>236</v>
      </c>
      <c r="C133" s="279"/>
      <c r="D133" s="279"/>
      <c r="E133" s="280">
        <f t="shared" si="15"/>
        <v>0</v>
      </c>
      <c r="F133" s="279"/>
      <c r="G133" s="279"/>
      <c r="H133" s="280">
        <f t="shared" si="19"/>
        <v>0</v>
      </c>
      <c r="I133" s="279"/>
      <c r="J133" s="279"/>
      <c r="K133" s="280">
        <f t="shared" si="20"/>
        <v>0</v>
      </c>
      <c r="L133" s="279"/>
      <c r="M133" s="279"/>
      <c r="N133" s="280">
        <f t="shared" si="21"/>
        <v>0</v>
      </c>
    </row>
    <row r="134" spans="1:14" ht="13.5" hidden="1" thickBot="1" x14ac:dyDescent="0.25">
      <c r="A134" s="286" t="s">
        <v>237</v>
      </c>
      <c r="B134" s="266" t="s">
        <v>238</v>
      </c>
      <c r="C134" s="279">
        <f>SUM(C135:C136)</f>
        <v>0</v>
      </c>
      <c r="D134" s="279">
        <f>SUM(D135:D136)</f>
        <v>0</v>
      </c>
      <c r="E134" s="280">
        <f t="shared" si="15"/>
        <v>0</v>
      </c>
      <c r="F134" s="279">
        <f>SUM(F135:F136)</f>
        <v>0</v>
      </c>
      <c r="G134" s="279">
        <f>SUM(G135:G136)</f>
        <v>0</v>
      </c>
      <c r="H134" s="280">
        <f t="shared" si="19"/>
        <v>0</v>
      </c>
      <c r="I134" s="279">
        <f>SUM(I135:I136)</f>
        <v>0</v>
      </c>
      <c r="J134" s="279">
        <f>SUM(J135:J136)</f>
        <v>0</v>
      </c>
      <c r="K134" s="280">
        <f t="shared" si="20"/>
        <v>0</v>
      </c>
      <c r="L134" s="279">
        <f>SUM(L135:L136)</f>
        <v>0</v>
      </c>
      <c r="M134" s="279">
        <f>SUM(M135:M136)</f>
        <v>0</v>
      </c>
      <c r="N134" s="280">
        <f t="shared" si="21"/>
        <v>0</v>
      </c>
    </row>
    <row r="135" spans="1:14" ht="13.5" hidden="1" thickBot="1" x14ac:dyDescent="0.25">
      <c r="A135" s="286"/>
      <c r="B135" s="266" t="s">
        <v>239</v>
      </c>
      <c r="C135" s="279"/>
      <c r="D135" s="279"/>
      <c r="E135" s="280">
        <f t="shared" si="15"/>
        <v>0</v>
      </c>
      <c r="F135" s="279"/>
      <c r="G135" s="279"/>
      <c r="H135" s="280">
        <f t="shared" si="19"/>
        <v>0</v>
      </c>
      <c r="I135" s="279"/>
      <c r="J135" s="279"/>
      <c r="K135" s="280">
        <f t="shared" si="20"/>
        <v>0</v>
      </c>
      <c r="L135" s="279"/>
      <c r="M135" s="279"/>
      <c r="N135" s="280">
        <f t="shared" si="21"/>
        <v>0</v>
      </c>
    </row>
    <row r="136" spans="1:14" ht="13.5" hidden="1" thickBot="1" x14ac:dyDescent="0.25">
      <c r="A136" s="287"/>
      <c r="B136" s="268" t="s">
        <v>240</v>
      </c>
      <c r="C136" s="294"/>
      <c r="D136" s="294"/>
      <c r="E136" s="295">
        <f t="shared" si="15"/>
        <v>0</v>
      </c>
      <c r="F136" s="294"/>
      <c r="G136" s="294"/>
      <c r="H136" s="295">
        <f t="shared" si="19"/>
        <v>0</v>
      </c>
      <c r="I136" s="294"/>
      <c r="J136" s="294"/>
      <c r="K136" s="295">
        <f t="shared" si="20"/>
        <v>0</v>
      </c>
      <c r="L136" s="294"/>
      <c r="M136" s="294"/>
      <c r="N136" s="295">
        <f t="shared" si="21"/>
        <v>0</v>
      </c>
    </row>
    <row r="137" spans="1:14" x14ac:dyDescent="0.2">
      <c r="A137" s="285" t="s">
        <v>241</v>
      </c>
      <c r="B137" s="264" t="s">
        <v>38</v>
      </c>
      <c r="C137" s="292"/>
      <c r="D137" s="292"/>
      <c r="E137" s="293">
        <f t="shared" si="15"/>
        <v>0</v>
      </c>
      <c r="F137" s="292"/>
      <c r="G137" s="292"/>
      <c r="H137" s="293">
        <f t="shared" si="19"/>
        <v>0</v>
      </c>
      <c r="I137" s="292"/>
      <c r="J137" s="292"/>
      <c r="K137" s="293">
        <f t="shared" si="20"/>
        <v>0</v>
      </c>
      <c r="L137" s="292"/>
      <c r="M137" s="292"/>
      <c r="N137" s="293">
        <f t="shared" si="21"/>
        <v>0</v>
      </c>
    </row>
    <row r="138" spans="1:14" ht="13.5" thickBot="1" x14ac:dyDescent="0.25">
      <c r="A138" s="287" t="s">
        <v>242</v>
      </c>
      <c r="B138" s="268" t="s">
        <v>243</v>
      </c>
      <c r="C138" s="294"/>
      <c r="D138" s="294"/>
      <c r="E138" s="295">
        <f t="shared" si="15"/>
        <v>0</v>
      </c>
      <c r="F138" s="294"/>
      <c r="G138" s="294"/>
      <c r="H138" s="295">
        <f t="shared" si="19"/>
        <v>0</v>
      </c>
      <c r="I138" s="294"/>
      <c r="J138" s="294"/>
      <c r="K138" s="295">
        <f t="shared" si="20"/>
        <v>0</v>
      </c>
      <c r="L138" s="294"/>
      <c r="M138" s="294"/>
      <c r="N138" s="295">
        <f t="shared" si="21"/>
        <v>0</v>
      </c>
    </row>
    <row r="139" spans="1:14" x14ac:dyDescent="0.2">
      <c r="A139" s="285" t="s">
        <v>244</v>
      </c>
      <c r="B139" s="264" t="s">
        <v>39</v>
      </c>
      <c r="C139" s="292"/>
      <c r="D139" s="292"/>
      <c r="E139" s="293">
        <f t="shared" si="15"/>
        <v>0</v>
      </c>
      <c r="F139" s="292"/>
      <c r="G139" s="292"/>
      <c r="H139" s="293">
        <f t="shared" si="19"/>
        <v>0</v>
      </c>
      <c r="I139" s="292"/>
      <c r="J139" s="292"/>
      <c r="K139" s="293">
        <f t="shared" si="20"/>
        <v>0</v>
      </c>
      <c r="L139" s="292"/>
      <c r="M139" s="292"/>
      <c r="N139" s="293">
        <f t="shared" si="21"/>
        <v>0</v>
      </c>
    </row>
    <row r="140" spans="1:14" ht="13.5" thickBot="1" x14ac:dyDescent="0.25">
      <c r="A140" s="287" t="s">
        <v>245</v>
      </c>
      <c r="B140" s="268" t="s">
        <v>246</v>
      </c>
      <c r="C140" s="294"/>
      <c r="D140" s="294"/>
      <c r="E140" s="295">
        <f t="shared" si="15"/>
        <v>0</v>
      </c>
      <c r="F140" s="294"/>
      <c r="G140" s="294"/>
      <c r="H140" s="295">
        <f t="shared" si="19"/>
        <v>0</v>
      </c>
      <c r="I140" s="294"/>
      <c r="J140" s="294"/>
      <c r="K140" s="295">
        <f t="shared" si="20"/>
        <v>0</v>
      </c>
      <c r="L140" s="294"/>
      <c r="M140" s="294"/>
      <c r="N140" s="295">
        <f t="shared" si="21"/>
        <v>0</v>
      </c>
    </row>
    <row r="141" spans="1:14" ht="13.5" thickBot="1" x14ac:dyDescent="0.25">
      <c r="A141" s="289" t="s">
        <v>247</v>
      </c>
      <c r="B141" s="270" t="s">
        <v>40</v>
      </c>
      <c r="C141" s="301"/>
      <c r="D141" s="301"/>
      <c r="E141" s="302">
        <f t="shared" si="15"/>
        <v>0</v>
      </c>
      <c r="F141" s="301"/>
      <c r="G141" s="301"/>
      <c r="H141" s="302">
        <f t="shared" si="19"/>
        <v>0</v>
      </c>
      <c r="I141" s="301"/>
      <c r="J141" s="301"/>
      <c r="K141" s="302">
        <f t="shared" si="20"/>
        <v>0</v>
      </c>
      <c r="L141" s="301"/>
      <c r="M141" s="301"/>
      <c r="N141" s="302">
        <f t="shared" si="21"/>
        <v>0</v>
      </c>
    </row>
    <row r="142" spans="1:14" ht="13.5" thickBot="1" x14ac:dyDescent="0.25">
      <c r="A142" s="288" t="s">
        <v>248</v>
      </c>
      <c r="B142" s="278" t="s">
        <v>249</v>
      </c>
      <c r="C142" s="296">
        <f>C141+C140+C139+C138+C137+C128+C127+C111+C105+C88</f>
        <v>381000</v>
      </c>
      <c r="D142" s="296">
        <f>D141+D140+D139+D138+D137+D128+D127+D111+D105+D88</f>
        <v>0</v>
      </c>
      <c r="E142" s="297">
        <f t="shared" si="15"/>
        <v>381000</v>
      </c>
      <c r="F142" s="296">
        <f>F141+F140+F139+F138+F137+F128+F127+F111+F105+F88</f>
        <v>381000</v>
      </c>
      <c r="G142" s="296">
        <f>G141+G140+G139+G138+G137+G128+G127+G111+G105+G88</f>
        <v>0</v>
      </c>
      <c r="H142" s="297">
        <f t="shared" si="19"/>
        <v>381000</v>
      </c>
      <c r="I142" s="296">
        <f>I141+I140+I139+I138+I137+I128+I127+I111+I105+I88</f>
        <v>381000</v>
      </c>
      <c r="J142" s="296">
        <f>J141+J140+J139+J138+J137+J128+J127+J111+J105+J88</f>
        <v>0</v>
      </c>
      <c r="K142" s="297">
        <f t="shared" si="20"/>
        <v>381000</v>
      </c>
      <c r="L142" s="296">
        <f>L141+L140+L139+L138+L137+L128+L127+L111+L105+L88</f>
        <v>277508</v>
      </c>
      <c r="M142" s="296">
        <f>M141+M140+M139+M138+M137+M128+M127+M111+M105+M88</f>
        <v>0</v>
      </c>
      <c r="N142" s="297">
        <f t="shared" si="21"/>
        <v>277508</v>
      </c>
    </row>
    <row r="143" spans="1:14" ht="13.5" thickBot="1" x14ac:dyDescent="0.25">
      <c r="A143" s="290" t="s">
        <v>250</v>
      </c>
      <c r="B143" s="276" t="s">
        <v>251</v>
      </c>
      <c r="C143" s="292">
        <f>SUM(C144:C150)</f>
        <v>0</v>
      </c>
      <c r="D143" s="292">
        <f>SUM(D144:D150)</f>
        <v>0</v>
      </c>
      <c r="E143" s="293">
        <f t="shared" si="15"/>
        <v>0</v>
      </c>
      <c r="F143" s="292">
        <f>SUM(F144:F150)</f>
        <v>0</v>
      </c>
      <c r="G143" s="292">
        <f>SUM(G144:G150)</f>
        <v>0</v>
      </c>
      <c r="H143" s="293">
        <f t="shared" si="19"/>
        <v>0</v>
      </c>
      <c r="I143" s="292">
        <f>SUM(I144:I150)</f>
        <v>0</v>
      </c>
      <c r="J143" s="292">
        <f>SUM(J144:J150)</f>
        <v>0</v>
      </c>
      <c r="K143" s="293">
        <f t="shared" si="20"/>
        <v>0</v>
      </c>
      <c r="L143" s="292">
        <f>SUM(L144:L150)</f>
        <v>0</v>
      </c>
      <c r="M143" s="292">
        <f>SUM(M144:M150)</f>
        <v>0</v>
      </c>
      <c r="N143" s="293">
        <f t="shared" si="21"/>
        <v>0</v>
      </c>
    </row>
    <row r="144" spans="1:14" ht="13.5" hidden="1" thickBot="1" x14ac:dyDescent="0.25">
      <c r="A144" s="286" t="s">
        <v>252</v>
      </c>
      <c r="B144" s="266" t="s">
        <v>253</v>
      </c>
      <c r="C144" s="279"/>
      <c r="D144" s="279"/>
      <c r="E144" s="280">
        <f t="shared" si="15"/>
        <v>0</v>
      </c>
      <c r="F144" s="279"/>
      <c r="G144" s="279"/>
      <c r="H144" s="280">
        <f t="shared" si="19"/>
        <v>0</v>
      </c>
      <c r="I144" s="279"/>
      <c r="J144" s="279"/>
      <c r="K144" s="280">
        <f t="shared" si="20"/>
        <v>0</v>
      </c>
      <c r="L144" s="279"/>
      <c r="M144" s="279"/>
      <c r="N144" s="280">
        <f t="shared" si="21"/>
        <v>0</v>
      </c>
    </row>
    <row r="145" spans="1:14" ht="13.5" hidden="1" thickBot="1" x14ac:dyDescent="0.25">
      <c r="A145" s="286" t="s">
        <v>254</v>
      </c>
      <c r="B145" s="266" t="s">
        <v>255</v>
      </c>
      <c r="C145" s="279"/>
      <c r="D145" s="279"/>
      <c r="E145" s="280">
        <f t="shared" si="15"/>
        <v>0</v>
      </c>
      <c r="F145" s="279"/>
      <c r="G145" s="279"/>
      <c r="H145" s="280">
        <f t="shared" si="19"/>
        <v>0</v>
      </c>
      <c r="I145" s="279"/>
      <c r="J145" s="279"/>
      <c r="K145" s="280">
        <f t="shared" si="20"/>
        <v>0</v>
      </c>
      <c r="L145" s="279"/>
      <c r="M145" s="279"/>
      <c r="N145" s="280">
        <f t="shared" si="21"/>
        <v>0</v>
      </c>
    </row>
    <row r="146" spans="1:14" ht="13.5" hidden="1" thickBot="1" x14ac:dyDescent="0.25">
      <c r="A146" s="286" t="s">
        <v>541</v>
      </c>
      <c r="B146" s="266" t="s">
        <v>542</v>
      </c>
      <c r="C146" s="279"/>
      <c r="D146" s="279"/>
      <c r="E146" s="280"/>
      <c r="F146" s="279"/>
      <c r="G146" s="279"/>
      <c r="H146" s="280"/>
      <c r="I146" s="279"/>
      <c r="J146" s="279"/>
      <c r="K146" s="280"/>
      <c r="L146" s="279"/>
      <c r="M146" s="279"/>
      <c r="N146" s="280"/>
    </row>
    <row r="147" spans="1:14" ht="13.5" hidden="1" thickBot="1" x14ac:dyDescent="0.25">
      <c r="A147" s="286" t="s">
        <v>256</v>
      </c>
      <c r="B147" s="266" t="s">
        <v>257</v>
      </c>
      <c r="C147" s="279"/>
      <c r="D147" s="279"/>
      <c r="E147" s="280">
        <f t="shared" si="15"/>
        <v>0</v>
      </c>
      <c r="F147" s="279"/>
      <c r="G147" s="279"/>
      <c r="H147" s="280">
        <f t="shared" ref="H147:H150" si="22">SUM(F147:G147)</f>
        <v>0</v>
      </c>
      <c r="I147" s="279"/>
      <c r="J147" s="279"/>
      <c r="K147" s="280">
        <f t="shared" ref="K147:K150" si="23">SUM(I147:J147)</f>
        <v>0</v>
      </c>
      <c r="L147" s="279"/>
      <c r="M147" s="279"/>
      <c r="N147" s="280">
        <f t="shared" ref="N147:N150" si="24">SUM(L147:M147)</f>
        <v>0</v>
      </c>
    </row>
    <row r="148" spans="1:14" ht="13.5" hidden="1" thickBot="1" x14ac:dyDescent="0.25">
      <c r="A148" s="286" t="s">
        <v>258</v>
      </c>
      <c r="B148" s="266" t="s">
        <v>259</v>
      </c>
      <c r="C148" s="279"/>
      <c r="D148" s="279"/>
      <c r="E148" s="280">
        <f t="shared" si="15"/>
        <v>0</v>
      </c>
      <c r="F148" s="279"/>
      <c r="G148" s="279"/>
      <c r="H148" s="280">
        <f t="shared" si="22"/>
        <v>0</v>
      </c>
      <c r="I148" s="279"/>
      <c r="J148" s="279"/>
      <c r="K148" s="280">
        <f t="shared" si="23"/>
        <v>0</v>
      </c>
      <c r="L148" s="279"/>
      <c r="M148" s="279"/>
      <c r="N148" s="280">
        <f t="shared" si="24"/>
        <v>0</v>
      </c>
    </row>
    <row r="149" spans="1:14" ht="13.5" hidden="1" thickBot="1" x14ac:dyDescent="0.25">
      <c r="A149" s="286" t="s">
        <v>260</v>
      </c>
      <c r="B149" s="266" t="s">
        <v>261</v>
      </c>
      <c r="C149" s="279"/>
      <c r="D149" s="279"/>
      <c r="E149" s="280">
        <f t="shared" si="15"/>
        <v>0</v>
      </c>
      <c r="F149" s="279"/>
      <c r="G149" s="279"/>
      <c r="H149" s="280">
        <f t="shared" si="22"/>
        <v>0</v>
      </c>
      <c r="I149" s="279"/>
      <c r="J149" s="279"/>
      <c r="K149" s="280">
        <f t="shared" si="23"/>
        <v>0</v>
      </c>
      <c r="L149" s="279"/>
      <c r="M149" s="279"/>
      <c r="N149" s="280">
        <f t="shared" si="24"/>
        <v>0</v>
      </c>
    </row>
    <row r="150" spans="1:14" ht="13.5" hidden="1" thickBot="1" x14ac:dyDescent="0.25">
      <c r="A150" s="287"/>
      <c r="B150" s="268" t="s">
        <v>262</v>
      </c>
      <c r="C150" s="303"/>
      <c r="D150" s="294"/>
      <c r="E150" s="295">
        <f t="shared" si="15"/>
        <v>0</v>
      </c>
      <c r="F150" s="303"/>
      <c r="G150" s="294"/>
      <c r="H150" s="295">
        <f t="shared" si="22"/>
        <v>0</v>
      </c>
      <c r="I150" s="303"/>
      <c r="J150" s="294"/>
      <c r="K150" s="295">
        <f t="shared" si="23"/>
        <v>0</v>
      </c>
      <c r="L150" s="303"/>
      <c r="M150" s="294"/>
      <c r="N150" s="295">
        <f t="shared" si="24"/>
        <v>0</v>
      </c>
    </row>
    <row r="151" spans="1:14" ht="13.5" thickBot="1" x14ac:dyDescent="0.25">
      <c r="A151" s="288" t="s">
        <v>265</v>
      </c>
      <c r="B151" s="278" t="s">
        <v>263</v>
      </c>
      <c r="C151" s="296">
        <f>C143+C142</f>
        <v>381000</v>
      </c>
      <c r="D151" s="304">
        <f>D143+D142</f>
        <v>0</v>
      </c>
      <c r="E151" s="305">
        <f>SUM(C151:D151)</f>
        <v>381000</v>
      </c>
      <c r="F151" s="296">
        <f>F143+F142</f>
        <v>381000</v>
      </c>
      <c r="G151" s="304">
        <f>G143+G142</f>
        <v>0</v>
      </c>
      <c r="H151" s="305">
        <f>SUM(F151:G151)</f>
        <v>381000</v>
      </c>
      <c r="I151" s="296">
        <f>I143+I142</f>
        <v>381000</v>
      </c>
      <c r="J151" s="304">
        <f>J143+J142</f>
        <v>0</v>
      </c>
      <c r="K151" s="305">
        <f>SUM(I151:J151)</f>
        <v>381000</v>
      </c>
      <c r="L151" s="296">
        <f>L143+L142</f>
        <v>277508</v>
      </c>
      <c r="M151" s="304">
        <f>M143+M142</f>
        <v>0</v>
      </c>
      <c r="N151" s="305">
        <f>SUM(L151:M151)</f>
        <v>277508</v>
      </c>
    </row>
    <row r="152" spans="1:14" x14ac:dyDescent="0.2">
      <c r="D152" s="291"/>
      <c r="E152" s="291"/>
      <c r="G152" s="291"/>
      <c r="H152" s="291"/>
      <c r="J152" s="291"/>
      <c r="K152" s="291"/>
      <c r="M152" s="291"/>
      <c r="N152" s="291"/>
    </row>
    <row r="153" spans="1:14" ht="15" x14ac:dyDescent="0.25">
      <c r="E153" s="148">
        <f>E85-E151</f>
        <v>-381000</v>
      </c>
      <c r="H153" s="148">
        <f>H85-H151</f>
        <v>-381000</v>
      </c>
      <c r="K153" s="148">
        <f>K85-K151</f>
        <v>-381000</v>
      </c>
      <c r="N153" s="148">
        <f>N85-N151</f>
        <v>-205941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4" fitToHeight="0" orientation="portrait" horizontalDpi="300" verticalDpi="300" r:id="rId1"/>
  <headerFooter>
    <oddFooter>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N154"/>
  <sheetViews>
    <sheetView zoomScaleNormal="100" workbookViewId="0">
      <pane ySplit="8" topLeftCell="A9" activePane="bottomLeft" state="frozen"/>
      <selection activeCell="AB159" sqref="AB159"/>
      <selection pane="bottomLeft" activeCell="D7" sqref="D7"/>
    </sheetView>
  </sheetViews>
  <sheetFormatPr defaultRowHeight="12.75" x14ac:dyDescent="0.2"/>
  <cols>
    <col min="1" max="1" width="9.140625" style="81"/>
    <col min="2" max="2" width="59.140625" style="81" bestFit="1" customWidth="1"/>
    <col min="3" max="3" width="10.7109375" style="81" customWidth="1"/>
    <col min="4" max="4" width="9.140625" style="81"/>
    <col min="5" max="5" width="9.85546875" style="81" customWidth="1"/>
    <col min="6" max="6" width="10.7109375" style="81" customWidth="1"/>
    <col min="7" max="7" width="9.140625" style="81"/>
    <col min="8" max="8" width="9.85546875" style="81" customWidth="1"/>
    <col min="9" max="9" width="10.7109375" style="81" customWidth="1"/>
    <col min="10" max="10" width="9.140625" style="81"/>
    <col min="11" max="11" width="9.85546875" style="81" customWidth="1"/>
    <col min="12" max="12" width="10.7109375" style="81" customWidth="1"/>
    <col min="13" max="13" width="9.140625" style="81"/>
    <col min="14" max="14" width="9.85546875" style="81" customWidth="1"/>
    <col min="15" max="16384" width="9.140625" style="8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">
      <c r="A4" s="79" t="s">
        <v>270</v>
      </c>
      <c r="C4" s="45" t="str">
        <f>'7.29 intézmkiv gyétk 104037'!C4</f>
        <v xml:space="preserve"> 12 / 2020. (VI.15) sz rendelet</v>
      </c>
    </row>
    <row r="5" spans="1:14" x14ac:dyDescent="0.2">
      <c r="A5" s="90" t="s">
        <v>559</v>
      </c>
      <c r="B5" s="79" t="s">
        <v>560</v>
      </c>
    </row>
    <row r="6" spans="1:14" x14ac:dyDescent="0.2">
      <c r="C6" s="713" t="s">
        <v>758</v>
      </c>
      <c r="D6" s="715" t="str">
        <f>'7.29 intézmkiv gyétk 104037'!D6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3.5" thickBot="1" x14ac:dyDescent="0.25"/>
    <row r="8" spans="1:14" ht="39" thickBot="1" x14ac:dyDescent="0.25">
      <c r="A8" s="259" t="s">
        <v>42</v>
      </c>
      <c r="B8" s="260" t="s">
        <v>23</v>
      </c>
      <c r="C8" s="259" t="s">
        <v>32</v>
      </c>
      <c r="D8" s="261" t="s">
        <v>33</v>
      </c>
      <c r="E8" s="262" t="s">
        <v>21</v>
      </c>
      <c r="F8" s="259" t="s">
        <v>32</v>
      </c>
      <c r="G8" s="261" t="s">
        <v>33</v>
      </c>
      <c r="H8" s="262" t="s">
        <v>826</v>
      </c>
      <c r="I8" s="259" t="s">
        <v>32</v>
      </c>
      <c r="J8" s="261" t="s">
        <v>33</v>
      </c>
      <c r="K8" s="199" t="s">
        <v>864</v>
      </c>
      <c r="L8" s="259" t="s">
        <v>32</v>
      </c>
      <c r="M8" s="261" t="s">
        <v>33</v>
      </c>
      <c r="N8" s="199" t="s">
        <v>908</v>
      </c>
    </row>
    <row r="9" spans="1:14" ht="13.5" thickBot="1" x14ac:dyDescent="0.25">
      <c r="A9" s="263" t="s">
        <v>43</v>
      </c>
      <c r="B9" s="264" t="s">
        <v>44</v>
      </c>
      <c r="C9" s="396">
        <f>SUM(C10,C17,C18,C20,C21,C19)</f>
        <v>0</v>
      </c>
      <c r="D9" s="396">
        <f>SUM(D10,D17,D18,D20,D21,D19)</f>
        <v>0</v>
      </c>
      <c r="E9" s="397">
        <f t="shared" ref="E9:E73" si="0">SUM(C9:D9)</f>
        <v>0</v>
      </c>
      <c r="F9" s="396">
        <f>SUM(F10,F17,F18,F20,F21,F19)</f>
        <v>0</v>
      </c>
      <c r="G9" s="396">
        <f>SUM(G10,G17,G18,G20,G21,G19)</f>
        <v>0</v>
      </c>
      <c r="H9" s="397">
        <f t="shared" ref="H9:H73" si="1">SUM(F9:G9)</f>
        <v>0</v>
      </c>
      <c r="I9" s="396">
        <f>SUM(I10,I17,I18,I20,I21,I19)</f>
        <v>0</v>
      </c>
      <c r="J9" s="396">
        <f>SUM(J10,J17,J18,J20,J21,J19)</f>
        <v>0</v>
      </c>
      <c r="K9" s="397">
        <f t="shared" ref="K9:K73" si="2">SUM(I9:J9)</f>
        <v>0</v>
      </c>
      <c r="L9" s="396">
        <f>SUM(L10,L17,L18,L20,L21,L19)</f>
        <v>0</v>
      </c>
      <c r="M9" s="396">
        <f>SUM(M10,M17,M18,M20,M21,M19)</f>
        <v>0</v>
      </c>
      <c r="N9" s="397">
        <f t="shared" ref="N9:N73" si="3">SUM(L9:M9)</f>
        <v>0</v>
      </c>
    </row>
    <row r="10" spans="1:14" ht="13.5" hidden="1" thickBot="1" x14ac:dyDescent="0.25">
      <c r="A10" s="265" t="s">
        <v>45</v>
      </c>
      <c r="B10" s="266" t="s">
        <v>46</v>
      </c>
      <c r="C10" s="398">
        <f>SUM(C11:C16)</f>
        <v>0</v>
      </c>
      <c r="D10" s="398">
        <f>SUM(D11:D16)</f>
        <v>0</v>
      </c>
      <c r="E10" s="399">
        <f t="shared" si="0"/>
        <v>0</v>
      </c>
      <c r="F10" s="398">
        <f>SUM(F11:F16)</f>
        <v>0</v>
      </c>
      <c r="G10" s="398">
        <f>SUM(G11:G16)</f>
        <v>0</v>
      </c>
      <c r="H10" s="399">
        <f t="shared" si="1"/>
        <v>0</v>
      </c>
      <c r="I10" s="398">
        <f>SUM(I11:I16)</f>
        <v>0</v>
      </c>
      <c r="J10" s="398">
        <f>SUM(J11:J16)</f>
        <v>0</v>
      </c>
      <c r="K10" s="399">
        <f t="shared" si="2"/>
        <v>0</v>
      </c>
      <c r="L10" s="398">
        <f>SUM(L11:L16)</f>
        <v>0</v>
      </c>
      <c r="M10" s="398">
        <f>SUM(M11:M16)</f>
        <v>0</v>
      </c>
      <c r="N10" s="399">
        <f t="shared" si="3"/>
        <v>0</v>
      </c>
    </row>
    <row r="11" spans="1:14" ht="13.5" hidden="1" thickBot="1" x14ac:dyDescent="0.25">
      <c r="A11" s="265" t="s">
        <v>47</v>
      </c>
      <c r="B11" s="266" t="s">
        <v>48</v>
      </c>
      <c r="C11" s="398"/>
      <c r="D11" s="398"/>
      <c r="E11" s="399">
        <f t="shared" si="0"/>
        <v>0</v>
      </c>
      <c r="F11" s="398"/>
      <c r="G11" s="398"/>
      <c r="H11" s="399">
        <f t="shared" si="1"/>
        <v>0</v>
      </c>
      <c r="I11" s="398"/>
      <c r="J11" s="398"/>
      <c r="K11" s="399">
        <f t="shared" si="2"/>
        <v>0</v>
      </c>
      <c r="L11" s="398"/>
      <c r="M11" s="398"/>
      <c r="N11" s="399">
        <f t="shared" si="3"/>
        <v>0</v>
      </c>
    </row>
    <row r="12" spans="1:14" ht="13.5" hidden="1" thickBot="1" x14ac:dyDescent="0.25">
      <c r="A12" s="265" t="s">
        <v>49</v>
      </c>
      <c r="B12" s="266" t="s">
        <v>50</v>
      </c>
      <c r="C12" s="398"/>
      <c r="D12" s="398"/>
      <c r="E12" s="399">
        <f t="shared" si="0"/>
        <v>0</v>
      </c>
      <c r="F12" s="398"/>
      <c r="G12" s="398"/>
      <c r="H12" s="399">
        <f t="shared" si="1"/>
        <v>0</v>
      </c>
      <c r="I12" s="398"/>
      <c r="J12" s="398"/>
      <c r="K12" s="399">
        <f t="shared" si="2"/>
        <v>0</v>
      </c>
      <c r="L12" s="398"/>
      <c r="M12" s="398"/>
      <c r="N12" s="399">
        <f t="shared" si="3"/>
        <v>0</v>
      </c>
    </row>
    <row r="13" spans="1:14" ht="13.5" hidden="1" thickBot="1" x14ac:dyDescent="0.25">
      <c r="A13" s="265" t="s">
        <v>51</v>
      </c>
      <c r="B13" s="266" t="s">
        <v>52</v>
      </c>
      <c r="C13" s="398"/>
      <c r="D13" s="398"/>
      <c r="E13" s="399">
        <f t="shared" si="0"/>
        <v>0</v>
      </c>
      <c r="F13" s="398"/>
      <c r="G13" s="398"/>
      <c r="H13" s="399">
        <f t="shared" si="1"/>
        <v>0</v>
      </c>
      <c r="I13" s="398"/>
      <c r="J13" s="398"/>
      <c r="K13" s="399">
        <f t="shared" si="2"/>
        <v>0</v>
      </c>
      <c r="L13" s="398"/>
      <c r="M13" s="398"/>
      <c r="N13" s="399">
        <f t="shared" si="3"/>
        <v>0</v>
      </c>
    </row>
    <row r="14" spans="1:14" ht="13.5" hidden="1" thickBot="1" x14ac:dyDescent="0.25">
      <c r="A14" s="265" t="s">
        <v>53</v>
      </c>
      <c r="B14" s="266" t="s">
        <v>54</v>
      </c>
      <c r="C14" s="398"/>
      <c r="D14" s="398"/>
      <c r="E14" s="399">
        <f t="shared" si="0"/>
        <v>0</v>
      </c>
      <c r="F14" s="398"/>
      <c r="G14" s="398"/>
      <c r="H14" s="399">
        <f t="shared" si="1"/>
        <v>0</v>
      </c>
      <c r="I14" s="398"/>
      <c r="J14" s="398"/>
      <c r="K14" s="399">
        <f t="shared" si="2"/>
        <v>0</v>
      </c>
      <c r="L14" s="398"/>
      <c r="M14" s="398"/>
      <c r="N14" s="399">
        <f t="shared" si="3"/>
        <v>0</v>
      </c>
    </row>
    <row r="15" spans="1:14" ht="13.5" hidden="1" thickBot="1" x14ac:dyDescent="0.25">
      <c r="A15" s="265" t="s">
        <v>55</v>
      </c>
      <c r="B15" s="266" t="s">
        <v>56</v>
      </c>
      <c r="C15" s="398"/>
      <c r="D15" s="398"/>
      <c r="E15" s="399">
        <f t="shared" si="0"/>
        <v>0</v>
      </c>
      <c r="F15" s="398"/>
      <c r="G15" s="398"/>
      <c r="H15" s="399">
        <f t="shared" si="1"/>
        <v>0</v>
      </c>
      <c r="I15" s="398"/>
      <c r="J15" s="398"/>
      <c r="K15" s="399">
        <f t="shared" si="2"/>
        <v>0</v>
      </c>
      <c r="L15" s="398"/>
      <c r="M15" s="398"/>
      <c r="N15" s="399">
        <f t="shared" si="3"/>
        <v>0</v>
      </c>
    </row>
    <row r="16" spans="1:14" ht="13.5" hidden="1" thickBot="1" x14ac:dyDescent="0.25">
      <c r="A16" s="265" t="s">
        <v>57</v>
      </c>
      <c r="B16" s="266" t="s">
        <v>58</v>
      </c>
      <c r="C16" s="398"/>
      <c r="D16" s="398"/>
      <c r="E16" s="399">
        <f t="shared" si="0"/>
        <v>0</v>
      </c>
      <c r="F16" s="398"/>
      <c r="G16" s="398"/>
      <c r="H16" s="399">
        <f t="shared" si="1"/>
        <v>0</v>
      </c>
      <c r="I16" s="398"/>
      <c r="J16" s="398"/>
      <c r="K16" s="399">
        <f t="shared" si="2"/>
        <v>0</v>
      </c>
      <c r="L16" s="398"/>
      <c r="M16" s="398"/>
      <c r="N16" s="399">
        <f t="shared" si="3"/>
        <v>0</v>
      </c>
    </row>
    <row r="17" spans="1:14" ht="13.5" hidden="1" thickBot="1" x14ac:dyDescent="0.25">
      <c r="A17" s="265" t="s">
        <v>59</v>
      </c>
      <c r="B17" s="266" t="s">
        <v>60</v>
      </c>
      <c r="C17" s="398"/>
      <c r="D17" s="398"/>
      <c r="E17" s="399">
        <f t="shared" si="0"/>
        <v>0</v>
      </c>
      <c r="F17" s="398"/>
      <c r="G17" s="398"/>
      <c r="H17" s="399">
        <f t="shared" si="1"/>
        <v>0</v>
      </c>
      <c r="I17" s="398"/>
      <c r="J17" s="398"/>
      <c r="K17" s="399">
        <f t="shared" si="2"/>
        <v>0</v>
      </c>
      <c r="L17" s="398"/>
      <c r="M17" s="398"/>
      <c r="N17" s="399">
        <f t="shared" si="3"/>
        <v>0</v>
      </c>
    </row>
    <row r="18" spans="1:14" ht="13.5" hidden="1" thickBot="1" x14ac:dyDescent="0.25">
      <c r="A18" s="265" t="s">
        <v>61</v>
      </c>
      <c r="B18" s="266" t="s">
        <v>62</v>
      </c>
      <c r="C18" s="398"/>
      <c r="D18" s="398"/>
      <c r="E18" s="399">
        <f t="shared" si="0"/>
        <v>0</v>
      </c>
      <c r="F18" s="398"/>
      <c r="G18" s="398"/>
      <c r="H18" s="399">
        <f t="shared" si="1"/>
        <v>0</v>
      </c>
      <c r="I18" s="398"/>
      <c r="J18" s="398"/>
      <c r="K18" s="399">
        <f t="shared" si="2"/>
        <v>0</v>
      </c>
      <c r="L18" s="398"/>
      <c r="M18" s="398"/>
      <c r="N18" s="399">
        <f t="shared" si="3"/>
        <v>0</v>
      </c>
    </row>
    <row r="19" spans="1:14" ht="13.5" hidden="1" thickBot="1" x14ac:dyDescent="0.25">
      <c r="A19" s="267" t="s">
        <v>266</v>
      </c>
      <c r="B19" s="268" t="s">
        <v>267</v>
      </c>
      <c r="C19" s="398"/>
      <c r="D19" s="398"/>
      <c r="E19" s="399">
        <f t="shared" si="0"/>
        <v>0</v>
      </c>
      <c r="F19" s="398"/>
      <c r="G19" s="398"/>
      <c r="H19" s="399">
        <f t="shared" si="1"/>
        <v>0</v>
      </c>
      <c r="I19" s="398"/>
      <c r="J19" s="398"/>
      <c r="K19" s="399">
        <f t="shared" si="2"/>
        <v>0</v>
      </c>
      <c r="L19" s="398"/>
      <c r="M19" s="398"/>
      <c r="N19" s="399">
        <f t="shared" si="3"/>
        <v>0</v>
      </c>
    </row>
    <row r="20" spans="1:14" ht="13.5" hidden="1" thickBot="1" x14ac:dyDescent="0.25">
      <c r="A20" s="267" t="s">
        <v>63</v>
      </c>
      <c r="B20" s="268" t="s">
        <v>64</v>
      </c>
      <c r="C20" s="398"/>
      <c r="D20" s="398"/>
      <c r="E20" s="399">
        <f t="shared" si="0"/>
        <v>0</v>
      </c>
      <c r="F20" s="398"/>
      <c r="G20" s="398"/>
      <c r="H20" s="399">
        <f t="shared" si="1"/>
        <v>0</v>
      </c>
      <c r="I20" s="398"/>
      <c r="J20" s="398"/>
      <c r="K20" s="399">
        <f t="shared" si="2"/>
        <v>0</v>
      </c>
      <c r="L20" s="398"/>
      <c r="M20" s="398"/>
      <c r="N20" s="399">
        <f t="shared" si="3"/>
        <v>0</v>
      </c>
    </row>
    <row r="21" spans="1:14" ht="13.5" hidden="1" thickBot="1" x14ac:dyDescent="0.25">
      <c r="A21" s="267" t="s">
        <v>65</v>
      </c>
      <c r="B21" s="268" t="s">
        <v>66</v>
      </c>
      <c r="C21" s="400"/>
      <c r="D21" s="400"/>
      <c r="E21" s="401">
        <f t="shared" si="0"/>
        <v>0</v>
      </c>
      <c r="F21" s="400"/>
      <c r="G21" s="400"/>
      <c r="H21" s="401">
        <f t="shared" si="1"/>
        <v>0</v>
      </c>
      <c r="I21" s="400"/>
      <c r="J21" s="400"/>
      <c r="K21" s="401">
        <f t="shared" si="2"/>
        <v>0</v>
      </c>
      <c r="L21" s="400"/>
      <c r="M21" s="400"/>
      <c r="N21" s="401">
        <f t="shared" si="3"/>
        <v>0</v>
      </c>
    </row>
    <row r="22" spans="1:14" x14ac:dyDescent="0.2">
      <c r="A22" s="269" t="s">
        <v>67</v>
      </c>
      <c r="B22" s="270" t="s">
        <v>27</v>
      </c>
      <c r="C22" s="396">
        <f>SUM(C23:C24)</f>
        <v>0</v>
      </c>
      <c r="D22" s="396">
        <f>SUM(D23:D24)</f>
        <v>0</v>
      </c>
      <c r="E22" s="397">
        <f t="shared" si="0"/>
        <v>0</v>
      </c>
      <c r="F22" s="396">
        <f>SUM(F23:F24)</f>
        <v>0</v>
      </c>
      <c r="G22" s="396">
        <f>SUM(G23:G24)</f>
        <v>0</v>
      </c>
      <c r="H22" s="397">
        <f t="shared" si="1"/>
        <v>0</v>
      </c>
      <c r="I22" s="396">
        <f>SUM(I23:I24)</f>
        <v>0</v>
      </c>
      <c r="J22" s="396">
        <f>SUM(J23:J24)</f>
        <v>0</v>
      </c>
      <c r="K22" s="397">
        <f t="shared" si="2"/>
        <v>0</v>
      </c>
      <c r="L22" s="396">
        <f>SUM(L23:L24)</f>
        <v>0</v>
      </c>
      <c r="M22" s="396">
        <f>SUM(M23:M24)</f>
        <v>0</v>
      </c>
      <c r="N22" s="397">
        <f t="shared" si="3"/>
        <v>0</v>
      </c>
    </row>
    <row r="23" spans="1:14" hidden="1" x14ac:dyDescent="0.2">
      <c r="A23" s="271"/>
      <c r="B23" s="272" t="s">
        <v>268</v>
      </c>
      <c r="C23" s="398"/>
      <c r="D23" s="398"/>
      <c r="E23" s="399">
        <f t="shared" si="0"/>
        <v>0</v>
      </c>
      <c r="F23" s="398"/>
      <c r="G23" s="398"/>
      <c r="H23" s="399">
        <f t="shared" si="1"/>
        <v>0</v>
      </c>
      <c r="I23" s="398"/>
      <c r="J23" s="398"/>
      <c r="K23" s="399">
        <f t="shared" si="2"/>
        <v>0</v>
      </c>
      <c r="L23" s="398"/>
      <c r="M23" s="398"/>
      <c r="N23" s="399">
        <f t="shared" si="3"/>
        <v>0</v>
      </c>
    </row>
    <row r="24" spans="1:14" ht="13.5" hidden="1" thickBot="1" x14ac:dyDescent="0.25">
      <c r="A24" s="273"/>
      <c r="B24" s="274" t="s">
        <v>269</v>
      </c>
      <c r="C24" s="400"/>
      <c r="D24" s="400"/>
      <c r="E24" s="401">
        <f t="shared" si="0"/>
        <v>0</v>
      </c>
      <c r="F24" s="400"/>
      <c r="G24" s="400"/>
      <c r="H24" s="401">
        <f t="shared" si="1"/>
        <v>0</v>
      </c>
      <c r="I24" s="400"/>
      <c r="J24" s="400"/>
      <c r="K24" s="401">
        <f t="shared" si="2"/>
        <v>0</v>
      </c>
      <c r="L24" s="400"/>
      <c r="M24" s="400"/>
      <c r="N24" s="401">
        <f t="shared" si="3"/>
        <v>0</v>
      </c>
    </row>
    <row r="25" spans="1:14" ht="13.5" thickBot="1" x14ac:dyDescent="0.25">
      <c r="A25" s="275" t="s">
        <v>68</v>
      </c>
      <c r="B25" s="276" t="s">
        <v>25</v>
      </c>
      <c r="C25" s="396">
        <f>C26+C30+C38</f>
        <v>0</v>
      </c>
      <c r="D25" s="396">
        <f>D26+D30+D38</f>
        <v>0</v>
      </c>
      <c r="E25" s="397">
        <f t="shared" si="0"/>
        <v>0</v>
      </c>
      <c r="F25" s="396">
        <f>F26+F30+F38</f>
        <v>0</v>
      </c>
      <c r="G25" s="396">
        <f>G26+G30+G38</f>
        <v>0</v>
      </c>
      <c r="H25" s="397">
        <f t="shared" si="1"/>
        <v>0</v>
      </c>
      <c r="I25" s="396">
        <f>I26+I30+I38</f>
        <v>0</v>
      </c>
      <c r="J25" s="396">
        <f>J26+J30+J38</f>
        <v>0</v>
      </c>
      <c r="K25" s="397">
        <f t="shared" si="2"/>
        <v>0</v>
      </c>
      <c r="L25" s="396">
        <f>L26+L30+L38</f>
        <v>0</v>
      </c>
      <c r="M25" s="396">
        <f>M26+M30+M38</f>
        <v>0</v>
      </c>
      <c r="N25" s="397">
        <f t="shared" si="3"/>
        <v>0</v>
      </c>
    </row>
    <row r="26" spans="1:14" ht="13.5" hidden="1" thickBot="1" x14ac:dyDescent="0.25">
      <c r="A26" s="265" t="s">
        <v>69</v>
      </c>
      <c r="B26" s="266" t="s">
        <v>70</v>
      </c>
      <c r="C26" s="398">
        <f>SUM(C27:C29)</f>
        <v>0</v>
      </c>
      <c r="D26" s="398">
        <f>SUM(D27:D29)</f>
        <v>0</v>
      </c>
      <c r="E26" s="399">
        <f t="shared" si="0"/>
        <v>0</v>
      </c>
      <c r="F26" s="398">
        <f>SUM(F27:F29)</f>
        <v>0</v>
      </c>
      <c r="G26" s="398">
        <f>SUM(G27:G29)</f>
        <v>0</v>
      </c>
      <c r="H26" s="399">
        <f t="shared" si="1"/>
        <v>0</v>
      </c>
      <c r="I26" s="398">
        <f>SUM(I27:I29)</f>
        <v>0</v>
      </c>
      <c r="J26" s="398">
        <f>SUM(J27:J29)</f>
        <v>0</v>
      </c>
      <c r="K26" s="399">
        <f t="shared" si="2"/>
        <v>0</v>
      </c>
      <c r="L26" s="398">
        <f>SUM(L27:L29)</f>
        <v>0</v>
      </c>
      <c r="M26" s="398">
        <f>SUM(M27:M29)</f>
        <v>0</v>
      </c>
      <c r="N26" s="399">
        <f t="shared" si="3"/>
        <v>0</v>
      </c>
    </row>
    <row r="27" spans="1:14" ht="13.5" hidden="1" thickBot="1" x14ac:dyDescent="0.25">
      <c r="A27" s="265"/>
      <c r="B27" s="266" t="s">
        <v>71</v>
      </c>
      <c r="C27" s="398"/>
      <c r="D27" s="398"/>
      <c r="E27" s="399">
        <f t="shared" si="0"/>
        <v>0</v>
      </c>
      <c r="F27" s="398"/>
      <c r="G27" s="398"/>
      <c r="H27" s="399">
        <f t="shared" si="1"/>
        <v>0</v>
      </c>
      <c r="I27" s="398"/>
      <c r="J27" s="398"/>
      <c r="K27" s="399">
        <f t="shared" si="2"/>
        <v>0</v>
      </c>
      <c r="L27" s="398"/>
      <c r="M27" s="398"/>
      <c r="N27" s="399">
        <f t="shared" si="3"/>
        <v>0</v>
      </c>
    </row>
    <row r="28" spans="1:14" ht="13.5" hidden="1" thickBot="1" x14ac:dyDescent="0.25">
      <c r="A28" s="265"/>
      <c r="B28" s="266" t="s">
        <v>72</v>
      </c>
      <c r="C28" s="398"/>
      <c r="D28" s="398"/>
      <c r="E28" s="399">
        <f t="shared" si="0"/>
        <v>0</v>
      </c>
      <c r="F28" s="398"/>
      <c r="G28" s="398"/>
      <c r="H28" s="399">
        <f t="shared" si="1"/>
        <v>0</v>
      </c>
      <c r="I28" s="398"/>
      <c r="J28" s="398"/>
      <c r="K28" s="399">
        <f t="shared" si="2"/>
        <v>0</v>
      </c>
      <c r="L28" s="398"/>
      <c r="M28" s="398"/>
      <c r="N28" s="399">
        <f t="shared" si="3"/>
        <v>0</v>
      </c>
    </row>
    <row r="29" spans="1:14" ht="13.5" hidden="1" thickBot="1" x14ac:dyDescent="0.25">
      <c r="A29" s="265"/>
      <c r="B29" s="266" t="s">
        <v>73</v>
      </c>
      <c r="C29" s="398"/>
      <c r="D29" s="398"/>
      <c r="E29" s="399">
        <f t="shared" si="0"/>
        <v>0</v>
      </c>
      <c r="F29" s="398"/>
      <c r="G29" s="398"/>
      <c r="H29" s="399">
        <f t="shared" si="1"/>
        <v>0</v>
      </c>
      <c r="I29" s="398"/>
      <c r="J29" s="398"/>
      <c r="K29" s="399">
        <f t="shared" si="2"/>
        <v>0</v>
      </c>
      <c r="L29" s="398"/>
      <c r="M29" s="398"/>
      <c r="N29" s="399">
        <f t="shared" si="3"/>
        <v>0</v>
      </c>
    </row>
    <row r="30" spans="1:14" ht="13.5" hidden="1" thickBot="1" x14ac:dyDescent="0.25">
      <c r="A30" s="265" t="s">
        <v>74</v>
      </c>
      <c r="B30" s="266" t="s">
        <v>75</v>
      </c>
      <c r="C30" s="398">
        <f>C31+C33+C34</f>
        <v>0</v>
      </c>
      <c r="D30" s="398">
        <f>D31+D33+D34</f>
        <v>0</v>
      </c>
      <c r="E30" s="399">
        <f t="shared" si="0"/>
        <v>0</v>
      </c>
      <c r="F30" s="398">
        <f>F31+F33+F34</f>
        <v>0</v>
      </c>
      <c r="G30" s="398">
        <f>G31+G33+G34</f>
        <v>0</v>
      </c>
      <c r="H30" s="399">
        <f t="shared" si="1"/>
        <v>0</v>
      </c>
      <c r="I30" s="398">
        <f>I31+I33+I34</f>
        <v>0</v>
      </c>
      <c r="J30" s="398">
        <f>J31+J33+J34</f>
        <v>0</v>
      </c>
      <c r="K30" s="399">
        <f t="shared" si="2"/>
        <v>0</v>
      </c>
      <c r="L30" s="398">
        <f>L31+L33+L34</f>
        <v>0</v>
      </c>
      <c r="M30" s="398">
        <f>M31+M33+M34</f>
        <v>0</v>
      </c>
      <c r="N30" s="399">
        <f t="shared" si="3"/>
        <v>0</v>
      </c>
    </row>
    <row r="31" spans="1:14" ht="13.5" hidden="1" thickBot="1" x14ac:dyDescent="0.25">
      <c r="A31" s="265" t="s">
        <v>76</v>
      </c>
      <c r="B31" s="266" t="s">
        <v>77</v>
      </c>
      <c r="C31" s="398">
        <f>C32</f>
        <v>0</v>
      </c>
      <c r="D31" s="398">
        <f>D32</f>
        <v>0</v>
      </c>
      <c r="E31" s="399">
        <f t="shared" si="0"/>
        <v>0</v>
      </c>
      <c r="F31" s="398">
        <f>F32</f>
        <v>0</v>
      </c>
      <c r="G31" s="398">
        <f>G32</f>
        <v>0</v>
      </c>
      <c r="H31" s="399">
        <f t="shared" si="1"/>
        <v>0</v>
      </c>
      <c r="I31" s="398">
        <f>I32</f>
        <v>0</v>
      </c>
      <c r="J31" s="398">
        <f>J32</f>
        <v>0</v>
      </c>
      <c r="K31" s="399">
        <f t="shared" si="2"/>
        <v>0</v>
      </c>
      <c r="L31" s="398">
        <f>L32</f>
        <v>0</v>
      </c>
      <c r="M31" s="398">
        <f>M32</f>
        <v>0</v>
      </c>
      <c r="N31" s="399">
        <f t="shared" si="3"/>
        <v>0</v>
      </c>
    </row>
    <row r="32" spans="1:14" ht="13.5" hidden="1" thickBot="1" x14ac:dyDescent="0.25">
      <c r="A32" s="265"/>
      <c r="B32" s="266" t="s">
        <v>78</v>
      </c>
      <c r="C32" s="398"/>
      <c r="D32" s="398"/>
      <c r="E32" s="399">
        <f t="shared" si="0"/>
        <v>0</v>
      </c>
      <c r="F32" s="398"/>
      <c r="G32" s="398"/>
      <c r="H32" s="399">
        <f t="shared" si="1"/>
        <v>0</v>
      </c>
      <c r="I32" s="398"/>
      <c r="J32" s="398"/>
      <c r="K32" s="399">
        <f t="shared" si="2"/>
        <v>0</v>
      </c>
      <c r="L32" s="398"/>
      <c r="M32" s="398"/>
      <c r="N32" s="399">
        <f t="shared" si="3"/>
        <v>0</v>
      </c>
    </row>
    <row r="33" spans="1:14" ht="13.5" hidden="1" thickBot="1" x14ac:dyDescent="0.25">
      <c r="A33" s="265" t="s">
        <v>79</v>
      </c>
      <c r="B33" s="266" t="s">
        <v>80</v>
      </c>
      <c r="C33" s="398"/>
      <c r="D33" s="398"/>
      <c r="E33" s="399">
        <f t="shared" si="0"/>
        <v>0</v>
      </c>
      <c r="F33" s="398"/>
      <c r="G33" s="398"/>
      <c r="H33" s="399">
        <f t="shared" si="1"/>
        <v>0</v>
      </c>
      <c r="I33" s="398"/>
      <c r="J33" s="398"/>
      <c r="K33" s="399">
        <f t="shared" si="2"/>
        <v>0</v>
      </c>
      <c r="L33" s="398"/>
      <c r="M33" s="398"/>
      <c r="N33" s="399">
        <f t="shared" si="3"/>
        <v>0</v>
      </c>
    </row>
    <row r="34" spans="1:14" ht="13.5" hidden="1" thickBot="1" x14ac:dyDescent="0.25">
      <c r="A34" s="265" t="s">
        <v>81</v>
      </c>
      <c r="B34" s="266" t="s">
        <v>82</v>
      </c>
      <c r="C34" s="398">
        <f>SUM(C35:C37)</f>
        <v>0</v>
      </c>
      <c r="D34" s="398">
        <f>SUM(D35:D37)</f>
        <v>0</v>
      </c>
      <c r="E34" s="399">
        <f t="shared" si="0"/>
        <v>0</v>
      </c>
      <c r="F34" s="398">
        <f>SUM(F35:F37)</f>
        <v>0</v>
      </c>
      <c r="G34" s="398">
        <f>SUM(G35:G37)</f>
        <v>0</v>
      </c>
      <c r="H34" s="399">
        <f t="shared" si="1"/>
        <v>0</v>
      </c>
      <c r="I34" s="398">
        <f>SUM(I35:I37)</f>
        <v>0</v>
      </c>
      <c r="J34" s="398">
        <f>SUM(J35:J37)</f>
        <v>0</v>
      </c>
      <c r="K34" s="399">
        <f t="shared" si="2"/>
        <v>0</v>
      </c>
      <c r="L34" s="398">
        <f>SUM(L35:L37)</f>
        <v>0</v>
      </c>
      <c r="M34" s="398">
        <f>SUM(M35:M37)</f>
        <v>0</v>
      </c>
      <c r="N34" s="399">
        <f t="shared" si="3"/>
        <v>0</v>
      </c>
    </row>
    <row r="35" spans="1:14" ht="13.5" hidden="1" thickBot="1" x14ac:dyDescent="0.25">
      <c r="A35" s="265"/>
      <c r="B35" s="266" t="s">
        <v>83</v>
      </c>
      <c r="C35" s="398"/>
      <c r="D35" s="398"/>
      <c r="E35" s="399">
        <f t="shared" si="0"/>
        <v>0</v>
      </c>
      <c r="F35" s="398"/>
      <c r="G35" s="398"/>
      <c r="H35" s="399">
        <f t="shared" si="1"/>
        <v>0</v>
      </c>
      <c r="I35" s="398"/>
      <c r="J35" s="398"/>
      <c r="K35" s="399">
        <f t="shared" si="2"/>
        <v>0</v>
      </c>
      <c r="L35" s="398"/>
      <c r="M35" s="398"/>
      <c r="N35" s="399">
        <f t="shared" si="3"/>
        <v>0</v>
      </c>
    </row>
    <row r="36" spans="1:14" ht="13.5" hidden="1" thickBot="1" x14ac:dyDescent="0.25">
      <c r="A36" s="265"/>
      <c r="B36" s="266" t="s">
        <v>84</v>
      </c>
      <c r="C36" s="398"/>
      <c r="D36" s="398"/>
      <c r="E36" s="399">
        <f t="shared" si="0"/>
        <v>0</v>
      </c>
      <c r="F36" s="398"/>
      <c r="G36" s="398"/>
      <c r="H36" s="399">
        <f t="shared" si="1"/>
        <v>0</v>
      </c>
      <c r="I36" s="398"/>
      <c r="J36" s="398"/>
      <c r="K36" s="399">
        <f t="shared" si="2"/>
        <v>0</v>
      </c>
      <c r="L36" s="398"/>
      <c r="M36" s="398"/>
      <c r="N36" s="399">
        <f t="shared" si="3"/>
        <v>0</v>
      </c>
    </row>
    <row r="37" spans="1:14" ht="13.5" hidden="1" thickBot="1" x14ac:dyDescent="0.25">
      <c r="A37" s="265"/>
      <c r="B37" s="266" t="s">
        <v>85</v>
      </c>
      <c r="C37" s="398"/>
      <c r="D37" s="398"/>
      <c r="E37" s="399">
        <f t="shared" si="0"/>
        <v>0</v>
      </c>
      <c r="F37" s="398"/>
      <c r="G37" s="398"/>
      <c r="H37" s="399">
        <f t="shared" si="1"/>
        <v>0</v>
      </c>
      <c r="I37" s="398"/>
      <c r="J37" s="398"/>
      <c r="K37" s="399">
        <f t="shared" si="2"/>
        <v>0</v>
      </c>
      <c r="L37" s="398"/>
      <c r="M37" s="398"/>
      <c r="N37" s="399">
        <f t="shared" si="3"/>
        <v>0</v>
      </c>
    </row>
    <row r="38" spans="1:14" ht="13.5" hidden="1" thickBot="1" x14ac:dyDescent="0.25">
      <c r="A38" s="265" t="s">
        <v>86</v>
      </c>
      <c r="B38" s="266" t="s">
        <v>87</v>
      </c>
      <c r="C38" s="398">
        <f>SUM(C39:C44)</f>
        <v>0</v>
      </c>
      <c r="D38" s="398">
        <f>SUM(D39:D44)</f>
        <v>0</v>
      </c>
      <c r="E38" s="399">
        <f t="shared" si="0"/>
        <v>0</v>
      </c>
      <c r="F38" s="398">
        <f>SUM(F39:F44)</f>
        <v>0</v>
      </c>
      <c r="G38" s="398">
        <f>SUM(G39:G44)</f>
        <v>0</v>
      </c>
      <c r="H38" s="399">
        <f t="shared" si="1"/>
        <v>0</v>
      </c>
      <c r="I38" s="398">
        <f>SUM(I39:I44)</f>
        <v>0</v>
      </c>
      <c r="J38" s="398">
        <f>SUM(J39:J44)</f>
        <v>0</v>
      </c>
      <c r="K38" s="399">
        <f t="shared" si="2"/>
        <v>0</v>
      </c>
      <c r="L38" s="398">
        <f>SUM(L39:L44)</f>
        <v>0</v>
      </c>
      <c r="M38" s="398">
        <f>SUM(M39:M44)</f>
        <v>0</v>
      </c>
      <c r="N38" s="399">
        <f t="shared" si="3"/>
        <v>0</v>
      </c>
    </row>
    <row r="39" spans="1:14" ht="13.5" hidden="1" thickBot="1" x14ac:dyDescent="0.25">
      <c r="A39" s="265"/>
      <c r="B39" s="266" t="s">
        <v>88</v>
      </c>
      <c r="C39" s="398"/>
      <c r="D39" s="398"/>
      <c r="E39" s="399">
        <f t="shared" si="0"/>
        <v>0</v>
      </c>
      <c r="F39" s="398"/>
      <c r="G39" s="398"/>
      <c r="H39" s="399">
        <f t="shared" si="1"/>
        <v>0</v>
      </c>
      <c r="I39" s="398"/>
      <c r="J39" s="398"/>
      <c r="K39" s="399">
        <f t="shared" si="2"/>
        <v>0</v>
      </c>
      <c r="L39" s="398"/>
      <c r="M39" s="398"/>
      <c r="N39" s="399">
        <f t="shared" si="3"/>
        <v>0</v>
      </c>
    </row>
    <row r="40" spans="1:14" ht="13.5" hidden="1" thickBot="1" x14ac:dyDescent="0.25">
      <c r="A40" s="265"/>
      <c r="B40" s="266" t="s">
        <v>89</v>
      </c>
      <c r="C40" s="398"/>
      <c r="D40" s="398"/>
      <c r="E40" s="399">
        <f t="shared" si="0"/>
        <v>0</v>
      </c>
      <c r="F40" s="398"/>
      <c r="G40" s="398"/>
      <c r="H40" s="399">
        <f t="shared" si="1"/>
        <v>0</v>
      </c>
      <c r="I40" s="398"/>
      <c r="J40" s="398"/>
      <c r="K40" s="399">
        <f t="shared" si="2"/>
        <v>0</v>
      </c>
      <c r="L40" s="398"/>
      <c r="M40" s="398"/>
      <c r="N40" s="399">
        <f t="shared" si="3"/>
        <v>0</v>
      </c>
    </row>
    <row r="41" spans="1:14" ht="13.5" hidden="1" thickBot="1" x14ac:dyDescent="0.25">
      <c r="A41" s="265"/>
      <c r="B41" s="266" t="s">
        <v>90</v>
      </c>
      <c r="C41" s="398"/>
      <c r="D41" s="398"/>
      <c r="E41" s="399">
        <f t="shared" si="0"/>
        <v>0</v>
      </c>
      <c r="F41" s="398"/>
      <c r="G41" s="398"/>
      <c r="H41" s="399">
        <f t="shared" si="1"/>
        <v>0</v>
      </c>
      <c r="I41" s="398"/>
      <c r="J41" s="398"/>
      <c r="K41" s="399">
        <f t="shared" si="2"/>
        <v>0</v>
      </c>
      <c r="L41" s="398"/>
      <c r="M41" s="398"/>
      <c r="N41" s="399">
        <f t="shared" si="3"/>
        <v>0</v>
      </c>
    </row>
    <row r="42" spans="1:14" ht="13.5" hidden="1" thickBot="1" x14ac:dyDescent="0.25">
      <c r="A42" s="265"/>
      <c r="B42" s="266" t="s">
        <v>91</v>
      </c>
      <c r="C42" s="398"/>
      <c r="D42" s="398"/>
      <c r="E42" s="399">
        <f t="shared" si="0"/>
        <v>0</v>
      </c>
      <c r="F42" s="398"/>
      <c r="G42" s="398"/>
      <c r="H42" s="399">
        <f t="shared" si="1"/>
        <v>0</v>
      </c>
      <c r="I42" s="398"/>
      <c r="J42" s="398"/>
      <c r="K42" s="399">
        <f t="shared" si="2"/>
        <v>0</v>
      </c>
      <c r="L42" s="398"/>
      <c r="M42" s="398"/>
      <c r="N42" s="399">
        <f t="shared" si="3"/>
        <v>0</v>
      </c>
    </row>
    <row r="43" spans="1:14" ht="13.5" hidden="1" thickBot="1" x14ac:dyDescent="0.25">
      <c r="A43" s="265"/>
      <c r="B43" s="266" t="s">
        <v>92</v>
      </c>
      <c r="C43" s="398"/>
      <c r="D43" s="398"/>
      <c r="E43" s="399">
        <f t="shared" si="0"/>
        <v>0</v>
      </c>
      <c r="F43" s="398"/>
      <c r="G43" s="398"/>
      <c r="H43" s="399">
        <f t="shared" si="1"/>
        <v>0</v>
      </c>
      <c r="I43" s="398"/>
      <c r="J43" s="398"/>
      <c r="K43" s="399">
        <f t="shared" si="2"/>
        <v>0</v>
      </c>
      <c r="L43" s="398"/>
      <c r="M43" s="398"/>
      <c r="N43" s="399">
        <f t="shared" si="3"/>
        <v>0</v>
      </c>
    </row>
    <row r="44" spans="1:14" ht="13.5" hidden="1" thickBot="1" x14ac:dyDescent="0.25">
      <c r="A44" s="267"/>
      <c r="B44" s="268" t="s">
        <v>93</v>
      </c>
      <c r="C44" s="400"/>
      <c r="D44" s="400"/>
      <c r="E44" s="401">
        <f t="shared" si="0"/>
        <v>0</v>
      </c>
      <c r="F44" s="400"/>
      <c r="G44" s="400"/>
      <c r="H44" s="401">
        <f t="shared" si="1"/>
        <v>0</v>
      </c>
      <c r="I44" s="400"/>
      <c r="J44" s="400"/>
      <c r="K44" s="401">
        <f t="shared" si="2"/>
        <v>0</v>
      </c>
      <c r="L44" s="400"/>
      <c r="M44" s="400"/>
      <c r="N44" s="401">
        <f t="shared" si="3"/>
        <v>0</v>
      </c>
    </row>
    <row r="45" spans="1:14" x14ac:dyDescent="0.2">
      <c r="A45" s="263" t="s">
        <v>94</v>
      </c>
      <c r="B45" s="264" t="s">
        <v>26</v>
      </c>
      <c r="C45" s="602">
        <f>C46+C47+C48+C49+C54+C55+C56+C57+C58+C59+C60</f>
        <v>5500000</v>
      </c>
      <c r="D45" s="396">
        <f>D46+D47+D48+D49+D54+D55+D56+D57+D58+D59+D60</f>
        <v>0</v>
      </c>
      <c r="E45" s="397">
        <f t="shared" si="0"/>
        <v>5500000</v>
      </c>
      <c r="F45" s="602">
        <f>F46+F47+F48+F49+F54+F55+F56+F57+F58+F59+F60</f>
        <v>7994650</v>
      </c>
      <c r="G45" s="396">
        <f>G46+G47+G48+G49+G54+G55+G56+G57+G58+G59+G60</f>
        <v>0</v>
      </c>
      <c r="H45" s="397">
        <f t="shared" si="1"/>
        <v>7994650</v>
      </c>
      <c r="I45" s="602">
        <f>I46+I47+I48+I49+I54+I55+I56+I57+I58+I59+I60</f>
        <v>7994650</v>
      </c>
      <c r="J45" s="396">
        <f>J46+J47+J48+J49+J54+J55+J56+J57+J58+J59+J60</f>
        <v>0</v>
      </c>
      <c r="K45" s="397">
        <f t="shared" si="2"/>
        <v>7994650</v>
      </c>
      <c r="L45" s="602">
        <f>L46+L47+L48+L49+L54+L55+L56+L57+L58+L59+L60</f>
        <v>7690520</v>
      </c>
      <c r="M45" s="396">
        <f>M46+M47+M48+M49+M54+M55+M56+M57+M58+M59+M60</f>
        <v>0</v>
      </c>
      <c r="N45" s="397">
        <f t="shared" si="3"/>
        <v>7690520</v>
      </c>
    </row>
    <row r="46" spans="1:14" x14ac:dyDescent="0.2">
      <c r="A46" s="265" t="s">
        <v>95</v>
      </c>
      <c r="B46" s="266" t="s">
        <v>96</v>
      </c>
      <c r="C46" s="398"/>
      <c r="D46" s="398"/>
      <c r="E46" s="399">
        <f t="shared" si="0"/>
        <v>0</v>
      </c>
      <c r="F46" s="398"/>
      <c r="G46" s="398"/>
      <c r="H46" s="399">
        <f t="shared" si="1"/>
        <v>0</v>
      </c>
      <c r="I46" s="398"/>
      <c r="J46" s="398"/>
      <c r="K46" s="399">
        <f t="shared" si="2"/>
        <v>0</v>
      </c>
      <c r="L46" s="398"/>
      <c r="M46" s="398"/>
      <c r="N46" s="399">
        <f t="shared" si="3"/>
        <v>0</v>
      </c>
    </row>
    <row r="47" spans="1:14" x14ac:dyDescent="0.2">
      <c r="A47" s="265" t="s">
        <v>97</v>
      </c>
      <c r="B47" s="266" t="s">
        <v>98</v>
      </c>
      <c r="C47" s="398"/>
      <c r="D47" s="398"/>
      <c r="E47" s="399">
        <f t="shared" si="0"/>
        <v>0</v>
      </c>
      <c r="F47" s="398"/>
      <c r="G47" s="398"/>
      <c r="H47" s="399">
        <f t="shared" si="1"/>
        <v>0</v>
      </c>
      <c r="I47" s="398"/>
      <c r="J47" s="398"/>
      <c r="K47" s="399">
        <f t="shared" si="2"/>
        <v>0</v>
      </c>
      <c r="L47" s="398"/>
      <c r="M47" s="398"/>
      <c r="N47" s="399">
        <f t="shared" si="3"/>
        <v>0</v>
      </c>
    </row>
    <row r="48" spans="1:14" x14ac:dyDescent="0.2">
      <c r="A48" s="265" t="s">
        <v>99</v>
      </c>
      <c r="B48" s="266" t="s">
        <v>100</v>
      </c>
      <c r="C48" s="398"/>
      <c r="D48" s="398"/>
      <c r="E48" s="399">
        <f t="shared" si="0"/>
        <v>0</v>
      </c>
      <c r="F48" s="398"/>
      <c r="G48" s="398"/>
      <c r="H48" s="399">
        <f t="shared" si="1"/>
        <v>0</v>
      </c>
      <c r="I48" s="398"/>
      <c r="J48" s="398"/>
      <c r="K48" s="399">
        <f t="shared" si="2"/>
        <v>0</v>
      </c>
      <c r="L48" s="398"/>
      <c r="M48" s="398"/>
      <c r="N48" s="399">
        <f t="shared" si="3"/>
        <v>0</v>
      </c>
    </row>
    <row r="49" spans="1:14" x14ac:dyDescent="0.2">
      <c r="A49" s="265" t="s">
        <v>101</v>
      </c>
      <c r="B49" s="266" t="s">
        <v>102</v>
      </c>
      <c r="C49" s="398">
        <f>SUM(C50:C53)</f>
        <v>0</v>
      </c>
      <c r="D49" s="398">
        <f>SUM(D50:D53)</f>
        <v>0</v>
      </c>
      <c r="E49" s="399">
        <f t="shared" si="0"/>
        <v>0</v>
      </c>
      <c r="F49" s="398">
        <f>SUM(F50:F53)</f>
        <v>0</v>
      </c>
      <c r="G49" s="398">
        <f>SUM(G50:G53)</f>
        <v>0</v>
      </c>
      <c r="H49" s="399">
        <f t="shared" si="1"/>
        <v>0</v>
      </c>
      <c r="I49" s="398">
        <f>SUM(I50:I53)</f>
        <v>0</v>
      </c>
      <c r="J49" s="398">
        <f>SUM(J50:J53)</f>
        <v>0</v>
      </c>
      <c r="K49" s="399">
        <f t="shared" si="2"/>
        <v>0</v>
      </c>
      <c r="L49" s="398">
        <f>SUM(L50:L53)</f>
        <v>0</v>
      </c>
      <c r="M49" s="398">
        <f>SUM(M50:M53)</f>
        <v>0</v>
      </c>
      <c r="N49" s="399">
        <f t="shared" si="3"/>
        <v>0</v>
      </c>
    </row>
    <row r="50" spans="1:14" hidden="1" x14ac:dyDescent="0.2">
      <c r="A50" s="265"/>
      <c r="B50" s="266" t="s">
        <v>103</v>
      </c>
      <c r="C50" s="398"/>
      <c r="D50" s="398"/>
      <c r="E50" s="399">
        <f t="shared" si="0"/>
        <v>0</v>
      </c>
      <c r="F50" s="398"/>
      <c r="G50" s="398"/>
      <c r="H50" s="399">
        <f t="shared" si="1"/>
        <v>0</v>
      </c>
      <c r="I50" s="398"/>
      <c r="J50" s="398"/>
      <c r="K50" s="399">
        <f t="shared" si="2"/>
        <v>0</v>
      </c>
      <c r="L50" s="398"/>
      <c r="M50" s="398"/>
      <c r="N50" s="399">
        <f t="shared" si="3"/>
        <v>0</v>
      </c>
    </row>
    <row r="51" spans="1:14" hidden="1" x14ac:dyDescent="0.2">
      <c r="A51" s="265"/>
      <c r="B51" s="266" t="s">
        <v>104</v>
      </c>
      <c r="C51" s="398"/>
      <c r="D51" s="398"/>
      <c r="E51" s="399">
        <f t="shared" si="0"/>
        <v>0</v>
      </c>
      <c r="F51" s="398"/>
      <c r="G51" s="398"/>
      <c r="H51" s="399">
        <f t="shared" si="1"/>
        <v>0</v>
      </c>
      <c r="I51" s="398"/>
      <c r="J51" s="398"/>
      <c r="K51" s="399">
        <f t="shared" si="2"/>
        <v>0</v>
      </c>
      <c r="L51" s="398"/>
      <c r="M51" s="398"/>
      <c r="N51" s="399">
        <f t="shared" si="3"/>
        <v>0</v>
      </c>
    </row>
    <row r="52" spans="1:14" hidden="1" x14ac:dyDescent="0.2">
      <c r="A52" s="265"/>
      <c r="B52" s="266" t="s">
        <v>105</v>
      </c>
      <c r="C52" s="398"/>
      <c r="D52" s="398"/>
      <c r="E52" s="399">
        <f t="shared" si="0"/>
        <v>0</v>
      </c>
      <c r="F52" s="398"/>
      <c r="G52" s="398"/>
      <c r="H52" s="399">
        <f t="shared" si="1"/>
        <v>0</v>
      </c>
      <c r="I52" s="398"/>
      <c r="J52" s="398"/>
      <c r="K52" s="399">
        <f t="shared" si="2"/>
        <v>0</v>
      </c>
      <c r="L52" s="398"/>
      <c r="M52" s="398"/>
      <c r="N52" s="399">
        <f t="shared" si="3"/>
        <v>0</v>
      </c>
    </row>
    <row r="53" spans="1:14" hidden="1" x14ac:dyDescent="0.2">
      <c r="A53" s="265"/>
      <c r="B53" s="266" t="s">
        <v>106</v>
      </c>
      <c r="C53" s="398"/>
      <c r="D53" s="398"/>
      <c r="E53" s="399">
        <f t="shared" si="0"/>
        <v>0</v>
      </c>
      <c r="F53" s="398"/>
      <c r="G53" s="398"/>
      <c r="H53" s="399">
        <f t="shared" si="1"/>
        <v>0</v>
      </c>
      <c r="I53" s="398"/>
      <c r="J53" s="398"/>
      <c r="K53" s="399">
        <f t="shared" si="2"/>
        <v>0</v>
      </c>
      <c r="L53" s="398"/>
      <c r="M53" s="398"/>
      <c r="N53" s="399">
        <f t="shared" si="3"/>
        <v>0</v>
      </c>
    </row>
    <row r="54" spans="1:14" x14ac:dyDescent="0.2">
      <c r="A54" s="265" t="s">
        <v>107</v>
      </c>
      <c r="B54" s="266" t="s">
        <v>108</v>
      </c>
      <c r="C54" s="398">
        <v>4330709</v>
      </c>
      <c r="D54" s="398"/>
      <c r="E54" s="399">
        <f t="shared" si="0"/>
        <v>4330709</v>
      </c>
      <c r="F54" s="398">
        <f>4330709+1964291</f>
        <v>6295000</v>
      </c>
      <c r="G54" s="398"/>
      <c r="H54" s="399">
        <f t="shared" si="1"/>
        <v>6295000</v>
      </c>
      <c r="I54" s="398">
        <f>4330709+1964291</f>
        <v>6295000</v>
      </c>
      <c r="J54" s="398"/>
      <c r="K54" s="399">
        <f t="shared" si="2"/>
        <v>6295000</v>
      </c>
      <c r="L54" s="398">
        <v>6055359</v>
      </c>
      <c r="M54" s="398"/>
      <c r="N54" s="399">
        <f t="shared" si="3"/>
        <v>6055359</v>
      </c>
    </row>
    <row r="55" spans="1:14" ht="13.5" thickBot="1" x14ac:dyDescent="0.25">
      <c r="A55" s="265" t="s">
        <v>109</v>
      </c>
      <c r="B55" s="266" t="s">
        <v>110</v>
      </c>
      <c r="C55" s="398">
        <v>1169291</v>
      </c>
      <c r="D55" s="398"/>
      <c r="E55" s="399">
        <f t="shared" si="0"/>
        <v>1169291</v>
      </c>
      <c r="F55" s="398">
        <f>1169291+530359</f>
        <v>1699650</v>
      </c>
      <c r="G55" s="398"/>
      <c r="H55" s="399">
        <f t="shared" si="1"/>
        <v>1699650</v>
      </c>
      <c r="I55" s="398">
        <f>1169291+530359</f>
        <v>1699650</v>
      </c>
      <c r="J55" s="398"/>
      <c r="K55" s="399">
        <f t="shared" si="2"/>
        <v>1699650</v>
      </c>
      <c r="L55" s="398">
        <v>1635161</v>
      </c>
      <c r="M55" s="398"/>
      <c r="N55" s="399">
        <f t="shared" si="3"/>
        <v>1635161</v>
      </c>
    </row>
    <row r="56" spans="1:14" ht="13.5" hidden="1" thickBot="1" x14ac:dyDescent="0.25">
      <c r="A56" s="265" t="s">
        <v>111</v>
      </c>
      <c r="B56" s="266" t="s">
        <v>112</v>
      </c>
      <c r="C56" s="398"/>
      <c r="D56" s="398"/>
      <c r="E56" s="399">
        <f t="shared" si="0"/>
        <v>0</v>
      </c>
      <c r="F56" s="398"/>
      <c r="G56" s="398"/>
      <c r="H56" s="399">
        <f t="shared" si="1"/>
        <v>0</v>
      </c>
      <c r="I56" s="398"/>
      <c r="J56" s="398"/>
      <c r="K56" s="399">
        <f t="shared" si="2"/>
        <v>0</v>
      </c>
      <c r="L56" s="398"/>
      <c r="M56" s="398"/>
      <c r="N56" s="399">
        <f t="shared" si="3"/>
        <v>0</v>
      </c>
    </row>
    <row r="57" spans="1:14" ht="13.5" hidden="1" thickBot="1" x14ac:dyDescent="0.25">
      <c r="A57" s="265" t="s">
        <v>113</v>
      </c>
      <c r="B57" s="266" t="s">
        <v>114</v>
      </c>
      <c r="C57" s="398"/>
      <c r="D57" s="398"/>
      <c r="E57" s="399">
        <f t="shared" si="0"/>
        <v>0</v>
      </c>
      <c r="F57" s="398"/>
      <c r="G57" s="398"/>
      <c r="H57" s="399">
        <f t="shared" si="1"/>
        <v>0</v>
      </c>
      <c r="I57" s="398"/>
      <c r="J57" s="398"/>
      <c r="K57" s="399">
        <f t="shared" si="2"/>
        <v>0</v>
      </c>
      <c r="L57" s="398"/>
      <c r="M57" s="398"/>
      <c r="N57" s="399">
        <f t="shared" si="3"/>
        <v>0</v>
      </c>
    </row>
    <row r="58" spans="1:14" ht="13.5" hidden="1" thickBot="1" x14ac:dyDescent="0.25">
      <c r="A58" s="265" t="s">
        <v>115</v>
      </c>
      <c r="B58" s="266" t="s">
        <v>116</v>
      </c>
      <c r="C58" s="398"/>
      <c r="D58" s="398"/>
      <c r="E58" s="399">
        <f t="shared" si="0"/>
        <v>0</v>
      </c>
      <c r="F58" s="398"/>
      <c r="G58" s="398"/>
      <c r="H58" s="399">
        <f t="shared" si="1"/>
        <v>0</v>
      </c>
      <c r="I58" s="398"/>
      <c r="J58" s="398"/>
      <c r="K58" s="399">
        <f t="shared" si="2"/>
        <v>0</v>
      </c>
      <c r="L58" s="398"/>
      <c r="M58" s="398"/>
      <c r="N58" s="399">
        <f t="shared" si="3"/>
        <v>0</v>
      </c>
    </row>
    <row r="59" spans="1:14" ht="13.5" hidden="1" thickBot="1" x14ac:dyDescent="0.25">
      <c r="A59" s="265" t="s">
        <v>117</v>
      </c>
      <c r="B59" s="266" t="s">
        <v>118</v>
      </c>
      <c r="C59" s="398"/>
      <c r="D59" s="398"/>
      <c r="E59" s="399">
        <f t="shared" si="0"/>
        <v>0</v>
      </c>
      <c r="F59" s="398"/>
      <c r="G59" s="398"/>
      <c r="H59" s="399">
        <f t="shared" si="1"/>
        <v>0</v>
      </c>
      <c r="I59" s="398"/>
      <c r="J59" s="398"/>
      <c r="K59" s="399">
        <f t="shared" si="2"/>
        <v>0</v>
      </c>
      <c r="L59" s="398"/>
      <c r="M59" s="398"/>
      <c r="N59" s="399">
        <f t="shared" si="3"/>
        <v>0</v>
      </c>
    </row>
    <row r="60" spans="1:14" ht="13.5" hidden="1" thickBot="1" x14ac:dyDescent="0.25">
      <c r="A60" s="267" t="s">
        <v>119</v>
      </c>
      <c r="B60" s="268" t="s">
        <v>120</v>
      </c>
      <c r="C60" s="400"/>
      <c r="D60" s="400"/>
      <c r="E60" s="401">
        <f t="shared" si="0"/>
        <v>0</v>
      </c>
      <c r="F60" s="400"/>
      <c r="G60" s="400"/>
      <c r="H60" s="401">
        <f t="shared" si="1"/>
        <v>0</v>
      </c>
      <c r="I60" s="400"/>
      <c r="J60" s="400"/>
      <c r="K60" s="401">
        <f t="shared" si="2"/>
        <v>0</v>
      </c>
      <c r="L60" s="400"/>
      <c r="M60" s="400"/>
      <c r="N60" s="401">
        <f t="shared" si="3"/>
        <v>0</v>
      </c>
    </row>
    <row r="61" spans="1:14" ht="13.5" thickBot="1" x14ac:dyDescent="0.25">
      <c r="A61" s="263" t="s">
        <v>121</v>
      </c>
      <c r="B61" s="264" t="s">
        <v>28</v>
      </c>
      <c r="C61" s="396">
        <f>SUM(C62:C66)</f>
        <v>0</v>
      </c>
      <c r="D61" s="396">
        <f>SUM(D62:D66)</f>
        <v>0</v>
      </c>
      <c r="E61" s="397">
        <f t="shared" si="0"/>
        <v>0</v>
      </c>
      <c r="F61" s="396">
        <f>SUM(F62:F66)</f>
        <v>0</v>
      </c>
      <c r="G61" s="396">
        <f>SUM(G62:G66)</f>
        <v>0</v>
      </c>
      <c r="H61" s="397">
        <f t="shared" si="1"/>
        <v>0</v>
      </c>
      <c r="I61" s="396">
        <f>SUM(I62:I66)</f>
        <v>0</v>
      </c>
      <c r="J61" s="396">
        <f>SUM(J62:J66)</f>
        <v>0</v>
      </c>
      <c r="K61" s="397">
        <f t="shared" si="2"/>
        <v>0</v>
      </c>
      <c r="L61" s="396">
        <f>SUM(L62:L66)</f>
        <v>0</v>
      </c>
      <c r="M61" s="396">
        <f>SUM(M62:M66)</f>
        <v>0</v>
      </c>
      <c r="N61" s="397">
        <f t="shared" si="3"/>
        <v>0</v>
      </c>
    </row>
    <row r="62" spans="1:14" ht="13.5" hidden="1" thickBot="1" x14ac:dyDescent="0.25">
      <c r="A62" s="265" t="s">
        <v>122</v>
      </c>
      <c r="B62" s="266" t="s">
        <v>123</v>
      </c>
      <c r="C62" s="398"/>
      <c r="D62" s="398"/>
      <c r="E62" s="399">
        <f t="shared" si="0"/>
        <v>0</v>
      </c>
      <c r="F62" s="398"/>
      <c r="G62" s="398"/>
      <c r="H62" s="399">
        <f t="shared" si="1"/>
        <v>0</v>
      </c>
      <c r="I62" s="398"/>
      <c r="J62" s="398"/>
      <c r="K62" s="399">
        <f t="shared" si="2"/>
        <v>0</v>
      </c>
      <c r="L62" s="398"/>
      <c r="M62" s="398"/>
      <c r="N62" s="399">
        <f t="shared" si="3"/>
        <v>0</v>
      </c>
    </row>
    <row r="63" spans="1:14" ht="13.5" hidden="1" thickBot="1" x14ac:dyDescent="0.25">
      <c r="A63" s="265" t="s">
        <v>124</v>
      </c>
      <c r="B63" s="266" t="s">
        <v>125</v>
      </c>
      <c r="C63" s="398"/>
      <c r="D63" s="398"/>
      <c r="E63" s="399">
        <f t="shared" si="0"/>
        <v>0</v>
      </c>
      <c r="F63" s="398"/>
      <c r="G63" s="398"/>
      <c r="H63" s="399">
        <f t="shared" si="1"/>
        <v>0</v>
      </c>
      <c r="I63" s="398"/>
      <c r="J63" s="398"/>
      <c r="K63" s="399">
        <f t="shared" si="2"/>
        <v>0</v>
      </c>
      <c r="L63" s="398"/>
      <c r="M63" s="398"/>
      <c r="N63" s="399">
        <f t="shared" si="3"/>
        <v>0</v>
      </c>
    </row>
    <row r="64" spans="1:14" ht="13.5" hidden="1" thickBot="1" x14ac:dyDescent="0.25">
      <c r="A64" s="265" t="s">
        <v>126</v>
      </c>
      <c r="B64" s="266" t="s">
        <v>127</v>
      </c>
      <c r="C64" s="398"/>
      <c r="D64" s="398"/>
      <c r="E64" s="399">
        <f t="shared" si="0"/>
        <v>0</v>
      </c>
      <c r="F64" s="398"/>
      <c r="G64" s="398"/>
      <c r="H64" s="399">
        <f t="shared" si="1"/>
        <v>0</v>
      </c>
      <c r="I64" s="398"/>
      <c r="J64" s="398"/>
      <c r="K64" s="399">
        <f t="shared" si="2"/>
        <v>0</v>
      </c>
      <c r="L64" s="398"/>
      <c r="M64" s="398"/>
      <c r="N64" s="399">
        <f t="shared" si="3"/>
        <v>0</v>
      </c>
    </row>
    <row r="65" spans="1:14" ht="13.5" hidden="1" thickBot="1" x14ac:dyDescent="0.25">
      <c r="A65" s="265" t="s">
        <v>128</v>
      </c>
      <c r="B65" s="266" t="s">
        <v>129</v>
      </c>
      <c r="C65" s="398"/>
      <c r="D65" s="398"/>
      <c r="E65" s="399">
        <f t="shared" si="0"/>
        <v>0</v>
      </c>
      <c r="F65" s="398"/>
      <c r="G65" s="398"/>
      <c r="H65" s="399">
        <f t="shared" si="1"/>
        <v>0</v>
      </c>
      <c r="I65" s="398"/>
      <c r="J65" s="398"/>
      <c r="K65" s="399">
        <f t="shared" si="2"/>
        <v>0</v>
      </c>
      <c r="L65" s="398"/>
      <c r="M65" s="398"/>
      <c r="N65" s="399">
        <f t="shared" si="3"/>
        <v>0</v>
      </c>
    </row>
    <row r="66" spans="1:14" ht="13.5" hidden="1" thickBot="1" x14ac:dyDescent="0.25">
      <c r="A66" s="267" t="s">
        <v>130</v>
      </c>
      <c r="B66" s="268" t="s">
        <v>131</v>
      </c>
      <c r="C66" s="400"/>
      <c r="D66" s="400"/>
      <c r="E66" s="401">
        <f t="shared" si="0"/>
        <v>0</v>
      </c>
      <c r="F66" s="400"/>
      <c r="G66" s="400"/>
      <c r="H66" s="401">
        <f t="shared" si="1"/>
        <v>0</v>
      </c>
      <c r="I66" s="400"/>
      <c r="J66" s="400"/>
      <c r="K66" s="401">
        <f t="shared" si="2"/>
        <v>0</v>
      </c>
      <c r="L66" s="400"/>
      <c r="M66" s="400"/>
      <c r="N66" s="401">
        <f t="shared" si="3"/>
        <v>0</v>
      </c>
    </row>
    <row r="67" spans="1:14" ht="13.5" thickBot="1" x14ac:dyDescent="0.25">
      <c r="A67" s="263" t="s">
        <v>132</v>
      </c>
      <c r="B67" s="264" t="s">
        <v>133</v>
      </c>
      <c r="C67" s="396">
        <f>SUM(C68:C69)</f>
        <v>0</v>
      </c>
      <c r="D67" s="396">
        <f>SUM(D68:D69)</f>
        <v>0</v>
      </c>
      <c r="E67" s="397">
        <f t="shared" si="0"/>
        <v>0</v>
      </c>
      <c r="F67" s="396">
        <f>SUM(F68:F69)</f>
        <v>0</v>
      </c>
      <c r="G67" s="396">
        <f>SUM(G68:G69)</f>
        <v>0</v>
      </c>
      <c r="H67" s="397">
        <f t="shared" si="1"/>
        <v>0</v>
      </c>
      <c r="I67" s="396">
        <f>SUM(I68:I69)</f>
        <v>0</v>
      </c>
      <c r="J67" s="396">
        <f>SUM(J68:J69)</f>
        <v>0</v>
      </c>
      <c r="K67" s="397">
        <f t="shared" si="2"/>
        <v>0</v>
      </c>
      <c r="L67" s="396">
        <f>SUM(L68:L69)</f>
        <v>0</v>
      </c>
      <c r="M67" s="396">
        <f>SUM(M68:M69)</f>
        <v>0</v>
      </c>
      <c r="N67" s="397">
        <f t="shared" si="3"/>
        <v>0</v>
      </c>
    </row>
    <row r="68" spans="1:14" ht="13.5" hidden="1" thickBot="1" x14ac:dyDescent="0.25">
      <c r="A68" s="265" t="s">
        <v>134</v>
      </c>
      <c r="B68" s="266" t="s">
        <v>135</v>
      </c>
      <c r="C68" s="398"/>
      <c r="D68" s="398"/>
      <c r="E68" s="399">
        <f t="shared" si="0"/>
        <v>0</v>
      </c>
      <c r="F68" s="398"/>
      <c r="G68" s="398"/>
      <c r="H68" s="399">
        <f t="shared" si="1"/>
        <v>0</v>
      </c>
      <c r="I68" s="398"/>
      <c r="J68" s="398"/>
      <c r="K68" s="399">
        <f t="shared" si="2"/>
        <v>0</v>
      </c>
      <c r="L68" s="398"/>
      <c r="M68" s="398"/>
      <c r="N68" s="399">
        <f t="shared" si="3"/>
        <v>0</v>
      </c>
    </row>
    <row r="69" spans="1:14" ht="13.5" hidden="1" thickBot="1" x14ac:dyDescent="0.25">
      <c r="A69" s="267" t="s">
        <v>136</v>
      </c>
      <c r="B69" s="268" t="s">
        <v>137</v>
      </c>
      <c r="C69" s="400"/>
      <c r="D69" s="400"/>
      <c r="E69" s="401">
        <f t="shared" si="0"/>
        <v>0</v>
      </c>
      <c r="F69" s="400"/>
      <c r="G69" s="400"/>
      <c r="H69" s="401">
        <f t="shared" si="1"/>
        <v>0</v>
      </c>
      <c r="I69" s="400"/>
      <c r="J69" s="400"/>
      <c r="K69" s="401">
        <f t="shared" si="2"/>
        <v>0</v>
      </c>
      <c r="L69" s="400"/>
      <c r="M69" s="400"/>
      <c r="N69" s="401">
        <f t="shared" si="3"/>
        <v>0</v>
      </c>
    </row>
    <row r="70" spans="1:14" x14ac:dyDescent="0.2">
      <c r="A70" s="263" t="s">
        <v>138</v>
      </c>
      <c r="B70" s="264" t="s">
        <v>139</v>
      </c>
      <c r="C70" s="396">
        <f>C71</f>
        <v>0</v>
      </c>
      <c r="D70" s="396">
        <f>D71</f>
        <v>0</v>
      </c>
      <c r="E70" s="397">
        <f t="shared" si="0"/>
        <v>0</v>
      </c>
      <c r="F70" s="396">
        <f>F71</f>
        <v>0</v>
      </c>
      <c r="G70" s="396">
        <f>G71</f>
        <v>0</v>
      </c>
      <c r="H70" s="397">
        <f t="shared" si="1"/>
        <v>0</v>
      </c>
      <c r="I70" s="396">
        <f>I71</f>
        <v>0</v>
      </c>
      <c r="J70" s="396">
        <f>J71</f>
        <v>0</v>
      </c>
      <c r="K70" s="397">
        <f t="shared" si="2"/>
        <v>0</v>
      </c>
      <c r="L70" s="396">
        <f>L71</f>
        <v>0</v>
      </c>
      <c r="M70" s="396">
        <f>M71</f>
        <v>0</v>
      </c>
      <c r="N70" s="397">
        <f t="shared" si="3"/>
        <v>0</v>
      </c>
    </row>
    <row r="71" spans="1:14" ht="13.5" hidden="1" thickBot="1" x14ac:dyDescent="0.25">
      <c r="A71" s="267"/>
      <c r="B71" s="268" t="s">
        <v>140</v>
      </c>
      <c r="C71" s="400"/>
      <c r="D71" s="400"/>
      <c r="E71" s="401">
        <f t="shared" si="0"/>
        <v>0</v>
      </c>
      <c r="F71" s="400"/>
      <c r="G71" s="400"/>
      <c r="H71" s="401">
        <f t="shared" si="1"/>
        <v>0</v>
      </c>
      <c r="I71" s="400"/>
      <c r="J71" s="400"/>
      <c r="K71" s="401">
        <f t="shared" si="2"/>
        <v>0</v>
      </c>
      <c r="L71" s="400"/>
      <c r="M71" s="400"/>
      <c r="N71" s="401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3.5" thickBot="1" x14ac:dyDescent="0.25">
      <c r="A73" s="277" t="s">
        <v>141</v>
      </c>
      <c r="B73" s="278" t="s">
        <v>142</v>
      </c>
      <c r="C73" s="402">
        <f>C9+C22+C25+C45+C61+C67+C70</f>
        <v>5500000</v>
      </c>
      <c r="D73" s="402">
        <f>D9+D22+D25+D45+D61+D67+D70</f>
        <v>0</v>
      </c>
      <c r="E73" s="403">
        <f t="shared" si="0"/>
        <v>5500000</v>
      </c>
      <c r="F73" s="402">
        <f>F9+F22+F25+F45+F61+F67+F70</f>
        <v>7994650</v>
      </c>
      <c r="G73" s="402">
        <f>G9+G22+G25+G45+G61+G67+G70</f>
        <v>0</v>
      </c>
      <c r="H73" s="403">
        <f t="shared" si="1"/>
        <v>7994650</v>
      </c>
      <c r="I73" s="402">
        <f>I9+I22+I25+I45+I61+I67+I70</f>
        <v>7994650</v>
      </c>
      <c r="J73" s="402">
        <f>J9+J22+J25+J45+J61+J67+J70</f>
        <v>0</v>
      </c>
      <c r="K73" s="403">
        <f t="shared" si="2"/>
        <v>7994650</v>
      </c>
      <c r="L73" s="402">
        <f>L9+L22+L25+L45+L61+L67+L70</f>
        <v>7690520</v>
      </c>
      <c r="M73" s="402">
        <f>M9+M22+M25+M45+M61+M67+M70</f>
        <v>0</v>
      </c>
      <c r="N73" s="403">
        <f t="shared" si="3"/>
        <v>7690520</v>
      </c>
    </row>
    <row r="74" spans="1:14" ht="13.5" thickBot="1" x14ac:dyDescent="0.25">
      <c r="A74" s="275" t="s">
        <v>143</v>
      </c>
      <c r="B74" s="276" t="s">
        <v>144</v>
      </c>
      <c r="C74" s="396">
        <f>C75+C83</f>
        <v>0</v>
      </c>
      <c r="D74" s="396">
        <f>D75+D83</f>
        <v>0</v>
      </c>
      <c r="E74" s="397">
        <f t="shared" ref="E74:E85" si="4">SUM(C74:D74)</f>
        <v>0</v>
      </c>
      <c r="F74" s="396">
        <f>F75+F83</f>
        <v>0</v>
      </c>
      <c r="G74" s="396">
        <f>G75+G83</f>
        <v>0</v>
      </c>
      <c r="H74" s="397">
        <f t="shared" ref="H74:H81" si="5">SUM(F74:G74)</f>
        <v>0</v>
      </c>
      <c r="I74" s="396">
        <f>I75+I83</f>
        <v>0</v>
      </c>
      <c r="J74" s="396">
        <f>J75+J83</f>
        <v>0</v>
      </c>
      <c r="K74" s="397">
        <f t="shared" ref="K74:K81" si="6">SUM(I74:J74)</f>
        <v>0</v>
      </c>
      <c r="L74" s="396">
        <f>L75+L83</f>
        <v>0</v>
      </c>
      <c r="M74" s="396">
        <f>M75+M83</f>
        <v>0</v>
      </c>
      <c r="N74" s="397">
        <f t="shared" ref="N74:N81" si="7">SUM(L74:M74)</f>
        <v>0</v>
      </c>
    </row>
    <row r="75" spans="1:14" ht="13.5" hidden="1" thickBot="1" x14ac:dyDescent="0.25">
      <c r="A75" s="265" t="s">
        <v>145</v>
      </c>
      <c r="B75" s="266" t="s">
        <v>146</v>
      </c>
      <c r="C75" s="398">
        <f t="shared" ref="C75:D75" si="8">SUM(C76:C77,C78,C79,C83,C82)</f>
        <v>0</v>
      </c>
      <c r="D75" s="398">
        <f t="shared" si="8"/>
        <v>0</v>
      </c>
      <c r="E75" s="399">
        <f t="shared" si="4"/>
        <v>0</v>
      </c>
      <c r="F75" s="398">
        <f t="shared" ref="F75:G75" si="9">SUM(F76:F77,F78,F79,F83,F82)</f>
        <v>0</v>
      </c>
      <c r="G75" s="398">
        <f t="shared" si="9"/>
        <v>0</v>
      </c>
      <c r="H75" s="399">
        <f t="shared" si="5"/>
        <v>0</v>
      </c>
      <c r="I75" s="398">
        <f t="shared" ref="I75:J75" si="10">SUM(I76:I77,I78,I79,I83,I82)</f>
        <v>0</v>
      </c>
      <c r="J75" s="398">
        <f t="shared" si="10"/>
        <v>0</v>
      </c>
      <c r="K75" s="399">
        <f t="shared" si="6"/>
        <v>0</v>
      </c>
      <c r="L75" s="398">
        <f t="shared" ref="L75:M75" si="11">SUM(L76:L77,L78,L79,L83,L82)</f>
        <v>0</v>
      </c>
      <c r="M75" s="398">
        <f t="shared" si="11"/>
        <v>0</v>
      </c>
      <c r="N75" s="399">
        <f t="shared" si="7"/>
        <v>0</v>
      </c>
    </row>
    <row r="76" spans="1:14" ht="13.5" hidden="1" thickBot="1" x14ac:dyDescent="0.25">
      <c r="A76" s="265" t="s">
        <v>147</v>
      </c>
      <c r="B76" s="266" t="s">
        <v>148</v>
      </c>
      <c r="C76" s="398"/>
      <c r="D76" s="398"/>
      <c r="E76" s="399">
        <f t="shared" si="4"/>
        <v>0</v>
      </c>
      <c r="F76" s="398"/>
      <c r="G76" s="398"/>
      <c r="H76" s="399">
        <f t="shared" si="5"/>
        <v>0</v>
      </c>
      <c r="I76" s="398"/>
      <c r="J76" s="398"/>
      <c r="K76" s="399">
        <f t="shared" si="6"/>
        <v>0</v>
      </c>
      <c r="L76" s="398"/>
      <c r="M76" s="398"/>
      <c r="N76" s="399">
        <f t="shared" si="7"/>
        <v>0</v>
      </c>
    </row>
    <row r="77" spans="1:14" ht="13.5" hidden="1" thickBot="1" x14ac:dyDescent="0.25">
      <c r="A77" s="265" t="s">
        <v>149</v>
      </c>
      <c r="B77" s="266" t="s">
        <v>150</v>
      </c>
      <c r="C77" s="398"/>
      <c r="D77" s="398"/>
      <c r="E77" s="399">
        <f t="shared" si="4"/>
        <v>0</v>
      </c>
      <c r="F77" s="398"/>
      <c r="G77" s="398"/>
      <c r="H77" s="399">
        <f t="shared" si="5"/>
        <v>0</v>
      </c>
      <c r="I77" s="398"/>
      <c r="J77" s="398"/>
      <c r="K77" s="399">
        <f t="shared" si="6"/>
        <v>0</v>
      </c>
      <c r="L77" s="398"/>
      <c r="M77" s="398"/>
      <c r="N77" s="399">
        <f t="shared" si="7"/>
        <v>0</v>
      </c>
    </row>
    <row r="78" spans="1:14" ht="13.5" hidden="1" thickBot="1" x14ac:dyDescent="0.25">
      <c r="A78" s="265" t="s">
        <v>151</v>
      </c>
      <c r="B78" s="266" t="s">
        <v>152</v>
      </c>
      <c r="C78" s="398"/>
      <c r="D78" s="398"/>
      <c r="E78" s="399">
        <f t="shared" si="4"/>
        <v>0</v>
      </c>
      <c r="F78" s="398"/>
      <c r="G78" s="398"/>
      <c r="H78" s="399">
        <f t="shared" si="5"/>
        <v>0</v>
      </c>
      <c r="I78" s="398"/>
      <c r="J78" s="398"/>
      <c r="K78" s="399">
        <f t="shared" si="6"/>
        <v>0</v>
      </c>
      <c r="L78" s="398"/>
      <c r="M78" s="398"/>
      <c r="N78" s="399">
        <f t="shared" si="7"/>
        <v>0</v>
      </c>
    </row>
    <row r="79" spans="1:14" ht="13.5" hidden="1" thickBot="1" x14ac:dyDescent="0.25">
      <c r="A79" s="265" t="s">
        <v>153</v>
      </c>
      <c r="B79" s="266" t="s">
        <v>154</v>
      </c>
      <c r="C79" s="398">
        <f>SUM(C80:C81)</f>
        <v>0</v>
      </c>
      <c r="D79" s="398">
        <f>SUM(D80:D81)</f>
        <v>0</v>
      </c>
      <c r="E79" s="399">
        <f t="shared" si="4"/>
        <v>0</v>
      </c>
      <c r="F79" s="398">
        <f>SUM(F80:F81)</f>
        <v>0</v>
      </c>
      <c r="G79" s="398">
        <f>SUM(G80:G81)</f>
        <v>0</v>
      </c>
      <c r="H79" s="399">
        <f t="shared" si="5"/>
        <v>0</v>
      </c>
      <c r="I79" s="398">
        <f>SUM(I80:I81)</f>
        <v>0</v>
      </c>
      <c r="J79" s="398">
        <f>SUM(J80:J81)</f>
        <v>0</v>
      </c>
      <c r="K79" s="399">
        <f t="shared" si="6"/>
        <v>0</v>
      </c>
      <c r="L79" s="398">
        <f>SUM(L80:L81)</f>
        <v>0</v>
      </c>
      <c r="M79" s="398">
        <f>SUM(M80:M81)</f>
        <v>0</v>
      </c>
      <c r="N79" s="399">
        <f t="shared" si="7"/>
        <v>0</v>
      </c>
    </row>
    <row r="80" spans="1:14" ht="13.5" hidden="1" thickBot="1" x14ac:dyDescent="0.25">
      <c r="A80" s="265"/>
      <c r="B80" s="266" t="s">
        <v>29</v>
      </c>
      <c r="C80" s="398"/>
      <c r="D80" s="398"/>
      <c r="E80" s="399">
        <f t="shared" si="4"/>
        <v>0</v>
      </c>
      <c r="F80" s="398"/>
      <c r="G80" s="398"/>
      <c r="H80" s="399">
        <f t="shared" si="5"/>
        <v>0</v>
      </c>
      <c r="I80" s="398"/>
      <c r="J80" s="398"/>
      <c r="K80" s="399">
        <f t="shared" si="6"/>
        <v>0</v>
      </c>
      <c r="L80" s="398"/>
      <c r="M80" s="398"/>
      <c r="N80" s="399">
        <f t="shared" si="7"/>
        <v>0</v>
      </c>
    </row>
    <row r="81" spans="1:14" ht="13.5" hidden="1" thickBot="1" x14ac:dyDescent="0.25">
      <c r="A81" s="265"/>
      <c r="B81" s="266" t="s">
        <v>30</v>
      </c>
      <c r="C81" s="398"/>
      <c r="D81" s="398"/>
      <c r="E81" s="399">
        <f t="shared" si="4"/>
        <v>0</v>
      </c>
      <c r="F81" s="398"/>
      <c r="G81" s="398"/>
      <c r="H81" s="399">
        <f t="shared" si="5"/>
        <v>0</v>
      </c>
      <c r="I81" s="398"/>
      <c r="J81" s="398"/>
      <c r="K81" s="399">
        <f t="shared" si="6"/>
        <v>0</v>
      </c>
      <c r="L81" s="398"/>
      <c r="M81" s="398"/>
      <c r="N81" s="399">
        <f t="shared" si="7"/>
        <v>0</v>
      </c>
    </row>
    <row r="82" spans="1:14" ht="13.5" hidden="1" thickBot="1" x14ac:dyDescent="0.25">
      <c r="A82" s="265" t="s">
        <v>543</v>
      </c>
      <c r="B82" s="266" t="s">
        <v>337</v>
      </c>
      <c r="C82" s="398"/>
      <c r="D82" s="398"/>
      <c r="E82" s="399"/>
      <c r="F82" s="398"/>
      <c r="G82" s="398"/>
      <c r="H82" s="399"/>
      <c r="I82" s="398"/>
      <c r="J82" s="398"/>
      <c r="K82" s="399"/>
      <c r="L82" s="398"/>
      <c r="M82" s="398"/>
      <c r="N82" s="399"/>
    </row>
    <row r="83" spans="1:14" ht="13.5" hidden="1" thickBot="1" x14ac:dyDescent="0.25">
      <c r="A83" s="265" t="s">
        <v>155</v>
      </c>
      <c r="B83" s="266" t="s">
        <v>156</v>
      </c>
      <c r="C83" s="398"/>
      <c r="D83" s="398"/>
      <c r="E83" s="399">
        <f t="shared" si="4"/>
        <v>0</v>
      </c>
      <c r="F83" s="398"/>
      <c r="G83" s="398"/>
      <c r="H83" s="399">
        <f t="shared" ref="H83:H85" si="12">SUM(F83:G83)</f>
        <v>0</v>
      </c>
      <c r="I83" s="398"/>
      <c r="J83" s="398"/>
      <c r="K83" s="399">
        <f t="shared" ref="K83:K85" si="13">SUM(I83:J83)</f>
        <v>0</v>
      </c>
      <c r="L83" s="398"/>
      <c r="M83" s="398"/>
      <c r="N83" s="399">
        <f t="shared" ref="N83:N85" si="14">SUM(L83:M83)</f>
        <v>0</v>
      </c>
    </row>
    <row r="84" spans="1:14" ht="13.5" hidden="1" thickBot="1" x14ac:dyDescent="0.25">
      <c r="A84" s="267" t="s">
        <v>157</v>
      </c>
      <c r="B84" s="268" t="s">
        <v>158</v>
      </c>
      <c r="C84" s="400"/>
      <c r="D84" s="400"/>
      <c r="E84" s="401">
        <f t="shared" si="4"/>
        <v>0</v>
      </c>
      <c r="F84" s="400"/>
      <c r="G84" s="400"/>
      <c r="H84" s="401">
        <f t="shared" si="12"/>
        <v>0</v>
      </c>
      <c r="I84" s="400"/>
      <c r="J84" s="400"/>
      <c r="K84" s="401">
        <f t="shared" si="13"/>
        <v>0</v>
      </c>
      <c r="L84" s="400"/>
      <c r="M84" s="400"/>
      <c r="N84" s="401">
        <f t="shared" si="14"/>
        <v>0</v>
      </c>
    </row>
    <row r="85" spans="1:14" ht="13.5" thickBot="1" x14ac:dyDescent="0.25">
      <c r="A85" s="277" t="s">
        <v>264</v>
      </c>
      <c r="B85" s="278" t="s">
        <v>159</v>
      </c>
      <c r="C85" s="402">
        <f>C73+C74</f>
        <v>5500000</v>
      </c>
      <c r="D85" s="402">
        <f>D73+D74</f>
        <v>0</v>
      </c>
      <c r="E85" s="403">
        <f t="shared" si="4"/>
        <v>5500000</v>
      </c>
      <c r="F85" s="402">
        <f>F73+F74</f>
        <v>7994650</v>
      </c>
      <c r="G85" s="402">
        <f>G73+G74</f>
        <v>0</v>
      </c>
      <c r="H85" s="403">
        <f t="shared" si="12"/>
        <v>7994650</v>
      </c>
      <c r="I85" s="402">
        <f>I73+I74</f>
        <v>7994650</v>
      </c>
      <c r="J85" s="402">
        <f>J73+J74</f>
        <v>0</v>
      </c>
      <c r="K85" s="403">
        <f t="shared" si="13"/>
        <v>7994650</v>
      </c>
      <c r="L85" s="402">
        <f>L73+L74</f>
        <v>7690520</v>
      </c>
      <c r="M85" s="402">
        <f>M73+M74</f>
        <v>0</v>
      </c>
      <c r="N85" s="403">
        <f t="shared" si="14"/>
        <v>7690520</v>
      </c>
    </row>
    <row r="86" spans="1:14" x14ac:dyDescent="0.2">
      <c r="A86" s="281"/>
      <c r="B86" s="282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</row>
    <row r="87" spans="1:14" ht="13.5" thickBot="1" x14ac:dyDescent="0.25">
      <c r="A87" s="283"/>
      <c r="B87" s="28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</row>
    <row r="88" spans="1:14" x14ac:dyDescent="0.2">
      <c r="A88" s="285" t="s">
        <v>160</v>
      </c>
      <c r="B88" s="264" t="s">
        <v>34</v>
      </c>
      <c r="C88" s="396">
        <f>C89+C101</f>
        <v>1416000</v>
      </c>
      <c r="D88" s="396">
        <f>D89+D101</f>
        <v>0</v>
      </c>
      <c r="E88" s="405">
        <f t="shared" ref="E88:E150" si="15">SUM(C88:D88)</f>
        <v>1416000</v>
      </c>
      <c r="F88" s="396">
        <f>F89+F101</f>
        <v>1416000</v>
      </c>
      <c r="G88" s="396">
        <f>G89+G101</f>
        <v>0</v>
      </c>
      <c r="H88" s="405">
        <f t="shared" ref="H88:H90" si="16">SUM(F88:G88)</f>
        <v>1416000</v>
      </c>
      <c r="I88" s="396">
        <f>I89+I101</f>
        <v>1482308</v>
      </c>
      <c r="J88" s="396">
        <f>J89+J101</f>
        <v>0</v>
      </c>
      <c r="K88" s="405">
        <f t="shared" ref="K88:K91" si="17">SUM(I88:J88)</f>
        <v>1482308</v>
      </c>
      <c r="L88" s="396">
        <f>L89+L101</f>
        <v>1489808</v>
      </c>
      <c r="M88" s="396">
        <f>M89+M101</f>
        <v>0</v>
      </c>
      <c r="N88" s="405">
        <f t="shared" ref="N88:N145" si="18">SUM(L88:M88)</f>
        <v>1489808</v>
      </c>
    </row>
    <row r="89" spans="1:14" x14ac:dyDescent="0.2">
      <c r="A89" s="286" t="s">
        <v>161</v>
      </c>
      <c r="B89" s="266" t="s">
        <v>162</v>
      </c>
      <c r="C89" s="398">
        <f>SUM(C90:C100)</f>
        <v>1416000</v>
      </c>
      <c r="D89" s="398">
        <f>SUM(D90:D100)</f>
        <v>0</v>
      </c>
      <c r="E89" s="399">
        <f t="shared" si="15"/>
        <v>1416000</v>
      </c>
      <c r="F89" s="398">
        <f>SUM(F90:F100)</f>
        <v>1416000</v>
      </c>
      <c r="G89" s="398">
        <f>SUM(G90:G100)</f>
        <v>0</v>
      </c>
      <c r="H89" s="399">
        <f t="shared" si="16"/>
        <v>1416000</v>
      </c>
      <c r="I89" s="398">
        <f>SUM(I90:I100)</f>
        <v>1482308</v>
      </c>
      <c r="J89" s="398">
        <f>SUM(J90:J100)</f>
        <v>0</v>
      </c>
      <c r="K89" s="399">
        <f t="shared" si="17"/>
        <v>1482308</v>
      </c>
      <c r="L89" s="398">
        <f>SUM(L90:L100)</f>
        <v>1489808</v>
      </c>
      <c r="M89" s="398">
        <f>SUM(M90:M100)</f>
        <v>0</v>
      </c>
      <c r="N89" s="399">
        <f t="shared" si="18"/>
        <v>1489808</v>
      </c>
    </row>
    <row r="90" spans="1:14" x14ac:dyDescent="0.2">
      <c r="A90" s="286" t="s">
        <v>163</v>
      </c>
      <c r="B90" s="266" t="s">
        <v>164</v>
      </c>
      <c r="C90" s="398">
        <v>1341000</v>
      </c>
      <c r="D90" s="398"/>
      <c r="E90" s="399">
        <f t="shared" si="15"/>
        <v>1341000</v>
      </c>
      <c r="F90" s="398">
        <v>1341000</v>
      </c>
      <c r="G90" s="398"/>
      <c r="H90" s="399">
        <f t="shared" si="16"/>
        <v>1341000</v>
      </c>
      <c r="I90" s="398">
        <v>1367250</v>
      </c>
      <c r="J90" s="398"/>
      <c r="K90" s="399">
        <f t="shared" si="17"/>
        <v>1367250</v>
      </c>
      <c r="L90" s="398">
        <v>1367250</v>
      </c>
      <c r="M90" s="398"/>
      <c r="N90" s="399">
        <f t="shared" si="18"/>
        <v>1367250</v>
      </c>
    </row>
    <row r="91" spans="1:14" x14ac:dyDescent="0.2">
      <c r="A91" s="286" t="s">
        <v>533</v>
      </c>
      <c r="B91" s="266" t="s">
        <v>534</v>
      </c>
      <c r="C91" s="398"/>
      <c r="D91" s="398"/>
      <c r="E91" s="399"/>
      <c r="F91" s="398"/>
      <c r="G91" s="398"/>
      <c r="H91" s="399"/>
      <c r="I91" s="398">
        <v>30058</v>
      </c>
      <c r="J91" s="398"/>
      <c r="K91" s="399">
        <f t="shared" si="17"/>
        <v>30058</v>
      </c>
      <c r="L91" s="398">
        <v>30058</v>
      </c>
      <c r="M91" s="398"/>
      <c r="N91" s="399">
        <f t="shared" si="18"/>
        <v>30058</v>
      </c>
    </row>
    <row r="92" spans="1:14" x14ac:dyDescent="0.2">
      <c r="A92" s="286" t="s">
        <v>165</v>
      </c>
      <c r="B92" s="266" t="s">
        <v>166</v>
      </c>
      <c r="C92" s="398"/>
      <c r="D92" s="398"/>
      <c r="E92" s="399">
        <f t="shared" si="15"/>
        <v>0</v>
      </c>
      <c r="F92" s="398"/>
      <c r="G92" s="398"/>
      <c r="H92" s="399">
        <f t="shared" ref="H92:H145" si="19">SUM(F92:G92)</f>
        <v>0</v>
      </c>
      <c r="I92" s="398"/>
      <c r="J92" s="398"/>
      <c r="K92" s="399">
        <f t="shared" ref="K92:K145" si="20">SUM(I92:J92)</f>
        <v>0</v>
      </c>
      <c r="L92" s="398"/>
      <c r="M92" s="398"/>
      <c r="N92" s="399">
        <f t="shared" si="18"/>
        <v>0</v>
      </c>
    </row>
    <row r="93" spans="1:14" x14ac:dyDescent="0.2">
      <c r="A93" s="286" t="s">
        <v>167</v>
      </c>
      <c r="B93" s="266" t="s">
        <v>168</v>
      </c>
      <c r="C93" s="398"/>
      <c r="D93" s="398"/>
      <c r="E93" s="399">
        <f t="shared" si="15"/>
        <v>0</v>
      </c>
      <c r="F93" s="398"/>
      <c r="G93" s="398"/>
      <c r="H93" s="399">
        <f t="shared" si="19"/>
        <v>0</v>
      </c>
      <c r="I93" s="398"/>
      <c r="J93" s="398"/>
      <c r="K93" s="399">
        <f t="shared" si="20"/>
        <v>0</v>
      </c>
      <c r="L93" s="398"/>
      <c r="M93" s="398"/>
      <c r="N93" s="399">
        <f t="shared" si="18"/>
        <v>0</v>
      </c>
    </row>
    <row r="94" spans="1:14" x14ac:dyDescent="0.2">
      <c r="A94" s="286" t="s">
        <v>169</v>
      </c>
      <c r="B94" s="266" t="s">
        <v>170</v>
      </c>
      <c r="C94" s="398"/>
      <c r="D94" s="398"/>
      <c r="E94" s="399">
        <f t="shared" si="15"/>
        <v>0</v>
      </c>
      <c r="F94" s="398"/>
      <c r="G94" s="398"/>
      <c r="H94" s="399">
        <f t="shared" si="19"/>
        <v>0</v>
      </c>
      <c r="I94" s="398"/>
      <c r="J94" s="398"/>
      <c r="K94" s="399">
        <f t="shared" si="20"/>
        <v>0</v>
      </c>
      <c r="L94" s="398"/>
      <c r="M94" s="398"/>
      <c r="N94" s="399">
        <f t="shared" si="18"/>
        <v>0</v>
      </c>
    </row>
    <row r="95" spans="1:14" x14ac:dyDescent="0.2">
      <c r="A95" s="286" t="s">
        <v>171</v>
      </c>
      <c r="B95" s="266" t="s">
        <v>172</v>
      </c>
      <c r="C95" s="398"/>
      <c r="D95" s="398"/>
      <c r="E95" s="399">
        <f t="shared" si="15"/>
        <v>0</v>
      </c>
      <c r="F95" s="398"/>
      <c r="G95" s="398"/>
      <c r="H95" s="399">
        <f t="shared" si="19"/>
        <v>0</v>
      </c>
      <c r="I95" s="398"/>
      <c r="J95" s="398"/>
      <c r="K95" s="399">
        <f t="shared" si="20"/>
        <v>0</v>
      </c>
      <c r="L95" s="398"/>
      <c r="M95" s="398"/>
      <c r="N95" s="399">
        <f t="shared" si="18"/>
        <v>0</v>
      </c>
    </row>
    <row r="96" spans="1:14" x14ac:dyDescent="0.2">
      <c r="A96" s="286" t="s">
        <v>173</v>
      </c>
      <c r="B96" s="266" t="s">
        <v>174</v>
      </c>
      <c r="C96" s="398">
        <v>75000</v>
      </c>
      <c r="D96" s="398"/>
      <c r="E96" s="399">
        <f t="shared" si="15"/>
        <v>75000</v>
      </c>
      <c r="F96" s="398">
        <v>75000</v>
      </c>
      <c r="G96" s="398"/>
      <c r="H96" s="399">
        <f t="shared" si="19"/>
        <v>75000</v>
      </c>
      <c r="I96" s="398">
        <v>75000</v>
      </c>
      <c r="J96" s="398"/>
      <c r="K96" s="399">
        <f t="shared" si="20"/>
        <v>75000</v>
      </c>
      <c r="L96" s="398">
        <v>82500</v>
      </c>
      <c r="M96" s="398"/>
      <c r="N96" s="399">
        <f t="shared" si="18"/>
        <v>82500</v>
      </c>
    </row>
    <row r="97" spans="1:14" x14ac:dyDescent="0.2">
      <c r="A97" s="286" t="s">
        <v>175</v>
      </c>
      <c r="B97" s="266" t="s">
        <v>176</v>
      </c>
      <c r="C97" s="398"/>
      <c r="D97" s="398"/>
      <c r="E97" s="399">
        <f t="shared" si="15"/>
        <v>0</v>
      </c>
      <c r="F97" s="398"/>
      <c r="G97" s="398"/>
      <c r="H97" s="399">
        <f t="shared" si="19"/>
        <v>0</v>
      </c>
      <c r="I97" s="398"/>
      <c r="J97" s="398"/>
      <c r="K97" s="399">
        <f t="shared" si="20"/>
        <v>0</v>
      </c>
      <c r="L97" s="398"/>
      <c r="M97" s="398"/>
      <c r="N97" s="399">
        <f t="shared" si="18"/>
        <v>0</v>
      </c>
    </row>
    <row r="98" spans="1:14" x14ac:dyDescent="0.2">
      <c r="A98" s="286" t="s">
        <v>177</v>
      </c>
      <c r="B98" s="266" t="s">
        <v>178</v>
      </c>
      <c r="C98" s="398"/>
      <c r="D98" s="398"/>
      <c r="E98" s="399">
        <f t="shared" si="15"/>
        <v>0</v>
      </c>
      <c r="F98" s="398"/>
      <c r="G98" s="398"/>
      <c r="H98" s="399">
        <f t="shared" si="19"/>
        <v>0</v>
      </c>
      <c r="I98" s="398"/>
      <c r="J98" s="398"/>
      <c r="K98" s="399">
        <f t="shared" si="20"/>
        <v>0</v>
      </c>
      <c r="L98" s="398"/>
      <c r="M98" s="398"/>
      <c r="N98" s="399">
        <f t="shared" si="18"/>
        <v>0</v>
      </c>
    </row>
    <row r="99" spans="1:14" x14ac:dyDescent="0.2">
      <c r="A99" s="286" t="s">
        <v>179</v>
      </c>
      <c r="B99" s="266" t="s">
        <v>180</v>
      </c>
      <c r="C99" s="398"/>
      <c r="D99" s="398"/>
      <c r="E99" s="399">
        <f t="shared" si="15"/>
        <v>0</v>
      </c>
      <c r="F99" s="398"/>
      <c r="G99" s="398"/>
      <c r="H99" s="399">
        <f t="shared" si="19"/>
        <v>0</v>
      </c>
      <c r="I99" s="398"/>
      <c r="J99" s="398"/>
      <c r="K99" s="399">
        <f t="shared" si="20"/>
        <v>0</v>
      </c>
      <c r="L99" s="398"/>
      <c r="M99" s="398"/>
      <c r="N99" s="399">
        <f t="shared" si="18"/>
        <v>0</v>
      </c>
    </row>
    <row r="100" spans="1:14" x14ac:dyDescent="0.2">
      <c r="A100" s="286" t="s">
        <v>181</v>
      </c>
      <c r="B100" s="266" t="s">
        <v>182</v>
      </c>
      <c r="C100" s="398"/>
      <c r="D100" s="398"/>
      <c r="E100" s="399">
        <f t="shared" si="15"/>
        <v>0</v>
      </c>
      <c r="F100" s="398"/>
      <c r="G100" s="398"/>
      <c r="H100" s="399">
        <f t="shared" si="19"/>
        <v>0</v>
      </c>
      <c r="I100" s="398">
        <v>10000</v>
      </c>
      <c r="J100" s="398"/>
      <c r="K100" s="399">
        <f t="shared" si="20"/>
        <v>10000</v>
      </c>
      <c r="L100" s="398">
        <v>10000</v>
      </c>
      <c r="M100" s="398"/>
      <c r="N100" s="399">
        <f t="shared" si="18"/>
        <v>10000</v>
      </c>
    </row>
    <row r="101" spans="1:14" ht="13.5" thickBot="1" x14ac:dyDescent="0.25">
      <c r="A101" s="286" t="s">
        <v>183</v>
      </c>
      <c r="B101" s="266" t="s">
        <v>184</v>
      </c>
      <c r="C101" s="398">
        <f>SUM(C102:C104)</f>
        <v>0</v>
      </c>
      <c r="D101" s="398">
        <f>SUM(D102:D104)</f>
        <v>0</v>
      </c>
      <c r="E101" s="399">
        <f t="shared" si="15"/>
        <v>0</v>
      </c>
      <c r="F101" s="398">
        <f>SUM(F102:F104)</f>
        <v>0</v>
      </c>
      <c r="G101" s="398">
        <f>SUM(G102:G104)</f>
        <v>0</v>
      </c>
      <c r="H101" s="399">
        <f t="shared" si="19"/>
        <v>0</v>
      </c>
      <c r="I101" s="398">
        <f>SUM(I102:I104)</f>
        <v>0</v>
      </c>
      <c r="J101" s="398">
        <f>SUM(J102:J104)</f>
        <v>0</v>
      </c>
      <c r="K101" s="399">
        <f t="shared" si="20"/>
        <v>0</v>
      </c>
      <c r="L101" s="398">
        <f>SUM(L102:L104)</f>
        <v>0</v>
      </c>
      <c r="M101" s="398">
        <f>SUM(M102:M104)</f>
        <v>0</v>
      </c>
      <c r="N101" s="399">
        <f t="shared" si="18"/>
        <v>0</v>
      </c>
    </row>
    <row r="102" spans="1:14" ht="13.5" hidden="1" thickBot="1" x14ac:dyDescent="0.25">
      <c r="A102" s="286" t="s">
        <v>185</v>
      </c>
      <c r="B102" s="266" t="s">
        <v>186</v>
      </c>
      <c r="C102" s="398"/>
      <c r="D102" s="398"/>
      <c r="E102" s="399">
        <f t="shared" si="15"/>
        <v>0</v>
      </c>
      <c r="F102" s="398"/>
      <c r="G102" s="398"/>
      <c r="H102" s="399">
        <f t="shared" si="19"/>
        <v>0</v>
      </c>
      <c r="I102" s="398"/>
      <c r="J102" s="398"/>
      <c r="K102" s="399">
        <f t="shared" si="20"/>
        <v>0</v>
      </c>
      <c r="L102" s="398"/>
      <c r="M102" s="398"/>
      <c r="N102" s="399">
        <f t="shared" si="18"/>
        <v>0</v>
      </c>
    </row>
    <row r="103" spans="1:14" ht="13.5" hidden="1" thickBot="1" x14ac:dyDescent="0.25">
      <c r="A103" s="286" t="s">
        <v>187</v>
      </c>
      <c r="B103" s="266" t="s">
        <v>188</v>
      </c>
      <c r="C103" s="398"/>
      <c r="D103" s="398"/>
      <c r="E103" s="399">
        <f t="shared" si="15"/>
        <v>0</v>
      </c>
      <c r="F103" s="398"/>
      <c r="G103" s="398"/>
      <c r="H103" s="399">
        <f t="shared" si="19"/>
        <v>0</v>
      </c>
      <c r="I103" s="398"/>
      <c r="J103" s="398"/>
      <c r="K103" s="399">
        <f t="shared" si="20"/>
        <v>0</v>
      </c>
      <c r="L103" s="398"/>
      <c r="M103" s="398"/>
      <c r="N103" s="399">
        <f t="shared" si="18"/>
        <v>0</v>
      </c>
    </row>
    <row r="104" spans="1:14" ht="13.5" hidden="1" thickBot="1" x14ac:dyDescent="0.25">
      <c r="A104" s="287" t="s">
        <v>189</v>
      </c>
      <c r="B104" s="268" t="s">
        <v>190</v>
      </c>
      <c r="C104" s="400"/>
      <c r="D104" s="400"/>
      <c r="E104" s="401">
        <f t="shared" si="15"/>
        <v>0</v>
      </c>
      <c r="F104" s="400"/>
      <c r="G104" s="400"/>
      <c r="H104" s="401">
        <f t="shared" si="19"/>
        <v>0</v>
      </c>
      <c r="I104" s="400"/>
      <c r="J104" s="400"/>
      <c r="K104" s="401">
        <f t="shared" si="20"/>
        <v>0</v>
      </c>
      <c r="L104" s="400"/>
      <c r="M104" s="400"/>
      <c r="N104" s="401">
        <f t="shared" si="18"/>
        <v>0</v>
      </c>
    </row>
    <row r="105" spans="1:14" x14ac:dyDescent="0.2">
      <c r="A105" s="285" t="s">
        <v>191</v>
      </c>
      <c r="B105" s="264" t="s">
        <v>192</v>
      </c>
      <c r="C105" s="396">
        <f>SUM(C106:C110)</f>
        <v>306653</v>
      </c>
      <c r="D105" s="396">
        <f>SUM(D106:D110)</f>
        <v>0</v>
      </c>
      <c r="E105" s="397">
        <f t="shared" si="15"/>
        <v>306653</v>
      </c>
      <c r="F105" s="396">
        <f>SUM(F106:F110)</f>
        <v>306653</v>
      </c>
      <c r="G105" s="396">
        <f>SUM(G106:G110)</f>
        <v>0</v>
      </c>
      <c r="H105" s="397">
        <f t="shared" si="19"/>
        <v>306653</v>
      </c>
      <c r="I105" s="396">
        <f>SUM(I106:I110)</f>
        <v>275871</v>
      </c>
      <c r="J105" s="396">
        <f>SUM(J106:J110)</f>
        <v>0</v>
      </c>
      <c r="K105" s="397">
        <f t="shared" si="20"/>
        <v>275871</v>
      </c>
      <c r="L105" s="396">
        <f>SUM(L106:L110)</f>
        <v>275871</v>
      </c>
      <c r="M105" s="396">
        <f>SUM(M106:M110)</f>
        <v>0</v>
      </c>
      <c r="N105" s="397">
        <f t="shared" si="18"/>
        <v>275871</v>
      </c>
    </row>
    <row r="106" spans="1:14" x14ac:dyDescent="0.2">
      <c r="A106" s="286"/>
      <c r="B106" s="266" t="s">
        <v>193</v>
      </c>
      <c r="C106" s="398">
        <v>276120</v>
      </c>
      <c r="D106" s="398"/>
      <c r="E106" s="399">
        <f t="shared" si="15"/>
        <v>276120</v>
      </c>
      <c r="F106" s="398">
        <v>276120</v>
      </c>
      <c r="G106" s="398"/>
      <c r="H106" s="399">
        <f t="shared" si="19"/>
        <v>276120</v>
      </c>
      <c r="I106" s="398">
        <v>270089</v>
      </c>
      <c r="J106" s="398"/>
      <c r="K106" s="399">
        <f t="shared" si="20"/>
        <v>270089</v>
      </c>
      <c r="L106" s="398">
        <v>270089</v>
      </c>
      <c r="M106" s="398"/>
      <c r="N106" s="399">
        <f t="shared" si="18"/>
        <v>270089</v>
      </c>
    </row>
    <row r="107" spans="1:14" x14ac:dyDescent="0.2">
      <c r="A107" s="286"/>
      <c r="B107" s="266" t="s">
        <v>194</v>
      </c>
      <c r="C107" s="398"/>
      <c r="D107" s="398"/>
      <c r="E107" s="399">
        <f t="shared" si="15"/>
        <v>0</v>
      </c>
      <c r="F107" s="398"/>
      <c r="G107" s="398"/>
      <c r="H107" s="399">
        <f t="shared" si="19"/>
        <v>0</v>
      </c>
      <c r="I107" s="398"/>
      <c r="J107" s="398"/>
      <c r="K107" s="399">
        <f t="shared" si="20"/>
        <v>0</v>
      </c>
      <c r="L107" s="398"/>
      <c r="M107" s="398"/>
      <c r="N107" s="399">
        <f t="shared" si="18"/>
        <v>0</v>
      </c>
    </row>
    <row r="108" spans="1:14" x14ac:dyDescent="0.2">
      <c r="A108" s="287"/>
      <c r="B108" s="268" t="s">
        <v>195</v>
      </c>
      <c r="C108" s="398">
        <v>17258</v>
      </c>
      <c r="D108" s="398"/>
      <c r="E108" s="399">
        <f t="shared" si="15"/>
        <v>17258</v>
      </c>
      <c r="F108" s="398">
        <v>17258</v>
      </c>
      <c r="G108" s="398"/>
      <c r="H108" s="399">
        <f t="shared" si="19"/>
        <v>17258</v>
      </c>
      <c r="I108" s="398">
        <v>3127</v>
      </c>
      <c r="J108" s="398"/>
      <c r="K108" s="399">
        <f t="shared" si="20"/>
        <v>3127</v>
      </c>
      <c r="L108" s="398">
        <v>3127</v>
      </c>
      <c r="M108" s="398"/>
      <c r="N108" s="399">
        <f t="shared" si="18"/>
        <v>3127</v>
      </c>
    </row>
    <row r="109" spans="1:14" x14ac:dyDescent="0.2">
      <c r="A109" s="287"/>
      <c r="B109" s="268" t="s">
        <v>196</v>
      </c>
      <c r="C109" s="398"/>
      <c r="D109" s="398"/>
      <c r="E109" s="399">
        <f t="shared" si="15"/>
        <v>0</v>
      </c>
      <c r="F109" s="398"/>
      <c r="G109" s="398"/>
      <c r="H109" s="399">
        <f t="shared" si="19"/>
        <v>0</v>
      </c>
      <c r="I109" s="398"/>
      <c r="J109" s="398"/>
      <c r="K109" s="399">
        <f t="shared" si="20"/>
        <v>0</v>
      </c>
      <c r="L109" s="398"/>
      <c r="M109" s="398"/>
      <c r="N109" s="399">
        <f t="shared" si="18"/>
        <v>0</v>
      </c>
    </row>
    <row r="110" spans="1:14" ht="13.5" thickBot="1" x14ac:dyDescent="0.25">
      <c r="A110" s="287"/>
      <c r="B110" s="268" t="s">
        <v>197</v>
      </c>
      <c r="C110" s="400">
        <v>13275</v>
      </c>
      <c r="D110" s="400"/>
      <c r="E110" s="401">
        <f t="shared" si="15"/>
        <v>13275</v>
      </c>
      <c r="F110" s="400">
        <v>13275</v>
      </c>
      <c r="G110" s="400"/>
      <c r="H110" s="401">
        <f t="shared" si="19"/>
        <v>13275</v>
      </c>
      <c r="I110" s="400">
        <v>2655</v>
      </c>
      <c r="J110" s="400"/>
      <c r="K110" s="401">
        <f t="shared" si="20"/>
        <v>2655</v>
      </c>
      <c r="L110" s="400">
        <v>2655</v>
      </c>
      <c r="M110" s="400"/>
      <c r="N110" s="401">
        <f t="shared" si="18"/>
        <v>2655</v>
      </c>
    </row>
    <row r="111" spans="1:14" x14ac:dyDescent="0.2">
      <c r="A111" s="285" t="s">
        <v>198</v>
      </c>
      <c r="B111" s="264" t="s">
        <v>35</v>
      </c>
      <c r="C111" s="396">
        <f>SUM(C112:C113,C114,C123,C122)</f>
        <v>11366500</v>
      </c>
      <c r="D111" s="396">
        <f>SUM(D112:D113,D114,D123,D122)</f>
        <v>0</v>
      </c>
      <c r="E111" s="397">
        <f t="shared" si="15"/>
        <v>11366500</v>
      </c>
      <c r="F111" s="396">
        <f>SUM(F112:F113,F114,F123,F122)</f>
        <v>17378680</v>
      </c>
      <c r="G111" s="396">
        <f>SUM(G112:G113,G114,G123,G122)</f>
        <v>0</v>
      </c>
      <c r="H111" s="397">
        <f t="shared" si="19"/>
        <v>17378680</v>
      </c>
      <c r="I111" s="396">
        <f>SUM(I112:I113,I114,I123,I122)</f>
        <v>18678680</v>
      </c>
      <c r="J111" s="396">
        <f>SUM(J112:J113,J114,J123,J122)</f>
        <v>0</v>
      </c>
      <c r="K111" s="397">
        <f t="shared" si="20"/>
        <v>18678680</v>
      </c>
      <c r="L111" s="396">
        <f>SUM(L112:L113,L114,L123,L122)</f>
        <v>16795399</v>
      </c>
      <c r="M111" s="396">
        <f>SUM(M112:M113,M114,M123,M122)</f>
        <v>0</v>
      </c>
      <c r="N111" s="397">
        <f t="shared" si="18"/>
        <v>16795399</v>
      </c>
    </row>
    <row r="112" spans="1:14" x14ac:dyDescent="0.2">
      <c r="A112" s="286" t="s">
        <v>199</v>
      </c>
      <c r="B112" s="266" t="s">
        <v>200</v>
      </c>
      <c r="C112" s="398"/>
      <c r="D112" s="398"/>
      <c r="E112" s="399">
        <f t="shared" si="15"/>
        <v>0</v>
      </c>
      <c r="F112" s="398"/>
      <c r="G112" s="398"/>
      <c r="H112" s="399">
        <f t="shared" si="19"/>
        <v>0</v>
      </c>
      <c r="I112" s="398"/>
      <c r="J112" s="398"/>
      <c r="K112" s="399">
        <f t="shared" si="20"/>
        <v>0</v>
      </c>
      <c r="L112" s="398"/>
      <c r="M112" s="398"/>
      <c r="N112" s="399">
        <f t="shared" si="18"/>
        <v>0</v>
      </c>
    </row>
    <row r="113" spans="1:14" x14ac:dyDescent="0.2">
      <c r="A113" s="286" t="s">
        <v>201</v>
      </c>
      <c r="B113" s="266" t="s">
        <v>202</v>
      </c>
      <c r="C113" s="398"/>
      <c r="D113" s="398"/>
      <c r="E113" s="399">
        <f t="shared" si="15"/>
        <v>0</v>
      </c>
      <c r="F113" s="398"/>
      <c r="G113" s="398"/>
      <c r="H113" s="399">
        <f t="shared" si="19"/>
        <v>0</v>
      </c>
      <c r="I113" s="398"/>
      <c r="J113" s="398"/>
      <c r="K113" s="399">
        <f t="shared" si="20"/>
        <v>0</v>
      </c>
      <c r="L113" s="398"/>
      <c r="M113" s="398"/>
      <c r="N113" s="399">
        <f t="shared" si="18"/>
        <v>0</v>
      </c>
    </row>
    <row r="114" spans="1:14" x14ac:dyDescent="0.2">
      <c r="A114" s="286" t="s">
        <v>203</v>
      </c>
      <c r="B114" s="266" t="s">
        <v>204</v>
      </c>
      <c r="C114" s="398">
        <f>SUM(C115:C121)</f>
        <v>8950000</v>
      </c>
      <c r="D114" s="398">
        <f>SUM(D115:D121)</f>
        <v>0</v>
      </c>
      <c r="E114" s="399">
        <f t="shared" si="15"/>
        <v>8950000</v>
      </c>
      <c r="F114" s="398">
        <f>SUM(F115:F121)</f>
        <v>13684000</v>
      </c>
      <c r="G114" s="398">
        <f>SUM(G115:G121)</f>
        <v>0</v>
      </c>
      <c r="H114" s="399">
        <f t="shared" si="19"/>
        <v>13684000</v>
      </c>
      <c r="I114" s="398">
        <f>SUM(I115:I121)</f>
        <v>14984000</v>
      </c>
      <c r="J114" s="398">
        <f>SUM(J115:J121)</f>
        <v>0</v>
      </c>
      <c r="K114" s="399">
        <f t="shared" si="20"/>
        <v>14984000</v>
      </c>
      <c r="L114" s="398">
        <f>SUM(L115:L121)</f>
        <v>13225085</v>
      </c>
      <c r="M114" s="398">
        <f>SUM(M115:M121)</f>
        <v>0</v>
      </c>
      <c r="N114" s="399">
        <f t="shared" si="18"/>
        <v>13225085</v>
      </c>
    </row>
    <row r="115" spans="1:14" x14ac:dyDescent="0.2">
      <c r="A115" s="286" t="s">
        <v>205</v>
      </c>
      <c r="B115" s="266" t="s">
        <v>206</v>
      </c>
      <c r="C115" s="398"/>
      <c r="D115" s="398"/>
      <c r="E115" s="399">
        <f t="shared" si="15"/>
        <v>0</v>
      </c>
      <c r="F115" s="398"/>
      <c r="G115" s="398"/>
      <c r="H115" s="399">
        <f t="shared" si="19"/>
        <v>0</v>
      </c>
      <c r="I115" s="398"/>
      <c r="J115" s="398"/>
      <c r="K115" s="399">
        <f t="shared" si="20"/>
        <v>0</v>
      </c>
      <c r="L115" s="398"/>
      <c r="M115" s="398"/>
      <c r="N115" s="399">
        <f t="shared" si="18"/>
        <v>0</v>
      </c>
    </row>
    <row r="116" spans="1:14" x14ac:dyDescent="0.2">
      <c r="A116" s="286" t="s">
        <v>207</v>
      </c>
      <c r="B116" s="266" t="s">
        <v>208</v>
      </c>
      <c r="C116" s="398">
        <v>8950000</v>
      </c>
      <c r="D116" s="398"/>
      <c r="E116" s="399">
        <f t="shared" si="15"/>
        <v>8950000</v>
      </c>
      <c r="F116" s="398">
        <f>8950000+4734000</f>
        <v>13684000</v>
      </c>
      <c r="G116" s="398"/>
      <c r="H116" s="399">
        <f t="shared" si="19"/>
        <v>13684000</v>
      </c>
      <c r="I116" s="398">
        <f>8950000+4734000+1300000</f>
        <v>14984000</v>
      </c>
      <c r="J116" s="398"/>
      <c r="K116" s="399">
        <f t="shared" si="20"/>
        <v>14984000</v>
      </c>
      <c r="L116" s="398">
        <v>13223385</v>
      </c>
      <c r="M116" s="398"/>
      <c r="N116" s="399">
        <f t="shared" si="18"/>
        <v>13223385</v>
      </c>
    </row>
    <row r="117" spans="1:14" x14ac:dyDescent="0.2">
      <c r="A117" s="286" t="s">
        <v>209</v>
      </c>
      <c r="B117" s="266" t="s">
        <v>210</v>
      </c>
      <c r="C117" s="398"/>
      <c r="D117" s="398"/>
      <c r="E117" s="399">
        <f t="shared" si="15"/>
        <v>0</v>
      </c>
      <c r="F117" s="398"/>
      <c r="G117" s="398"/>
      <c r="H117" s="399">
        <f t="shared" si="19"/>
        <v>0</v>
      </c>
      <c r="I117" s="398"/>
      <c r="J117" s="398"/>
      <c r="K117" s="399">
        <f t="shared" si="20"/>
        <v>0</v>
      </c>
      <c r="L117" s="398"/>
      <c r="M117" s="398"/>
      <c r="N117" s="399">
        <f t="shared" si="18"/>
        <v>0</v>
      </c>
    </row>
    <row r="118" spans="1:14" x14ac:dyDescent="0.2">
      <c r="A118" s="286" t="s">
        <v>211</v>
      </c>
      <c r="B118" s="266" t="s">
        <v>212</v>
      </c>
      <c r="C118" s="398"/>
      <c r="D118" s="398"/>
      <c r="E118" s="399">
        <f t="shared" si="15"/>
        <v>0</v>
      </c>
      <c r="F118" s="398"/>
      <c r="G118" s="398"/>
      <c r="H118" s="399">
        <f t="shared" si="19"/>
        <v>0</v>
      </c>
      <c r="I118" s="398"/>
      <c r="J118" s="398"/>
      <c r="K118" s="399">
        <f t="shared" si="20"/>
        <v>0</v>
      </c>
      <c r="L118" s="398"/>
      <c r="M118" s="398"/>
      <c r="N118" s="399">
        <f t="shared" si="18"/>
        <v>0</v>
      </c>
    </row>
    <row r="119" spans="1:14" x14ac:dyDescent="0.2">
      <c r="A119" s="286" t="s">
        <v>213</v>
      </c>
      <c r="B119" s="266" t="s">
        <v>214</v>
      </c>
      <c r="C119" s="398"/>
      <c r="D119" s="398"/>
      <c r="E119" s="399">
        <f t="shared" si="15"/>
        <v>0</v>
      </c>
      <c r="F119" s="398"/>
      <c r="G119" s="398"/>
      <c r="H119" s="399">
        <f t="shared" si="19"/>
        <v>0</v>
      </c>
      <c r="I119" s="398"/>
      <c r="J119" s="398"/>
      <c r="K119" s="399">
        <f t="shared" si="20"/>
        <v>0</v>
      </c>
      <c r="L119" s="398"/>
      <c r="M119" s="398"/>
      <c r="N119" s="399">
        <f t="shared" si="18"/>
        <v>0</v>
      </c>
    </row>
    <row r="120" spans="1:14" x14ac:dyDescent="0.2">
      <c r="A120" s="286" t="s">
        <v>215</v>
      </c>
      <c r="B120" s="266" t="s">
        <v>216</v>
      </c>
      <c r="C120" s="398"/>
      <c r="D120" s="398"/>
      <c r="E120" s="399">
        <f t="shared" si="15"/>
        <v>0</v>
      </c>
      <c r="F120" s="398"/>
      <c r="G120" s="398"/>
      <c r="H120" s="399">
        <f t="shared" si="19"/>
        <v>0</v>
      </c>
      <c r="I120" s="398"/>
      <c r="J120" s="398"/>
      <c r="K120" s="399">
        <f t="shared" si="20"/>
        <v>0</v>
      </c>
      <c r="L120" s="398"/>
      <c r="M120" s="398"/>
      <c r="N120" s="399">
        <f t="shared" si="18"/>
        <v>0</v>
      </c>
    </row>
    <row r="121" spans="1:14" x14ac:dyDescent="0.2">
      <c r="A121" s="286" t="s">
        <v>217</v>
      </c>
      <c r="B121" s="266" t="s">
        <v>218</v>
      </c>
      <c r="C121" s="398"/>
      <c r="D121" s="398"/>
      <c r="E121" s="399">
        <f t="shared" si="15"/>
        <v>0</v>
      </c>
      <c r="F121" s="398"/>
      <c r="G121" s="398"/>
      <c r="H121" s="399">
        <f t="shared" si="19"/>
        <v>0</v>
      </c>
      <c r="I121" s="398"/>
      <c r="J121" s="398"/>
      <c r="K121" s="399">
        <f t="shared" si="20"/>
        <v>0</v>
      </c>
      <c r="L121" s="398">
        <v>1700</v>
      </c>
      <c r="M121" s="398"/>
      <c r="N121" s="399">
        <f t="shared" si="18"/>
        <v>1700</v>
      </c>
    </row>
    <row r="122" spans="1:14" x14ac:dyDescent="0.2">
      <c r="A122" s="286" t="s">
        <v>219</v>
      </c>
      <c r="B122" s="266" t="s">
        <v>220</v>
      </c>
      <c r="C122" s="398"/>
      <c r="D122" s="398"/>
      <c r="E122" s="399">
        <f t="shared" si="15"/>
        <v>0</v>
      </c>
      <c r="F122" s="398"/>
      <c r="G122" s="398"/>
      <c r="H122" s="399">
        <f t="shared" si="19"/>
        <v>0</v>
      </c>
      <c r="I122" s="398"/>
      <c r="J122" s="398"/>
      <c r="K122" s="399">
        <f t="shared" si="20"/>
        <v>0</v>
      </c>
      <c r="L122" s="398"/>
      <c r="M122" s="398"/>
      <c r="N122" s="399">
        <f t="shared" si="18"/>
        <v>0</v>
      </c>
    </row>
    <row r="123" spans="1:14" x14ac:dyDescent="0.2">
      <c r="A123" s="286" t="s">
        <v>221</v>
      </c>
      <c r="B123" s="266" t="s">
        <v>222</v>
      </c>
      <c r="C123" s="398">
        <f>SUM(C124:C126)</f>
        <v>2416500</v>
      </c>
      <c r="D123" s="398">
        <f>SUM(D124:D126)</f>
        <v>0</v>
      </c>
      <c r="E123" s="399">
        <f t="shared" si="15"/>
        <v>2416500</v>
      </c>
      <c r="F123" s="398">
        <f>SUM(F124:F126)</f>
        <v>3694680</v>
      </c>
      <c r="G123" s="398">
        <f>SUM(G124:G126)</f>
        <v>0</v>
      </c>
      <c r="H123" s="399">
        <f t="shared" si="19"/>
        <v>3694680</v>
      </c>
      <c r="I123" s="398">
        <f>SUM(I124:I126)</f>
        <v>3694680</v>
      </c>
      <c r="J123" s="398">
        <f>SUM(J124:J126)</f>
        <v>0</v>
      </c>
      <c r="K123" s="399">
        <f t="shared" si="20"/>
        <v>3694680</v>
      </c>
      <c r="L123" s="398">
        <f>SUM(L124:L126)</f>
        <v>3570314</v>
      </c>
      <c r="M123" s="398">
        <f>SUM(M124:M126)</f>
        <v>0</v>
      </c>
      <c r="N123" s="399">
        <f t="shared" si="18"/>
        <v>3570314</v>
      </c>
    </row>
    <row r="124" spans="1:14" ht="13.5" thickBot="1" x14ac:dyDescent="0.25">
      <c r="A124" s="286"/>
      <c r="B124" s="266" t="s">
        <v>223</v>
      </c>
      <c r="C124" s="398">
        <v>2416500</v>
      </c>
      <c r="D124" s="398"/>
      <c r="E124" s="399">
        <f t="shared" si="15"/>
        <v>2416500</v>
      </c>
      <c r="F124" s="398">
        <f>2416500+1278180</f>
        <v>3694680</v>
      </c>
      <c r="G124" s="398"/>
      <c r="H124" s="399">
        <f t="shared" si="19"/>
        <v>3694680</v>
      </c>
      <c r="I124" s="398">
        <f>2416500+1278180</f>
        <v>3694680</v>
      </c>
      <c r="J124" s="398"/>
      <c r="K124" s="399">
        <f t="shared" si="20"/>
        <v>3694680</v>
      </c>
      <c r="L124" s="398">
        <v>3570314</v>
      </c>
      <c r="M124" s="398"/>
      <c r="N124" s="399">
        <f t="shared" si="18"/>
        <v>3570314</v>
      </c>
    </row>
    <row r="125" spans="1:14" ht="13.5" hidden="1" thickBot="1" x14ac:dyDescent="0.25">
      <c r="A125" s="287"/>
      <c r="B125" s="268" t="s">
        <v>224</v>
      </c>
      <c r="C125" s="398"/>
      <c r="D125" s="398"/>
      <c r="E125" s="399">
        <f t="shared" si="15"/>
        <v>0</v>
      </c>
      <c r="F125" s="398"/>
      <c r="G125" s="398"/>
      <c r="H125" s="399">
        <f t="shared" si="19"/>
        <v>0</v>
      </c>
      <c r="I125" s="398"/>
      <c r="J125" s="398"/>
      <c r="K125" s="399">
        <f t="shared" si="20"/>
        <v>0</v>
      </c>
      <c r="L125" s="398"/>
      <c r="M125" s="398"/>
      <c r="N125" s="399">
        <f t="shared" si="18"/>
        <v>0</v>
      </c>
    </row>
    <row r="126" spans="1:14" ht="13.5" hidden="1" thickBot="1" x14ac:dyDescent="0.25">
      <c r="A126" s="287" t="s">
        <v>225</v>
      </c>
      <c r="B126" s="268" t="s">
        <v>226</v>
      </c>
      <c r="C126" s="400"/>
      <c r="D126" s="400"/>
      <c r="E126" s="401">
        <f t="shared" si="15"/>
        <v>0</v>
      </c>
      <c r="F126" s="400"/>
      <c r="G126" s="400"/>
      <c r="H126" s="401">
        <f t="shared" si="19"/>
        <v>0</v>
      </c>
      <c r="I126" s="400"/>
      <c r="J126" s="400"/>
      <c r="K126" s="401">
        <f t="shared" si="20"/>
        <v>0</v>
      </c>
      <c r="L126" s="400"/>
      <c r="M126" s="400"/>
      <c r="N126" s="401">
        <f t="shared" si="18"/>
        <v>0</v>
      </c>
    </row>
    <row r="127" spans="1:14" ht="13.5" thickBot="1" x14ac:dyDescent="0.25">
      <c r="A127" s="288" t="s">
        <v>227</v>
      </c>
      <c r="B127" s="278" t="s">
        <v>36</v>
      </c>
      <c r="C127" s="402"/>
      <c r="D127" s="402"/>
      <c r="E127" s="403">
        <f t="shared" si="15"/>
        <v>0</v>
      </c>
      <c r="F127" s="402"/>
      <c r="G127" s="402"/>
      <c r="H127" s="403">
        <f t="shared" si="19"/>
        <v>0</v>
      </c>
      <c r="I127" s="402"/>
      <c r="J127" s="402"/>
      <c r="K127" s="403">
        <f t="shared" si="20"/>
        <v>0</v>
      </c>
      <c r="L127" s="402"/>
      <c r="M127" s="402"/>
      <c r="N127" s="403">
        <f t="shared" si="18"/>
        <v>0</v>
      </c>
    </row>
    <row r="128" spans="1:14" ht="13.5" thickBot="1" x14ac:dyDescent="0.25">
      <c r="A128" s="285" t="s">
        <v>228</v>
      </c>
      <c r="B128" s="264" t="s">
        <v>37</v>
      </c>
      <c r="C128" s="396">
        <f>SUM(C129:C134)</f>
        <v>0</v>
      </c>
      <c r="D128" s="396">
        <f>SUM(D129:D134)</f>
        <v>0</v>
      </c>
      <c r="E128" s="397">
        <f t="shared" si="15"/>
        <v>0</v>
      </c>
      <c r="F128" s="396">
        <f>SUM(F129:F134)</f>
        <v>0</v>
      </c>
      <c r="G128" s="396">
        <f>SUM(G129:G134)</f>
        <v>0</v>
      </c>
      <c r="H128" s="397">
        <f t="shared" si="19"/>
        <v>0</v>
      </c>
      <c r="I128" s="396">
        <f>SUM(I129:I134)</f>
        <v>0</v>
      </c>
      <c r="J128" s="396">
        <f>SUM(J129:J134)</f>
        <v>0</v>
      </c>
      <c r="K128" s="397">
        <f t="shared" si="20"/>
        <v>0</v>
      </c>
      <c r="L128" s="396">
        <f>SUM(L129:L134)</f>
        <v>0</v>
      </c>
      <c r="M128" s="396">
        <f>SUM(M129:M134)</f>
        <v>0</v>
      </c>
      <c r="N128" s="397">
        <f t="shared" si="18"/>
        <v>0</v>
      </c>
    </row>
    <row r="129" spans="1:14" ht="13.5" hidden="1" thickBot="1" x14ac:dyDescent="0.25">
      <c r="A129" s="286" t="s">
        <v>229</v>
      </c>
      <c r="B129" s="266" t="s">
        <v>230</v>
      </c>
      <c r="C129" s="398"/>
      <c r="D129" s="398"/>
      <c r="E129" s="399">
        <f t="shared" si="15"/>
        <v>0</v>
      </c>
      <c r="F129" s="398"/>
      <c r="G129" s="398"/>
      <c r="H129" s="399">
        <f t="shared" si="19"/>
        <v>0</v>
      </c>
      <c r="I129" s="398"/>
      <c r="J129" s="398"/>
      <c r="K129" s="399">
        <f t="shared" si="20"/>
        <v>0</v>
      </c>
      <c r="L129" s="398"/>
      <c r="M129" s="398"/>
      <c r="N129" s="399">
        <f t="shared" si="18"/>
        <v>0</v>
      </c>
    </row>
    <row r="130" spans="1:14" ht="13.5" hidden="1" thickBot="1" x14ac:dyDescent="0.25">
      <c r="A130" s="190" t="s">
        <v>548</v>
      </c>
      <c r="B130" s="180" t="s">
        <v>549</v>
      </c>
      <c r="C130" s="398"/>
      <c r="D130" s="398"/>
      <c r="E130" s="399">
        <f t="shared" si="15"/>
        <v>0</v>
      </c>
      <c r="F130" s="398"/>
      <c r="G130" s="398"/>
      <c r="H130" s="399">
        <f t="shared" si="19"/>
        <v>0</v>
      </c>
      <c r="I130" s="398"/>
      <c r="J130" s="398"/>
      <c r="K130" s="399">
        <f t="shared" si="20"/>
        <v>0</v>
      </c>
      <c r="L130" s="398"/>
      <c r="M130" s="398"/>
      <c r="N130" s="399">
        <f t="shared" si="18"/>
        <v>0</v>
      </c>
    </row>
    <row r="131" spans="1:14" ht="13.5" hidden="1" thickBot="1" x14ac:dyDescent="0.25">
      <c r="A131" s="286" t="s">
        <v>231</v>
      </c>
      <c r="B131" s="266" t="s">
        <v>232</v>
      </c>
      <c r="C131" s="398"/>
      <c r="D131" s="398"/>
      <c r="E131" s="399">
        <f t="shared" si="15"/>
        <v>0</v>
      </c>
      <c r="F131" s="398"/>
      <c r="G131" s="398"/>
      <c r="H131" s="399">
        <f t="shared" si="19"/>
        <v>0</v>
      </c>
      <c r="I131" s="398"/>
      <c r="J131" s="398"/>
      <c r="K131" s="399">
        <f t="shared" si="20"/>
        <v>0</v>
      </c>
      <c r="L131" s="398"/>
      <c r="M131" s="398"/>
      <c r="N131" s="399">
        <f t="shared" si="18"/>
        <v>0</v>
      </c>
    </row>
    <row r="132" spans="1:14" ht="13.5" hidden="1" thickBot="1" x14ac:dyDescent="0.25">
      <c r="A132" s="286" t="s">
        <v>233</v>
      </c>
      <c r="B132" s="266" t="s">
        <v>234</v>
      </c>
      <c r="C132" s="398"/>
      <c r="D132" s="398"/>
      <c r="E132" s="399">
        <f t="shared" si="15"/>
        <v>0</v>
      </c>
      <c r="F132" s="398"/>
      <c r="G132" s="398"/>
      <c r="H132" s="399">
        <f t="shared" si="19"/>
        <v>0</v>
      </c>
      <c r="I132" s="398"/>
      <c r="J132" s="398"/>
      <c r="K132" s="399">
        <f t="shared" si="20"/>
        <v>0</v>
      </c>
      <c r="L132" s="398"/>
      <c r="M132" s="398"/>
      <c r="N132" s="399">
        <f t="shared" si="18"/>
        <v>0</v>
      </c>
    </row>
    <row r="133" spans="1:14" ht="13.5" hidden="1" thickBot="1" x14ac:dyDescent="0.25">
      <c r="A133" s="286" t="s">
        <v>235</v>
      </c>
      <c r="B133" s="266" t="s">
        <v>236</v>
      </c>
      <c r="C133" s="398"/>
      <c r="D133" s="398"/>
      <c r="E133" s="399">
        <f t="shared" si="15"/>
        <v>0</v>
      </c>
      <c r="F133" s="398"/>
      <c r="G133" s="398"/>
      <c r="H133" s="399">
        <f t="shared" si="19"/>
        <v>0</v>
      </c>
      <c r="I133" s="398"/>
      <c r="J133" s="398"/>
      <c r="K133" s="399">
        <f t="shared" si="20"/>
        <v>0</v>
      </c>
      <c r="L133" s="398"/>
      <c r="M133" s="398"/>
      <c r="N133" s="399">
        <f t="shared" si="18"/>
        <v>0</v>
      </c>
    </row>
    <row r="134" spans="1:14" ht="13.5" hidden="1" thickBot="1" x14ac:dyDescent="0.25">
      <c r="A134" s="286" t="s">
        <v>237</v>
      </c>
      <c r="B134" s="266" t="s">
        <v>238</v>
      </c>
      <c r="C134" s="398">
        <f>SUM(C135:C136)</f>
        <v>0</v>
      </c>
      <c r="D134" s="398">
        <f>SUM(D135:D136)</f>
        <v>0</v>
      </c>
      <c r="E134" s="399">
        <f t="shared" si="15"/>
        <v>0</v>
      </c>
      <c r="F134" s="398">
        <f>SUM(F135:F136)</f>
        <v>0</v>
      </c>
      <c r="G134" s="398">
        <f>SUM(G135:G136)</f>
        <v>0</v>
      </c>
      <c r="H134" s="399">
        <f t="shared" si="19"/>
        <v>0</v>
      </c>
      <c r="I134" s="398">
        <f>SUM(I135:I136)</f>
        <v>0</v>
      </c>
      <c r="J134" s="398">
        <f>SUM(J135:J136)</f>
        <v>0</v>
      </c>
      <c r="K134" s="399">
        <f t="shared" si="20"/>
        <v>0</v>
      </c>
      <c r="L134" s="398">
        <f>SUM(L135:L136)</f>
        <v>0</v>
      </c>
      <c r="M134" s="398">
        <f>SUM(M135:M136)</f>
        <v>0</v>
      </c>
      <c r="N134" s="399">
        <f t="shared" si="18"/>
        <v>0</v>
      </c>
    </row>
    <row r="135" spans="1:14" ht="13.5" hidden="1" thickBot="1" x14ac:dyDescent="0.25">
      <c r="A135" s="286"/>
      <c r="B135" s="266" t="s">
        <v>239</v>
      </c>
      <c r="C135" s="398"/>
      <c r="D135" s="398"/>
      <c r="E135" s="399">
        <f t="shared" si="15"/>
        <v>0</v>
      </c>
      <c r="F135" s="398"/>
      <c r="G135" s="398"/>
      <c r="H135" s="399">
        <f t="shared" si="19"/>
        <v>0</v>
      </c>
      <c r="I135" s="398"/>
      <c r="J135" s="398"/>
      <c r="K135" s="399">
        <f t="shared" si="20"/>
        <v>0</v>
      </c>
      <c r="L135" s="398"/>
      <c r="M135" s="398"/>
      <c r="N135" s="399">
        <f t="shared" si="18"/>
        <v>0</v>
      </c>
    </row>
    <row r="136" spans="1:14" ht="13.5" hidden="1" thickBot="1" x14ac:dyDescent="0.25">
      <c r="A136" s="287"/>
      <c r="B136" s="268" t="s">
        <v>240</v>
      </c>
      <c r="C136" s="400"/>
      <c r="D136" s="400"/>
      <c r="E136" s="401">
        <f t="shared" si="15"/>
        <v>0</v>
      </c>
      <c r="F136" s="400"/>
      <c r="G136" s="400"/>
      <c r="H136" s="401">
        <f t="shared" si="19"/>
        <v>0</v>
      </c>
      <c r="I136" s="400"/>
      <c r="J136" s="400"/>
      <c r="K136" s="401">
        <f t="shared" si="20"/>
        <v>0</v>
      </c>
      <c r="L136" s="400"/>
      <c r="M136" s="400"/>
      <c r="N136" s="401">
        <f t="shared" si="18"/>
        <v>0</v>
      </c>
    </row>
    <row r="137" spans="1:14" x14ac:dyDescent="0.2">
      <c r="A137" s="285" t="s">
        <v>241</v>
      </c>
      <c r="B137" s="264" t="s">
        <v>38</v>
      </c>
      <c r="C137" s="396"/>
      <c r="D137" s="396"/>
      <c r="E137" s="397">
        <f t="shared" si="15"/>
        <v>0</v>
      </c>
      <c r="F137" s="396"/>
      <c r="G137" s="396"/>
      <c r="H137" s="397">
        <f t="shared" si="19"/>
        <v>0</v>
      </c>
      <c r="I137" s="396"/>
      <c r="J137" s="396"/>
      <c r="K137" s="397">
        <f t="shared" si="20"/>
        <v>0</v>
      </c>
      <c r="L137" s="396"/>
      <c r="M137" s="396"/>
      <c r="N137" s="397">
        <f t="shared" si="18"/>
        <v>0</v>
      </c>
    </row>
    <row r="138" spans="1:14" ht="13.5" thickBot="1" x14ac:dyDescent="0.25">
      <c r="A138" s="287" t="s">
        <v>242</v>
      </c>
      <c r="B138" s="268" t="s">
        <v>243</v>
      </c>
      <c r="C138" s="400"/>
      <c r="D138" s="400"/>
      <c r="E138" s="401">
        <f t="shared" si="15"/>
        <v>0</v>
      </c>
      <c r="F138" s="400"/>
      <c r="G138" s="400"/>
      <c r="H138" s="401">
        <f t="shared" si="19"/>
        <v>0</v>
      </c>
      <c r="I138" s="400"/>
      <c r="J138" s="400"/>
      <c r="K138" s="401">
        <f t="shared" si="20"/>
        <v>0</v>
      </c>
      <c r="L138" s="400"/>
      <c r="M138" s="400"/>
      <c r="N138" s="401">
        <f t="shared" si="18"/>
        <v>0</v>
      </c>
    </row>
    <row r="139" spans="1:14" x14ac:dyDescent="0.2">
      <c r="A139" s="285" t="s">
        <v>244</v>
      </c>
      <c r="B139" s="264" t="s">
        <v>39</v>
      </c>
      <c r="C139" s="396"/>
      <c r="D139" s="396"/>
      <c r="E139" s="397">
        <f t="shared" si="15"/>
        <v>0</v>
      </c>
      <c r="F139" s="396"/>
      <c r="G139" s="396"/>
      <c r="H139" s="397">
        <f t="shared" si="19"/>
        <v>0</v>
      </c>
      <c r="I139" s="396"/>
      <c r="J139" s="396"/>
      <c r="K139" s="397">
        <f t="shared" si="20"/>
        <v>0</v>
      </c>
      <c r="L139" s="396"/>
      <c r="M139" s="396"/>
      <c r="N139" s="397">
        <f t="shared" si="18"/>
        <v>0</v>
      </c>
    </row>
    <row r="140" spans="1:14" ht="13.5" thickBot="1" x14ac:dyDescent="0.25">
      <c r="A140" s="287" t="s">
        <v>245</v>
      </c>
      <c r="B140" s="268" t="s">
        <v>246</v>
      </c>
      <c r="C140" s="400"/>
      <c r="D140" s="400"/>
      <c r="E140" s="401">
        <f t="shared" si="15"/>
        <v>0</v>
      </c>
      <c r="F140" s="400"/>
      <c r="G140" s="400"/>
      <c r="H140" s="401">
        <f t="shared" si="19"/>
        <v>0</v>
      </c>
      <c r="I140" s="400"/>
      <c r="J140" s="400"/>
      <c r="K140" s="401">
        <f t="shared" si="20"/>
        <v>0</v>
      </c>
      <c r="L140" s="400"/>
      <c r="M140" s="400"/>
      <c r="N140" s="401">
        <f t="shared" si="18"/>
        <v>0</v>
      </c>
    </row>
    <row r="141" spans="1:14" ht="13.5" thickBot="1" x14ac:dyDescent="0.25">
      <c r="A141" s="289" t="s">
        <v>247</v>
      </c>
      <c r="B141" s="270" t="s">
        <v>40</v>
      </c>
      <c r="C141" s="407"/>
      <c r="D141" s="407"/>
      <c r="E141" s="408">
        <f t="shared" si="15"/>
        <v>0</v>
      </c>
      <c r="F141" s="407"/>
      <c r="G141" s="407"/>
      <c r="H141" s="408">
        <f t="shared" si="19"/>
        <v>0</v>
      </c>
      <c r="I141" s="407"/>
      <c r="J141" s="407"/>
      <c r="K141" s="408">
        <f t="shared" si="20"/>
        <v>0</v>
      </c>
      <c r="L141" s="407"/>
      <c r="M141" s="407"/>
      <c r="N141" s="408">
        <f t="shared" si="18"/>
        <v>0</v>
      </c>
    </row>
    <row r="142" spans="1:14" ht="13.5" thickBot="1" x14ac:dyDescent="0.25">
      <c r="A142" s="288" t="s">
        <v>248</v>
      </c>
      <c r="B142" s="278" t="s">
        <v>249</v>
      </c>
      <c r="C142" s="402">
        <f>C141+C140+C139+C138+C137+C128+C127+C111+C105+C88</f>
        <v>13089153</v>
      </c>
      <c r="D142" s="402">
        <f>D141+D140+D139+D138+D137+D128+D127+D111+D105+D88</f>
        <v>0</v>
      </c>
      <c r="E142" s="403">
        <f t="shared" si="15"/>
        <v>13089153</v>
      </c>
      <c r="F142" s="402">
        <f>F141+F140+F139+F138+F137+F128+F127+F111+F105+F88</f>
        <v>19101333</v>
      </c>
      <c r="G142" s="402">
        <f>G141+G140+G139+G138+G137+G128+G127+G111+G105+G88</f>
        <v>0</v>
      </c>
      <c r="H142" s="403">
        <f t="shared" si="19"/>
        <v>19101333</v>
      </c>
      <c r="I142" s="402">
        <f>I141+I140+I139+I138+I137+I128+I127+I111+I105+I88</f>
        <v>20436859</v>
      </c>
      <c r="J142" s="402">
        <f>J141+J140+J139+J138+J137+J128+J127+J111+J105+J88</f>
        <v>0</v>
      </c>
      <c r="K142" s="403">
        <f t="shared" si="20"/>
        <v>20436859</v>
      </c>
      <c r="L142" s="402">
        <f>L141+L140+L139+L138+L137+L128+L127+L111+L105+L88</f>
        <v>18561078</v>
      </c>
      <c r="M142" s="402">
        <f>M141+M140+M139+M138+M137+M128+M127+M111+M105+M88</f>
        <v>0</v>
      </c>
      <c r="N142" s="403">
        <f t="shared" si="18"/>
        <v>18561078</v>
      </c>
    </row>
    <row r="143" spans="1:14" ht="13.5" thickBot="1" x14ac:dyDescent="0.25">
      <c r="A143" s="290" t="s">
        <v>250</v>
      </c>
      <c r="B143" s="276" t="s">
        <v>251</v>
      </c>
      <c r="C143" s="396">
        <f>SUM(C144:C150)</f>
        <v>0</v>
      </c>
      <c r="D143" s="396">
        <f>SUM(D144:D150)</f>
        <v>0</v>
      </c>
      <c r="E143" s="397">
        <f t="shared" si="15"/>
        <v>0</v>
      </c>
      <c r="F143" s="396">
        <f>SUM(F144:F150)</f>
        <v>0</v>
      </c>
      <c r="G143" s="396">
        <f>SUM(G144:G150)</f>
        <v>0</v>
      </c>
      <c r="H143" s="397">
        <f t="shared" si="19"/>
        <v>0</v>
      </c>
      <c r="I143" s="396">
        <f>SUM(I144:I150)</f>
        <v>0</v>
      </c>
      <c r="J143" s="396">
        <f>SUM(J144:J150)</f>
        <v>0</v>
      </c>
      <c r="K143" s="397">
        <f t="shared" si="20"/>
        <v>0</v>
      </c>
      <c r="L143" s="396">
        <f>SUM(L144:L150)</f>
        <v>0</v>
      </c>
      <c r="M143" s="396">
        <f>SUM(M144:M150)</f>
        <v>0</v>
      </c>
      <c r="N143" s="397">
        <f t="shared" si="18"/>
        <v>0</v>
      </c>
    </row>
    <row r="144" spans="1:14" ht="13.5" hidden="1" thickBot="1" x14ac:dyDescent="0.25">
      <c r="A144" s="286" t="s">
        <v>252</v>
      </c>
      <c r="B144" s="266" t="s">
        <v>253</v>
      </c>
      <c r="C144" s="398"/>
      <c r="D144" s="398"/>
      <c r="E144" s="399">
        <f t="shared" si="15"/>
        <v>0</v>
      </c>
      <c r="F144" s="398"/>
      <c r="G144" s="398"/>
      <c r="H144" s="399">
        <f t="shared" si="19"/>
        <v>0</v>
      </c>
      <c r="I144" s="398"/>
      <c r="J144" s="398"/>
      <c r="K144" s="399">
        <f t="shared" si="20"/>
        <v>0</v>
      </c>
      <c r="L144" s="398"/>
      <c r="M144" s="398"/>
      <c r="N144" s="399">
        <f t="shared" si="18"/>
        <v>0</v>
      </c>
    </row>
    <row r="145" spans="1:14" ht="13.5" hidden="1" thickBot="1" x14ac:dyDescent="0.25">
      <c r="A145" s="286" t="s">
        <v>254</v>
      </c>
      <c r="B145" s="266" t="s">
        <v>255</v>
      </c>
      <c r="C145" s="398"/>
      <c r="D145" s="398"/>
      <c r="E145" s="399">
        <f t="shared" si="15"/>
        <v>0</v>
      </c>
      <c r="F145" s="398"/>
      <c r="G145" s="398"/>
      <c r="H145" s="399">
        <f t="shared" si="19"/>
        <v>0</v>
      </c>
      <c r="I145" s="398"/>
      <c r="J145" s="398"/>
      <c r="K145" s="399">
        <f t="shared" si="20"/>
        <v>0</v>
      </c>
      <c r="L145" s="398"/>
      <c r="M145" s="398"/>
      <c r="N145" s="399">
        <f t="shared" si="18"/>
        <v>0</v>
      </c>
    </row>
    <row r="146" spans="1:14" ht="13.5" hidden="1" thickBot="1" x14ac:dyDescent="0.25">
      <c r="A146" s="286" t="s">
        <v>541</v>
      </c>
      <c r="B146" s="266" t="s">
        <v>542</v>
      </c>
      <c r="C146" s="398"/>
      <c r="D146" s="398"/>
      <c r="E146" s="399"/>
      <c r="F146" s="398"/>
      <c r="G146" s="398"/>
      <c r="H146" s="399"/>
      <c r="I146" s="398"/>
      <c r="J146" s="398"/>
      <c r="K146" s="399"/>
      <c r="L146" s="398"/>
      <c r="M146" s="398"/>
      <c r="N146" s="399"/>
    </row>
    <row r="147" spans="1:14" ht="13.5" hidden="1" thickBot="1" x14ac:dyDescent="0.25">
      <c r="A147" s="286" t="s">
        <v>256</v>
      </c>
      <c r="B147" s="266" t="s">
        <v>257</v>
      </c>
      <c r="C147" s="398"/>
      <c r="D147" s="398"/>
      <c r="E147" s="399">
        <f t="shared" si="15"/>
        <v>0</v>
      </c>
      <c r="F147" s="398"/>
      <c r="G147" s="398"/>
      <c r="H147" s="399">
        <f t="shared" ref="H147:H150" si="21">SUM(F147:G147)</f>
        <v>0</v>
      </c>
      <c r="I147" s="398"/>
      <c r="J147" s="398"/>
      <c r="K147" s="399">
        <f t="shared" ref="K147:K150" si="22">SUM(I147:J147)</f>
        <v>0</v>
      </c>
      <c r="L147" s="398"/>
      <c r="M147" s="398"/>
      <c r="N147" s="399">
        <f t="shared" ref="N147:N150" si="23">SUM(L147:M147)</f>
        <v>0</v>
      </c>
    </row>
    <row r="148" spans="1:14" ht="13.5" hidden="1" thickBot="1" x14ac:dyDescent="0.25">
      <c r="A148" s="286" t="s">
        <v>258</v>
      </c>
      <c r="B148" s="266" t="s">
        <v>259</v>
      </c>
      <c r="C148" s="398"/>
      <c r="D148" s="398"/>
      <c r="E148" s="399">
        <f t="shared" si="15"/>
        <v>0</v>
      </c>
      <c r="F148" s="398"/>
      <c r="G148" s="398"/>
      <c r="H148" s="399">
        <f t="shared" si="21"/>
        <v>0</v>
      </c>
      <c r="I148" s="398"/>
      <c r="J148" s="398"/>
      <c r="K148" s="399">
        <f t="shared" si="22"/>
        <v>0</v>
      </c>
      <c r="L148" s="398"/>
      <c r="M148" s="398"/>
      <c r="N148" s="399">
        <f t="shared" si="23"/>
        <v>0</v>
      </c>
    </row>
    <row r="149" spans="1:14" ht="13.5" hidden="1" thickBot="1" x14ac:dyDescent="0.25">
      <c r="A149" s="286" t="s">
        <v>260</v>
      </c>
      <c r="B149" s="266" t="s">
        <v>261</v>
      </c>
      <c r="C149" s="398"/>
      <c r="D149" s="398"/>
      <c r="E149" s="399">
        <f t="shared" si="15"/>
        <v>0</v>
      </c>
      <c r="F149" s="398"/>
      <c r="G149" s="398"/>
      <c r="H149" s="399">
        <f t="shared" si="21"/>
        <v>0</v>
      </c>
      <c r="I149" s="398"/>
      <c r="J149" s="398"/>
      <c r="K149" s="399">
        <f t="shared" si="22"/>
        <v>0</v>
      </c>
      <c r="L149" s="398"/>
      <c r="M149" s="398"/>
      <c r="N149" s="399">
        <f t="shared" si="23"/>
        <v>0</v>
      </c>
    </row>
    <row r="150" spans="1:14" ht="13.5" hidden="1" thickBot="1" x14ac:dyDescent="0.25">
      <c r="A150" s="287"/>
      <c r="B150" s="268" t="s">
        <v>262</v>
      </c>
      <c r="C150" s="409"/>
      <c r="D150" s="400"/>
      <c r="E150" s="401">
        <f t="shared" si="15"/>
        <v>0</v>
      </c>
      <c r="F150" s="409"/>
      <c r="G150" s="400"/>
      <c r="H150" s="401">
        <f t="shared" si="21"/>
        <v>0</v>
      </c>
      <c r="I150" s="409"/>
      <c r="J150" s="400"/>
      <c r="K150" s="401">
        <f t="shared" si="22"/>
        <v>0</v>
      </c>
      <c r="L150" s="409"/>
      <c r="M150" s="400"/>
      <c r="N150" s="401">
        <f t="shared" si="23"/>
        <v>0</v>
      </c>
    </row>
    <row r="151" spans="1:14" ht="13.5" thickBot="1" x14ac:dyDescent="0.25">
      <c r="A151" s="288" t="s">
        <v>265</v>
      </c>
      <c r="B151" s="278" t="s">
        <v>263</v>
      </c>
      <c r="C151" s="402">
        <f>C143+C142</f>
        <v>13089153</v>
      </c>
      <c r="D151" s="410">
        <f>D143+D142</f>
        <v>0</v>
      </c>
      <c r="E151" s="411">
        <f>SUM(C151:D151)</f>
        <v>13089153</v>
      </c>
      <c r="F151" s="402">
        <f>F143+F142</f>
        <v>19101333</v>
      </c>
      <c r="G151" s="410">
        <f>G143+G142</f>
        <v>0</v>
      </c>
      <c r="H151" s="411">
        <f>SUM(F151:G151)</f>
        <v>19101333</v>
      </c>
      <c r="I151" s="402">
        <f>I143+I142</f>
        <v>20436859</v>
      </c>
      <c r="J151" s="410">
        <f>J143+J142</f>
        <v>0</v>
      </c>
      <c r="K151" s="411">
        <f>SUM(I151:J151)</f>
        <v>20436859</v>
      </c>
      <c r="L151" s="402">
        <f>L143+L142</f>
        <v>18561078</v>
      </c>
      <c r="M151" s="410">
        <f>M143+M142</f>
        <v>0</v>
      </c>
      <c r="N151" s="411">
        <f>SUM(L151:M151)</f>
        <v>18561078</v>
      </c>
    </row>
    <row r="152" spans="1:14" x14ac:dyDescent="0.2">
      <c r="A152" s="79"/>
      <c r="B152" s="79"/>
      <c r="C152" s="79"/>
      <c r="D152" s="412"/>
      <c r="E152" s="412"/>
      <c r="F152" s="79"/>
      <c r="G152" s="412"/>
      <c r="H152" s="412"/>
      <c r="I152" s="79"/>
      <c r="J152" s="412"/>
      <c r="K152" s="412"/>
      <c r="L152" s="79"/>
      <c r="M152" s="412"/>
      <c r="N152" s="412"/>
    </row>
    <row r="153" spans="1:14" x14ac:dyDescent="0.2">
      <c r="A153" s="79"/>
      <c r="B153" s="79"/>
      <c r="C153" s="306"/>
      <c r="D153" s="306"/>
      <c r="E153" s="306">
        <f t="shared" ref="E153" si="24">E85-E151</f>
        <v>-7589153</v>
      </c>
      <c r="F153" s="306"/>
      <c r="G153" s="306"/>
      <c r="H153" s="306">
        <f t="shared" ref="H153" si="25">H85-H151</f>
        <v>-11106683</v>
      </c>
      <c r="I153" s="306"/>
      <c r="J153" s="306"/>
      <c r="K153" s="306">
        <f t="shared" ref="K153" si="26">K85-K151</f>
        <v>-12442209</v>
      </c>
      <c r="L153" s="306"/>
      <c r="M153" s="306"/>
      <c r="N153" s="306">
        <f t="shared" ref="N153" si="27">N85-N151</f>
        <v>-10870558</v>
      </c>
    </row>
    <row r="154" spans="1:14" x14ac:dyDescent="0.2">
      <c r="H154" s="298"/>
      <c r="K154" s="298"/>
      <c r="N154" s="298"/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2" fitToHeight="0" orientation="portrait" horizontalDpi="300" verticalDpi="300" r:id="rId1"/>
  <headerFooter>
    <oddFooter>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N153"/>
  <sheetViews>
    <sheetView zoomScaleNormal="100" workbookViewId="0">
      <pane ySplit="8" topLeftCell="A117" activePane="bottomLeft" state="frozen"/>
      <selection activeCell="AB159" sqref="AB159"/>
      <selection pane="bottomLeft" activeCell="D7" sqref="D7"/>
    </sheetView>
  </sheetViews>
  <sheetFormatPr defaultRowHeight="12.75" x14ac:dyDescent="0.2"/>
  <cols>
    <col min="1" max="1" width="9.28515625" style="81" customWidth="1"/>
    <col min="2" max="2" width="59.140625" style="81" bestFit="1" customWidth="1"/>
    <col min="3" max="3" width="9.5703125" style="81" customWidth="1"/>
    <col min="4" max="4" width="10.28515625" style="81" customWidth="1"/>
    <col min="5" max="5" width="10.42578125" style="81" bestFit="1" customWidth="1"/>
    <col min="6" max="6" width="9.5703125" style="81" customWidth="1"/>
    <col min="7" max="7" width="10.28515625" style="81" customWidth="1"/>
    <col min="8" max="8" width="10.42578125" style="81" bestFit="1" customWidth="1"/>
    <col min="9" max="9" width="9.5703125" style="81" customWidth="1"/>
    <col min="10" max="10" width="10.28515625" style="81" customWidth="1"/>
    <col min="11" max="11" width="10.42578125" style="81" bestFit="1" customWidth="1"/>
    <col min="12" max="12" width="9.5703125" style="81" customWidth="1"/>
    <col min="13" max="13" width="10.28515625" style="81" customWidth="1"/>
    <col min="14" max="14" width="10.42578125" style="81" bestFit="1" customWidth="1"/>
    <col min="15" max="16384" width="9.140625" style="81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">
      <c r="A4" s="79" t="s">
        <v>270</v>
      </c>
      <c r="C4" s="45" t="str">
        <f>'7.30 szoc étk 107051'!C4</f>
        <v xml:space="preserve"> 12 / 2020. (VI.15) sz rendelet</v>
      </c>
    </row>
    <row r="5" spans="1:14" x14ac:dyDescent="0.2">
      <c r="A5" s="90" t="s">
        <v>544</v>
      </c>
      <c r="B5" s="79" t="s">
        <v>545</v>
      </c>
    </row>
    <row r="6" spans="1:14" x14ac:dyDescent="0.2">
      <c r="C6" s="713" t="s">
        <v>759</v>
      </c>
      <c r="D6" s="715" t="str">
        <f>'7.30 szoc étk 107051'!D6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3.5" thickBot="1" x14ac:dyDescent="0.25"/>
    <row r="8" spans="1:14" ht="39" thickBot="1" x14ac:dyDescent="0.25">
      <c r="A8" s="259" t="s">
        <v>42</v>
      </c>
      <c r="B8" s="260" t="s">
        <v>23</v>
      </c>
      <c r="C8" s="259" t="s">
        <v>32</v>
      </c>
      <c r="D8" s="261" t="s">
        <v>33</v>
      </c>
      <c r="E8" s="262" t="s">
        <v>21</v>
      </c>
      <c r="F8" s="259" t="s">
        <v>32</v>
      </c>
      <c r="G8" s="261" t="s">
        <v>33</v>
      </c>
      <c r="H8" s="262" t="s">
        <v>825</v>
      </c>
      <c r="I8" s="259" t="s">
        <v>32</v>
      </c>
      <c r="J8" s="261" t="s">
        <v>33</v>
      </c>
      <c r="K8" s="199" t="s">
        <v>864</v>
      </c>
      <c r="L8" s="259" t="s">
        <v>32</v>
      </c>
      <c r="M8" s="261" t="s">
        <v>33</v>
      </c>
      <c r="N8" s="199" t="s">
        <v>908</v>
      </c>
    </row>
    <row r="9" spans="1:14" ht="13.5" thickBot="1" x14ac:dyDescent="0.25">
      <c r="A9" s="263" t="s">
        <v>43</v>
      </c>
      <c r="B9" s="264" t="s">
        <v>44</v>
      </c>
      <c r="C9" s="396">
        <f>SUM(C10,C17,C18,C20,C21,C19)</f>
        <v>0</v>
      </c>
      <c r="D9" s="396">
        <f>SUM(D10,D17,D18,D20,D21,D19)</f>
        <v>0</v>
      </c>
      <c r="E9" s="397">
        <f t="shared" ref="E9:E73" si="0">SUM(C9:D9)</f>
        <v>0</v>
      </c>
      <c r="F9" s="396">
        <f>SUM(F10,F17,F18,F20,F21,F19)</f>
        <v>0</v>
      </c>
      <c r="G9" s="396">
        <f>SUM(G10,G17,G18,G20,G21,G19)</f>
        <v>0</v>
      </c>
      <c r="H9" s="397">
        <f t="shared" ref="H9:H73" si="1">SUM(F9:G9)</f>
        <v>0</v>
      </c>
      <c r="I9" s="396">
        <f>SUM(I10,I17,I18,I20,I21,I19)</f>
        <v>0</v>
      </c>
      <c r="J9" s="396">
        <f>SUM(J10,J17,J18,J20,J21,J19)</f>
        <v>0</v>
      </c>
      <c r="K9" s="397">
        <f t="shared" ref="K9:K73" si="2">SUM(I9:J9)</f>
        <v>0</v>
      </c>
      <c r="L9" s="396">
        <f>SUM(L10,L17,L18,L20,L21,L19)</f>
        <v>0</v>
      </c>
      <c r="M9" s="396">
        <f>SUM(M10,M17,M18,M20,M21,M19)</f>
        <v>0</v>
      </c>
      <c r="N9" s="397">
        <f t="shared" ref="N9:N73" si="3">SUM(L9:M9)</f>
        <v>0</v>
      </c>
    </row>
    <row r="10" spans="1:14" ht="13.5" hidden="1" thickBot="1" x14ac:dyDescent="0.25">
      <c r="A10" s="265" t="s">
        <v>45</v>
      </c>
      <c r="B10" s="266" t="s">
        <v>46</v>
      </c>
      <c r="C10" s="398">
        <f>SUM(C11:C16)</f>
        <v>0</v>
      </c>
      <c r="D10" s="398">
        <f>SUM(D11:D16)</f>
        <v>0</v>
      </c>
      <c r="E10" s="399">
        <f t="shared" si="0"/>
        <v>0</v>
      </c>
      <c r="F10" s="398">
        <f>SUM(F11:F16)</f>
        <v>0</v>
      </c>
      <c r="G10" s="398">
        <f>SUM(G11:G16)</f>
        <v>0</v>
      </c>
      <c r="H10" s="399">
        <f t="shared" si="1"/>
        <v>0</v>
      </c>
      <c r="I10" s="398">
        <f>SUM(I11:I16)</f>
        <v>0</v>
      </c>
      <c r="J10" s="398">
        <f>SUM(J11:J16)</f>
        <v>0</v>
      </c>
      <c r="K10" s="399">
        <f t="shared" si="2"/>
        <v>0</v>
      </c>
      <c r="L10" s="398">
        <f>SUM(L11:L16)</f>
        <v>0</v>
      </c>
      <c r="M10" s="398">
        <f>SUM(M11:M16)</f>
        <v>0</v>
      </c>
      <c r="N10" s="399">
        <f t="shared" si="3"/>
        <v>0</v>
      </c>
    </row>
    <row r="11" spans="1:14" ht="13.5" hidden="1" thickBot="1" x14ac:dyDescent="0.25">
      <c r="A11" s="265" t="s">
        <v>47</v>
      </c>
      <c r="B11" s="266" t="s">
        <v>48</v>
      </c>
      <c r="C11" s="398"/>
      <c r="D11" s="398"/>
      <c r="E11" s="399">
        <f t="shared" si="0"/>
        <v>0</v>
      </c>
      <c r="F11" s="398"/>
      <c r="G11" s="398"/>
      <c r="H11" s="399">
        <f t="shared" si="1"/>
        <v>0</v>
      </c>
      <c r="I11" s="398"/>
      <c r="J11" s="398"/>
      <c r="K11" s="399">
        <f t="shared" si="2"/>
        <v>0</v>
      </c>
      <c r="L11" s="398"/>
      <c r="M11" s="398"/>
      <c r="N11" s="399">
        <f t="shared" si="3"/>
        <v>0</v>
      </c>
    </row>
    <row r="12" spans="1:14" ht="13.5" hidden="1" thickBot="1" x14ac:dyDescent="0.25">
      <c r="A12" s="265" t="s">
        <v>49</v>
      </c>
      <c r="B12" s="266" t="s">
        <v>50</v>
      </c>
      <c r="C12" s="398"/>
      <c r="D12" s="398"/>
      <c r="E12" s="399">
        <f t="shared" si="0"/>
        <v>0</v>
      </c>
      <c r="F12" s="398"/>
      <c r="G12" s="398"/>
      <c r="H12" s="399">
        <f t="shared" si="1"/>
        <v>0</v>
      </c>
      <c r="I12" s="398"/>
      <c r="J12" s="398"/>
      <c r="K12" s="399">
        <f t="shared" si="2"/>
        <v>0</v>
      </c>
      <c r="L12" s="398"/>
      <c r="M12" s="398"/>
      <c r="N12" s="399">
        <f t="shared" si="3"/>
        <v>0</v>
      </c>
    </row>
    <row r="13" spans="1:14" ht="13.5" hidden="1" thickBot="1" x14ac:dyDescent="0.25">
      <c r="A13" s="265" t="s">
        <v>51</v>
      </c>
      <c r="B13" s="266" t="s">
        <v>52</v>
      </c>
      <c r="C13" s="398"/>
      <c r="D13" s="398"/>
      <c r="E13" s="399">
        <f t="shared" si="0"/>
        <v>0</v>
      </c>
      <c r="F13" s="398"/>
      <c r="G13" s="398"/>
      <c r="H13" s="399">
        <f t="shared" si="1"/>
        <v>0</v>
      </c>
      <c r="I13" s="398"/>
      <c r="J13" s="398"/>
      <c r="K13" s="399">
        <f t="shared" si="2"/>
        <v>0</v>
      </c>
      <c r="L13" s="398"/>
      <c r="M13" s="398"/>
      <c r="N13" s="399">
        <f t="shared" si="3"/>
        <v>0</v>
      </c>
    </row>
    <row r="14" spans="1:14" ht="13.5" hidden="1" thickBot="1" x14ac:dyDescent="0.25">
      <c r="A14" s="265" t="s">
        <v>53</v>
      </c>
      <c r="B14" s="266" t="s">
        <v>54</v>
      </c>
      <c r="C14" s="398"/>
      <c r="D14" s="398"/>
      <c r="E14" s="399">
        <f t="shared" si="0"/>
        <v>0</v>
      </c>
      <c r="F14" s="398"/>
      <c r="G14" s="398"/>
      <c r="H14" s="399">
        <f t="shared" si="1"/>
        <v>0</v>
      </c>
      <c r="I14" s="398"/>
      <c r="J14" s="398"/>
      <c r="K14" s="399">
        <f t="shared" si="2"/>
        <v>0</v>
      </c>
      <c r="L14" s="398"/>
      <c r="M14" s="398"/>
      <c r="N14" s="399">
        <f t="shared" si="3"/>
        <v>0</v>
      </c>
    </row>
    <row r="15" spans="1:14" ht="13.5" hidden="1" thickBot="1" x14ac:dyDescent="0.25">
      <c r="A15" s="265" t="s">
        <v>55</v>
      </c>
      <c r="B15" s="266" t="s">
        <v>56</v>
      </c>
      <c r="C15" s="398"/>
      <c r="D15" s="398"/>
      <c r="E15" s="399">
        <f t="shared" si="0"/>
        <v>0</v>
      </c>
      <c r="F15" s="398"/>
      <c r="G15" s="398"/>
      <c r="H15" s="399">
        <f t="shared" si="1"/>
        <v>0</v>
      </c>
      <c r="I15" s="398"/>
      <c r="J15" s="398"/>
      <c r="K15" s="399">
        <f t="shared" si="2"/>
        <v>0</v>
      </c>
      <c r="L15" s="398"/>
      <c r="M15" s="398"/>
      <c r="N15" s="399">
        <f t="shared" si="3"/>
        <v>0</v>
      </c>
    </row>
    <row r="16" spans="1:14" ht="13.5" hidden="1" thickBot="1" x14ac:dyDescent="0.25">
      <c r="A16" s="265" t="s">
        <v>57</v>
      </c>
      <c r="B16" s="266" t="s">
        <v>58</v>
      </c>
      <c r="C16" s="398"/>
      <c r="D16" s="398"/>
      <c r="E16" s="399">
        <f t="shared" si="0"/>
        <v>0</v>
      </c>
      <c r="F16" s="398"/>
      <c r="G16" s="398"/>
      <c r="H16" s="399">
        <f t="shared" si="1"/>
        <v>0</v>
      </c>
      <c r="I16" s="398"/>
      <c r="J16" s="398"/>
      <c r="K16" s="399">
        <f t="shared" si="2"/>
        <v>0</v>
      </c>
      <c r="L16" s="398"/>
      <c r="M16" s="398"/>
      <c r="N16" s="399">
        <f t="shared" si="3"/>
        <v>0</v>
      </c>
    </row>
    <row r="17" spans="1:14" ht="13.5" hidden="1" thickBot="1" x14ac:dyDescent="0.25">
      <c r="A17" s="265" t="s">
        <v>59</v>
      </c>
      <c r="B17" s="266" t="s">
        <v>60</v>
      </c>
      <c r="C17" s="398"/>
      <c r="D17" s="398"/>
      <c r="E17" s="399">
        <f t="shared" si="0"/>
        <v>0</v>
      </c>
      <c r="F17" s="398"/>
      <c r="G17" s="398"/>
      <c r="H17" s="399">
        <f t="shared" si="1"/>
        <v>0</v>
      </c>
      <c r="I17" s="398"/>
      <c r="J17" s="398"/>
      <c r="K17" s="399">
        <f t="shared" si="2"/>
        <v>0</v>
      </c>
      <c r="L17" s="398"/>
      <c r="M17" s="398"/>
      <c r="N17" s="399">
        <f t="shared" si="3"/>
        <v>0</v>
      </c>
    </row>
    <row r="18" spans="1:14" ht="13.5" hidden="1" thickBot="1" x14ac:dyDescent="0.25">
      <c r="A18" s="265" t="s">
        <v>61</v>
      </c>
      <c r="B18" s="266" t="s">
        <v>62</v>
      </c>
      <c r="C18" s="398"/>
      <c r="D18" s="398"/>
      <c r="E18" s="399">
        <f t="shared" si="0"/>
        <v>0</v>
      </c>
      <c r="F18" s="398"/>
      <c r="G18" s="398"/>
      <c r="H18" s="399">
        <f t="shared" si="1"/>
        <v>0</v>
      </c>
      <c r="I18" s="398"/>
      <c r="J18" s="398"/>
      <c r="K18" s="399">
        <f t="shared" si="2"/>
        <v>0</v>
      </c>
      <c r="L18" s="398"/>
      <c r="M18" s="398"/>
      <c r="N18" s="399">
        <f t="shared" si="3"/>
        <v>0</v>
      </c>
    </row>
    <row r="19" spans="1:14" ht="13.5" hidden="1" thickBot="1" x14ac:dyDescent="0.25">
      <c r="A19" s="267" t="s">
        <v>266</v>
      </c>
      <c r="B19" s="268" t="s">
        <v>267</v>
      </c>
      <c r="C19" s="398"/>
      <c r="D19" s="398"/>
      <c r="E19" s="399">
        <f t="shared" si="0"/>
        <v>0</v>
      </c>
      <c r="F19" s="398"/>
      <c r="G19" s="398"/>
      <c r="H19" s="399">
        <f t="shared" si="1"/>
        <v>0</v>
      </c>
      <c r="I19" s="398"/>
      <c r="J19" s="398"/>
      <c r="K19" s="399">
        <f t="shared" si="2"/>
        <v>0</v>
      </c>
      <c r="L19" s="398"/>
      <c r="M19" s="398"/>
      <c r="N19" s="399">
        <f t="shared" si="3"/>
        <v>0</v>
      </c>
    </row>
    <row r="20" spans="1:14" ht="13.5" hidden="1" thickBot="1" x14ac:dyDescent="0.25">
      <c r="A20" s="267" t="s">
        <v>63</v>
      </c>
      <c r="B20" s="268" t="s">
        <v>64</v>
      </c>
      <c r="C20" s="398"/>
      <c r="D20" s="398"/>
      <c r="E20" s="399">
        <f t="shared" si="0"/>
        <v>0</v>
      </c>
      <c r="F20" s="398"/>
      <c r="G20" s="398"/>
      <c r="H20" s="399">
        <f t="shared" si="1"/>
        <v>0</v>
      </c>
      <c r="I20" s="398"/>
      <c r="J20" s="398"/>
      <c r="K20" s="399">
        <f t="shared" si="2"/>
        <v>0</v>
      </c>
      <c r="L20" s="398"/>
      <c r="M20" s="398"/>
      <c r="N20" s="399">
        <f t="shared" si="3"/>
        <v>0</v>
      </c>
    </row>
    <row r="21" spans="1:14" ht="13.5" hidden="1" thickBot="1" x14ac:dyDescent="0.25">
      <c r="A21" s="267" t="s">
        <v>65</v>
      </c>
      <c r="B21" s="268" t="s">
        <v>66</v>
      </c>
      <c r="C21" s="400"/>
      <c r="D21" s="400"/>
      <c r="E21" s="401">
        <f t="shared" si="0"/>
        <v>0</v>
      </c>
      <c r="F21" s="400"/>
      <c r="G21" s="400"/>
      <c r="H21" s="401">
        <f t="shared" si="1"/>
        <v>0</v>
      </c>
      <c r="I21" s="400"/>
      <c r="J21" s="400"/>
      <c r="K21" s="401">
        <f t="shared" si="2"/>
        <v>0</v>
      </c>
      <c r="L21" s="400"/>
      <c r="M21" s="400"/>
      <c r="N21" s="401">
        <f t="shared" si="3"/>
        <v>0</v>
      </c>
    </row>
    <row r="22" spans="1:14" x14ac:dyDescent="0.2">
      <c r="A22" s="269" t="s">
        <v>67</v>
      </c>
      <c r="B22" s="270" t="s">
        <v>27</v>
      </c>
      <c r="C22" s="396">
        <f>SUM(C23:C24)</f>
        <v>0</v>
      </c>
      <c r="D22" s="396">
        <f>SUM(D23:D24)</f>
        <v>0</v>
      </c>
      <c r="E22" s="397">
        <f t="shared" si="0"/>
        <v>0</v>
      </c>
      <c r="F22" s="396">
        <f>SUM(F23:F24)</f>
        <v>0</v>
      </c>
      <c r="G22" s="396">
        <f>SUM(G23:G24)</f>
        <v>0</v>
      </c>
      <c r="H22" s="397">
        <f t="shared" si="1"/>
        <v>0</v>
      </c>
      <c r="I22" s="396">
        <f>SUM(I23:I24)</f>
        <v>0</v>
      </c>
      <c r="J22" s="396">
        <f>SUM(J23:J24)</f>
        <v>0</v>
      </c>
      <c r="K22" s="397">
        <f t="shared" si="2"/>
        <v>0</v>
      </c>
      <c r="L22" s="396">
        <f>SUM(L23:L24)</f>
        <v>0</v>
      </c>
      <c r="M22" s="396">
        <f>SUM(M23:M24)</f>
        <v>0</v>
      </c>
      <c r="N22" s="397">
        <f t="shared" si="3"/>
        <v>0</v>
      </c>
    </row>
    <row r="23" spans="1:14" hidden="1" x14ac:dyDescent="0.2">
      <c r="A23" s="271"/>
      <c r="B23" s="272" t="s">
        <v>268</v>
      </c>
      <c r="C23" s="398"/>
      <c r="D23" s="398"/>
      <c r="E23" s="399">
        <f t="shared" si="0"/>
        <v>0</v>
      </c>
      <c r="F23" s="398"/>
      <c r="G23" s="398"/>
      <c r="H23" s="399">
        <f t="shared" si="1"/>
        <v>0</v>
      </c>
      <c r="I23" s="398"/>
      <c r="J23" s="398"/>
      <c r="K23" s="399">
        <f t="shared" si="2"/>
        <v>0</v>
      </c>
      <c r="L23" s="398"/>
      <c r="M23" s="398"/>
      <c r="N23" s="399">
        <f t="shared" si="3"/>
        <v>0</v>
      </c>
    </row>
    <row r="24" spans="1:14" ht="13.5" hidden="1" thickBot="1" x14ac:dyDescent="0.25">
      <c r="A24" s="273"/>
      <c r="B24" s="274" t="s">
        <v>269</v>
      </c>
      <c r="C24" s="400"/>
      <c r="D24" s="400"/>
      <c r="E24" s="401">
        <f t="shared" si="0"/>
        <v>0</v>
      </c>
      <c r="F24" s="400"/>
      <c r="G24" s="400"/>
      <c r="H24" s="401">
        <f t="shared" si="1"/>
        <v>0</v>
      </c>
      <c r="I24" s="400"/>
      <c r="J24" s="400"/>
      <c r="K24" s="401">
        <f t="shared" si="2"/>
        <v>0</v>
      </c>
      <c r="L24" s="400"/>
      <c r="M24" s="400"/>
      <c r="N24" s="401">
        <f t="shared" si="3"/>
        <v>0</v>
      </c>
    </row>
    <row r="25" spans="1:14" ht="13.5" thickBot="1" x14ac:dyDescent="0.25">
      <c r="A25" s="275" t="s">
        <v>68</v>
      </c>
      <c r="B25" s="276" t="s">
        <v>25</v>
      </c>
      <c r="C25" s="396">
        <f>C26+C30+C38</f>
        <v>0</v>
      </c>
      <c r="D25" s="396">
        <f>D26+D30+D38</f>
        <v>0</v>
      </c>
      <c r="E25" s="397">
        <f t="shared" si="0"/>
        <v>0</v>
      </c>
      <c r="F25" s="396">
        <f>F26+F30+F38</f>
        <v>0</v>
      </c>
      <c r="G25" s="396">
        <f>G26+G30+G38</f>
        <v>0</v>
      </c>
      <c r="H25" s="397">
        <f t="shared" si="1"/>
        <v>0</v>
      </c>
      <c r="I25" s="396">
        <f>I26+I30+I38</f>
        <v>0</v>
      </c>
      <c r="J25" s="396">
        <f>J26+J30+J38</f>
        <v>0</v>
      </c>
      <c r="K25" s="397">
        <f t="shared" si="2"/>
        <v>0</v>
      </c>
      <c r="L25" s="396">
        <f>L26+L30+L38</f>
        <v>0</v>
      </c>
      <c r="M25" s="396">
        <f>M26+M30+M38</f>
        <v>0</v>
      </c>
      <c r="N25" s="397">
        <f t="shared" si="3"/>
        <v>0</v>
      </c>
    </row>
    <row r="26" spans="1:14" ht="13.5" hidden="1" thickBot="1" x14ac:dyDescent="0.25">
      <c r="A26" s="265" t="s">
        <v>69</v>
      </c>
      <c r="B26" s="266" t="s">
        <v>70</v>
      </c>
      <c r="C26" s="398">
        <f>SUM(C27:C29)</f>
        <v>0</v>
      </c>
      <c r="D26" s="398">
        <f>SUM(D27:D29)</f>
        <v>0</v>
      </c>
      <c r="E26" s="399">
        <f t="shared" si="0"/>
        <v>0</v>
      </c>
      <c r="F26" s="398">
        <f>SUM(F27:F29)</f>
        <v>0</v>
      </c>
      <c r="G26" s="398">
        <f>SUM(G27:G29)</f>
        <v>0</v>
      </c>
      <c r="H26" s="399">
        <f t="shared" si="1"/>
        <v>0</v>
      </c>
      <c r="I26" s="398">
        <f>SUM(I27:I29)</f>
        <v>0</v>
      </c>
      <c r="J26" s="398">
        <f>SUM(J27:J29)</f>
        <v>0</v>
      </c>
      <c r="K26" s="399">
        <f t="shared" si="2"/>
        <v>0</v>
      </c>
      <c r="L26" s="398">
        <f>SUM(L27:L29)</f>
        <v>0</v>
      </c>
      <c r="M26" s="398">
        <f>SUM(M27:M29)</f>
        <v>0</v>
      </c>
      <c r="N26" s="399">
        <f t="shared" si="3"/>
        <v>0</v>
      </c>
    </row>
    <row r="27" spans="1:14" ht="13.5" hidden="1" thickBot="1" x14ac:dyDescent="0.25">
      <c r="A27" s="265"/>
      <c r="B27" s="266" t="s">
        <v>71</v>
      </c>
      <c r="C27" s="398"/>
      <c r="D27" s="398"/>
      <c r="E27" s="399">
        <f t="shared" si="0"/>
        <v>0</v>
      </c>
      <c r="F27" s="398"/>
      <c r="G27" s="398"/>
      <c r="H27" s="399">
        <f t="shared" si="1"/>
        <v>0</v>
      </c>
      <c r="I27" s="398"/>
      <c r="J27" s="398"/>
      <c r="K27" s="399">
        <f t="shared" si="2"/>
        <v>0</v>
      </c>
      <c r="L27" s="398"/>
      <c r="M27" s="398"/>
      <c r="N27" s="399">
        <f t="shared" si="3"/>
        <v>0</v>
      </c>
    </row>
    <row r="28" spans="1:14" ht="13.5" hidden="1" thickBot="1" x14ac:dyDescent="0.25">
      <c r="A28" s="265"/>
      <c r="B28" s="266" t="s">
        <v>72</v>
      </c>
      <c r="C28" s="398"/>
      <c r="D28" s="398"/>
      <c r="E28" s="399">
        <f t="shared" si="0"/>
        <v>0</v>
      </c>
      <c r="F28" s="398"/>
      <c r="G28" s="398"/>
      <c r="H28" s="399">
        <f t="shared" si="1"/>
        <v>0</v>
      </c>
      <c r="I28" s="398"/>
      <c r="J28" s="398"/>
      <c r="K28" s="399">
        <f t="shared" si="2"/>
        <v>0</v>
      </c>
      <c r="L28" s="398"/>
      <c r="M28" s="398"/>
      <c r="N28" s="399">
        <f t="shared" si="3"/>
        <v>0</v>
      </c>
    </row>
    <row r="29" spans="1:14" ht="13.5" hidden="1" thickBot="1" x14ac:dyDescent="0.25">
      <c r="A29" s="265"/>
      <c r="B29" s="266" t="s">
        <v>73</v>
      </c>
      <c r="C29" s="398"/>
      <c r="D29" s="398"/>
      <c r="E29" s="399">
        <f t="shared" si="0"/>
        <v>0</v>
      </c>
      <c r="F29" s="398"/>
      <c r="G29" s="398"/>
      <c r="H29" s="399">
        <f t="shared" si="1"/>
        <v>0</v>
      </c>
      <c r="I29" s="398"/>
      <c r="J29" s="398"/>
      <c r="K29" s="399">
        <f t="shared" si="2"/>
        <v>0</v>
      </c>
      <c r="L29" s="398"/>
      <c r="M29" s="398"/>
      <c r="N29" s="399">
        <f t="shared" si="3"/>
        <v>0</v>
      </c>
    </row>
    <row r="30" spans="1:14" ht="13.5" hidden="1" thickBot="1" x14ac:dyDescent="0.25">
      <c r="A30" s="265" t="s">
        <v>74</v>
      </c>
      <c r="B30" s="266" t="s">
        <v>75</v>
      </c>
      <c r="C30" s="398">
        <f>C31+C33+C34</f>
        <v>0</v>
      </c>
      <c r="D30" s="398">
        <f>D31+D33+D34</f>
        <v>0</v>
      </c>
      <c r="E30" s="399">
        <f t="shared" si="0"/>
        <v>0</v>
      </c>
      <c r="F30" s="398">
        <f>F31+F33+F34</f>
        <v>0</v>
      </c>
      <c r="G30" s="398">
        <f>G31+G33+G34</f>
        <v>0</v>
      </c>
      <c r="H30" s="399">
        <f t="shared" si="1"/>
        <v>0</v>
      </c>
      <c r="I30" s="398">
        <f>I31+I33+I34</f>
        <v>0</v>
      </c>
      <c r="J30" s="398">
        <f>J31+J33+J34</f>
        <v>0</v>
      </c>
      <c r="K30" s="399">
        <f t="shared" si="2"/>
        <v>0</v>
      </c>
      <c r="L30" s="398">
        <f>L31+L33+L34</f>
        <v>0</v>
      </c>
      <c r="M30" s="398">
        <f>M31+M33+M34</f>
        <v>0</v>
      </c>
      <c r="N30" s="399">
        <f t="shared" si="3"/>
        <v>0</v>
      </c>
    </row>
    <row r="31" spans="1:14" ht="13.5" hidden="1" thickBot="1" x14ac:dyDescent="0.25">
      <c r="A31" s="265" t="s">
        <v>76</v>
      </c>
      <c r="B31" s="266" t="s">
        <v>77</v>
      </c>
      <c r="C31" s="398">
        <f>C32</f>
        <v>0</v>
      </c>
      <c r="D31" s="398">
        <f>D32</f>
        <v>0</v>
      </c>
      <c r="E31" s="399">
        <f t="shared" si="0"/>
        <v>0</v>
      </c>
      <c r="F31" s="398">
        <f>F32</f>
        <v>0</v>
      </c>
      <c r="G31" s="398">
        <f>G32</f>
        <v>0</v>
      </c>
      <c r="H31" s="399">
        <f t="shared" si="1"/>
        <v>0</v>
      </c>
      <c r="I31" s="398">
        <f>I32</f>
        <v>0</v>
      </c>
      <c r="J31" s="398">
        <f>J32</f>
        <v>0</v>
      </c>
      <c r="K31" s="399">
        <f t="shared" si="2"/>
        <v>0</v>
      </c>
      <c r="L31" s="398">
        <f>L32</f>
        <v>0</v>
      </c>
      <c r="M31" s="398">
        <f>M32</f>
        <v>0</v>
      </c>
      <c r="N31" s="399">
        <f t="shared" si="3"/>
        <v>0</v>
      </c>
    </row>
    <row r="32" spans="1:14" ht="13.5" hidden="1" thickBot="1" x14ac:dyDescent="0.25">
      <c r="A32" s="265"/>
      <c r="B32" s="266" t="s">
        <v>78</v>
      </c>
      <c r="C32" s="398"/>
      <c r="D32" s="398"/>
      <c r="E32" s="399">
        <f t="shared" si="0"/>
        <v>0</v>
      </c>
      <c r="F32" s="398"/>
      <c r="G32" s="398"/>
      <c r="H32" s="399">
        <f t="shared" si="1"/>
        <v>0</v>
      </c>
      <c r="I32" s="398"/>
      <c r="J32" s="398"/>
      <c r="K32" s="399">
        <f t="shared" si="2"/>
        <v>0</v>
      </c>
      <c r="L32" s="398"/>
      <c r="M32" s="398"/>
      <c r="N32" s="399">
        <f t="shared" si="3"/>
        <v>0</v>
      </c>
    </row>
    <row r="33" spans="1:14" ht="13.5" hidden="1" thickBot="1" x14ac:dyDescent="0.25">
      <c r="A33" s="265" t="s">
        <v>79</v>
      </c>
      <c r="B33" s="266" t="s">
        <v>80</v>
      </c>
      <c r="C33" s="398"/>
      <c r="D33" s="398"/>
      <c r="E33" s="399">
        <f t="shared" si="0"/>
        <v>0</v>
      </c>
      <c r="F33" s="398"/>
      <c r="G33" s="398"/>
      <c r="H33" s="399">
        <f t="shared" si="1"/>
        <v>0</v>
      </c>
      <c r="I33" s="398"/>
      <c r="J33" s="398"/>
      <c r="K33" s="399">
        <f t="shared" si="2"/>
        <v>0</v>
      </c>
      <c r="L33" s="398"/>
      <c r="M33" s="398"/>
      <c r="N33" s="399">
        <f t="shared" si="3"/>
        <v>0</v>
      </c>
    </row>
    <row r="34" spans="1:14" ht="13.5" hidden="1" thickBot="1" x14ac:dyDescent="0.25">
      <c r="A34" s="265" t="s">
        <v>81</v>
      </c>
      <c r="B34" s="266" t="s">
        <v>82</v>
      </c>
      <c r="C34" s="398">
        <f>SUM(C35:C37)</f>
        <v>0</v>
      </c>
      <c r="D34" s="398">
        <f>SUM(D35:D37)</f>
        <v>0</v>
      </c>
      <c r="E34" s="399">
        <f t="shared" si="0"/>
        <v>0</v>
      </c>
      <c r="F34" s="398">
        <f>SUM(F35:F37)</f>
        <v>0</v>
      </c>
      <c r="G34" s="398">
        <f>SUM(G35:G37)</f>
        <v>0</v>
      </c>
      <c r="H34" s="399">
        <f t="shared" si="1"/>
        <v>0</v>
      </c>
      <c r="I34" s="398">
        <f>SUM(I35:I37)</f>
        <v>0</v>
      </c>
      <c r="J34" s="398">
        <f>SUM(J35:J37)</f>
        <v>0</v>
      </c>
      <c r="K34" s="399">
        <f t="shared" si="2"/>
        <v>0</v>
      </c>
      <c r="L34" s="398">
        <f>SUM(L35:L37)</f>
        <v>0</v>
      </c>
      <c r="M34" s="398">
        <f>SUM(M35:M37)</f>
        <v>0</v>
      </c>
      <c r="N34" s="399">
        <f t="shared" si="3"/>
        <v>0</v>
      </c>
    </row>
    <row r="35" spans="1:14" ht="13.5" hidden="1" thickBot="1" x14ac:dyDescent="0.25">
      <c r="A35" s="265"/>
      <c r="B35" s="266" t="s">
        <v>83</v>
      </c>
      <c r="C35" s="398"/>
      <c r="D35" s="398"/>
      <c r="E35" s="399">
        <f t="shared" si="0"/>
        <v>0</v>
      </c>
      <c r="F35" s="398"/>
      <c r="G35" s="398"/>
      <c r="H35" s="399">
        <f t="shared" si="1"/>
        <v>0</v>
      </c>
      <c r="I35" s="398"/>
      <c r="J35" s="398"/>
      <c r="K35" s="399">
        <f t="shared" si="2"/>
        <v>0</v>
      </c>
      <c r="L35" s="398"/>
      <c r="M35" s="398"/>
      <c r="N35" s="399">
        <f t="shared" si="3"/>
        <v>0</v>
      </c>
    </row>
    <row r="36" spans="1:14" ht="13.5" hidden="1" thickBot="1" x14ac:dyDescent="0.25">
      <c r="A36" s="265"/>
      <c r="B36" s="266" t="s">
        <v>84</v>
      </c>
      <c r="C36" s="398"/>
      <c r="D36" s="398"/>
      <c r="E36" s="399">
        <f t="shared" si="0"/>
        <v>0</v>
      </c>
      <c r="F36" s="398"/>
      <c r="G36" s="398"/>
      <c r="H36" s="399">
        <f t="shared" si="1"/>
        <v>0</v>
      </c>
      <c r="I36" s="398"/>
      <c r="J36" s="398"/>
      <c r="K36" s="399">
        <f t="shared" si="2"/>
        <v>0</v>
      </c>
      <c r="L36" s="398"/>
      <c r="M36" s="398"/>
      <c r="N36" s="399">
        <f t="shared" si="3"/>
        <v>0</v>
      </c>
    </row>
    <row r="37" spans="1:14" ht="13.5" hidden="1" thickBot="1" x14ac:dyDescent="0.25">
      <c r="A37" s="265"/>
      <c r="B37" s="266" t="s">
        <v>85</v>
      </c>
      <c r="C37" s="398"/>
      <c r="D37" s="398"/>
      <c r="E37" s="399">
        <f t="shared" si="0"/>
        <v>0</v>
      </c>
      <c r="F37" s="398"/>
      <c r="G37" s="398"/>
      <c r="H37" s="399">
        <f t="shared" si="1"/>
        <v>0</v>
      </c>
      <c r="I37" s="398"/>
      <c r="J37" s="398"/>
      <c r="K37" s="399">
        <f t="shared" si="2"/>
        <v>0</v>
      </c>
      <c r="L37" s="398"/>
      <c r="M37" s="398"/>
      <c r="N37" s="399">
        <f t="shared" si="3"/>
        <v>0</v>
      </c>
    </row>
    <row r="38" spans="1:14" ht="13.5" hidden="1" thickBot="1" x14ac:dyDescent="0.25">
      <c r="A38" s="265" t="s">
        <v>86</v>
      </c>
      <c r="B38" s="266" t="s">
        <v>87</v>
      </c>
      <c r="C38" s="398">
        <f>SUM(C39:C44)</f>
        <v>0</v>
      </c>
      <c r="D38" s="398">
        <f>SUM(D39:D44)</f>
        <v>0</v>
      </c>
      <c r="E38" s="399">
        <f t="shared" si="0"/>
        <v>0</v>
      </c>
      <c r="F38" s="398">
        <f>SUM(F39:F44)</f>
        <v>0</v>
      </c>
      <c r="G38" s="398">
        <f>SUM(G39:G44)</f>
        <v>0</v>
      </c>
      <c r="H38" s="399">
        <f t="shared" si="1"/>
        <v>0</v>
      </c>
      <c r="I38" s="398">
        <f>SUM(I39:I44)</f>
        <v>0</v>
      </c>
      <c r="J38" s="398">
        <f>SUM(J39:J44)</f>
        <v>0</v>
      </c>
      <c r="K38" s="399">
        <f t="shared" si="2"/>
        <v>0</v>
      </c>
      <c r="L38" s="398">
        <f>SUM(L39:L44)</f>
        <v>0</v>
      </c>
      <c r="M38" s="398">
        <f>SUM(M39:M44)</f>
        <v>0</v>
      </c>
      <c r="N38" s="399">
        <f t="shared" si="3"/>
        <v>0</v>
      </c>
    </row>
    <row r="39" spans="1:14" ht="13.5" hidden="1" thickBot="1" x14ac:dyDescent="0.25">
      <c r="A39" s="265"/>
      <c r="B39" s="266" t="s">
        <v>88</v>
      </c>
      <c r="C39" s="398"/>
      <c r="D39" s="398"/>
      <c r="E39" s="399">
        <f t="shared" si="0"/>
        <v>0</v>
      </c>
      <c r="F39" s="398"/>
      <c r="G39" s="398"/>
      <c r="H39" s="399">
        <f t="shared" si="1"/>
        <v>0</v>
      </c>
      <c r="I39" s="398"/>
      <c r="J39" s="398"/>
      <c r="K39" s="399">
        <f t="shared" si="2"/>
        <v>0</v>
      </c>
      <c r="L39" s="398"/>
      <c r="M39" s="398"/>
      <c r="N39" s="399">
        <f t="shared" si="3"/>
        <v>0</v>
      </c>
    </row>
    <row r="40" spans="1:14" ht="13.5" hidden="1" thickBot="1" x14ac:dyDescent="0.25">
      <c r="A40" s="265"/>
      <c r="B40" s="266" t="s">
        <v>89</v>
      </c>
      <c r="C40" s="398"/>
      <c r="D40" s="398"/>
      <c r="E40" s="399">
        <f t="shared" si="0"/>
        <v>0</v>
      </c>
      <c r="F40" s="398"/>
      <c r="G40" s="398"/>
      <c r="H40" s="399">
        <f t="shared" si="1"/>
        <v>0</v>
      </c>
      <c r="I40" s="398"/>
      <c r="J40" s="398"/>
      <c r="K40" s="399">
        <f t="shared" si="2"/>
        <v>0</v>
      </c>
      <c r="L40" s="398"/>
      <c r="M40" s="398"/>
      <c r="N40" s="399">
        <f t="shared" si="3"/>
        <v>0</v>
      </c>
    </row>
    <row r="41" spans="1:14" ht="13.5" hidden="1" thickBot="1" x14ac:dyDescent="0.25">
      <c r="A41" s="265"/>
      <c r="B41" s="266" t="s">
        <v>90</v>
      </c>
      <c r="C41" s="398"/>
      <c r="D41" s="398"/>
      <c r="E41" s="399">
        <f t="shared" si="0"/>
        <v>0</v>
      </c>
      <c r="F41" s="398"/>
      <c r="G41" s="398"/>
      <c r="H41" s="399">
        <f t="shared" si="1"/>
        <v>0</v>
      </c>
      <c r="I41" s="398"/>
      <c r="J41" s="398"/>
      <c r="K41" s="399">
        <f t="shared" si="2"/>
        <v>0</v>
      </c>
      <c r="L41" s="398"/>
      <c r="M41" s="398"/>
      <c r="N41" s="399">
        <f t="shared" si="3"/>
        <v>0</v>
      </c>
    </row>
    <row r="42" spans="1:14" ht="13.5" hidden="1" thickBot="1" x14ac:dyDescent="0.25">
      <c r="A42" s="265"/>
      <c r="B42" s="266" t="s">
        <v>91</v>
      </c>
      <c r="C42" s="398"/>
      <c r="D42" s="398"/>
      <c r="E42" s="399">
        <f t="shared" si="0"/>
        <v>0</v>
      </c>
      <c r="F42" s="398"/>
      <c r="G42" s="398"/>
      <c r="H42" s="399">
        <f t="shared" si="1"/>
        <v>0</v>
      </c>
      <c r="I42" s="398"/>
      <c r="J42" s="398"/>
      <c r="K42" s="399">
        <f t="shared" si="2"/>
        <v>0</v>
      </c>
      <c r="L42" s="398"/>
      <c r="M42" s="398"/>
      <c r="N42" s="399">
        <f t="shared" si="3"/>
        <v>0</v>
      </c>
    </row>
    <row r="43" spans="1:14" ht="13.5" hidden="1" thickBot="1" x14ac:dyDescent="0.25">
      <c r="A43" s="265"/>
      <c r="B43" s="266" t="s">
        <v>92</v>
      </c>
      <c r="C43" s="398"/>
      <c r="D43" s="398"/>
      <c r="E43" s="399">
        <f t="shared" si="0"/>
        <v>0</v>
      </c>
      <c r="F43" s="398"/>
      <c r="G43" s="398"/>
      <c r="H43" s="399">
        <f t="shared" si="1"/>
        <v>0</v>
      </c>
      <c r="I43" s="398"/>
      <c r="J43" s="398"/>
      <c r="K43" s="399">
        <f t="shared" si="2"/>
        <v>0</v>
      </c>
      <c r="L43" s="398"/>
      <c r="M43" s="398"/>
      <c r="N43" s="399">
        <f t="shared" si="3"/>
        <v>0</v>
      </c>
    </row>
    <row r="44" spans="1:14" ht="13.5" hidden="1" thickBot="1" x14ac:dyDescent="0.25">
      <c r="A44" s="267"/>
      <c r="B44" s="268" t="s">
        <v>93</v>
      </c>
      <c r="C44" s="400"/>
      <c r="D44" s="400"/>
      <c r="E44" s="401">
        <f t="shared" si="0"/>
        <v>0</v>
      </c>
      <c r="F44" s="400"/>
      <c r="G44" s="400"/>
      <c r="H44" s="401">
        <f t="shared" si="1"/>
        <v>0</v>
      </c>
      <c r="I44" s="400"/>
      <c r="J44" s="400"/>
      <c r="K44" s="401">
        <f t="shared" si="2"/>
        <v>0</v>
      </c>
      <c r="L44" s="400"/>
      <c r="M44" s="400"/>
      <c r="N44" s="401">
        <f t="shared" si="3"/>
        <v>0</v>
      </c>
    </row>
    <row r="45" spans="1:14" ht="13.5" thickBot="1" x14ac:dyDescent="0.25">
      <c r="A45" s="263" t="s">
        <v>94</v>
      </c>
      <c r="B45" s="264" t="s">
        <v>26</v>
      </c>
      <c r="C45" s="396">
        <f>C46+C47+C48+C49+C54+C55+C56+C57+C58+C59+C60</f>
        <v>0</v>
      </c>
      <c r="D45" s="396">
        <f>D46+D47+D48+D49+D54+D55+D56+D57+D58+D59+D60</f>
        <v>0</v>
      </c>
      <c r="E45" s="397">
        <f t="shared" si="0"/>
        <v>0</v>
      </c>
      <c r="F45" s="396">
        <f>F46+F47+F48+F49+F54+F55+F56+F57+F58+F59+F60</f>
        <v>0</v>
      </c>
      <c r="G45" s="396">
        <f>G46+G47+G48+G49+G54+G55+G56+G57+G58+G59+G60</f>
        <v>0</v>
      </c>
      <c r="H45" s="397">
        <f t="shared" si="1"/>
        <v>0</v>
      </c>
      <c r="I45" s="396">
        <f>I46+I47+I48+I49+I54+I55+I56+I57+I58+I59+I60</f>
        <v>0</v>
      </c>
      <c r="J45" s="396">
        <f>J46+J47+J48+J49+J54+J55+J56+J57+J58+J59+J60</f>
        <v>0</v>
      </c>
      <c r="K45" s="397">
        <f t="shared" si="2"/>
        <v>0</v>
      </c>
      <c r="L45" s="396">
        <f>L46+L47+L48+L49+L54+L55+L56+L57+L58+L59+L60</f>
        <v>0</v>
      </c>
      <c r="M45" s="396">
        <f>M46+M47+M48+M49+M54+M55+M56+M57+M58+M59+M60</f>
        <v>0</v>
      </c>
      <c r="N45" s="397">
        <f t="shared" si="3"/>
        <v>0</v>
      </c>
    </row>
    <row r="46" spans="1:14" ht="13.5" hidden="1" thickBot="1" x14ac:dyDescent="0.25">
      <c r="A46" s="265" t="s">
        <v>95</v>
      </c>
      <c r="B46" s="266" t="s">
        <v>96</v>
      </c>
      <c r="C46" s="398"/>
      <c r="D46" s="398"/>
      <c r="E46" s="399">
        <f t="shared" si="0"/>
        <v>0</v>
      </c>
      <c r="F46" s="398"/>
      <c r="G46" s="398"/>
      <c r="H46" s="399">
        <f t="shared" si="1"/>
        <v>0</v>
      </c>
      <c r="I46" s="398"/>
      <c r="J46" s="398"/>
      <c r="K46" s="399">
        <f t="shared" si="2"/>
        <v>0</v>
      </c>
      <c r="L46" s="398"/>
      <c r="M46" s="398"/>
      <c r="N46" s="399">
        <f t="shared" si="3"/>
        <v>0</v>
      </c>
    </row>
    <row r="47" spans="1:14" ht="13.5" hidden="1" thickBot="1" x14ac:dyDescent="0.25">
      <c r="A47" s="265" t="s">
        <v>97</v>
      </c>
      <c r="B47" s="266" t="s">
        <v>98</v>
      </c>
      <c r="C47" s="398"/>
      <c r="D47" s="398"/>
      <c r="E47" s="399">
        <f t="shared" si="0"/>
        <v>0</v>
      </c>
      <c r="F47" s="398"/>
      <c r="G47" s="398"/>
      <c r="H47" s="399">
        <f t="shared" si="1"/>
        <v>0</v>
      </c>
      <c r="I47" s="398"/>
      <c r="J47" s="398"/>
      <c r="K47" s="399">
        <f t="shared" si="2"/>
        <v>0</v>
      </c>
      <c r="L47" s="398"/>
      <c r="M47" s="398"/>
      <c r="N47" s="399">
        <f t="shared" si="3"/>
        <v>0</v>
      </c>
    </row>
    <row r="48" spans="1:14" ht="13.5" hidden="1" thickBot="1" x14ac:dyDescent="0.25">
      <c r="A48" s="265" t="s">
        <v>99</v>
      </c>
      <c r="B48" s="266" t="s">
        <v>100</v>
      </c>
      <c r="C48" s="398"/>
      <c r="D48" s="398"/>
      <c r="E48" s="399">
        <f t="shared" si="0"/>
        <v>0</v>
      </c>
      <c r="F48" s="398"/>
      <c r="G48" s="398"/>
      <c r="H48" s="399">
        <f t="shared" si="1"/>
        <v>0</v>
      </c>
      <c r="I48" s="398"/>
      <c r="J48" s="398"/>
      <c r="K48" s="399">
        <f t="shared" si="2"/>
        <v>0</v>
      </c>
      <c r="L48" s="398"/>
      <c r="M48" s="398"/>
      <c r="N48" s="399">
        <f t="shared" si="3"/>
        <v>0</v>
      </c>
    </row>
    <row r="49" spans="1:14" ht="13.5" hidden="1" thickBot="1" x14ac:dyDescent="0.25">
      <c r="A49" s="265" t="s">
        <v>101</v>
      </c>
      <c r="B49" s="266" t="s">
        <v>102</v>
      </c>
      <c r="C49" s="398">
        <f>SUM(C50:C53)</f>
        <v>0</v>
      </c>
      <c r="D49" s="398">
        <f>SUM(D50:D53)</f>
        <v>0</v>
      </c>
      <c r="E49" s="399">
        <f t="shared" si="0"/>
        <v>0</v>
      </c>
      <c r="F49" s="398">
        <f>SUM(F50:F53)</f>
        <v>0</v>
      </c>
      <c r="G49" s="398">
        <f>SUM(G50:G53)</f>
        <v>0</v>
      </c>
      <c r="H49" s="399">
        <f t="shared" si="1"/>
        <v>0</v>
      </c>
      <c r="I49" s="398">
        <f>SUM(I50:I53)</f>
        <v>0</v>
      </c>
      <c r="J49" s="398">
        <f>SUM(J50:J53)</f>
        <v>0</v>
      </c>
      <c r="K49" s="399">
        <f t="shared" si="2"/>
        <v>0</v>
      </c>
      <c r="L49" s="398">
        <f>SUM(L50:L53)</f>
        <v>0</v>
      </c>
      <c r="M49" s="398">
        <f>SUM(M50:M53)</f>
        <v>0</v>
      </c>
      <c r="N49" s="399">
        <f t="shared" si="3"/>
        <v>0</v>
      </c>
    </row>
    <row r="50" spans="1:14" ht="13.5" hidden="1" thickBot="1" x14ac:dyDescent="0.25">
      <c r="A50" s="265"/>
      <c r="B50" s="266" t="s">
        <v>103</v>
      </c>
      <c r="C50" s="398"/>
      <c r="D50" s="398"/>
      <c r="E50" s="399">
        <f t="shared" si="0"/>
        <v>0</v>
      </c>
      <c r="F50" s="398"/>
      <c r="G50" s="398"/>
      <c r="H50" s="399">
        <f t="shared" si="1"/>
        <v>0</v>
      </c>
      <c r="I50" s="398"/>
      <c r="J50" s="398"/>
      <c r="K50" s="399">
        <f t="shared" si="2"/>
        <v>0</v>
      </c>
      <c r="L50" s="398"/>
      <c r="M50" s="398"/>
      <c r="N50" s="399">
        <f t="shared" si="3"/>
        <v>0</v>
      </c>
    </row>
    <row r="51" spans="1:14" ht="13.5" hidden="1" thickBot="1" x14ac:dyDescent="0.25">
      <c r="A51" s="265"/>
      <c r="B51" s="266" t="s">
        <v>104</v>
      </c>
      <c r="C51" s="398"/>
      <c r="D51" s="398"/>
      <c r="E51" s="399">
        <f t="shared" si="0"/>
        <v>0</v>
      </c>
      <c r="F51" s="398"/>
      <c r="G51" s="398"/>
      <c r="H51" s="399">
        <f t="shared" si="1"/>
        <v>0</v>
      </c>
      <c r="I51" s="398"/>
      <c r="J51" s="398"/>
      <c r="K51" s="399">
        <f t="shared" si="2"/>
        <v>0</v>
      </c>
      <c r="L51" s="398"/>
      <c r="M51" s="398"/>
      <c r="N51" s="399">
        <f t="shared" si="3"/>
        <v>0</v>
      </c>
    </row>
    <row r="52" spans="1:14" ht="13.5" hidden="1" thickBot="1" x14ac:dyDescent="0.25">
      <c r="A52" s="265"/>
      <c r="B52" s="266" t="s">
        <v>105</v>
      </c>
      <c r="C52" s="398"/>
      <c r="D52" s="398"/>
      <c r="E52" s="399">
        <f t="shared" si="0"/>
        <v>0</v>
      </c>
      <c r="F52" s="398"/>
      <c r="G52" s="398"/>
      <c r="H52" s="399">
        <f t="shared" si="1"/>
        <v>0</v>
      </c>
      <c r="I52" s="398"/>
      <c r="J52" s="398"/>
      <c r="K52" s="399">
        <f t="shared" si="2"/>
        <v>0</v>
      </c>
      <c r="L52" s="398"/>
      <c r="M52" s="398"/>
      <c r="N52" s="399">
        <f t="shared" si="3"/>
        <v>0</v>
      </c>
    </row>
    <row r="53" spans="1:14" ht="13.5" hidden="1" thickBot="1" x14ac:dyDescent="0.25">
      <c r="A53" s="265"/>
      <c r="B53" s="266" t="s">
        <v>106</v>
      </c>
      <c r="C53" s="398"/>
      <c r="D53" s="398"/>
      <c r="E53" s="399">
        <f t="shared" si="0"/>
        <v>0</v>
      </c>
      <c r="F53" s="398"/>
      <c r="G53" s="398"/>
      <c r="H53" s="399">
        <f t="shared" si="1"/>
        <v>0</v>
      </c>
      <c r="I53" s="398"/>
      <c r="J53" s="398"/>
      <c r="K53" s="399">
        <f t="shared" si="2"/>
        <v>0</v>
      </c>
      <c r="L53" s="398"/>
      <c r="M53" s="398"/>
      <c r="N53" s="399">
        <f t="shared" si="3"/>
        <v>0</v>
      </c>
    </row>
    <row r="54" spans="1:14" ht="13.5" hidden="1" thickBot="1" x14ac:dyDescent="0.25">
      <c r="A54" s="265" t="s">
        <v>107</v>
      </c>
      <c r="B54" s="266" t="s">
        <v>108</v>
      </c>
      <c r="C54" s="398"/>
      <c r="D54" s="398"/>
      <c r="E54" s="399">
        <f t="shared" si="0"/>
        <v>0</v>
      </c>
      <c r="F54" s="398"/>
      <c r="G54" s="398"/>
      <c r="H54" s="399">
        <f t="shared" si="1"/>
        <v>0</v>
      </c>
      <c r="I54" s="398"/>
      <c r="J54" s="398"/>
      <c r="K54" s="399">
        <f t="shared" si="2"/>
        <v>0</v>
      </c>
      <c r="L54" s="398"/>
      <c r="M54" s="398"/>
      <c r="N54" s="399">
        <f t="shared" si="3"/>
        <v>0</v>
      </c>
    </row>
    <row r="55" spans="1:14" ht="13.5" hidden="1" thickBot="1" x14ac:dyDescent="0.25">
      <c r="A55" s="265" t="s">
        <v>109</v>
      </c>
      <c r="B55" s="266" t="s">
        <v>110</v>
      </c>
      <c r="C55" s="398"/>
      <c r="D55" s="398"/>
      <c r="E55" s="399">
        <f t="shared" si="0"/>
        <v>0</v>
      </c>
      <c r="F55" s="398"/>
      <c r="G55" s="398"/>
      <c r="H55" s="399">
        <f t="shared" si="1"/>
        <v>0</v>
      </c>
      <c r="I55" s="398"/>
      <c r="J55" s="398"/>
      <c r="K55" s="399">
        <f t="shared" si="2"/>
        <v>0</v>
      </c>
      <c r="L55" s="398"/>
      <c r="M55" s="398"/>
      <c r="N55" s="399">
        <f t="shared" si="3"/>
        <v>0</v>
      </c>
    </row>
    <row r="56" spans="1:14" ht="13.5" hidden="1" thickBot="1" x14ac:dyDescent="0.25">
      <c r="A56" s="265" t="s">
        <v>111</v>
      </c>
      <c r="B56" s="266" t="s">
        <v>112</v>
      </c>
      <c r="C56" s="398"/>
      <c r="D56" s="398"/>
      <c r="E56" s="399">
        <f t="shared" si="0"/>
        <v>0</v>
      </c>
      <c r="F56" s="398"/>
      <c r="G56" s="398"/>
      <c r="H56" s="399">
        <f t="shared" si="1"/>
        <v>0</v>
      </c>
      <c r="I56" s="398"/>
      <c r="J56" s="398"/>
      <c r="K56" s="399">
        <f t="shared" si="2"/>
        <v>0</v>
      </c>
      <c r="L56" s="398"/>
      <c r="M56" s="398"/>
      <c r="N56" s="399">
        <f t="shared" si="3"/>
        <v>0</v>
      </c>
    </row>
    <row r="57" spans="1:14" ht="13.5" hidden="1" thickBot="1" x14ac:dyDescent="0.25">
      <c r="A57" s="265" t="s">
        <v>113</v>
      </c>
      <c r="B57" s="266" t="s">
        <v>114</v>
      </c>
      <c r="C57" s="398"/>
      <c r="D57" s="398"/>
      <c r="E57" s="399">
        <f t="shared" si="0"/>
        <v>0</v>
      </c>
      <c r="F57" s="398"/>
      <c r="G57" s="398"/>
      <c r="H57" s="399">
        <f t="shared" si="1"/>
        <v>0</v>
      </c>
      <c r="I57" s="398"/>
      <c r="J57" s="398"/>
      <c r="K57" s="399">
        <f t="shared" si="2"/>
        <v>0</v>
      </c>
      <c r="L57" s="398"/>
      <c r="M57" s="398"/>
      <c r="N57" s="399">
        <f t="shared" si="3"/>
        <v>0</v>
      </c>
    </row>
    <row r="58" spans="1:14" ht="13.5" hidden="1" thickBot="1" x14ac:dyDescent="0.25">
      <c r="A58" s="265" t="s">
        <v>115</v>
      </c>
      <c r="B58" s="266" t="s">
        <v>116</v>
      </c>
      <c r="C58" s="398"/>
      <c r="D58" s="398"/>
      <c r="E58" s="399">
        <f t="shared" si="0"/>
        <v>0</v>
      </c>
      <c r="F58" s="398"/>
      <c r="G58" s="398"/>
      <c r="H58" s="399">
        <f t="shared" si="1"/>
        <v>0</v>
      </c>
      <c r="I58" s="398"/>
      <c r="J58" s="398"/>
      <c r="K58" s="399">
        <f t="shared" si="2"/>
        <v>0</v>
      </c>
      <c r="L58" s="398"/>
      <c r="M58" s="398"/>
      <c r="N58" s="399">
        <f t="shared" si="3"/>
        <v>0</v>
      </c>
    </row>
    <row r="59" spans="1:14" ht="13.5" hidden="1" thickBot="1" x14ac:dyDescent="0.25">
      <c r="A59" s="265" t="s">
        <v>117</v>
      </c>
      <c r="B59" s="266" t="s">
        <v>118</v>
      </c>
      <c r="C59" s="398"/>
      <c r="D59" s="398"/>
      <c r="E59" s="399">
        <f t="shared" si="0"/>
        <v>0</v>
      </c>
      <c r="F59" s="398"/>
      <c r="G59" s="398"/>
      <c r="H59" s="399">
        <f t="shared" si="1"/>
        <v>0</v>
      </c>
      <c r="I59" s="398"/>
      <c r="J59" s="398"/>
      <c r="K59" s="399">
        <f t="shared" si="2"/>
        <v>0</v>
      </c>
      <c r="L59" s="398"/>
      <c r="M59" s="398"/>
      <c r="N59" s="399">
        <f t="shared" si="3"/>
        <v>0</v>
      </c>
    </row>
    <row r="60" spans="1:14" ht="13.5" hidden="1" thickBot="1" x14ac:dyDescent="0.25">
      <c r="A60" s="267" t="s">
        <v>119</v>
      </c>
      <c r="B60" s="268" t="s">
        <v>120</v>
      </c>
      <c r="C60" s="400"/>
      <c r="D60" s="400"/>
      <c r="E60" s="401">
        <f t="shared" si="0"/>
        <v>0</v>
      </c>
      <c r="F60" s="400"/>
      <c r="G60" s="400"/>
      <c r="H60" s="401">
        <f t="shared" si="1"/>
        <v>0</v>
      </c>
      <c r="I60" s="400"/>
      <c r="J60" s="400"/>
      <c r="K60" s="401">
        <f t="shared" si="2"/>
        <v>0</v>
      </c>
      <c r="L60" s="400"/>
      <c r="M60" s="400"/>
      <c r="N60" s="401">
        <f t="shared" si="3"/>
        <v>0</v>
      </c>
    </row>
    <row r="61" spans="1:14" ht="13.5" thickBot="1" x14ac:dyDescent="0.25">
      <c r="A61" s="263" t="s">
        <v>121</v>
      </c>
      <c r="B61" s="264" t="s">
        <v>28</v>
      </c>
      <c r="C61" s="396">
        <f>SUM(C62:C66)</f>
        <v>0</v>
      </c>
      <c r="D61" s="396">
        <f>SUM(D62:D66)</f>
        <v>0</v>
      </c>
      <c r="E61" s="397">
        <f t="shared" si="0"/>
        <v>0</v>
      </c>
      <c r="F61" s="396">
        <f>SUM(F62:F66)</f>
        <v>0</v>
      </c>
      <c r="G61" s="396">
        <f>SUM(G62:G66)</f>
        <v>0</v>
      </c>
      <c r="H61" s="397">
        <f t="shared" si="1"/>
        <v>0</v>
      </c>
      <c r="I61" s="396">
        <f>SUM(I62:I66)</f>
        <v>0</v>
      </c>
      <c r="J61" s="396">
        <f>SUM(J62:J66)</f>
        <v>0</v>
      </c>
      <c r="K61" s="397">
        <f t="shared" si="2"/>
        <v>0</v>
      </c>
      <c r="L61" s="396">
        <f>SUM(L62:L66)</f>
        <v>0</v>
      </c>
      <c r="M61" s="396">
        <f>SUM(M62:M66)</f>
        <v>0</v>
      </c>
      <c r="N61" s="397">
        <f t="shared" si="3"/>
        <v>0</v>
      </c>
    </row>
    <row r="62" spans="1:14" ht="13.5" hidden="1" thickBot="1" x14ac:dyDescent="0.25">
      <c r="A62" s="265" t="s">
        <v>122</v>
      </c>
      <c r="B62" s="266" t="s">
        <v>123</v>
      </c>
      <c r="C62" s="398"/>
      <c r="D62" s="398"/>
      <c r="E62" s="399">
        <f t="shared" si="0"/>
        <v>0</v>
      </c>
      <c r="F62" s="398"/>
      <c r="G62" s="398"/>
      <c r="H62" s="399">
        <f t="shared" si="1"/>
        <v>0</v>
      </c>
      <c r="I62" s="398"/>
      <c r="J62" s="398"/>
      <c r="K62" s="399">
        <f t="shared" si="2"/>
        <v>0</v>
      </c>
      <c r="L62" s="398"/>
      <c r="M62" s="398"/>
      <c r="N62" s="399">
        <f t="shared" si="3"/>
        <v>0</v>
      </c>
    </row>
    <row r="63" spans="1:14" ht="13.5" hidden="1" thickBot="1" x14ac:dyDescent="0.25">
      <c r="A63" s="265" t="s">
        <v>124</v>
      </c>
      <c r="B63" s="266" t="s">
        <v>125</v>
      </c>
      <c r="C63" s="398"/>
      <c r="D63" s="398"/>
      <c r="E63" s="399">
        <f t="shared" si="0"/>
        <v>0</v>
      </c>
      <c r="F63" s="398"/>
      <c r="G63" s="398"/>
      <c r="H63" s="399">
        <f t="shared" si="1"/>
        <v>0</v>
      </c>
      <c r="I63" s="398"/>
      <c r="J63" s="398"/>
      <c r="K63" s="399">
        <f t="shared" si="2"/>
        <v>0</v>
      </c>
      <c r="L63" s="398"/>
      <c r="M63" s="398"/>
      <c r="N63" s="399">
        <f t="shared" si="3"/>
        <v>0</v>
      </c>
    </row>
    <row r="64" spans="1:14" ht="13.5" hidden="1" thickBot="1" x14ac:dyDescent="0.25">
      <c r="A64" s="265" t="s">
        <v>126</v>
      </c>
      <c r="B64" s="266" t="s">
        <v>127</v>
      </c>
      <c r="C64" s="398"/>
      <c r="D64" s="398"/>
      <c r="E64" s="399">
        <f t="shared" si="0"/>
        <v>0</v>
      </c>
      <c r="F64" s="398"/>
      <c r="G64" s="398"/>
      <c r="H64" s="399">
        <f t="shared" si="1"/>
        <v>0</v>
      </c>
      <c r="I64" s="398"/>
      <c r="J64" s="398"/>
      <c r="K64" s="399">
        <f t="shared" si="2"/>
        <v>0</v>
      </c>
      <c r="L64" s="398"/>
      <c r="M64" s="398"/>
      <c r="N64" s="399">
        <f t="shared" si="3"/>
        <v>0</v>
      </c>
    </row>
    <row r="65" spans="1:14" ht="13.5" hidden="1" thickBot="1" x14ac:dyDescent="0.25">
      <c r="A65" s="265" t="s">
        <v>128</v>
      </c>
      <c r="B65" s="266" t="s">
        <v>129</v>
      </c>
      <c r="C65" s="398"/>
      <c r="D65" s="398"/>
      <c r="E65" s="399">
        <f t="shared" si="0"/>
        <v>0</v>
      </c>
      <c r="F65" s="398"/>
      <c r="G65" s="398"/>
      <c r="H65" s="399">
        <f t="shared" si="1"/>
        <v>0</v>
      </c>
      <c r="I65" s="398"/>
      <c r="J65" s="398"/>
      <c r="K65" s="399">
        <f t="shared" si="2"/>
        <v>0</v>
      </c>
      <c r="L65" s="398"/>
      <c r="M65" s="398"/>
      <c r="N65" s="399">
        <f t="shared" si="3"/>
        <v>0</v>
      </c>
    </row>
    <row r="66" spans="1:14" ht="13.5" hidden="1" thickBot="1" x14ac:dyDescent="0.25">
      <c r="A66" s="267" t="s">
        <v>130</v>
      </c>
      <c r="B66" s="268" t="s">
        <v>131</v>
      </c>
      <c r="C66" s="400"/>
      <c r="D66" s="400"/>
      <c r="E66" s="401">
        <f t="shared" si="0"/>
        <v>0</v>
      </c>
      <c r="F66" s="400"/>
      <c r="G66" s="400"/>
      <c r="H66" s="401">
        <f t="shared" si="1"/>
        <v>0</v>
      </c>
      <c r="I66" s="400"/>
      <c r="J66" s="400"/>
      <c r="K66" s="401">
        <f t="shared" si="2"/>
        <v>0</v>
      </c>
      <c r="L66" s="400"/>
      <c r="M66" s="400"/>
      <c r="N66" s="401">
        <f t="shared" si="3"/>
        <v>0</v>
      </c>
    </row>
    <row r="67" spans="1:14" ht="13.5" thickBot="1" x14ac:dyDescent="0.25">
      <c r="A67" s="263" t="s">
        <v>132</v>
      </c>
      <c r="B67" s="264" t="s">
        <v>133</v>
      </c>
      <c r="C67" s="396">
        <f>SUM(C68:C69)</f>
        <v>0</v>
      </c>
      <c r="D67" s="396">
        <f>SUM(D68:D69)</f>
        <v>0</v>
      </c>
      <c r="E67" s="397">
        <f t="shared" si="0"/>
        <v>0</v>
      </c>
      <c r="F67" s="396">
        <f>SUM(F68:F69)</f>
        <v>0</v>
      </c>
      <c r="G67" s="396">
        <f>SUM(G68:G69)</f>
        <v>0</v>
      </c>
      <c r="H67" s="397">
        <f t="shared" si="1"/>
        <v>0</v>
      </c>
      <c r="I67" s="396">
        <f>SUM(I68:I69)</f>
        <v>0</v>
      </c>
      <c r="J67" s="396">
        <f>SUM(J68:J69)</f>
        <v>0</v>
      </c>
      <c r="K67" s="397">
        <f t="shared" si="2"/>
        <v>0</v>
      </c>
      <c r="L67" s="396">
        <f>SUM(L68:L69)</f>
        <v>0</v>
      </c>
      <c r="M67" s="396">
        <f>SUM(M68:M69)</f>
        <v>0</v>
      </c>
      <c r="N67" s="397">
        <f t="shared" si="3"/>
        <v>0</v>
      </c>
    </row>
    <row r="68" spans="1:14" ht="13.5" hidden="1" thickBot="1" x14ac:dyDescent="0.25">
      <c r="A68" s="265" t="s">
        <v>134</v>
      </c>
      <c r="B68" s="266" t="s">
        <v>135</v>
      </c>
      <c r="C68" s="398"/>
      <c r="D68" s="398"/>
      <c r="E68" s="399">
        <f t="shared" si="0"/>
        <v>0</v>
      </c>
      <c r="F68" s="398"/>
      <c r="G68" s="398"/>
      <c r="H68" s="399">
        <f t="shared" si="1"/>
        <v>0</v>
      </c>
      <c r="I68" s="398"/>
      <c r="J68" s="398"/>
      <c r="K68" s="399">
        <f t="shared" si="2"/>
        <v>0</v>
      </c>
      <c r="L68" s="398"/>
      <c r="M68" s="398"/>
      <c r="N68" s="399">
        <f t="shared" si="3"/>
        <v>0</v>
      </c>
    </row>
    <row r="69" spans="1:14" ht="13.5" hidden="1" thickBot="1" x14ac:dyDescent="0.25">
      <c r="A69" s="267" t="s">
        <v>136</v>
      </c>
      <c r="B69" s="268" t="s">
        <v>137</v>
      </c>
      <c r="C69" s="400"/>
      <c r="D69" s="400"/>
      <c r="E69" s="401">
        <f t="shared" si="0"/>
        <v>0</v>
      </c>
      <c r="F69" s="400"/>
      <c r="G69" s="400"/>
      <c r="H69" s="401">
        <f t="shared" si="1"/>
        <v>0</v>
      </c>
      <c r="I69" s="400"/>
      <c r="J69" s="400"/>
      <c r="K69" s="401">
        <f t="shared" si="2"/>
        <v>0</v>
      </c>
      <c r="L69" s="400"/>
      <c r="M69" s="400"/>
      <c r="N69" s="401">
        <f t="shared" si="3"/>
        <v>0</v>
      </c>
    </row>
    <row r="70" spans="1:14" x14ac:dyDescent="0.2">
      <c r="A70" s="263" t="s">
        <v>138</v>
      </c>
      <c r="B70" s="264" t="s">
        <v>139</v>
      </c>
      <c r="C70" s="396">
        <f>C71</f>
        <v>0</v>
      </c>
      <c r="D70" s="396">
        <f>D71</f>
        <v>0</v>
      </c>
      <c r="E70" s="397">
        <f t="shared" si="0"/>
        <v>0</v>
      </c>
      <c r="F70" s="396">
        <f>F71</f>
        <v>0</v>
      </c>
      <c r="G70" s="396">
        <f>G71</f>
        <v>0</v>
      </c>
      <c r="H70" s="397">
        <f t="shared" si="1"/>
        <v>0</v>
      </c>
      <c r="I70" s="396">
        <f>I71</f>
        <v>0</v>
      </c>
      <c r="J70" s="396">
        <f>J71</f>
        <v>0</v>
      </c>
      <c r="K70" s="397">
        <f t="shared" si="2"/>
        <v>0</v>
      </c>
      <c r="L70" s="396">
        <f>L71</f>
        <v>0</v>
      </c>
      <c r="M70" s="396">
        <f>M71</f>
        <v>0</v>
      </c>
      <c r="N70" s="397">
        <f t="shared" si="3"/>
        <v>0</v>
      </c>
    </row>
    <row r="71" spans="1:14" ht="13.5" hidden="1" thickBot="1" x14ac:dyDescent="0.25">
      <c r="A71" s="267"/>
      <c r="B71" s="268" t="s">
        <v>140</v>
      </c>
      <c r="C71" s="400"/>
      <c r="D71" s="400"/>
      <c r="E71" s="401">
        <f t="shared" si="0"/>
        <v>0</v>
      </c>
      <c r="F71" s="400"/>
      <c r="G71" s="400"/>
      <c r="H71" s="401">
        <f t="shared" si="1"/>
        <v>0</v>
      </c>
      <c r="I71" s="400"/>
      <c r="J71" s="400"/>
      <c r="K71" s="401">
        <f t="shared" si="2"/>
        <v>0</v>
      </c>
      <c r="L71" s="400"/>
      <c r="M71" s="400"/>
      <c r="N71" s="401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3.5" thickBot="1" x14ac:dyDescent="0.25">
      <c r="A73" s="277" t="s">
        <v>141</v>
      </c>
      <c r="B73" s="278" t="s">
        <v>142</v>
      </c>
      <c r="C73" s="402">
        <f>C9+C22+C25+C45+C61+C67+C70</f>
        <v>0</v>
      </c>
      <c r="D73" s="402">
        <f>D9+D22+D25+D45+D61+D67+D70</f>
        <v>0</v>
      </c>
      <c r="E73" s="403">
        <f t="shared" si="0"/>
        <v>0</v>
      </c>
      <c r="F73" s="402">
        <f>F9+F22+F25+F45+F61+F67+F70</f>
        <v>0</v>
      </c>
      <c r="G73" s="402">
        <f>G9+G22+G25+G45+G61+G67+G70</f>
        <v>0</v>
      </c>
      <c r="H73" s="403">
        <f t="shared" si="1"/>
        <v>0</v>
      </c>
      <c r="I73" s="402">
        <f>I9+I22+I25+I45+I61+I67+I70</f>
        <v>0</v>
      </c>
      <c r="J73" s="402">
        <f>J9+J22+J25+J45+J61+J67+J70</f>
        <v>0</v>
      </c>
      <c r="K73" s="403">
        <f t="shared" si="2"/>
        <v>0</v>
      </c>
      <c r="L73" s="402">
        <f>L9+L22+L25+L45+L61+L67+L70</f>
        <v>0</v>
      </c>
      <c r="M73" s="402">
        <f>M9+M22+M25+M45+M61+M67+M70</f>
        <v>0</v>
      </c>
      <c r="N73" s="403">
        <f t="shared" si="3"/>
        <v>0</v>
      </c>
    </row>
    <row r="74" spans="1:14" ht="13.5" thickBot="1" x14ac:dyDescent="0.25">
      <c r="A74" s="275" t="s">
        <v>143</v>
      </c>
      <c r="B74" s="276" t="s">
        <v>144</v>
      </c>
      <c r="C74" s="396">
        <f>C75+C83</f>
        <v>0</v>
      </c>
      <c r="D74" s="396">
        <f>D75+D83</f>
        <v>0</v>
      </c>
      <c r="E74" s="397">
        <f t="shared" ref="E74:E85" si="4">SUM(C74:D74)</f>
        <v>0</v>
      </c>
      <c r="F74" s="396">
        <f>F75+F83</f>
        <v>0</v>
      </c>
      <c r="G74" s="396">
        <f>G75+G83</f>
        <v>0</v>
      </c>
      <c r="H74" s="397">
        <f t="shared" ref="H74:H81" si="5">SUM(F74:G74)</f>
        <v>0</v>
      </c>
      <c r="I74" s="396">
        <f>I75+I83</f>
        <v>0</v>
      </c>
      <c r="J74" s="396">
        <f>J75+J83</f>
        <v>0</v>
      </c>
      <c r="K74" s="397">
        <f t="shared" ref="K74:K81" si="6">SUM(I74:J74)</f>
        <v>0</v>
      </c>
      <c r="L74" s="396">
        <f>L75+L83</f>
        <v>0</v>
      </c>
      <c r="M74" s="396">
        <f>M75+M83</f>
        <v>0</v>
      </c>
      <c r="N74" s="397">
        <f t="shared" ref="N74:N81" si="7">SUM(L74:M74)</f>
        <v>0</v>
      </c>
    </row>
    <row r="75" spans="1:14" ht="13.5" hidden="1" thickBot="1" x14ac:dyDescent="0.25">
      <c r="A75" s="265" t="s">
        <v>145</v>
      </c>
      <c r="B75" s="266" t="s">
        <v>146</v>
      </c>
      <c r="C75" s="398">
        <f t="shared" ref="C75:D75" si="8">SUM(C76:C77,C78,C79,C83,C82)</f>
        <v>0</v>
      </c>
      <c r="D75" s="398">
        <f t="shared" si="8"/>
        <v>0</v>
      </c>
      <c r="E75" s="399">
        <f t="shared" si="4"/>
        <v>0</v>
      </c>
      <c r="F75" s="398">
        <f t="shared" ref="F75:G75" si="9">SUM(F76:F77,F78,F79,F83,F82)</f>
        <v>0</v>
      </c>
      <c r="G75" s="398">
        <f t="shared" si="9"/>
        <v>0</v>
      </c>
      <c r="H75" s="399">
        <f t="shared" si="5"/>
        <v>0</v>
      </c>
      <c r="I75" s="398">
        <f t="shared" ref="I75:J75" si="10">SUM(I76:I77,I78,I79,I83,I82)</f>
        <v>0</v>
      </c>
      <c r="J75" s="398">
        <f t="shared" si="10"/>
        <v>0</v>
      </c>
      <c r="K75" s="399">
        <f t="shared" si="6"/>
        <v>0</v>
      </c>
      <c r="L75" s="398">
        <f t="shared" ref="L75:M75" si="11">SUM(L76:L77,L78,L79,L83,L82)</f>
        <v>0</v>
      </c>
      <c r="M75" s="398">
        <f t="shared" si="11"/>
        <v>0</v>
      </c>
      <c r="N75" s="399">
        <f t="shared" si="7"/>
        <v>0</v>
      </c>
    </row>
    <row r="76" spans="1:14" ht="13.5" hidden="1" thickBot="1" x14ac:dyDescent="0.25">
      <c r="A76" s="265" t="s">
        <v>147</v>
      </c>
      <c r="B76" s="266" t="s">
        <v>148</v>
      </c>
      <c r="C76" s="398"/>
      <c r="D76" s="398"/>
      <c r="E76" s="399">
        <f t="shared" si="4"/>
        <v>0</v>
      </c>
      <c r="F76" s="398"/>
      <c r="G76" s="398"/>
      <c r="H76" s="399">
        <f t="shared" si="5"/>
        <v>0</v>
      </c>
      <c r="I76" s="398"/>
      <c r="J76" s="398"/>
      <c r="K76" s="399">
        <f t="shared" si="6"/>
        <v>0</v>
      </c>
      <c r="L76" s="398"/>
      <c r="M76" s="398"/>
      <c r="N76" s="399">
        <f t="shared" si="7"/>
        <v>0</v>
      </c>
    </row>
    <row r="77" spans="1:14" ht="13.5" hidden="1" thickBot="1" x14ac:dyDescent="0.25">
      <c r="A77" s="265" t="s">
        <v>149</v>
      </c>
      <c r="B77" s="266" t="s">
        <v>150</v>
      </c>
      <c r="C77" s="398"/>
      <c r="D77" s="398"/>
      <c r="E77" s="399">
        <f t="shared" si="4"/>
        <v>0</v>
      </c>
      <c r="F77" s="398"/>
      <c r="G77" s="398"/>
      <c r="H77" s="399">
        <f t="shared" si="5"/>
        <v>0</v>
      </c>
      <c r="I77" s="398"/>
      <c r="J77" s="398"/>
      <c r="K77" s="399">
        <f t="shared" si="6"/>
        <v>0</v>
      </c>
      <c r="L77" s="398"/>
      <c r="M77" s="398"/>
      <c r="N77" s="399">
        <f t="shared" si="7"/>
        <v>0</v>
      </c>
    </row>
    <row r="78" spans="1:14" ht="13.5" hidden="1" thickBot="1" x14ac:dyDescent="0.25">
      <c r="A78" s="265" t="s">
        <v>151</v>
      </c>
      <c r="B78" s="266" t="s">
        <v>152</v>
      </c>
      <c r="C78" s="398"/>
      <c r="D78" s="398"/>
      <c r="E78" s="399">
        <f t="shared" si="4"/>
        <v>0</v>
      </c>
      <c r="F78" s="398"/>
      <c r="G78" s="398"/>
      <c r="H78" s="399">
        <f t="shared" si="5"/>
        <v>0</v>
      </c>
      <c r="I78" s="398"/>
      <c r="J78" s="398"/>
      <c r="K78" s="399">
        <f t="shared" si="6"/>
        <v>0</v>
      </c>
      <c r="L78" s="398"/>
      <c r="M78" s="398"/>
      <c r="N78" s="399">
        <f t="shared" si="7"/>
        <v>0</v>
      </c>
    </row>
    <row r="79" spans="1:14" ht="13.5" hidden="1" thickBot="1" x14ac:dyDescent="0.25">
      <c r="A79" s="265" t="s">
        <v>153</v>
      </c>
      <c r="B79" s="266" t="s">
        <v>154</v>
      </c>
      <c r="C79" s="398">
        <f>SUM(C80:C81)</f>
        <v>0</v>
      </c>
      <c r="D79" s="398">
        <f>SUM(D80:D81)</f>
        <v>0</v>
      </c>
      <c r="E79" s="399">
        <f t="shared" si="4"/>
        <v>0</v>
      </c>
      <c r="F79" s="398">
        <f>SUM(F80:F81)</f>
        <v>0</v>
      </c>
      <c r="G79" s="398">
        <f>SUM(G80:G81)</f>
        <v>0</v>
      </c>
      <c r="H79" s="399">
        <f t="shared" si="5"/>
        <v>0</v>
      </c>
      <c r="I79" s="398">
        <f>SUM(I80:I81)</f>
        <v>0</v>
      </c>
      <c r="J79" s="398">
        <f>SUM(J80:J81)</f>
        <v>0</v>
      </c>
      <c r="K79" s="399">
        <f t="shared" si="6"/>
        <v>0</v>
      </c>
      <c r="L79" s="398">
        <f>SUM(L80:L81)</f>
        <v>0</v>
      </c>
      <c r="M79" s="398">
        <f>SUM(M80:M81)</f>
        <v>0</v>
      </c>
      <c r="N79" s="399">
        <f t="shared" si="7"/>
        <v>0</v>
      </c>
    </row>
    <row r="80" spans="1:14" ht="13.5" hidden="1" thickBot="1" x14ac:dyDescent="0.25">
      <c r="A80" s="265"/>
      <c r="B80" s="266" t="s">
        <v>29</v>
      </c>
      <c r="C80" s="398"/>
      <c r="D80" s="398"/>
      <c r="E80" s="399">
        <f t="shared" si="4"/>
        <v>0</v>
      </c>
      <c r="F80" s="398"/>
      <c r="G80" s="398"/>
      <c r="H80" s="399">
        <f t="shared" si="5"/>
        <v>0</v>
      </c>
      <c r="I80" s="398"/>
      <c r="J80" s="398"/>
      <c r="K80" s="399">
        <f t="shared" si="6"/>
        <v>0</v>
      </c>
      <c r="L80" s="398"/>
      <c r="M80" s="398"/>
      <c r="N80" s="399">
        <f t="shared" si="7"/>
        <v>0</v>
      </c>
    </row>
    <row r="81" spans="1:14" ht="13.5" hidden="1" thickBot="1" x14ac:dyDescent="0.25">
      <c r="A81" s="265"/>
      <c r="B81" s="266" t="s">
        <v>30</v>
      </c>
      <c r="C81" s="398"/>
      <c r="D81" s="398"/>
      <c r="E81" s="399">
        <f t="shared" si="4"/>
        <v>0</v>
      </c>
      <c r="F81" s="398"/>
      <c r="G81" s="398"/>
      <c r="H81" s="399">
        <f t="shared" si="5"/>
        <v>0</v>
      </c>
      <c r="I81" s="398"/>
      <c r="J81" s="398"/>
      <c r="K81" s="399">
        <f t="shared" si="6"/>
        <v>0</v>
      </c>
      <c r="L81" s="398"/>
      <c r="M81" s="398"/>
      <c r="N81" s="399">
        <f t="shared" si="7"/>
        <v>0</v>
      </c>
    </row>
    <row r="82" spans="1:14" ht="13.5" hidden="1" thickBot="1" x14ac:dyDescent="0.25">
      <c r="A82" s="265" t="s">
        <v>543</v>
      </c>
      <c r="B82" s="266" t="s">
        <v>337</v>
      </c>
      <c r="C82" s="398"/>
      <c r="D82" s="398"/>
      <c r="E82" s="399"/>
      <c r="F82" s="398"/>
      <c r="G82" s="398"/>
      <c r="H82" s="399"/>
      <c r="I82" s="398"/>
      <c r="J82" s="398"/>
      <c r="K82" s="399"/>
      <c r="L82" s="398"/>
      <c r="M82" s="398"/>
      <c r="N82" s="399"/>
    </row>
    <row r="83" spans="1:14" ht="13.5" hidden="1" thickBot="1" x14ac:dyDescent="0.25">
      <c r="A83" s="265" t="s">
        <v>155</v>
      </c>
      <c r="B83" s="266" t="s">
        <v>156</v>
      </c>
      <c r="C83" s="398"/>
      <c r="D83" s="398"/>
      <c r="E83" s="399">
        <f t="shared" si="4"/>
        <v>0</v>
      </c>
      <c r="F83" s="398"/>
      <c r="G83" s="398"/>
      <c r="H83" s="399">
        <f t="shared" ref="H83:H85" si="12">SUM(F83:G83)</f>
        <v>0</v>
      </c>
      <c r="I83" s="398"/>
      <c r="J83" s="398"/>
      <c r="K83" s="399">
        <f t="shared" ref="K83:K85" si="13">SUM(I83:J83)</f>
        <v>0</v>
      </c>
      <c r="L83" s="398"/>
      <c r="M83" s="398"/>
      <c r="N83" s="399">
        <f t="shared" ref="N83:N85" si="14">SUM(L83:M83)</f>
        <v>0</v>
      </c>
    </row>
    <row r="84" spans="1:14" ht="13.5" hidden="1" thickBot="1" x14ac:dyDescent="0.25">
      <c r="A84" s="267" t="s">
        <v>157</v>
      </c>
      <c r="B84" s="268" t="s">
        <v>158</v>
      </c>
      <c r="C84" s="400"/>
      <c r="D84" s="400"/>
      <c r="E84" s="401">
        <f t="shared" si="4"/>
        <v>0</v>
      </c>
      <c r="F84" s="400"/>
      <c r="G84" s="400"/>
      <c r="H84" s="401">
        <f t="shared" si="12"/>
        <v>0</v>
      </c>
      <c r="I84" s="400"/>
      <c r="J84" s="400"/>
      <c r="K84" s="401">
        <f t="shared" si="13"/>
        <v>0</v>
      </c>
      <c r="L84" s="400"/>
      <c r="M84" s="400"/>
      <c r="N84" s="401">
        <f t="shared" si="14"/>
        <v>0</v>
      </c>
    </row>
    <row r="85" spans="1:14" ht="13.5" thickBot="1" x14ac:dyDescent="0.25">
      <c r="A85" s="277" t="s">
        <v>264</v>
      </c>
      <c r="B85" s="278" t="s">
        <v>159</v>
      </c>
      <c r="C85" s="402">
        <f>C73+C74</f>
        <v>0</v>
      </c>
      <c r="D85" s="402">
        <f>D73+D74</f>
        <v>0</v>
      </c>
      <c r="E85" s="403">
        <f t="shared" si="4"/>
        <v>0</v>
      </c>
      <c r="F85" s="402">
        <f>F73+F74</f>
        <v>0</v>
      </c>
      <c r="G85" s="402">
        <f>G73+G74</f>
        <v>0</v>
      </c>
      <c r="H85" s="403">
        <f t="shared" si="12"/>
        <v>0</v>
      </c>
      <c r="I85" s="402">
        <f>I73+I74</f>
        <v>0</v>
      </c>
      <c r="J85" s="402">
        <f>J73+J74</f>
        <v>0</v>
      </c>
      <c r="K85" s="403">
        <f t="shared" si="13"/>
        <v>0</v>
      </c>
      <c r="L85" s="402">
        <f>L73+L74</f>
        <v>0</v>
      </c>
      <c r="M85" s="402">
        <f>M73+M74</f>
        <v>0</v>
      </c>
      <c r="N85" s="403">
        <f t="shared" si="14"/>
        <v>0</v>
      </c>
    </row>
    <row r="86" spans="1:14" x14ac:dyDescent="0.2">
      <c r="A86" s="281"/>
      <c r="B86" s="282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</row>
    <row r="87" spans="1:14" ht="13.5" thickBot="1" x14ac:dyDescent="0.25">
      <c r="A87" s="283"/>
      <c r="B87" s="28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</row>
    <row r="88" spans="1:14" x14ac:dyDescent="0.2">
      <c r="A88" s="285" t="s">
        <v>160</v>
      </c>
      <c r="B88" s="264" t="s">
        <v>34</v>
      </c>
      <c r="C88" s="396">
        <f>C89+C101</f>
        <v>0</v>
      </c>
      <c r="D88" s="396">
        <f>D89+D101</f>
        <v>0</v>
      </c>
      <c r="E88" s="405">
        <f t="shared" ref="E88:E150" si="15">SUM(C88:D88)</f>
        <v>0</v>
      </c>
      <c r="F88" s="396">
        <f>F89+F101</f>
        <v>0</v>
      </c>
      <c r="G88" s="396">
        <f>G89+G101</f>
        <v>0</v>
      </c>
      <c r="H88" s="405">
        <f t="shared" ref="H88:H90" si="16">SUM(F88:G88)</f>
        <v>0</v>
      </c>
      <c r="I88" s="396">
        <f>I89+I101</f>
        <v>0</v>
      </c>
      <c r="J88" s="396">
        <f>J89+J101</f>
        <v>0</v>
      </c>
      <c r="K88" s="405">
        <f t="shared" ref="K88:K90" si="17">SUM(I88:J88)</f>
        <v>0</v>
      </c>
      <c r="L88" s="396">
        <f>L89+L101</f>
        <v>475392</v>
      </c>
      <c r="M88" s="396">
        <f>M89+M101</f>
        <v>0</v>
      </c>
      <c r="N88" s="405">
        <f t="shared" ref="N88:N90" si="18">SUM(L88:M88)</f>
        <v>475392</v>
      </c>
    </row>
    <row r="89" spans="1:14" x14ac:dyDescent="0.2">
      <c r="A89" s="286" t="s">
        <v>161</v>
      </c>
      <c r="B89" s="266" t="s">
        <v>162</v>
      </c>
      <c r="C89" s="398">
        <f>SUM(C90:C100)</f>
        <v>0</v>
      </c>
      <c r="D89" s="398">
        <f>SUM(D90:D100)</f>
        <v>0</v>
      </c>
      <c r="E89" s="399">
        <f t="shared" si="15"/>
        <v>0</v>
      </c>
      <c r="F89" s="398">
        <f>SUM(F90:F100)</f>
        <v>0</v>
      </c>
      <c r="G89" s="398">
        <f>SUM(G90:G100)</f>
        <v>0</v>
      </c>
      <c r="H89" s="399">
        <f t="shared" si="16"/>
        <v>0</v>
      </c>
      <c r="I89" s="398">
        <f>SUM(I90:I100)</f>
        <v>0</v>
      </c>
      <c r="J89" s="398">
        <f>SUM(J90:J100)</f>
        <v>0</v>
      </c>
      <c r="K89" s="399">
        <f t="shared" si="17"/>
        <v>0</v>
      </c>
      <c r="L89" s="398">
        <f>SUM(L90:L100)</f>
        <v>0</v>
      </c>
      <c r="M89" s="398">
        <f>SUM(M90:M100)</f>
        <v>0</v>
      </c>
      <c r="N89" s="399">
        <f t="shared" si="18"/>
        <v>0</v>
      </c>
    </row>
    <row r="90" spans="1:14" x14ac:dyDescent="0.2">
      <c r="A90" s="286" t="s">
        <v>163</v>
      </c>
      <c r="B90" s="266" t="s">
        <v>164</v>
      </c>
      <c r="C90" s="398"/>
      <c r="D90" s="398"/>
      <c r="E90" s="399">
        <f t="shared" si="15"/>
        <v>0</v>
      </c>
      <c r="F90" s="398"/>
      <c r="G90" s="398"/>
      <c r="H90" s="399">
        <f t="shared" si="16"/>
        <v>0</v>
      </c>
      <c r="I90" s="398"/>
      <c r="J90" s="398"/>
      <c r="K90" s="399">
        <f t="shared" si="17"/>
        <v>0</v>
      </c>
      <c r="L90" s="398"/>
      <c r="M90" s="398"/>
      <c r="N90" s="399">
        <f t="shared" si="18"/>
        <v>0</v>
      </c>
    </row>
    <row r="91" spans="1:14" x14ac:dyDescent="0.2">
      <c r="A91" s="286" t="s">
        <v>533</v>
      </c>
      <c r="B91" s="266" t="s">
        <v>534</v>
      </c>
      <c r="C91" s="398"/>
      <c r="D91" s="398"/>
      <c r="E91" s="399"/>
      <c r="F91" s="398"/>
      <c r="G91" s="398"/>
      <c r="H91" s="399"/>
      <c r="I91" s="398"/>
      <c r="J91" s="398"/>
      <c r="K91" s="399"/>
      <c r="L91" s="398"/>
      <c r="M91" s="398"/>
      <c r="N91" s="399"/>
    </row>
    <row r="92" spans="1:14" x14ac:dyDescent="0.2">
      <c r="A92" s="286" t="s">
        <v>165</v>
      </c>
      <c r="B92" s="266" t="s">
        <v>166</v>
      </c>
      <c r="C92" s="398"/>
      <c r="D92" s="398"/>
      <c r="E92" s="399">
        <f t="shared" si="15"/>
        <v>0</v>
      </c>
      <c r="F92" s="398"/>
      <c r="G92" s="398"/>
      <c r="H92" s="399">
        <f t="shared" ref="H92:H145" si="19">SUM(F92:G92)</f>
        <v>0</v>
      </c>
      <c r="I92" s="398"/>
      <c r="J92" s="398"/>
      <c r="K92" s="399">
        <f t="shared" ref="K92:K145" si="20">SUM(I92:J92)</f>
        <v>0</v>
      </c>
      <c r="L92" s="398"/>
      <c r="M92" s="398"/>
      <c r="N92" s="399">
        <f t="shared" ref="N92:N145" si="21">SUM(L92:M92)</f>
        <v>0</v>
      </c>
    </row>
    <row r="93" spans="1:14" x14ac:dyDescent="0.2">
      <c r="A93" s="286" t="s">
        <v>167</v>
      </c>
      <c r="B93" s="266" t="s">
        <v>168</v>
      </c>
      <c r="C93" s="398"/>
      <c r="D93" s="398"/>
      <c r="E93" s="399">
        <f t="shared" si="15"/>
        <v>0</v>
      </c>
      <c r="F93" s="398"/>
      <c r="G93" s="398"/>
      <c r="H93" s="399">
        <f t="shared" si="19"/>
        <v>0</v>
      </c>
      <c r="I93" s="398"/>
      <c r="J93" s="398"/>
      <c r="K93" s="399">
        <f t="shared" si="20"/>
        <v>0</v>
      </c>
      <c r="L93" s="398"/>
      <c r="M93" s="398"/>
      <c r="N93" s="399">
        <f t="shared" si="21"/>
        <v>0</v>
      </c>
    </row>
    <row r="94" spans="1:14" x14ac:dyDescent="0.2">
      <c r="A94" s="286" t="s">
        <v>169</v>
      </c>
      <c r="B94" s="266" t="s">
        <v>170</v>
      </c>
      <c r="C94" s="398"/>
      <c r="D94" s="398"/>
      <c r="E94" s="399">
        <f t="shared" si="15"/>
        <v>0</v>
      </c>
      <c r="F94" s="398"/>
      <c r="G94" s="398"/>
      <c r="H94" s="399">
        <f t="shared" si="19"/>
        <v>0</v>
      </c>
      <c r="I94" s="398"/>
      <c r="J94" s="398"/>
      <c r="K94" s="399">
        <f t="shared" si="20"/>
        <v>0</v>
      </c>
      <c r="L94" s="398"/>
      <c r="M94" s="398"/>
      <c r="N94" s="399">
        <f t="shared" si="21"/>
        <v>0</v>
      </c>
    </row>
    <row r="95" spans="1:14" x14ac:dyDescent="0.2">
      <c r="A95" s="286" t="s">
        <v>171</v>
      </c>
      <c r="B95" s="266" t="s">
        <v>172</v>
      </c>
      <c r="C95" s="398"/>
      <c r="D95" s="398"/>
      <c r="E95" s="399">
        <f t="shared" si="15"/>
        <v>0</v>
      </c>
      <c r="F95" s="398"/>
      <c r="G95" s="398"/>
      <c r="H95" s="399">
        <f t="shared" si="19"/>
        <v>0</v>
      </c>
      <c r="I95" s="398"/>
      <c r="J95" s="398"/>
      <c r="K95" s="399">
        <f t="shared" si="20"/>
        <v>0</v>
      </c>
      <c r="L95" s="398"/>
      <c r="M95" s="398"/>
      <c r="N95" s="399">
        <f t="shared" si="21"/>
        <v>0</v>
      </c>
    </row>
    <row r="96" spans="1:14" x14ac:dyDescent="0.2">
      <c r="A96" s="286" t="s">
        <v>173</v>
      </c>
      <c r="B96" s="266" t="s">
        <v>174</v>
      </c>
      <c r="C96" s="398"/>
      <c r="D96" s="398"/>
      <c r="E96" s="399">
        <f t="shared" si="15"/>
        <v>0</v>
      </c>
      <c r="F96" s="398"/>
      <c r="G96" s="398"/>
      <c r="H96" s="399">
        <f t="shared" si="19"/>
        <v>0</v>
      </c>
      <c r="I96" s="398"/>
      <c r="J96" s="398"/>
      <c r="K96" s="399">
        <f t="shared" si="20"/>
        <v>0</v>
      </c>
      <c r="L96" s="398"/>
      <c r="M96" s="398"/>
      <c r="N96" s="399">
        <f t="shared" si="21"/>
        <v>0</v>
      </c>
    </row>
    <row r="97" spans="1:14" x14ac:dyDescent="0.2">
      <c r="A97" s="286" t="s">
        <v>175</v>
      </c>
      <c r="B97" s="266" t="s">
        <v>176</v>
      </c>
      <c r="C97" s="398"/>
      <c r="D97" s="398"/>
      <c r="E97" s="399">
        <f t="shared" si="15"/>
        <v>0</v>
      </c>
      <c r="F97" s="398"/>
      <c r="G97" s="398"/>
      <c r="H97" s="399">
        <f t="shared" si="19"/>
        <v>0</v>
      </c>
      <c r="I97" s="398"/>
      <c r="J97" s="398"/>
      <c r="K97" s="399">
        <f t="shared" si="20"/>
        <v>0</v>
      </c>
      <c r="L97" s="398"/>
      <c r="M97" s="398"/>
      <c r="N97" s="399">
        <f t="shared" si="21"/>
        <v>0</v>
      </c>
    </row>
    <row r="98" spans="1:14" x14ac:dyDescent="0.2">
      <c r="A98" s="286" t="s">
        <v>177</v>
      </c>
      <c r="B98" s="266" t="s">
        <v>178</v>
      </c>
      <c r="C98" s="398"/>
      <c r="D98" s="398"/>
      <c r="E98" s="399">
        <f t="shared" si="15"/>
        <v>0</v>
      </c>
      <c r="F98" s="398"/>
      <c r="G98" s="398"/>
      <c r="H98" s="399">
        <f t="shared" si="19"/>
        <v>0</v>
      </c>
      <c r="I98" s="398"/>
      <c r="J98" s="398"/>
      <c r="K98" s="399">
        <f t="shared" si="20"/>
        <v>0</v>
      </c>
      <c r="L98" s="398"/>
      <c r="M98" s="398"/>
      <c r="N98" s="399">
        <f t="shared" si="21"/>
        <v>0</v>
      </c>
    </row>
    <row r="99" spans="1:14" x14ac:dyDescent="0.2">
      <c r="A99" s="286" t="s">
        <v>179</v>
      </c>
      <c r="B99" s="266" t="s">
        <v>180</v>
      </c>
      <c r="C99" s="398"/>
      <c r="D99" s="398"/>
      <c r="E99" s="399">
        <f t="shared" si="15"/>
        <v>0</v>
      </c>
      <c r="F99" s="398"/>
      <c r="G99" s="398"/>
      <c r="H99" s="399">
        <f t="shared" si="19"/>
        <v>0</v>
      </c>
      <c r="I99" s="398"/>
      <c r="J99" s="398"/>
      <c r="K99" s="399">
        <f t="shared" si="20"/>
        <v>0</v>
      </c>
      <c r="L99" s="398"/>
      <c r="M99" s="398"/>
      <c r="N99" s="399">
        <f t="shared" si="21"/>
        <v>0</v>
      </c>
    </row>
    <row r="100" spans="1:14" x14ac:dyDescent="0.2">
      <c r="A100" s="286" t="s">
        <v>181</v>
      </c>
      <c r="B100" s="266" t="s">
        <v>182</v>
      </c>
      <c r="C100" s="398"/>
      <c r="D100" s="398"/>
      <c r="E100" s="399">
        <f t="shared" si="15"/>
        <v>0</v>
      </c>
      <c r="F100" s="398"/>
      <c r="G100" s="398"/>
      <c r="H100" s="399">
        <f t="shared" si="19"/>
        <v>0</v>
      </c>
      <c r="I100" s="398"/>
      <c r="J100" s="398"/>
      <c r="K100" s="399">
        <f t="shared" si="20"/>
        <v>0</v>
      </c>
      <c r="L100" s="398"/>
      <c r="M100" s="398"/>
      <c r="N100" s="399">
        <f t="shared" si="21"/>
        <v>0</v>
      </c>
    </row>
    <row r="101" spans="1:14" x14ac:dyDescent="0.2">
      <c r="A101" s="286" t="s">
        <v>183</v>
      </c>
      <c r="B101" s="266" t="s">
        <v>184</v>
      </c>
      <c r="C101" s="398">
        <f>SUM(C102:C104)</f>
        <v>0</v>
      </c>
      <c r="D101" s="398">
        <f>SUM(D102:D104)</f>
        <v>0</v>
      </c>
      <c r="E101" s="399">
        <f t="shared" si="15"/>
        <v>0</v>
      </c>
      <c r="F101" s="398">
        <f>SUM(F102:F104)</f>
        <v>0</v>
      </c>
      <c r="G101" s="398">
        <f>SUM(G102:G104)</f>
        <v>0</v>
      </c>
      <c r="H101" s="399">
        <f t="shared" si="19"/>
        <v>0</v>
      </c>
      <c r="I101" s="398">
        <f>SUM(I102:I104)</f>
        <v>0</v>
      </c>
      <c r="J101" s="398">
        <f>SUM(J102:J104)</f>
        <v>0</v>
      </c>
      <c r="K101" s="399">
        <f t="shared" si="20"/>
        <v>0</v>
      </c>
      <c r="L101" s="398">
        <f>SUM(L102:L104)</f>
        <v>475392</v>
      </c>
      <c r="M101" s="398">
        <f>SUM(M102:M104)</f>
        <v>0</v>
      </c>
      <c r="N101" s="399">
        <f t="shared" si="21"/>
        <v>475392</v>
      </c>
    </row>
    <row r="102" spans="1:14" x14ac:dyDescent="0.2">
      <c r="A102" s="286" t="s">
        <v>185</v>
      </c>
      <c r="B102" s="266" t="s">
        <v>186</v>
      </c>
      <c r="C102" s="398"/>
      <c r="D102" s="398"/>
      <c r="E102" s="399">
        <f t="shared" si="15"/>
        <v>0</v>
      </c>
      <c r="F102" s="398"/>
      <c r="G102" s="398"/>
      <c r="H102" s="399">
        <f t="shared" si="19"/>
        <v>0</v>
      </c>
      <c r="I102" s="398"/>
      <c r="J102" s="398"/>
      <c r="K102" s="399">
        <f t="shared" si="20"/>
        <v>0</v>
      </c>
      <c r="L102" s="398"/>
      <c r="M102" s="398"/>
      <c r="N102" s="399">
        <f t="shared" si="21"/>
        <v>0</v>
      </c>
    </row>
    <row r="103" spans="1:14" x14ac:dyDescent="0.2">
      <c r="A103" s="286" t="s">
        <v>187</v>
      </c>
      <c r="B103" s="266" t="s">
        <v>188</v>
      </c>
      <c r="C103" s="398"/>
      <c r="D103" s="398"/>
      <c r="E103" s="399">
        <f t="shared" si="15"/>
        <v>0</v>
      </c>
      <c r="F103" s="398"/>
      <c r="G103" s="398"/>
      <c r="H103" s="399">
        <f t="shared" si="19"/>
        <v>0</v>
      </c>
      <c r="I103" s="398"/>
      <c r="J103" s="398"/>
      <c r="K103" s="399">
        <f t="shared" si="20"/>
        <v>0</v>
      </c>
      <c r="L103" s="398"/>
      <c r="M103" s="398"/>
      <c r="N103" s="399">
        <f t="shared" si="21"/>
        <v>0</v>
      </c>
    </row>
    <row r="104" spans="1:14" ht="13.5" thickBot="1" x14ac:dyDescent="0.25">
      <c r="A104" s="287" t="s">
        <v>189</v>
      </c>
      <c r="B104" s="268" t="s">
        <v>190</v>
      </c>
      <c r="C104" s="400"/>
      <c r="D104" s="400"/>
      <c r="E104" s="401">
        <f t="shared" si="15"/>
        <v>0</v>
      </c>
      <c r="F104" s="400"/>
      <c r="G104" s="400"/>
      <c r="H104" s="401">
        <f t="shared" si="19"/>
        <v>0</v>
      </c>
      <c r="I104" s="400"/>
      <c r="J104" s="400"/>
      <c r="K104" s="401">
        <f t="shared" si="20"/>
        <v>0</v>
      </c>
      <c r="L104" s="400">
        <v>475392</v>
      </c>
      <c r="M104" s="400"/>
      <c r="N104" s="401">
        <f t="shared" si="21"/>
        <v>475392</v>
      </c>
    </row>
    <row r="105" spans="1:14" ht="13.5" thickBot="1" x14ac:dyDescent="0.25">
      <c r="A105" s="285" t="s">
        <v>191</v>
      </c>
      <c r="B105" s="264" t="s">
        <v>192</v>
      </c>
      <c r="C105" s="396">
        <f>SUM(C106:C110)</f>
        <v>0</v>
      </c>
      <c r="D105" s="396">
        <f>SUM(D106:D110)</f>
        <v>0</v>
      </c>
      <c r="E105" s="397">
        <f t="shared" si="15"/>
        <v>0</v>
      </c>
      <c r="F105" s="396">
        <f>SUM(F106:F110)</f>
        <v>0</v>
      </c>
      <c r="G105" s="396">
        <f>SUM(G106:G110)</f>
        <v>0</v>
      </c>
      <c r="H105" s="397">
        <f t="shared" si="19"/>
        <v>0</v>
      </c>
      <c r="I105" s="396">
        <f>SUM(I106:I110)</f>
        <v>0</v>
      </c>
      <c r="J105" s="396">
        <f>SUM(J106:J110)</f>
        <v>0</v>
      </c>
      <c r="K105" s="397">
        <f t="shared" si="20"/>
        <v>0</v>
      </c>
      <c r="L105" s="396">
        <f>SUM(L106:L110)</f>
        <v>0</v>
      </c>
      <c r="M105" s="396">
        <f>SUM(M106:M110)</f>
        <v>0</v>
      </c>
      <c r="N105" s="397">
        <f t="shared" si="21"/>
        <v>0</v>
      </c>
    </row>
    <row r="106" spans="1:14" ht="13.5" hidden="1" thickBot="1" x14ac:dyDescent="0.25">
      <c r="A106" s="286"/>
      <c r="B106" s="266" t="s">
        <v>193</v>
      </c>
      <c r="C106" s="398"/>
      <c r="D106" s="398"/>
      <c r="E106" s="399">
        <f t="shared" si="15"/>
        <v>0</v>
      </c>
      <c r="F106" s="398"/>
      <c r="G106" s="398"/>
      <c r="H106" s="399">
        <f t="shared" si="19"/>
        <v>0</v>
      </c>
      <c r="I106" s="398"/>
      <c r="J106" s="398"/>
      <c r="K106" s="399">
        <f t="shared" si="20"/>
        <v>0</v>
      </c>
      <c r="L106" s="398"/>
      <c r="M106" s="398"/>
      <c r="N106" s="399">
        <f t="shared" si="21"/>
        <v>0</v>
      </c>
    </row>
    <row r="107" spans="1:14" ht="13.5" hidden="1" thickBot="1" x14ac:dyDescent="0.25">
      <c r="A107" s="286"/>
      <c r="B107" s="266" t="s">
        <v>194</v>
      </c>
      <c r="C107" s="398"/>
      <c r="D107" s="398"/>
      <c r="E107" s="399">
        <f t="shared" si="15"/>
        <v>0</v>
      </c>
      <c r="F107" s="398"/>
      <c r="G107" s="398"/>
      <c r="H107" s="399">
        <f t="shared" si="19"/>
        <v>0</v>
      </c>
      <c r="I107" s="398"/>
      <c r="J107" s="398"/>
      <c r="K107" s="399">
        <f t="shared" si="20"/>
        <v>0</v>
      </c>
      <c r="L107" s="398"/>
      <c r="M107" s="398"/>
      <c r="N107" s="399">
        <f t="shared" si="21"/>
        <v>0</v>
      </c>
    </row>
    <row r="108" spans="1:14" ht="13.5" hidden="1" thickBot="1" x14ac:dyDescent="0.25">
      <c r="A108" s="287"/>
      <c r="B108" s="268" t="s">
        <v>195</v>
      </c>
      <c r="C108" s="398"/>
      <c r="D108" s="398"/>
      <c r="E108" s="399">
        <f t="shared" si="15"/>
        <v>0</v>
      </c>
      <c r="F108" s="398"/>
      <c r="G108" s="398"/>
      <c r="H108" s="399">
        <f t="shared" si="19"/>
        <v>0</v>
      </c>
      <c r="I108" s="398"/>
      <c r="J108" s="398"/>
      <c r="K108" s="399">
        <f t="shared" si="20"/>
        <v>0</v>
      </c>
      <c r="L108" s="398"/>
      <c r="M108" s="398"/>
      <c r="N108" s="399">
        <f t="shared" si="21"/>
        <v>0</v>
      </c>
    </row>
    <row r="109" spans="1:14" ht="13.5" hidden="1" thickBot="1" x14ac:dyDescent="0.25">
      <c r="A109" s="287"/>
      <c r="B109" s="268" t="s">
        <v>196</v>
      </c>
      <c r="C109" s="398"/>
      <c r="D109" s="398"/>
      <c r="E109" s="399">
        <f t="shared" si="15"/>
        <v>0</v>
      </c>
      <c r="F109" s="398"/>
      <c r="G109" s="398"/>
      <c r="H109" s="399">
        <f t="shared" si="19"/>
        <v>0</v>
      </c>
      <c r="I109" s="398"/>
      <c r="J109" s="398"/>
      <c r="K109" s="399">
        <f t="shared" si="20"/>
        <v>0</v>
      </c>
      <c r="L109" s="398"/>
      <c r="M109" s="398"/>
      <c r="N109" s="399">
        <f t="shared" si="21"/>
        <v>0</v>
      </c>
    </row>
    <row r="110" spans="1:14" ht="13.5" hidden="1" thickBot="1" x14ac:dyDescent="0.25">
      <c r="A110" s="287"/>
      <c r="B110" s="268" t="s">
        <v>197</v>
      </c>
      <c r="C110" s="400"/>
      <c r="D110" s="400"/>
      <c r="E110" s="401">
        <f t="shared" si="15"/>
        <v>0</v>
      </c>
      <c r="F110" s="400"/>
      <c r="G110" s="400"/>
      <c r="H110" s="401">
        <f t="shared" si="19"/>
        <v>0</v>
      </c>
      <c r="I110" s="400"/>
      <c r="J110" s="400"/>
      <c r="K110" s="401">
        <f t="shared" si="20"/>
        <v>0</v>
      </c>
      <c r="L110" s="400"/>
      <c r="M110" s="400"/>
      <c r="N110" s="401">
        <f t="shared" si="21"/>
        <v>0</v>
      </c>
    </row>
    <row r="111" spans="1:14" x14ac:dyDescent="0.2">
      <c r="A111" s="285" t="s">
        <v>198</v>
      </c>
      <c r="B111" s="264" t="s">
        <v>35</v>
      </c>
      <c r="C111" s="396">
        <f>SUM(C112:C113,C114,C123,C122)</f>
        <v>6635000</v>
      </c>
      <c r="D111" s="396">
        <f>SUM(D112:D113,D114,D123,D122)</f>
        <v>0</v>
      </c>
      <c r="E111" s="397">
        <f t="shared" si="15"/>
        <v>6635000</v>
      </c>
      <c r="F111" s="396">
        <f>SUM(F112:F113,F114,F123,F122)</f>
        <v>8621280</v>
      </c>
      <c r="G111" s="396">
        <f>SUM(G112:G113,G114,G123,G122)</f>
        <v>0</v>
      </c>
      <c r="H111" s="397">
        <f t="shared" si="19"/>
        <v>8621280</v>
      </c>
      <c r="I111" s="396">
        <f>SUM(I112:I113,I114,I123,I122)</f>
        <v>8621280</v>
      </c>
      <c r="J111" s="396">
        <f>SUM(J112:J113,J114,J123,J122)</f>
        <v>0</v>
      </c>
      <c r="K111" s="397">
        <f t="shared" si="20"/>
        <v>8621280</v>
      </c>
      <c r="L111" s="396">
        <f>SUM(L112:L113,L114,L123,L122)</f>
        <v>5949727</v>
      </c>
      <c r="M111" s="396">
        <f>SUM(M112:M113,M114,M123,M122)</f>
        <v>0</v>
      </c>
      <c r="N111" s="397">
        <f t="shared" si="21"/>
        <v>5949727</v>
      </c>
    </row>
    <row r="112" spans="1:14" x14ac:dyDescent="0.2">
      <c r="A112" s="286" t="s">
        <v>199</v>
      </c>
      <c r="B112" s="266" t="s">
        <v>200</v>
      </c>
      <c r="C112" s="406">
        <f>1574803+3149606</f>
        <v>4724409</v>
      </c>
      <c r="D112" s="398"/>
      <c r="E112" s="399">
        <f t="shared" si="15"/>
        <v>4724409</v>
      </c>
      <c r="F112" s="406">
        <f>1574803+3149606+1556126</f>
        <v>6280535</v>
      </c>
      <c r="G112" s="398"/>
      <c r="H112" s="399">
        <f t="shared" si="19"/>
        <v>6280535</v>
      </c>
      <c r="I112" s="406">
        <f>1574803+3149606+1556126</f>
        <v>6280535</v>
      </c>
      <c r="J112" s="398"/>
      <c r="K112" s="399">
        <f t="shared" si="20"/>
        <v>6280535</v>
      </c>
      <c r="L112" s="406">
        <v>4570954</v>
      </c>
      <c r="M112" s="398"/>
      <c r="N112" s="399">
        <f t="shared" si="21"/>
        <v>4570954</v>
      </c>
    </row>
    <row r="113" spans="1:14" x14ac:dyDescent="0.2">
      <c r="A113" s="286" t="s">
        <v>201</v>
      </c>
      <c r="B113" s="266" t="s">
        <v>202</v>
      </c>
      <c r="C113" s="398"/>
      <c r="D113" s="398"/>
      <c r="E113" s="399">
        <f t="shared" si="15"/>
        <v>0</v>
      </c>
      <c r="F113" s="398"/>
      <c r="G113" s="398"/>
      <c r="H113" s="399">
        <f t="shared" si="19"/>
        <v>0</v>
      </c>
      <c r="I113" s="398"/>
      <c r="J113" s="398"/>
      <c r="K113" s="399">
        <f t="shared" si="20"/>
        <v>0</v>
      </c>
      <c r="L113" s="398"/>
      <c r="M113" s="398"/>
      <c r="N113" s="399">
        <f t="shared" si="21"/>
        <v>0</v>
      </c>
    </row>
    <row r="114" spans="1:14" x14ac:dyDescent="0.2">
      <c r="A114" s="286" t="s">
        <v>203</v>
      </c>
      <c r="B114" s="266" t="s">
        <v>204</v>
      </c>
      <c r="C114" s="398">
        <f>SUM(C115:C121)</f>
        <v>500000</v>
      </c>
      <c r="D114" s="398">
        <f>SUM(D115:D121)</f>
        <v>0</v>
      </c>
      <c r="E114" s="399">
        <f t="shared" si="15"/>
        <v>500000</v>
      </c>
      <c r="F114" s="398">
        <f>SUM(F115:F121)</f>
        <v>500000</v>
      </c>
      <c r="G114" s="398">
        <f>SUM(G115:G121)</f>
        <v>0</v>
      </c>
      <c r="H114" s="399">
        <f t="shared" si="19"/>
        <v>500000</v>
      </c>
      <c r="I114" s="398">
        <f>SUM(I115:I121)</f>
        <v>500000</v>
      </c>
      <c r="J114" s="398">
        <f>SUM(J115:J121)</f>
        <v>0</v>
      </c>
      <c r="K114" s="399">
        <f t="shared" si="20"/>
        <v>500000</v>
      </c>
      <c r="L114" s="398">
        <f>SUM(L115:L121)</f>
        <v>12803</v>
      </c>
      <c r="M114" s="398">
        <f>SUM(M115:M121)</f>
        <v>0</v>
      </c>
      <c r="N114" s="399">
        <f t="shared" si="21"/>
        <v>12803</v>
      </c>
    </row>
    <row r="115" spans="1:14" x14ac:dyDescent="0.2">
      <c r="A115" s="286" t="s">
        <v>205</v>
      </c>
      <c r="B115" s="266" t="s">
        <v>206</v>
      </c>
      <c r="C115" s="398"/>
      <c r="D115" s="398"/>
      <c r="E115" s="399">
        <f t="shared" si="15"/>
        <v>0</v>
      </c>
      <c r="F115" s="398"/>
      <c r="G115" s="398"/>
      <c r="H115" s="399">
        <f t="shared" si="19"/>
        <v>0</v>
      </c>
      <c r="I115" s="398"/>
      <c r="J115" s="398"/>
      <c r="K115" s="399">
        <f t="shared" si="20"/>
        <v>0</v>
      </c>
      <c r="L115" s="398"/>
      <c r="M115" s="398"/>
      <c r="N115" s="399">
        <f t="shared" si="21"/>
        <v>0</v>
      </c>
    </row>
    <row r="116" spans="1:14" x14ac:dyDescent="0.2">
      <c r="A116" s="286" t="s">
        <v>207</v>
      </c>
      <c r="B116" s="266" t="s">
        <v>208</v>
      </c>
      <c r="C116" s="398"/>
      <c r="D116" s="398"/>
      <c r="E116" s="399">
        <f t="shared" si="15"/>
        <v>0</v>
      </c>
      <c r="F116" s="398"/>
      <c r="G116" s="398"/>
      <c r="H116" s="399">
        <f t="shared" si="19"/>
        <v>0</v>
      </c>
      <c r="I116" s="398"/>
      <c r="J116" s="398"/>
      <c r="K116" s="399">
        <f t="shared" si="20"/>
        <v>0</v>
      </c>
      <c r="L116" s="398">
        <v>12803</v>
      </c>
      <c r="M116" s="398"/>
      <c r="N116" s="399">
        <f t="shared" si="21"/>
        <v>12803</v>
      </c>
    </row>
    <row r="117" spans="1:14" x14ac:dyDescent="0.2">
      <c r="A117" s="286" t="s">
        <v>209</v>
      </c>
      <c r="B117" s="266" t="s">
        <v>210</v>
      </c>
      <c r="C117" s="398"/>
      <c r="D117" s="398"/>
      <c r="E117" s="399">
        <f t="shared" si="15"/>
        <v>0</v>
      </c>
      <c r="F117" s="398"/>
      <c r="G117" s="398"/>
      <c r="H117" s="399">
        <f t="shared" si="19"/>
        <v>0</v>
      </c>
      <c r="I117" s="398"/>
      <c r="J117" s="398"/>
      <c r="K117" s="399">
        <f t="shared" si="20"/>
        <v>0</v>
      </c>
      <c r="L117" s="398"/>
      <c r="M117" s="398"/>
      <c r="N117" s="399">
        <f t="shared" si="21"/>
        <v>0</v>
      </c>
    </row>
    <row r="118" spans="1:14" x14ac:dyDescent="0.2">
      <c r="A118" s="286" t="s">
        <v>211</v>
      </c>
      <c r="B118" s="266" t="s">
        <v>212</v>
      </c>
      <c r="C118" s="398"/>
      <c r="D118" s="398"/>
      <c r="E118" s="399">
        <f t="shared" si="15"/>
        <v>0</v>
      </c>
      <c r="F118" s="398"/>
      <c r="G118" s="398"/>
      <c r="H118" s="399">
        <f t="shared" si="19"/>
        <v>0</v>
      </c>
      <c r="I118" s="398"/>
      <c r="J118" s="398"/>
      <c r="K118" s="399">
        <f t="shared" si="20"/>
        <v>0</v>
      </c>
      <c r="L118" s="398"/>
      <c r="M118" s="398"/>
      <c r="N118" s="399">
        <f t="shared" si="21"/>
        <v>0</v>
      </c>
    </row>
    <row r="119" spans="1:14" x14ac:dyDescent="0.2">
      <c r="A119" s="286" t="s">
        <v>213</v>
      </c>
      <c r="B119" s="266" t="s">
        <v>214</v>
      </c>
      <c r="C119" s="398"/>
      <c r="D119" s="398"/>
      <c r="E119" s="399">
        <f t="shared" si="15"/>
        <v>0</v>
      </c>
      <c r="F119" s="398"/>
      <c r="G119" s="398"/>
      <c r="H119" s="399">
        <f t="shared" si="19"/>
        <v>0</v>
      </c>
      <c r="I119" s="398"/>
      <c r="J119" s="398"/>
      <c r="K119" s="399">
        <f t="shared" si="20"/>
        <v>0</v>
      </c>
      <c r="L119" s="398"/>
      <c r="M119" s="398"/>
      <c r="N119" s="399">
        <f t="shared" si="21"/>
        <v>0</v>
      </c>
    </row>
    <row r="120" spans="1:14" x14ac:dyDescent="0.2">
      <c r="A120" s="286" t="s">
        <v>215</v>
      </c>
      <c r="B120" s="266" t="s">
        <v>216</v>
      </c>
      <c r="C120" s="398"/>
      <c r="D120" s="398"/>
      <c r="E120" s="399">
        <f t="shared" si="15"/>
        <v>0</v>
      </c>
      <c r="F120" s="398"/>
      <c r="G120" s="398"/>
      <c r="H120" s="399">
        <f t="shared" si="19"/>
        <v>0</v>
      </c>
      <c r="I120" s="398"/>
      <c r="J120" s="398"/>
      <c r="K120" s="399">
        <f t="shared" si="20"/>
        <v>0</v>
      </c>
      <c r="L120" s="398"/>
      <c r="M120" s="398"/>
      <c r="N120" s="399">
        <f t="shared" si="21"/>
        <v>0</v>
      </c>
    </row>
    <row r="121" spans="1:14" x14ac:dyDescent="0.2">
      <c r="A121" s="286" t="s">
        <v>217</v>
      </c>
      <c r="B121" s="266" t="s">
        <v>218</v>
      </c>
      <c r="C121" s="406">
        <v>500000</v>
      </c>
      <c r="D121" s="398"/>
      <c r="E121" s="399">
        <f t="shared" si="15"/>
        <v>500000</v>
      </c>
      <c r="F121" s="406">
        <v>500000</v>
      </c>
      <c r="G121" s="398"/>
      <c r="H121" s="399">
        <f t="shared" si="19"/>
        <v>500000</v>
      </c>
      <c r="I121" s="406">
        <v>500000</v>
      </c>
      <c r="J121" s="398"/>
      <c r="K121" s="399">
        <f t="shared" si="20"/>
        <v>500000</v>
      </c>
      <c r="L121" s="406"/>
      <c r="M121" s="398"/>
      <c r="N121" s="399">
        <f t="shared" si="21"/>
        <v>0</v>
      </c>
    </row>
    <row r="122" spans="1:14" x14ac:dyDescent="0.2">
      <c r="A122" s="286" t="s">
        <v>219</v>
      </c>
      <c r="B122" s="266" t="s">
        <v>220</v>
      </c>
      <c r="C122" s="398"/>
      <c r="D122" s="398"/>
      <c r="E122" s="399">
        <f t="shared" si="15"/>
        <v>0</v>
      </c>
      <c r="F122" s="398"/>
      <c r="G122" s="398"/>
      <c r="H122" s="399">
        <f t="shared" si="19"/>
        <v>0</v>
      </c>
      <c r="I122" s="398"/>
      <c r="J122" s="398"/>
      <c r="K122" s="399">
        <f t="shared" si="20"/>
        <v>0</v>
      </c>
      <c r="L122" s="398"/>
      <c r="M122" s="398"/>
      <c r="N122" s="399">
        <f t="shared" si="21"/>
        <v>0</v>
      </c>
    </row>
    <row r="123" spans="1:14" x14ac:dyDescent="0.2">
      <c r="A123" s="286" t="s">
        <v>221</v>
      </c>
      <c r="B123" s="266" t="s">
        <v>222</v>
      </c>
      <c r="C123" s="398">
        <f>SUM(C124:C126)</f>
        <v>1410591</v>
      </c>
      <c r="D123" s="398">
        <f>SUM(D124:D126)</f>
        <v>0</v>
      </c>
      <c r="E123" s="399">
        <f t="shared" si="15"/>
        <v>1410591</v>
      </c>
      <c r="F123" s="398">
        <f>SUM(F124:F126)</f>
        <v>1840745</v>
      </c>
      <c r="G123" s="398">
        <f>SUM(G124:G126)</f>
        <v>0</v>
      </c>
      <c r="H123" s="399">
        <f t="shared" si="19"/>
        <v>1840745</v>
      </c>
      <c r="I123" s="398">
        <f>SUM(I124:I126)</f>
        <v>1840745</v>
      </c>
      <c r="J123" s="398">
        <f>SUM(J124:J126)</f>
        <v>0</v>
      </c>
      <c r="K123" s="399">
        <f t="shared" si="20"/>
        <v>1840745</v>
      </c>
      <c r="L123" s="398">
        <f>SUM(L124:L126)</f>
        <v>1365970</v>
      </c>
      <c r="M123" s="398">
        <f>SUM(M124:M126)</f>
        <v>0</v>
      </c>
      <c r="N123" s="399">
        <f t="shared" si="21"/>
        <v>1365970</v>
      </c>
    </row>
    <row r="124" spans="1:14" x14ac:dyDescent="0.2">
      <c r="A124" s="286"/>
      <c r="B124" s="266" t="s">
        <v>223</v>
      </c>
      <c r="C124" s="398">
        <f>135000+425197+850394</f>
        <v>1410591</v>
      </c>
      <c r="D124" s="398"/>
      <c r="E124" s="399">
        <f t="shared" si="15"/>
        <v>1410591</v>
      </c>
      <c r="F124" s="398">
        <f>135000+425197+850394+430154</f>
        <v>1840745</v>
      </c>
      <c r="G124" s="398"/>
      <c r="H124" s="399">
        <f t="shared" si="19"/>
        <v>1840745</v>
      </c>
      <c r="I124" s="398">
        <f>135000+425197+850394+430154</f>
        <v>1840745</v>
      </c>
      <c r="J124" s="398"/>
      <c r="K124" s="399">
        <f t="shared" si="20"/>
        <v>1840745</v>
      </c>
      <c r="L124" s="398">
        <v>1365970</v>
      </c>
      <c r="M124" s="398"/>
      <c r="N124" s="399">
        <f t="shared" si="21"/>
        <v>1365970</v>
      </c>
    </row>
    <row r="125" spans="1:14" x14ac:dyDescent="0.2">
      <c r="A125" s="287"/>
      <c r="B125" s="268" t="s">
        <v>224</v>
      </c>
      <c r="C125" s="398"/>
      <c r="D125" s="398"/>
      <c r="E125" s="399">
        <f t="shared" si="15"/>
        <v>0</v>
      </c>
      <c r="F125" s="398"/>
      <c r="G125" s="398"/>
      <c r="H125" s="399">
        <f t="shared" si="19"/>
        <v>0</v>
      </c>
      <c r="I125" s="398"/>
      <c r="J125" s="398"/>
      <c r="K125" s="399">
        <f t="shared" si="20"/>
        <v>0</v>
      </c>
      <c r="L125" s="398"/>
      <c r="M125" s="398"/>
      <c r="N125" s="399">
        <f t="shared" si="21"/>
        <v>0</v>
      </c>
    </row>
    <row r="126" spans="1:14" ht="13.5" thickBot="1" x14ac:dyDescent="0.25">
      <c r="A126" s="287" t="s">
        <v>225</v>
      </c>
      <c r="B126" s="268" t="s">
        <v>226</v>
      </c>
      <c r="C126" s="400"/>
      <c r="D126" s="400"/>
      <c r="E126" s="401">
        <f t="shared" si="15"/>
        <v>0</v>
      </c>
      <c r="F126" s="400"/>
      <c r="G126" s="400"/>
      <c r="H126" s="401">
        <f t="shared" si="19"/>
        <v>0</v>
      </c>
      <c r="I126" s="400"/>
      <c r="J126" s="400"/>
      <c r="K126" s="401">
        <f t="shared" si="20"/>
        <v>0</v>
      </c>
      <c r="L126" s="400"/>
      <c r="M126" s="400"/>
      <c r="N126" s="401">
        <f t="shared" si="21"/>
        <v>0</v>
      </c>
    </row>
    <row r="127" spans="1:14" ht="13.5" thickBot="1" x14ac:dyDescent="0.25">
      <c r="A127" s="288" t="s">
        <v>227</v>
      </c>
      <c r="B127" s="278" t="s">
        <v>36</v>
      </c>
      <c r="C127" s="402">
        <v>4000000</v>
      </c>
      <c r="D127" s="402"/>
      <c r="E127" s="403">
        <f t="shared" si="15"/>
        <v>4000000</v>
      </c>
      <c r="F127" s="402">
        <v>4000000</v>
      </c>
      <c r="G127" s="402"/>
      <c r="H127" s="403">
        <f t="shared" si="19"/>
        <v>4000000</v>
      </c>
      <c r="I127" s="402">
        <v>5388302</v>
      </c>
      <c r="J127" s="402"/>
      <c r="K127" s="403">
        <f t="shared" si="20"/>
        <v>5388302</v>
      </c>
      <c r="L127" s="402">
        <v>5151302</v>
      </c>
      <c r="M127" s="402"/>
      <c r="N127" s="403">
        <f t="shared" si="21"/>
        <v>5151302</v>
      </c>
    </row>
    <row r="128" spans="1:14" x14ac:dyDescent="0.2">
      <c r="A128" s="285" t="s">
        <v>228</v>
      </c>
      <c r="B128" s="264" t="s">
        <v>37</v>
      </c>
      <c r="C128" s="396">
        <f>SUM(C129:C134)</f>
        <v>2000000</v>
      </c>
      <c r="D128" s="396">
        <f>SUM(D129:D134)</f>
        <v>0</v>
      </c>
      <c r="E128" s="397">
        <f t="shared" si="15"/>
        <v>2000000</v>
      </c>
      <c r="F128" s="396">
        <f>SUM(F129:F134)</f>
        <v>2000000</v>
      </c>
      <c r="G128" s="396">
        <f>SUM(G129:G134)</f>
        <v>0</v>
      </c>
      <c r="H128" s="397">
        <f t="shared" si="19"/>
        <v>2000000</v>
      </c>
      <c r="I128" s="396">
        <f>SUM(I129:I134)</f>
        <v>2000000</v>
      </c>
      <c r="J128" s="396">
        <f>SUM(J129:J134)</f>
        <v>0</v>
      </c>
      <c r="K128" s="397">
        <f t="shared" si="20"/>
        <v>2000000</v>
      </c>
      <c r="L128" s="396">
        <f>SUM(L129:L134)</f>
        <v>0</v>
      </c>
      <c r="M128" s="396">
        <f>SUM(M129:M134)</f>
        <v>0</v>
      </c>
      <c r="N128" s="397">
        <f t="shared" si="21"/>
        <v>0</v>
      </c>
    </row>
    <row r="129" spans="1:14" x14ac:dyDescent="0.2">
      <c r="A129" s="286" t="s">
        <v>229</v>
      </c>
      <c r="B129" s="266" t="s">
        <v>230</v>
      </c>
      <c r="C129" s="398"/>
      <c r="D129" s="398"/>
      <c r="E129" s="399">
        <f t="shared" si="15"/>
        <v>0</v>
      </c>
      <c r="F129" s="398"/>
      <c r="G129" s="398"/>
      <c r="H129" s="399">
        <f t="shared" si="19"/>
        <v>0</v>
      </c>
      <c r="I129" s="398"/>
      <c r="J129" s="398"/>
      <c r="K129" s="399">
        <f t="shared" si="20"/>
        <v>0</v>
      </c>
      <c r="L129" s="398"/>
      <c r="M129" s="398"/>
      <c r="N129" s="399">
        <f t="shared" si="21"/>
        <v>0</v>
      </c>
    </row>
    <row r="130" spans="1:14" x14ac:dyDescent="0.2">
      <c r="A130" s="190" t="s">
        <v>548</v>
      </c>
      <c r="B130" s="180" t="s">
        <v>549</v>
      </c>
      <c r="C130" s="398"/>
      <c r="D130" s="398"/>
      <c r="E130" s="399">
        <f t="shared" si="15"/>
        <v>0</v>
      </c>
      <c r="F130" s="398"/>
      <c r="G130" s="398"/>
      <c r="H130" s="399">
        <f t="shared" si="19"/>
        <v>0</v>
      </c>
      <c r="I130" s="398"/>
      <c r="J130" s="398"/>
      <c r="K130" s="399">
        <f t="shared" si="20"/>
        <v>0</v>
      </c>
      <c r="L130" s="398"/>
      <c r="M130" s="398"/>
      <c r="N130" s="399">
        <f t="shared" si="21"/>
        <v>0</v>
      </c>
    </row>
    <row r="131" spans="1:14" x14ac:dyDescent="0.2">
      <c r="A131" s="286" t="s">
        <v>231</v>
      </c>
      <c r="B131" s="266" t="s">
        <v>232</v>
      </c>
      <c r="C131" s="398">
        <v>2000000</v>
      </c>
      <c r="D131" s="398"/>
      <c r="E131" s="399">
        <f t="shared" si="15"/>
        <v>2000000</v>
      </c>
      <c r="F131" s="398">
        <v>2000000</v>
      </c>
      <c r="G131" s="398"/>
      <c r="H131" s="399">
        <f t="shared" si="19"/>
        <v>2000000</v>
      </c>
      <c r="I131" s="398">
        <v>2000000</v>
      </c>
      <c r="J131" s="398"/>
      <c r="K131" s="399">
        <f t="shared" si="20"/>
        <v>2000000</v>
      </c>
      <c r="L131" s="398"/>
      <c r="M131" s="398"/>
      <c r="N131" s="399">
        <f t="shared" si="21"/>
        <v>0</v>
      </c>
    </row>
    <row r="132" spans="1:14" x14ac:dyDescent="0.2">
      <c r="A132" s="286" t="s">
        <v>233</v>
      </c>
      <c r="B132" s="266" t="s">
        <v>234</v>
      </c>
      <c r="C132" s="398"/>
      <c r="D132" s="398"/>
      <c r="E132" s="399">
        <f t="shared" si="15"/>
        <v>0</v>
      </c>
      <c r="F132" s="398"/>
      <c r="G132" s="398"/>
      <c r="H132" s="399">
        <f t="shared" si="19"/>
        <v>0</v>
      </c>
      <c r="I132" s="398"/>
      <c r="J132" s="398"/>
      <c r="K132" s="399">
        <f t="shared" si="20"/>
        <v>0</v>
      </c>
      <c r="L132" s="398"/>
      <c r="M132" s="398"/>
      <c r="N132" s="399">
        <f t="shared" si="21"/>
        <v>0</v>
      </c>
    </row>
    <row r="133" spans="1:14" x14ac:dyDescent="0.2">
      <c r="A133" s="286" t="s">
        <v>235</v>
      </c>
      <c r="B133" s="266" t="s">
        <v>236</v>
      </c>
      <c r="C133" s="398"/>
      <c r="D133" s="398"/>
      <c r="E133" s="399">
        <f t="shared" si="15"/>
        <v>0</v>
      </c>
      <c r="F133" s="398"/>
      <c r="G133" s="398"/>
      <c r="H133" s="399">
        <f t="shared" si="19"/>
        <v>0</v>
      </c>
      <c r="I133" s="398"/>
      <c r="J133" s="398"/>
      <c r="K133" s="399">
        <f t="shared" si="20"/>
        <v>0</v>
      </c>
      <c r="L133" s="398"/>
      <c r="M133" s="398"/>
      <c r="N133" s="399">
        <f t="shared" si="21"/>
        <v>0</v>
      </c>
    </row>
    <row r="134" spans="1:14" x14ac:dyDescent="0.2">
      <c r="A134" s="286" t="s">
        <v>237</v>
      </c>
      <c r="B134" s="266" t="s">
        <v>238</v>
      </c>
      <c r="C134" s="398">
        <f>SUM(C135:C136)</f>
        <v>0</v>
      </c>
      <c r="D134" s="398">
        <f>SUM(D135:D136)</f>
        <v>0</v>
      </c>
      <c r="E134" s="399">
        <f t="shared" si="15"/>
        <v>0</v>
      </c>
      <c r="F134" s="398">
        <f>SUM(F135:F136)</f>
        <v>0</v>
      </c>
      <c r="G134" s="398">
        <f>SUM(G135:G136)</f>
        <v>0</v>
      </c>
      <c r="H134" s="399">
        <f t="shared" si="19"/>
        <v>0</v>
      </c>
      <c r="I134" s="398">
        <f>SUM(I135:I136)</f>
        <v>0</v>
      </c>
      <c r="J134" s="398">
        <f>SUM(J135:J136)</f>
        <v>0</v>
      </c>
      <c r="K134" s="399">
        <f t="shared" si="20"/>
        <v>0</v>
      </c>
      <c r="L134" s="398">
        <f>SUM(L135:L136)</f>
        <v>0</v>
      </c>
      <c r="M134" s="398">
        <f>SUM(M135:M136)</f>
        <v>0</v>
      </c>
      <c r="N134" s="399">
        <f t="shared" si="21"/>
        <v>0</v>
      </c>
    </row>
    <row r="135" spans="1:14" x14ac:dyDescent="0.2">
      <c r="A135" s="286"/>
      <c r="B135" s="266" t="s">
        <v>239</v>
      </c>
      <c r="C135" s="398"/>
      <c r="D135" s="398"/>
      <c r="E135" s="399">
        <f t="shared" si="15"/>
        <v>0</v>
      </c>
      <c r="F135" s="398"/>
      <c r="G135" s="398"/>
      <c r="H135" s="399">
        <f t="shared" si="19"/>
        <v>0</v>
      </c>
      <c r="I135" s="398"/>
      <c r="J135" s="398"/>
      <c r="K135" s="399">
        <f t="shared" si="20"/>
        <v>0</v>
      </c>
      <c r="L135" s="398"/>
      <c r="M135" s="398"/>
      <c r="N135" s="399">
        <f t="shared" si="21"/>
        <v>0</v>
      </c>
    </row>
    <row r="136" spans="1:14" ht="13.5" thickBot="1" x14ac:dyDescent="0.25">
      <c r="A136" s="287"/>
      <c r="B136" s="268" t="s">
        <v>240</v>
      </c>
      <c r="C136" s="400"/>
      <c r="D136" s="400"/>
      <c r="E136" s="401">
        <f t="shared" si="15"/>
        <v>0</v>
      </c>
      <c r="F136" s="400"/>
      <c r="G136" s="400"/>
      <c r="H136" s="401">
        <f t="shared" si="19"/>
        <v>0</v>
      </c>
      <c r="I136" s="400"/>
      <c r="J136" s="400"/>
      <c r="K136" s="401">
        <f t="shared" si="20"/>
        <v>0</v>
      </c>
      <c r="L136" s="400"/>
      <c r="M136" s="400"/>
      <c r="N136" s="401">
        <f t="shared" si="21"/>
        <v>0</v>
      </c>
    </row>
    <row r="137" spans="1:14" x14ac:dyDescent="0.2">
      <c r="A137" s="285" t="s">
        <v>241</v>
      </c>
      <c r="B137" s="264" t="s">
        <v>38</v>
      </c>
      <c r="C137" s="396"/>
      <c r="D137" s="396"/>
      <c r="E137" s="397">
        <f t="shared" si="15"/>
        <v>0</v>
      </c>
      <c r="F137" s="396"/>
      <c r="G137" s="396"/>
      <c r="H137" s="397">
        <f t="shared" si="19"/>
        <v>0</v>
      </c>
      <c r="I137" s="396"/>
      <c r="J137" s="396"/>
      <c r="K137" s="397">
        <f t="shared" si="20"/>
        <v>0</v>
      </c>
      <c r="L137" s="396"/>
      <c r="M137" s="396"/>
      <c r="N137" s="397">
        <f t="shared" si="21"/>
        <v>0</v>
      </c>
    </row>
    <row r="138" spans="1:14" ht="13.5" thickBot="1" x14ac:dyDescent="0.25">
      <c r="A138" s="287" t="s">
        <v>242</v>
      </c>
      <c r="B138" s="268" t="s">
        <v>243</v>
      </c>
      <c r="C138" s="400"/>
      <c r="D138" s="400"/>
      <c r="E138" s="401">
        <f t="shared" si="15"/>
        <v>0</v>
      </c>
      <c r="F138" s="400"/>
      <c r="G138" s="400"/>
      <c r="H138" s="401">
        <f t="shared" si="19"/>
        <v>0</v>
      </c>
      <c r="I138" s="400"/>
      <c r="J138" s="400"/>
      <c r="K138" s="401">
        <f t="shared" si="20"/>
        <v>0</v>
      </c>
      <c r="L138" s="400"/>
      <c r="M138" s="400"/>
      <c r="N138" s="401">
        <f t="shared" si="21"/>
        <v>0</v>
      </c>
    </row>
    <row r="139" spans="1:14" x14ac:dyDescent="0.2">
      <c r="A139" s="285" t="s">
        <v>244</v>
      </c>
      <c r="B139" s="264" t="s">
        <v>39</v>
      </c>
      <c r="C139" s="396"/>
      <c r="D139" s="396"/>
      <c r="E139" s="397">
        <f t="shared" si="15"/>
        <v>0</v>
      </c>
      <c r="F139" s="396"/>
      <c r="G139" s="396"/>
      <c r="H139" s="397">
        <f t="shared" si="19"/>
        <v>0</v>
      </c>
      <c r="I139" s="396"/>
      <c r="J139" s="396"/>
      <c r="K139" s="397">
        <f t="shared" si="20"/>
        <v>0</v>
      </c>
      <c r="L139" s="396"/>
      <c r="M139" s="396"/>
      <c r="N139" s="397">
        <f t="shared" si="21"/>
        <v>0</v>
      </c>
    </row>
    <row r="140" spans="1:14" ht="13.5" thickBot="1" x14ac:dyDescent="0.25">
      <c r="A140" s="287" t="s">
        <v>245</v>
      </c>
      <c r="B140" s="268" t="s">
        <v>246</v>
      </c>
      <c r="C140" s="400"/>
      <c r="D140" s="400"/>
      <c r="E140" s="401">
        <f t="shared" si="15"/>
        <v>0</v>
      </c>
      <c r="F140" s="400"/>
      <c r="G140" s="400"/>
      <c r="H140" s="401">
        <f t="shared" si="19"/>
        <v>0</v>
      </c>
      <c r="I140" s="400"/>
      <c r="J140" s="400"/>
      <c r="K140" s="401">
        <f t="shared" si="20"/>
        <v>0</v>
      </c>
      <c r="L140" s="400"/>
      <c r="M140" s="400"/>
      <c r="N140" s="401">
        <f t="shared" si="21"/>
        <v>0</v>
      </c>
    </row>
    <row r="141" spans="1:14" ht="13.5" thickBot="1" x14ac:dyDescent="0.25">
      <c r="A141" s="289" t="s">
        <v>247</v>
      </c>
      <c r="B141" s="270" t="s">
        <v>40</v>
      </c>
      <c r="C141" s="407"/>
      <c r="D141" s="407"/>
      <c r="E141" s="408">
        <f t="shared" si="15"/>
        <v>0</v>
      </c>
      <c r="F141" s="407"/>
      <c r="G141" s="407"/>
      <c r="H141" s="408">
        <f t="shared" si="19"/>
        <v>0</v>
      </c>
      <c r="I141" s="407"/>
      <c r="J141" s="407"/>
      <c r="K141" s="408">
        <f t="shared" si="20"/>
        <v>0</v>
      </c>
      <c r="L141" s="407"/>
      <c r="M141" s="407"/>
      <c r="N141" s="408">
        <f t="shared" si="21"/>
        <v>0</v>
      </c>
    </row>
    <row r="142" spans="1:14" ht="13.5" thickBot="1" x14ac:dyDescent="0.25">
      <c r="A142" s="288" t="s">
        <v>248</v>
      </c>
      <c r="B142" s="278" t="s">
        <v>249</v>
      </c>
      <c r="C142" s="402">
        <f>C141+C140+C139+C138+C137+C128+C127+C111+C105+C88</f>
        <v>12635000</v>
      </c>
      <c r="D142" s="402">
        <f>D141+D140+D139+D138+D137+D128+D127+D111+D105+D88</f>
        <v>0</v>
      </c>
      <c r="E142" s="403">
        <f t="shared" si="15"/>
        <v>12635000</v>
      </c>
      <c r="F142" s="402">
        <f>F141+F140+F139+F138+F137+F128+F127+F111+F105+F88</f>
        <v>14621280</v>
      </c>
      <c r="G142" s="402">
        <f>G141+G140+G139+G138+G137+G128+G127+G111+G105+G88</f>
        <v>0</v>
      </c>
      <c r="H142" s="403">
        <f t="shared" si="19"/>
        <v>14621280</v>
      </c>
      <c r="I142" s="402">
        <f>I141+I140+I139+I138+I137+I128+I127+I111+I105+I88</f>
        <v>16009582</v>
      </c>
      <c r="J142" s="402">
        <f>J141+J140+J139+J138+J137+J128+J127+J111+J105+J88</f>
        <v>0</v>
      </c>
      <c r="K142" s="403">
        <f t="shared" si="20"/>
        <v>16009582</v>
      </c>
      <c r="L142" s="402">
        <f>L141+L140+L139+L138+L137+L128+L127+L111+L105+L88</f>
        <v>11576421</v>
      </c>
      <c r="M142" s="402">
        <f>M141+M140+M139+M138+M137+M128+M127+M111+M105+M88</f>
        <v>0</v>
      </c>
      <c r="N142" s="403">
        <f t="shared" si="21"/>
        <v>11576421</v>
      </c>
    </row>
    <row r="143" spans="1:14" ht="13.5" thickBot="1" x14ac:dyDescent="0.25">
      <c r="A143" s="290" t="s">
        <v>250</v>
      </c>
      <c r="B143" s="276" t="s">
        <v>251</v>
      </c>
      <c r="C143" s="396">
        <f>SUM(C144:C150)</f>
        <v>0</v>
      </c>
      <c r="D143" s="396">
        <f>SUM(D144:D150)</f>
        <v>0</v>
      </c>
      <c r="E143" s="397">
        <f t="shared" si="15"/>
        <v>0</v>
      </c>
      <c r="F143" s="396">
        <f>SUM(F144:F150)</f>
        <v>0</v>
      </c>
      <c r="G143" s="396">
        <f>SUM(G144:G150)</f>
        <v>0</v>
      </c>
      <c r="H143" s="397">
        <f t="shared" si="19"/>
        <v>0</v>
      </c>
      <c r="I143" s="396">
        <f>SUM(I144:I150)</f>
        <v>0</v>
      </c>
      <c r="J143" s="396">
        <f>SUM(J144:J150)</f>
        <v>0</v>
      </c>
      <c r="K143" s="397">
        <f t="shared" si="20"/>
        <v>0</v>
      </c>
      <c r="L143" s="396">
        <f>SUM(L144:L150)</f>
        <v>0</v>
      </c>
      <c r="M143" s="396">
        <f>SUM(M144:M150)</f>
        <v>0</v>
      </c>
      <c r="N143" s="397">
        <f t="shared" si="21"/>
        <v>0</v>
      </c>
    </row>
    <row r="144" spans="1:14" ht="13.5" hidden="1" thickBot="1" x14ac:dyDescent="0.25">
      <c r="A144" s="286" t="s">
        <v>252</v>
      </c>
      <c r="B144" s="266" t="s">
        <v>253</v>
      </c>
      <c r="C144" s="398"/>
      <c r="D144" s="398"/>
      <c r="E144" s="399">
        <f t="shared" si="15"/>
        <v>0</v>
      </c>
      <c r="F144" s="398"/>
      <c r="G144" s="398"/>
      <c r="H144" s="399">
        <f t="shared" si="19"/>
        <v>0</v>
      </c>
      <c r="I144" s="398"/>
      <c r="J144" s="398"/>
      <c r="K144" s="399">
        <f t="shared" si="20"/>
        <v>0</v>
      </c>
      <c r="L144" s="398"/>
      <c r="M144" s="398"/>
      <c r="N144" s="399">
        <f t="shared" si="21"/>
        <v>0</v>
      </c>
    </row>
    <row r="145" spans="1:14" ht="13.5" hidden="1" thickBot="1" x14ac:dyDescent="0.25">
      <c r="A145" s="286" t="s">
        <v>254</v>
      </c>
      <c r="B145" s="266" t="s">
        <v>255</v>
      </c>
      <c r="C145" s="398"/>
      <c r="D145" s="398"/>
      <c r="E145" s="399">
        <f t="shared" si="15"/>
        <v>0</v>
      </c>
      <c r="F145" s="398"/>
      <c r="G145" s="398"/>
      <c r="H145" s="399">
        <f t="shared" si="19"/>
        <v>0</v>
      </c>
      <c r="I145" s="398"/>
      <c r="J145" s="398"/>
      <c r="K145" s="399">
        <f t="shared" si="20"/>
        <v>0</v>
      </c>
      <c r="L145" s="398"/>
      <c r="M145" s="398"/>
      <c r="N145" s="399">
        <f t="shared" si="21"/>
        <v>0</v>
      </c>
    </row>
    <row r="146" spans="1:14" ht="13.5" hidden="1" thickBot="1" x14ac:dyDescent="0.25">
      <c r="A146" s="286" t="s">
        <v>541</v>
      </c>
      <c r="B146" s="266" t="s">
        <v>542</v>
      </c>
      <c r="C146" s="398"/>
      <c r="D146" s="398"/>
      <c r="E146" s="399"/>
      <c r="F146" s="398"/>
      <c r="G146" s="398"/>
      <c r="H146" s="399"/>
      <c r="I146" s="398"/>
      <c r="J146" s="398"/>
      <c r="K146" s="399"/>
      <c r="L146" s="398"/>
      <c r="M146" s="398"/>
      <c r="N146" s="399"/>
    </row>
    <row r="147" spans="1:14" ht="13.5" hidden="1" thickBot="1" x14ac:dyDescent="0.25">
      <c r="A147" s="286" t="s">
        <v>256</v>
      </c>
      <c r="B147" s="266" t="s">
        <v>257</v>
      </c>
      <c r="C147" s="398"/>
      <c r="D147" s="398"/>
      <c r="E147" s="399">
        <f t="shared" si="15"/>
        <v>0</v>
      </c>
      <c r="F147" s="398"/>
      <c r="G147" s="398"/>
      <c r="H147" s="399">
        <f t="shared" ref="H147:H150" si="22">SUM(F147:G147)</f>
        <v>0</v>
      </c>
      <c r="I147" s="398"/>
      <c r="J147" s="398"/>
      <c r="K147" s="399">
        <f t="shared" ref="K147:K150" si="23">SUM(I147:J147)</f>
        <v>0</v>
      </c>
      <c r="L147" s="398"/>
      <c r="M147" s="398"/>
      <c r="N147" s="399">
        <f t="shared" ref="N147:N150" si="24">SUM(L147:M147)</f>
        <v>0</v>
      </c>
    </row>
    <row r="148" spans="1:14" ht="13.5" hidden="1" thickBot="1" x14ac:dyDescent="0.25">
      <c r="A148" s="286" t="s">
        <v>258</v>
      </c>
      <c r="B148" s="266" t="s">
        <v>259</v>
      </c>
      <c r="C148" s="398"/>
      <c r="D148" s="398"/>
      <c r="E148" s="399">
        <f t="shared" si="15"/>
        <v>0</v>
      </c>
      <c r="F148" s="398"/>
      <c r="G148" s="398"/>
      <c r="H148" s="399">
        <f t="shared" si="22"/>
        <v>0</v>
      </c>
      <c r="I148" s="398"/>
      <c r="J148" s="398"/>
      <c r="K148" s="399">
        <f t="shared" si="23"/>
        <v>0</v>
      </c>
      <c r="L148" s="398"/>
      <c r="M148" s="398"/>
      <c r="N148" s="399">
        <f t="shared" si="24"/>
        <v>0</v>
      </c>
    </row>
    <row r="149" spans="1:14" ht="13.5" hidden="1" thickBot="1" x14ac:dyDescent="0.25">
      <c r="A149" s="286" t="s">
        <v>260</v>
      </c>
      <c r="B149" s="266" t="s">
        <v>261</v>
      </c>
      <c r="C149" s="398"/>
      <c r="D149" s="398"/>
      <c r="E149" s="399">
        <f t="shared" si="15"/>
        <v>0</v>
      </c>
      <c r="F149" s="398"/>
      <c r="G149" s="398"/>
      <c r="H149" s="399">
        <f t="shared" si="22"/>
        <v>0</v>
      </c>
      <c r="I149" s="398"/>
      <c r="J149" s="398"/>
      <c r="K149" s="399">
        <f t="shared" si="23"/>
        <v>0</v>
      </c>
      <c r="L149" s="398"/>
      <c r="M149" s="398"/>
      <c r="N149" s="399">
        <f t="shared" si="24"/>
        <v>0</v>
      </c>
    </row>
    <row r="150" spans="1:14" ht="13.5" hidden="1" thickBot="1" x14ac:dyDescent="0.25">
      <c r="A150" s="287"/>
      <c r="B150" s="268" t="s">
        <v>262</v>
      </c>
      <c r="C150" s="409"/>
      <c r="D150" s="400"/>
      <c r="E150" s="401">
        <f t="shared" si="15"/>
        <v>0</v>
      </c>
      <c r="F150" s="409"/>
      <c r="G150" s="400"/>
      <c r="H150" s="401">
        <f t="shared" si="22"/>
        <v>0</v>
      </c>
      <c r="I150" s="409"/>
      <c r="J150" s="400"/>
      <c r="K150" s="401">
        <f t="shared" si="23"/>
        <v>0</v>
      </c>
      <c r="L150" s="409"/>
      <c r="M150" s="400"/>
      <c r="N150" s="401">
        <f t="shared" si="24"/>
        <v>0</v>
      </c>
    </row>
    <row r="151" spans="1:14" ht="13.5" thickBot="1" x14ac:dyDescent="0.25">
      <c r="A151" s="288" t="s">
        <v>265</v>
      </c>
      <c r="B151" s="278" t="s">
        <v>263</v>
      </c>
      <c r="C151" s="402">
        <f>C143+C142</f>
        <v>12635000</v>
      </c>
      <c r="D151" s="410">
        <f>D143+D142</f>
        <v>0</v>
      </c>
      <c r="E151" s="411">
        <f>SUM(C151:D151)</f>
        <v>12635000</v>
      </c>
      <c r="F151" s="402">
        <f>F143+F142</f>
        <v>14621280</v>
      </c>
      <c r="G151" s="410">
        <f>G143+G142</f>
        <v>0</v>
      </c>
      <c r="H151" s="411">
        <f>SUM(F151:G151)</f>
        <v>14621280</v>
      </c>
      <c r="I151" s="402">
        <f>I143+I142</f>
        <v>16009582</v>
      </c>
      <c r="J151" s="410">
        <f>J143+J142</f>
        <v>0</v>
      </c>
      <c r="K151" s="411">
        <f>SUM(I151:J151)</f>
        <v>16009582</v>
      </c>
      <c r="L151" s="402">
        <f>L143+L142</f>
        <v>11576421</v>
      </c>
      <c r="M151" s="410">
        <f>M143+M142</f>
        <v>0</v>
      </c>
      <c r="N151" s="411">
        <f>SUM(L151:M151)</f>
        <v>11576421</v>
      </c>
    </row>
    <row r="152" spans="1:14" x14ac:dyDescent="0.2">
      <c r="D152" s="291"/>
      <c r="E152" s="291"/>
      <c r="G152" s="291"/>
      <c r="H152" s="291"/>
      <c r="J152" s="291"/>
      <c r="K152" s="291"/>
      <c r="M152" s="291"/>
      <c r="N152" s="291"/>
    </row>
    <row r="153" spans="1:14" x14ac:dyDescent="0.2">
      <c r="E153" s="306">
        <f t="shared" ref="E153" si="25">E85-E151</f>
        <v>-12635000</v>
      </c>
      <c r="H153" s="306">
        <f t="shared" ref="H153" si="26">H85-H151</f>
        <v>-14621280</v>
      </c>
      <c r="K153" s="306">
        <f t="shared" ref="K153" si="27">K85-K151</f>
        <v>-16009582</v>
      </c>
      <c r="N153" s="306">
        <f t="shared" ref="N153" si="28">N85-N151</f>
        <v>-11576421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51" fitToHeight="0" orientation="portrait" horizontalDpi="300" verticalDpi="300" r:id="rId1"/>
  <headerFooter>
    <oddFooter>&amp;R&amp;P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153"/>
  <sheetViews>
    <sheetView zoomScaleNormal="100" workbookViewId="0">
      <pane ySplit="8" topLeftCell="A111" activePane="bottomLeft" state="frozen"/>
      <selection activeCell="AB159" sqref="AB159"/>
      <selection pane="bottomLeft" activeCell="L38" sqref="L38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13.28515625" style="179" bestFit="1" customWidth="1"/>
    <col min="4" max="4" width="9.140625" style="179"/>
    <col min="5" max="6" width="13.28515625" style="179" bestFit="1" customWidth="1"/>
    <col min="7" max="7" width="9.140625" style="179"/>
    <col min="8" max="9" width="13.28515625" style="179" bestFit="1" customWidth="1"/>
    <col min="10" max="10" width="9.140625" style="179"/>
    <col min="11" max="12" width="13.28515625" style="179" bestFit="1" customWidth="1"/>
    <col min="13" max="13" width="9.140625" style="179"/>
    <col min="14" max="14" width="13.28515625" style="179" bestFit="1" customWidth="1"/>
    <col min="15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</row>
    <row r="2" spans="1:14" s="79" customFormat="1" ht="15" customHeight="1" x14ac:dyDescent="0.2">
      <c r="A2" s="912">
        <v>2019</v>
      </c>
      <c r="B2" s="912"/>
      <c r="C2" s="912"/>
      <c r="D2" s="912"/>
      <c r="E2" s="912"/>
    </row>
    <row r="3" spans="1:14" s="79" customFormat="1" ht="5.25" customHeight="1" x14ac:dyDescent="0.2"/>
    <row r="4" spans="1:14" x14ac:dyDescent="0.25">
      <c r="A4" s="79" t="s">
        <v>270</v>
      </c>
      <c r="C4" s="45" t="str">
        <f>'7.31 segélyek 107060'!C4</f>
        <v xml:space="preserve"> 12 / 2020. (VI.15) sz rendelet</v>
      </c>
    </row>
    <row r="5" spans="1:14" s="81" customFormat="1" ht="12.75" x14ac:dyDescent="0.2">
      <c r="A5" s="90" t="s">
        <v>546</v>
      </c>
      <c r="B5" s="81" t="s">
        <v>547</v>
      </c>
    </row>
    <row r="6" spans="1:14" x14ac:dyDescent="0.25">
      <c r="C6" s="713" t="s">
        <v>760</v>
      </c>
      <c r="D6" s="715" t="str">
        <f>'7.31 segélyek 107060'!D6</f>
        <v xml:space="preserve"> melléklet az 12/2020. (VI.15.) rendelethez</v>
      </c>
      <c r="E6" s="177"/>
      <c r="F6" s="177"/>
      <c r="G6" s="177"/>
      <c r="H6" s="177"/>
      <c r="I6" s="917"/>
      <c r="J6" s="917"/>
      <c r="K6" s="917"/>
      <c r="L6" s="917"/>
      <c r="M6" s="917"/>
      <c r="N6" s="917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idden="1" x14ac:dyDescent="0.25">
      <c r="A10" s="184" t="s">
        <v>45</v>
      </c>
      <c r="B10" s="180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idden="1" x14ac:dyDescent="0.25">
      <c r="A11" s="184" t="s">
        <v>47</v>
      </c>
      <c r="B11" s="180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idden="1" x14ac:dyDescent="0.25">
      <c r="A12" s="184" t="s">
        <v>49</v>
      </c>
      <c r="B12" s="180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184" t="s">
        <v>51</v>
      </c>
      <c r="B13" s="180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184" t="s">
        <v>53</v>
      </c>
      <c r="B14" s="180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184" t="s">
        <v>55</v>
      </c>
      <c r="B15" s="180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184" t="s">
        <v>57</v>
      </c>
      <c r="B16" s="180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184" t="s">
        <v>59</v>
      </c>
      <c r="B17" s="180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184" t="s">
        <v>61</v>
      </c>
      <c r="B18" s="180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185" t="s">
        <v>266</v>
      </c>
      <c r="B19" s="192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185" t="s">
        <v>63</v>
      </c>
      <c r="B20" s="192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196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x14ac:dyDescent="0.25">
      <c r="A25" s="187" t="s">
        <v>68</v>
      </c>
      <c r="B25" s="198" t="s">
        <v>25</v>
      </c>
      <c r="C25" s="244">
        <f>C26+C30+C38</f>
        <v>493000000</v>
      </c>
      <c r="D25" s="244">
        <f>D26+D30+D38</f>
        <v>0</v>
      </c>
      <c r="E25" s="245">
        <f t="shared" si="0"/>
        <v>493000000</v>
      </c>
      <c r="F25" s="244">
        <f>F26+F30+F38</f>
        <v>493000000</v>
      </c>
      <c r="G25" s="244">
        <f>G26+G30+G38</f>
        <v>0</v>
      </c>
      <c r="H25" s="245">
        <f t="shared" si="1"/>
        <v>493000000</v>
      </c>
      <c r="I25" s="244">
        <f>I26+I30+I38</f>
        <v>526389831</v>
      </c>
      <c r="J25" s="244">
        <f>J26+J30+J38</f>
        <v>0</v>
      </c>
      <c r="K25" s="245">
        <f t="shared" si="2"/>
        <v>526389831</v>
      </c>
      <c r="L25" s="244">
        <f>L26+L30+L38</f>
        <v>559711307</v>
      </c>
      <c r="M25" s="244">
        <f>M26+M30+M38</f>
        <v>0</v>
      </c>
      <c r="N25" s="245">
        <f t="shared" si="3"/>
        <v>559711307</v>
      </c>
    </row>
    <row r="26" spans="1:14" x14ac:dyDescent="0.25">
      <c r="A26" s="184" t="s">
        <v>69</v>
      </c>
      <c r="B26" s="180" t="s">
        <v>70</v>
      </c>
      <c r="C26" s="246">
        <f>SUM(C27:C29)</f>
        <v>198000000</v>
      </c>
      <c r="D26" s="246">
        <f>SUM(D27:D29)</f>
        <v>0</v>
      </c>
      <c r="E26" s="247">
        <f t="shared" si="0"/>
        <v>198000000</v>
      </c>
      <c r="F26" s="246">
        <f>SUM(F27:F29)</f>
        <v>198000000</v>
      </c>
      <c r="G26" s="246">
        <f>SUM(G27:G29)</f>
        <v>0</v>
      </c>
      <c r="H26" s="247">
        <f t="shared" si="1"/>
        <v>198000000</v>
      </c>
      <c r="I26" s="316">
        <f>SUM(I27:I29)</f>
        <v>219992843</v>
      </c>
      <c r="J26" s="246">
        <f>SUM(J27:J29)</f>
        <v>0</v>
      </c>
      <c r="K26" s="247">
        <f t="shared" si="2"/>
        <v>219992843</v>
      </c>
      <c r="L26" s="316">
        <f>SUM(L27:L29)</f>
        <v>224032780</v>
      </c>
      <c r="M26" s="246">
        <f>SUM(M27:M29)</f>
        <v>0</v>
      </c>
      <c r="N26" s="247">
        <f t="shared" si="3"/>
        <v>224032780</v>
      </c>
    </row>
    <row r="27" spans="1:14" x14ac:dyDescent="0.25">
      <c r="A27" s="184"/>
      <c r="B27" s="180" t="s">
        <v>71</v>
      </c>
      <c r="C27" s="246">
        <v>170000000</v>
      </c>
      <c r="D27" s="246"/>
      <c r="E27" s="247">
        <f t="shared" si="0"/>
        <v>170000000</v>
      </c>
      <c r="F27" s="246">
        <v>170000000</v>
      </c>
      <c r="G27" s="246"/>
      <c r="H27" s="247">
        <f t="shared" si="1"/>
        <v>170000000</v>
      </c>
      <c r="I27" s="316">
        <v>174992843</v>
      </c>
      <c r="J27" s="246"/>
      <c r="K27" s="247">
        <f t="shared" si="2"/>
        <v>174992843</v>
      </c>
      <c r="L27" s="316">
        <v>178996761</v>
      </c>
      <c r="M27" s="246"/>
      <c r="N27" s="247">
        <f t="shared" si="3"/>
        <v>178996761</v>
      </c>
    </row>
    <row r="28" spans="1:14" x14ac:dyDescent="0.25">
      <c r="A28" s="184"/>
      <c r="B28" s="180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316"/>
      <c r="J28" s="246"/>
      <c r="K28" s="247">
        <f t="shared" si="2"/>
        <v>0</v>
      </c>
      <c r="L28" s="316"/>
      <c r="M28" s="246"/>
      <c r="N28" s="247">
        <f t="shared" si="3"/>
        <v>0</v>
      </c>
    </row>
    <row r="29" spans="1:14" x14ac:dyDescent="0.25">
      <c r="A29" s="184"/>
      <c r="B29" s="180" t="s">
        <v>73</v>
      </c>
      <c r="C29" s="246">
        <v>28000000</v>
      </c>
      <c r="D29" s="246"/>
      <c r="E29" s="247">
        <f t="shared" si="0"/>
        <v>28000000</v>
      </c>
      <c r="F29" s="246">
        <v>28000000</v>
      </c>
      <c r="G29" s="246"/>
      <c r="H29" s="247">
        <f t="shared" si="1"/>
        <v>28000000</v>
      </c>
      <c r="I29" s="316">
        <v>45000000</v>
      </c>
      <c r="J29" s="246"/>
      <c r="K29" s="247">
        <f t="shared" si="2"/>
        <v>45000000</v>
      </c>
      <c r="L29" s="316">
        <v>45036019</v>
      </c>
      <c r="M29" s="246"/>
      <c r="N29" s="247">
        <f t="shared" si="3"/>
        <v>45036019</v>
      </c>
    </row>
    <row r="30" spans="1:14" x14ac:dyDescent="0.25">
      <c r="A30" s="184" t="s">
        <v>74</v>
      </c>
      <c r="B30" s="180" t="s">
        <v>75</v>
      </c>
      <c r="C30" s="246">
        <f>C31+C33+C34</f>
        <v>294000000</v>
      </c>
      <c r="D30" s="246">
        <f>D31+D33+D34</f>
        <v>0</v>
      </c>
      <c r="E30" s="247">
        <f t="shared" si="0"/>
        <v>294000000</v>
      </c>
      <c r="F30" s="246">
        <f>F31+F33+F34</f>
        <v>294000000</v>
      </c>
      <c r="G30" s="246">
        <f>G31+G33+G34</f>
        <v>0</v>
      </c>
      <c r="H30" s="247">
        <f t="shared" si="1"/>
        <v>294000000</v>
      </c>
      <c r="I30" s="316">
        <f>I31+I33+I34</f>
        <v>305396988</v>
      </c>
      <c r="J30" s="246">
        <f>J31+J33+J34</f>
        <v>0</v>
      </c>
      <c r="K30" s="247">
        <f t="shared" si="2"/>
        <v>305396988</v>
      </c>
      <c r="L30" s="316">
        <f>L31+L33+L34</f>
        <v>333149576</v>
      </c>
      <c r="M30" s="246">
        <f>M31+M33+M34</f>
        <v>0</v>
      </c>
      <c r="N30" s="247">
        <f t="shared" si="3"/>
        <v>333149576</v>
      </c>
    </row>
    <row r="31" spans="1:14" x14ac:dyDescent="0.25">
      <c r="A31" s="184" t="s">
        <v>76</v>
      </c>
      <c r="B31" s="180" t="s">
        <v>77</v>
      </c>
      <c r="C31" s="246">
        <f>C32</f>
        <v>155000000</v>
      </c>
      <c r="D31" s="246">
        <f>D32</f>
        <v>0</v>
      </c>
      <c r="E31" s="247">
        <f t="shared" si="0"/>
        <v>155000000</v>
      </c>
      <c r="F31" s="246">
        <f>F32</f>
        <v>155000000</v>
      </c>
      <c r="G31" s="246">
        <f>G32</f>
        <v>0</v>
      </c>
      <c r="H31" s="247">
        <f t="shared" si="1"/>
        <v>155000000</v>
      </c>
      <c r="I31" s="316">
        <f>I32</f>
        <v>155000000</v>
      </c>
      <c r="J31" s="246">
        <f>J32</f>
        <v>0</v>
      </c>
      <c r="K31" s="247">
        <f t="shared" si="2"/>
        <v>155000000</v>
      </c>
      <c r="L31" s="316">
        <f>L32</f>
        <v>180483848</v>
      </c>
      <c r="M31" s="246">
        <f>M32</f>
        <v>0</v>
      </c>
      <c r="N31" s="247">
        <f t="shared" si="3"/>
        <v>180483848</v>
      </c>
    </row>
    <row r="32" spans="1:14" x14ac:dyDescent="0.25">
      <c r="A32" s="184"/>
      <c r="B32" s="180" t="s">
        <v>78</v>
      </c>
      <c r="C32" s="246">
        <v>155000000</v>
      </c>
      <c r="D32" s="246"/>
      <c r="E32" s="247">
        <f t="shared" si="0"/>
        <v>155000000</v>
      </c>
      <c r="F32" s="246">
        <v>155000000</v>
      </c>
      <c r="G32" s="246"/>
      <c r="H32" s="247">
        <f t="shared" si="1"/>
        <v>155000000</v>
      </c>
      <c r="I32" s="316">
        <v>155000000</v>
      </c>
      <c r="J32" s="246"/>
      <c r="K32" s="247">
        <f t="shared" si="2"/>
        <v>155000000</v>
      </c>
      <c r="L32" s="316">
        <v>180483848</v>
      </c>
      <c r="M32" s="246"/>
      <c r="N32" s="247">
        <f t="shared" si="3"/>
        <v>180483848</v>
      </c>
    </row>
    <row r="33" spans="1:14" x14ac:dyDescent="0.25">
      <c r="A33" s="184" t="s">
        <v>79</v>
      </c>
      <c r="B33" s="180" t="s">
        <v>80</v>
      </c>
      <c r="C33" s="246">
        <v>14000000</v>
      </c>
      <c r="D33" s="246"/>
      <c r="E33" s="247">
        <f t="shared" si="0"/>
        <v>14000000</v>
      </c>
      <c r="F33" s="246">
        <v>14000000</v>
      </c>
      <c r="G33" s="246"/>
      <c r="H33" s="247">
        <f t="shared" si="1"/>
        <v>14000000</v>
      </c>
      <c r="I33" s="316">
        <v>14000000</v>
      </c>
      <c r="J33" s="246"/>
      <c r="K33" s="247">
        <f t="shared" si="2"/>
        <v>14000000</v>
      </c>
      <c r="L33" s="316">
        <v>14182280</v>
      </c>
      <c r="M33" s="246"/>
      <c r="N33" s="247">
        <f t="shared" si="3"/>
        <v>14182280</v>
      </c>
    </row>
    <row r="34" spans="1:14" x14ac:dyDescent="0.25">
      <c r="A34" s="184" t="s">
        <v>81</v>
      </c>
      <c r="B34" s="180" t="s">
        <v>82</v>
      </c>
      <c r="C34" s="246">
        <f>SUM(C35:C37)</f>
        <v>125000000</v>
      </c>
      <c r="D34" s="246">
        <f>SUM(D35:D37)</f>
        <v>0</v>
      </c>
      <c r="E34" s="247">
        <f t="shared" si="0"/>
        <v>125000000</v>
      </c>
      <c r="F34" s="246">
        <f>SUM(F35:F37)</f>
        <v>125000000</v>
      </c>
      <c r="G34" s="246">
        <f>SUM(G35:G37)</f>
        <v>0</v>
      </c>
      <c r="H34" s="247">
        <f t="shared" si="1"/>
        <v>125000000</v>
      </c>
      <c r="I34" s="316">
        <f>SUM(I35:I37)</f>
        <v>136396988</v>
      </c>
      <c r="J34" s="246">
        <f>SUM(J35:J37)</f>
        <v>0</v>
      </c>
      <c r="K34" s="247">
        <f t="shared" si="2"/>
        <v>136396988</v>
      </c>
      <c r="L34" s="316">
        <f>SUM(L35:L37)</f>
        <v>138483448</v>
      </c>
      <c r="M34" s="246">
        <f>SUM(M35:M37)</f>
        <v>0</v>
      </c>
      <c r="N34" s="247">
        <f t="shared" si="3"/>
        <v>138483448</v>
      </c>
    </row>
    <row r="35" spans="1:14" x14ac:dyDescent="0.25">
      <c r="A35" s="184"/>
      <c r="B35" s="180" t="s">
        <v>83</v>
      </c>
      <c r="C35" s="246">
        <v>125000000</v>
      </c>
      <c r="D35" s="246"/>
      <c r="E35" s="247">
        <f t="shared" si="0"/>
        <v>125000000</v>
      </c>
      <c r="F35" s="246">
        <v>125000000</v>
      </c>
      <c r="G35" s="246"/>
      <c r="H35" s="247">
        <f t="shared" si="1"/>
        <v>125000000</v>
      </c>
      <c r="I35" s="316">
        <v>136396988</v>
      </c>
      <c r="J35" s="246"/>
      <c r="K35" s="247">
        <f t="shared" si="2"/>
        <v>136396988</v>
      </c>
      <c r="L35" s="316">
        <v>138479959</v>
      </c>
      <c r="M35" s="246"/>
      <c r="N35" s="247">
        <f t="shared" si="3"/>
        <v>138479959</v>
      </c>
    </row>
    <row r="36" spans="1:14" x14ac:dyDescent="0.25">
      <c r="A36" s="184"/>
      <c r="B36" s="180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316"/>
      <c r="J36" s="246"/>
      <c r="K36" s="247">
        <f t="shared" si="2"/>
        <v>0</v>
      </c>
      <c r="L36" s="316"/>
      <c r="M36" s="246"/>
      <c r="N36" s="247">
        <f t="shared" si="3"/>
        <v>0</v>
      </c>
    </row>
    <row r="37" spans="1:14" x14ac:dyDescent="0.25">
      <c r="A37" s="184"/>
      <c r="B37" s="180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316"/>
      <c r="J37" s="246"/>
      <c r="K37" s="247">
        <f t="shared" si="2"/>
        <v>0</v>
      </c>
      <c r="L37" s="316">
        <v>3489</v>
      </c>
      <c r="M37" s="246"/>
      <c r="N37" s="247">
        <f t="shared" si="3"/>
        <v>3489</v>
      </c>
    </row>
    <row r="38" spans="1:14" ht="15.75" thickBot="1" x14ac:dyDescent="0.3">
      <c r="A38" s="184" t="s">
        <v>86</v>
      </c>
      <c r="B38" s="180" t="s">
        <v>87</v>
      </c>
      <c r="C38" s="246">
        <v>1000000</v>
      </c>
      <c r="D38" s="246">
        <f>SUM(D39:D44)</f>
        <v>0</v>
      </c>
      <c r="E38" s="247">
        <f t="shared" si="0"/>
        <v>1000000</v>
      </c>
      <c r="F38" s="246">
        <v>1000000</v>
      </c>
      <c r="G38" s="246">
        <f>SUM(G39:G44)</f>
        <v>0</v>
      </c>
      <c r="H38" s="247">
        <f t="shared" si="1"/>
        <v>1000000</v>
      </c>
      <c r="I38" s="246">
        <v>1000000</v>
      </c>
      <c r="J38" s="246">
        <f>SUM(J39:J44)</f>
        <v>0</v>
      </c>
      <c r="K38" s="247">
        <f t="shared" si="2"/>
        <v>1000000</v>
      </c>
      <c r="L38" s="246">
        <v>2528951</v>
      </c>
      <c r="M38" s="246">
        <f>SUM(M39:M44)</f>
        <v>0</v>
      </c>
      <c r="N38" s="247">
        <f t="shared" si="3"/>
        <v>2528951</v>
      </c>
    </row>
    <row r="39" spans="1:14" hidden="1" x14ac:dyDescent="0.25">
      <c r="A39" s="184"/>
      <c r="B39" s="180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idden="1" x14ac:dyDescent="0.25">
      <c r="A40" s="184"/>
      <c r="B40" s="180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idden="1" x14ac:dyDescent="0.25">
      <c r="A41" s="184"/>
      <c r="B41" s="180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idden="1" x14ac:dyDescent="0.25">
      <c r="A42" s="184"/>
      <c r="B42" s="180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idden="1" x14ac:dyDescent="0.25">
      <c r="A43" s="184"/>
      <c r="B43" s="180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183" t="s">
        <v>94</v>
      </c>
      <c r="B45" s="189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183" t="s">
        <v>121</v>
      </c>
      <c r="B61" s="189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183" t="s">
        <v>132</v>
      </c>
      <c r="B67" s="189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183" t="s">
        <v>138</v>
      </c>
      <c r="B70" s="189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thickBot="1" x14ac:dyDescent="0.3">
      <c r="A71" s="185"/>
      <c r="B71" s="192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186" t="s">
        <v>141</v>
      </c>
      <c r="B73" s="194" t="s">
        <v>142</v>
      </c>
      <c r="C73" s="250">
        <f>C9+C22+C25+C45+C61+C67+C70</f>
        <v>493000000</v>
      </c>
      <c r="D73" s="250">
        <f>D9+D22+D25+D45+D61+D67+D70</f>
        <v>0</v>
      </c>
      <c r="E73" s="251">
        <f t="shared" si="0"/>
        <v>493000000</v>
      </c>
      <c r="F73" s="250">
        <f>F9+F22+F25+F45+F61+F67+F70</f>
        <v>493000000</v>
      </c>
      <c r="G73" s="250">
        <f>G9+G22+G25+G45+G61+G67+G70</f>
        <v>0</v>
      </c>
      <c r="H73" s="251">
        <f t="shared" si="1"/>
        <v>493000000</v>
      </c>
      <c r="I73" s="250">
        <f>I9+I22+I25+I45+I61+I67+I70</f>
        <v>526389831</v>
      </c>
      <c r="J73" s="250">
        <f>J9+J22+J25+J45+J61+J67+J70</f>
        <v>0</v>
      </c>
      <c r="K73" s="251">
        <f t="shared" si="2"/>
        <v>526389831</v>
      </c>
      <c r="L73" s="250">
        <f>L9+L22+L25+L45+L61+L67+L70</f>
        <v>559711307</v>
      </c>
      <c r="M73" s="250">
        <f>M9+M22+M25+M45+M61+M67+M70</f>
        <v>0</v>
      </c>
      <c r="N73" s="251">
        <f t="shared" si="3"/>
        <v>559711307</v>
      </c>
    </row>
    <row r="74" spans="1:14" ht="15.75" thickBot="1" x14ac:dyDescent="0.3">
      <c r="A74" s="187" t="s">
        <v>143</v>
      </c>
      <c r="B74" s="198" t="s">
        <v>144</v>
      </c>
      <c r="C74" s="244">
        <f>C75+C83</f>
        <v>0</v>
      </c>
      <c r="D74" s="244">
        <f>D75+D83</f>
        <v>0</v>
      </c>
      <c r="E74" s="245">
        <f t="shared" ref="E74:E85" si="4">SUM(C74:D74)</f>
        <v>0</v>
      </c>
      <c r="F74" s="244">
        <f>F75+F83</f>
        <v>0</v>
      </c>
      <c r="G74" s="244">
        <f>G75+G83</f>
        <v>0</v>
      </c>
      <c r="H74" s="245">
        <f t="shared" ref="H74:H81" si="5">SUM(F74:G74)</f>
        <v>0</v>
      </c>
      <c r="I74" s="244">
        <f>I75+I83</f>
        <v>0</v>
      </c>
      <c r="J74" s="244">
        <f>J75+J83</f>
        <v>0</v>
      </c>
      <c r="K74" s="245">
        <f t="shared" ref="K74:K81" si="6">SUM(I74:J74)</f>
        <v>0</v>
      </c>
      <c r="L74" s="244">
        <f>L75+L83</f>
        <v>0</v>
      </c>
      <c r="M74" s="244">
        <f>M75+M83</f>
        <v>0</v>
      </c>
      <c r="N74" s="245">
        <f t="shared" ref="N74:N81" si="7">SUM(L74:M74)</f>
        <v>0</v>
      </c>
    </row>
    <row r="75" spans="1:14" ht="15.75" hidden="1" thickBot="1" x14ac:dyDescent="0.3">
      <c r="A75" s="184" t="s">
        <v>145</v>
      </c>
      <c r="B75" s="180" t="s">
        <v>146</v>
      </c>
      <c r="C75" s="246">
        <f t="shared" ref="C75:D75" si="8">SUM(C76:C77,C78,C79,C83,C82)</f>
        <v>0</v>
      </c>
      <c r="D75" s="246">
        <f t="shared" si="8"/>
        <v>0</v>
      </c>
      <c r="E75" s="247">
        <f t="shared" si="4"/>
        <v>0</v>
      </c>
      <c r="F75" s="246">
        <f t="shared" ref="F75:G75" si="9">SUM(F76:F77,F78,F79,F83,F82)</f>
        <v>0</v>
      </c>
      <c r="G75" s="246">
        <f t="shared" si="9"/>
        <v>0</v>
      </c>
      <c r="H75" s="247">
        <f t="shared" si="5"/>
        <v>0</v>
      </c>
      <c r="I75" s="246">
        <f t="shared" ref="I75:J75" si="10">SUM(I76:I77,I78,I79,I83,I82)</f>
        <v>0</v>
      </c>
      <c r="J75" s="246">
        <f t="shared" si="10"/>
        <v>0</v>
      </c>
      <c r="K75" s="247">
        <f t="shared" si="6"/>
        <v>0</v>
      </c>
      <c r="L75" s="246">
        <f t="shared" ref="L75:M75" si="11">SUM(L76:L77,L78,L79,L83,L82)</f>
        <v>0</v>
      </c>
      <c r="M75" s="246">
        <f t="shared" si="11"/>
        <v>0</v>
      </c>
      <c r="N75" s="247">
        <f t="shared" si="7"/>
        <v>0</v>
      </c>
    </row>
    <row r="76" spans="1:14" ht="15.75" hidden="1" thickBot="1" x14ac:dyDescent="0.3">
      <c r="A76" s="184" t="s">
        <v>147</v>
      </c>
      <c r="B76" s="180" t="s">
        <v>148</v>
      </c>
      <c r="C76" s="246"/>
      <c r="D76" s="246"/>
      <c r="E76" s="247">
        <f t="shared" si="4"/>
        <v>0</v>
      </c>
      <c r="F76" s="246"/>
      <c r="G76" s="246"/>
      <c r="H76" s="247">
        <f t="shared" si="5"/>
        <v>0</v>
      </c>
      <c r="I76" s="246"/>
      <c r="J76" s="246"/>
      <c r="K76" s="247">
        <f t="shared" si="6"/>
        <v>0</v>
      </c>
      <c r="L76" s="246"/>
      <c r="M76" s="246"/>
      <c r="N76" s="247">
        <f t="shared" si="7"/>
        <v>0</v>
      </c>
    </row>
    <row r="77" spans="1:14" ht="15.75" hidden="1" thickBot="1" x14ac:dyDescent="0.3">
      <c r="A77" s="184" t="s">
        <v>149</v>
      </c>
      <c r="B77" s="180" t="s">
        <v>150</v>
      </c>
      <c r="C77" s="246"/>
      <c r="D77" s="246"/>
      <c r="E77" s="247">
        <f t="shared" si="4"/>
        <v>0</v>
      </c>
      <c r="F77" s="246"/>
      <c r="G77" s="246"/>
      <c r="H77" s="247">
        <f t="shared" si="5"/>
        <v>0</v>
      </c>
      <c r="I77" s="246"/>
      <c r="J77" s="246"/>
      <c r="K77" s="247">
        <f t="shared" si="6"/>
        <v>0</v>
      </c>
      <c r="L77" s="246"/>
      <c r="M77" s="246"/>
      <c r="N77" s="247">
        <f t="shared" si="7"/>
        <v>0</v>
      </c>
    </row>
    <row r="78" spans="1:14" ht="15.75" hidden="1" thickBot="1" x14ac:dyDescent="0.3">
      <c r="A78" s="184" t="s">
        <v>151</v>
      </c>
      <c r="B78" s="180" t="s">
        <v>152</v>
      </c>
      <c r="C78" s="246"/>
      <c r="D78" s="246"/>
      <c r="E78" s="247">
        <f t="shared" si="4"/>
        <v>0</v>
      </c>
      <c r="F78" s="246"/>
      <c r="G78" s="246"/>
      <c r="H78" s="247">
        <f t="shared" si="5"/>
        <v>0</v>
      </c>
      <c r="I78" s="246"/>
      <c r="J78" s="246"/>
      <c r="K78" s="247">
        <f t="shared" si="6"/>
        <v>0</v>
      </c>
      <c r="L78" s="246"/>
      <c r="M78" s="246"/>
      <c r="N78" s="247">
        <f t="shared" si="7"/>
        <v>0</v>
      </c>
    </row>
    <row r="79" spans="1:14" ht="15.75" hidden="1" thickBot="1" x14ac:dyDescent="0.3">
      <c r="A79" s="184" t="s">
        <v>153</v>
      </c>
      <c r="B79" s="180" t="s">
        <v>154</v>
      </c>
      <c r="C79" s="246">
        <f>SUM(C80:C81)</f>
        <v>0</v>
      </c>
      <c r="D79" s="246">
        <f>SUM(D80:D81)</f>
        <v>0</v>
      </c>
      <c r="E79" s="247">
        <f t="shared" si="4"/>
        <v>0</v>
      </c>
      <c r="F79" s="246">
        <f>SUM(F80:F81)</f>
        <v>0</v>
      </c>
      <c r="G79" s="246">
        <f>SUM(G80:G81)</f>
        <v>0</v>
      </c>
      <c r="H79" s="247">
        <f t="shared" si="5"/>
        <v>0</v>
      </c>
      <c r="I79" s="246">
        <f>SUM(I80:I81)</f>
        <v>0</v>
      </c>
      <c r="J79" s="246">
        <f>SUM(J80:J81)</f>
        <v>0</v>
      </c>
      <c r="K79" s="247">
        <f t="shared" si="6"/>
        <v>0</v>
      </c>
      <c r="L79" s="246">
        <f>SUM(L80:L81)</f>
        <v>0</v>
      </c>
      <c r="M79" s="246">
        <f>SUM(M80:M81)</f>
        <v>0</v>
      </c>
      <c r="N79" s="247">
        <f t="shared" si="7"/>
        <v>0</v>
      </c>
    </row>
    <row r="80" spans="1:14" ht="15.75" hidden="1" thickBot="1" x14ac:dyDescent="0.3">
      <c r="A80" s="184"/>
      <c r="B80" s="180" t="s">
        <v>29</v>
      </c>
      <c r="C80" s="246"/>
      <c r="D80" s="246"/>
      <c r="E80" s="247">
        <f t="shared" si="4"/>
        <v>0</v>
      </c>
      <c r="F80" s="246"/>
      <c r="G80" s="246"/>
      <c r="H80" s="247">
        <f t="shared" si="5"/>
        <v>0</v>
      </c>
      <c r="I80" s="246"/>
      <c r="J80" s="246"/>
      <c r="K80" s="247">
        <f t="shared" si="6"/>
        <v>0</v>
      </c>
      <c r="L80" s="246"/>
      <c r="M80" s="246"/>
      <c r="N80" s="247">
        <f t="shared" si="7"/>
        <v>0</v>
      </c>
    </row>
    <row r="81" spans="1:14" ht="15.75" hidden="1" thickBot="1" x14ac:dyDescent="0.3">
      <c r="A81" s="184"/>
      <c r="B81" s="180" t="s">
        <v>30</v>
      </c>
      <c r="C81" s="246"/>
      <c r="D81" s="246"/>
      <c r="E81" s="247">
        <f t="shared" si="4"/>
        <v>0</v>
      </c>
      <c r="F81" s="246"/>
      <c r="G81" s="246"/>
      <c r="H81" s="247">
        <f t="shared" si="5"/>
        <v>0</v>
      </c>
      <c r="I81" s="246"/>
      <c r="J81" s="246"/>
      <c r="K81" s="247">
        <f t="shared" si="6"/>
        <v>0</v>
      </c>
      <c r="L81" s="246"/>
      <c r="M81" s="246"/>
      <c r="N81" s="247">
        <f t="shared" si="7"/>
        <v>0</v>
      </c>
    </row>
    <row r="82" spans="1:14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184" t="s">
        <v>155</v>
      </c>
      <c r="B83" s="180" t="s">
        <v>156</v>
      </c>
      <c r="C83" s="246"/>
      <c r="D83" s="246"/>
      <c r="E83" s="247">
        <f t="shared" si="4"/>
        <v>0</v>
      </c>
      <c r="F83" s="246"/>
      <c r="G83" s="246"/>
      <c r="H83" s="247">
        <f t="shared" ref="H83:H85" si="12">SUM(F83:G83)</f>
        <v>0</v>
      </c>
      <c r="I83" s="246"/>
      <c r="J83" s="246"/>
      <c r="K83" s="247">
        <f t="shared" ref="K83:K85" si="13">SUM(I83:J83)</f>
        <v>0</v>
      </c>
      <c r="L83" s="246"/>
      <c r="M83" s="246"/>
      <c r="N83" s="247">
        <f t="shared" ref="N83:N85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4"/>
        <v>0</v>
      </c>
      <c r="F84" s="248"/>
      <c r="G84" s="248"/>
      <c r="H84" s="249">
        <f t="shared" si="12"/>
        <v>0</v>
      </c>
      <c r="I84" s="248"/>
      <c r="J84" s="248"/>
      <c r="K84" s="249">
        <f t="shared" si="13"/>
        <v>0</v>
      </c>
      <c r="L84" s="248"/>
      <c r="M84" s="248"/>
      <c r="N84" s="249">
        <f t="shared" si="14"/>
        <v>0</v>
      </c>
    </row>
    <row r="85" spans="1:14" ht="15.75" thickBot="1" x14ac:dyDescent="0.3">
      <c r="A85" s="186" t="s">
        <v>264</v>
      </c>
      <c r="B85" s="194" t="s">
        <v>159</v>
      </c>
      <c r="C85" s="250">
        <f>C73+C74</f>
        <v>493000000</v>
      </c>
      <c r="D85" s="250">
        <f>D73+D74</f>
        <v>0</v>
      </c>
      <c r="E85" s="251">
        <f t="shared" si="4"/>
        <v>493000000</v>
      </c>
      <c r="F85" s="250">
        <f>F73+F74</f>
        <v>493000000</v>
      </c>
      <c r="G85" s="250">
        <f>G73+G74</f>
        <v>0</v>
      </c>
      <c r="H85" s="251">
        <f t="shared" si="12"/>
        <v>493000000</v>
      </c>
      <c r="I85" s="250">
        <f>I73+I74</f>
        <v>526389831</v>
      </c>
      <c r="J85" s="250">
        <f>J73+J74</f>
        <v>0</v>
      </c>
      <c r="K85" s="251">
        <f t="shared" si="13"/>
        <v>526389831</v>
      </c>
      <c r="L85" s="250">
        <f>L73+L74</f>
        <v>559711307</v>
      </c>
      <c r="M85" s="250">
        <f>M73+M74</f>
        <v>0</v>
      </c>
      <c r="N85" s="251">
        <f t="shared" si="14"/>
        <v>559711307</v>
      </c>
    </row>
    <row r="86" spans="1:14" x14ac:dyDescent="0.25">
      <c r="A86" s="202"/>
      <c r="B86" s="203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204"/>
      <c r="B87" s="205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ht="15.75" thickBot="1" x14ac:dyDescent="0.3">
      <c r="A88" s="188" t="s">
        <v>160</v>
      </c>
      <c r="B88" s="189" t="s">
        <v>34</v>
      </c>
      <c r="C88" s="244">
        <f>C89+C101</f>
        <v>0</v>
      </c>
      <c r="D88" s="244">
        <f>D89+D101</f>
        <v>0</v>
      </c>
      <c r="E88" s="253">
        <f t="shared" ref="E88:E150" si="15">SUM(C88:D88)</f>
        <v>0</v>
      </c>
      <c r="F88" s="244">
        <f>F89+F101</f>
        <v>0</v>
      </c>
      <c r="G88" s="244">
        <f>G89+G101</f>
        <v>0</v>
      </c>
      <c r="H88" s="253">
        <f t="shared" ref="H88:H90" si="16">SUM(F88:G88)</f>
        <v>0</v>
      </c>
      <c r="I88" s="244">
        <f>I89+I101</f>
        <v>0</v>
      </c>
      <c r="J88" s="244">
        <f>J89+J101</f>
        <v>0</v>
      </c>
      <c r="K88" s="253">
        <f t="shared" ref="K88:K90" si="17">SUM(I88:J88)</f>
        <v>0</v>
      </c>
      <c r="L88" s="244">
        <f>L89+L101</f>
        <v>0</v>
      </c>
      <c r="M88" s="244">
        <f>M89+M101</f>
        <v>0</v>
      </c>
      <c r="N88" s="253">
        <f t="shared" ref="N88:N90" si="18">SUM(L88:M88)</f>
        <v>0</v>
      </c>
    </row>
    <row r="89" spans="1:14" ht="15.75" hidden="1" thickBot="1" x14ac:dyDescent="0.3">
      <c r="A89" s="190" t="s">
        <v>161</v>
      </c>
      <c r="B89" s="180" t="s">
        <v>162</v>
      </c>
      <c r="C89" s="246">
        <f>SUM(C90:C100)</f>
        <v>0</v>
      </c>
      <c r="D89" s="246">
        <f>SUM(D90:D100)</f>
        <v>0</v>
      </c>
      <c r="E89" s="247">
        <f t="shared" si="15"/>
        <v>0</v>
      </c>
      <c r="F89" s="246">
        <f>SUM(F90:F100)</f>
        <v>0</v>
      </c>
      <c r="G89" s="246">
        <f>SUM(G90:G100)</f>
        <v>0</v>
      </c>
      <c r="H89" s="247">
        <f t="shared" si="16"/>
        <v>0</v>
      </c>
      <c r="I89" s="246">
        <f>SUM(I90:I100)</f>
        <v>0</v>
      </c>
      <c r="J89" s="246">
        <f>SUM(J90:J100)</f>
        <v>0</v>
      </c>
      <c r="K89" s="247">
        <f t="shared" si="17"/>
        <v>0</v>
      </c>
      <c r="L89" s="246">
        <f>SUM(L90:L100)</f>
        <v>0</v>
      </c>
      <c r="M89" s="246">
        <f>SUM(M90:M100)</f>
        <v>0</v>
      </c>
      <c r="N89" s="247">
        <f t="shared" si="18"/>
        <v>0</v>
      </c>
    </row>
    <row r="90" spans="1:14" ht="15.75" hidden="1" thickBot="1" x14ac:dyDescent="0.3">
      <c r="A90" s="190" t="s">
        <v>163</v>
      </c>
      <c r="B90" s="180" t="s">
        <v>164</v>
      </c>
      <c r="C90" s="246"/>
      <c r="D90" s="246"/>
      <c r="E90" s="247">
        <f t="shared" si="15"/>
        <v>0</v>
      </c>
      <c r="F90" s="246"/>
      <c r="G90" s="246"/>
      <c r="H90" s="247">
        <f t="shared" si="16"/>
        <v>0</v>
      </c>
      <c r="I90" s="246"/>
      <c r="J90" s="246"/>
      <c r="K90" s="247">
        <f t="shared" si="17"/>
        <v>0</v>
      </c>
      <c r="L90" s="246"/>
      <c r="M90" s="246"/>
      <c r="N90" s="247">
        <f t="shared" si="18"/>
        <v>0</v>
      </c>
    </row>
    <row r="91" spans="1:14" ht="15.75" hidden="1" thickBot="1" x14ac:dyDescent="0.3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ht="15.75" hidden="1" thickBot="1" x14ac:dyDescent="0.3">
      <c r="A92" s="190" t="s">
        <v>165</v>
      </c>
      <c r="B92" s="180" t="s">
        <v>166</v>
      </c>
      <c r="C92" s="246"/>
      <c r="D92" s="246"/>
      <c r="E92" s="247">
        <f t="shared" si="15"/>
        <v>0</v>
      </c>
      <c r="F92" s="246"/>
      <c r="G92" s="246"/>
      <c r="H92" s="247">
        <f t="shared" ref="H92:H145" si="19">SUM(F92:G92)</f>
        <v>0</v>
      </c>
      <c r="I92" s="246"/>
      <c r="J92" s="246"/>
      <c r="K92" s="247">
        <f t="shared" ref="K92:K145" si="20">SUM(I92:J92)</f>
        <v>0</v>
      </c>
      <c r="L92" s="246"/>
      <c r="M92" s="246"/>
      <c r="N92" s="247">
        <f t="shared" ref="N92:N145" si="21">SUM(L92:M92)</f>
        <v>0</v>
      </c>
    </row>
    <row r="93" spans="1:14" ht="15.75" hidden="1" thickBot="1" x14ac:dyDescent="0.3">
      <c r="A93" s="190" t="s">
        <v>167</v>
      </c>
      <c r="B93" s="180" t="s">
        <v>168</v>
      </c>
      <c r="C93" s="246"/>
      <c r="D93" s="246"/>
      <c r="E93" s="247">
        <f t="shared" si="15"/>
        <v>0</v>
      </c>
      <c r="F93" s="246"/>
      <c r="G93" s="246"/>
      <c r="H93" s="247">
        <f t="shared" si="19"/>
        <v>0</v>
      </c>
      <c r="I93" s="246"/>
      <c r="J93" s="246"/>
      <c r="K93" s="247">
        <f t="shared" si="20"/>
        <v>0</v>
      </c>
      <c r="L93" s="246"/>
      <c r="M93" s="246"/>
      <c r="N93" s="247">
        <f t="shared" si="21"/>
        <v>0</v>
      </c>
    </row>
    <row r="94" spans="1:14" ht="15.75" hidden="1" thickBot="1" x14ac:dyDescent="0.3">
      <c r="A94" s="190" t="s">
        <v>169</v>
      </c>
      <c r="B94" s="180" t="s">
        <v>170</v>
      </c>
      <c r="C94" s="246"/>
      <c r="D94" s="246"/>
      <c r="E94" s="247">
        <f t="shared" si="15"/>
        <v>0</v>
      </c>
      <c r="F94" s="246"/>
      <c r="G94" s="246"/>
      <c r="H94" s="247">
        <f t="shared" si="19"/>
        <v>0</v>
      </c>
      <c r="I94" s="246"/>
      <c r="J94" s="246"/>
      <c r="K94" s="247">
        <f t="shared" si="20"/>
        <v>0</v>
      </c>
      <c r="L94" s="246"/>
      <c r="M94" s="246"/>
      <c r="N94" s="247">
        <f t="shared" si="21"/>
        <v>0</v>
      </c>
    </row>
    <row r="95" spans="1:14" ht="15.75" hidden="1" thickBot="1" x14ac:dyDescent="0.3">
      <c r="A95" s="190" t="s">
        <v>171</v>
      </c>
      <c r="B95" s="180" t="s">
        <v>172</v>
      </c>
      <c r="C95" s="246"/>
      <c r="D95" s="246"/>
      <c r="E95" s="247">
        <f t="shared" si="15"/>
        <v>0</v>
      </c>
      <c r="F95" s="246"/>
      <c r="G95" s="246"/>
      <c r="H95" s="247">
        <f t="shared" si="19"/>
        <v>0</v>
      </c>
      <c r="I95" s="246"/>
      <c r="J95" s="246"/>
      <c r="K95" s="247">
        <f t="shared" si="20"/>
        <v>0</v>
      </c>
      <c r="L95" s="246"/>
      <c r="M95" s="246"/>
      <c r="N95" s="247">
        <f t="shared" si="21"/>
        <v>0</v>
      </c>
    </row>
    <row r="96" spans="1:14" ht="15.75" hidden="1" thickBot="1" x14ac:dyDescent="0.3">
      <c r="A96" s="190" t="s">
        <v>173</v>
      </c>
      <c r="B96" s="180" t="s">
        <v>174</v>
      </c>
      <c r="C96" s="246"/>
      <c r="D96" s="246"/>
      <c r="E96" s="247">
        <f t="shared" si="15"/>
        <v>0</v>
      </c>
      <c r="F96" s="246"/>
      <c r="G96" s="246"/>
      <c r="H96" s="247">
        <f t="shared" si="19"/>
        <v>0</v>
      </c>
      <c r="I96" s="246"/>
      <c r="J96" s="246"/>
      <c r="K96" s="247">
        <f t="shared" si="20"/>
        <v>0</v>
      </c>
      <c r="L96" s="246"/>
      <c r="M96" s="246"/>
      <c r="N96" s="247">
        <f t="shared" si="21"/>
        <v>0</v>
      </c>
    </row>
    <row r="97" spans="1:14" ht="15.75" hidden="1" thickBot="1" x14ac:dyDescent="0.3">
      <c r="A97" s="190" t="s">
        <v>175</v>
      </c>
      <c r="B97" s="180" t="s">
        <v>176</v>
      </c>
      <c r="C97" s="246"/>
      <c r="D97" s="246"/>
      <c r="E97" s="247">
        <f t="shared" si="15"/>
        <v>0</v>
      </c>
      <c r="F97" s="246"/>
      <c r="G97" s="246"/>
      <c r="H97" s="247">
        <f t="shared" si="19"/>
        <v>0</v>
      </c>
      <c r="I97" s="246"/>
      <c r="J97" s="246"/>
      <c r="K97" s="247">
        <f t="shared" si="20"/>
        <v>0</v>
      </c>
      <c r="L97" s="246"/>
      <c r="M97" s="246"/>
      <c r="N97" s="247">
        <f t="shared" si="21"/>
        <v>0</v>
      </c>
    </row>
    <row r="98" spans="1:14" ht="15.75" hidden="1" thickBot="1" x14ac:dyDescent="0.3">
      <c r="A98" s="190" t="s">
        <v>177</v>
      </c>
      <c r="B98" s="180" t="s">
        <v>178</v>
      </c>
      <c r="C98" s="246"/>
      <c r="D98" s="246"/>
      <c r="E98" s="247">
        <f t="shared" si="15"/>
        <v>0</v>
      </c>
      <c r="F98" s="246"/>
      <c r="G98" s="246"/>
      <c r="H98" s="247">
        <f t="shared" si="19"/>
        <v>0</v>
      </c>
      <c r="I98" s="246"/>
      <c r="J98" s="246"/>
      <c r="K98" s="247">
        <f t="shared" si="20"/>
        <v>0</v>
      </c>
      <c r="L98" s="246"/>
      <c r="M98" s="246"/>
      <c r="N98" s="247">
        <f t="shared" si="21"/>
        <v>0</v>
      </c>
    </row>
    <row r="99" spans="1:14" ht="15.75" hidden="1" thickBot="1" x14ac:dyDescent="0.3">
      <c r="A99" s="190" t="s">
        <v>179</v>
      </c>
      <c r="B99" s="180" t="s">
        <v>180</v>
      </c>
      <c r="C99" s="246"/>
      <c r="D99" s="246"/>
      <c r="E99" s="247">
        <f t="shared" si="15"/>
        <v>0</v>
      </c>
      <c r="F99" s="246"/>
      <c r="G99" s="246"/>
      <c r="H99" s="247">
        <f t="shared" si="19"/>
        <v>0</v>
      </c>
      <c r="I99" s="246"/>
      <c r="J99" s="246"/>
      <c r="K99" s="247">
        <f t="shared" si="20"/>
        <v>0</v>
      </c>
      <c r="L99" s="246"/>
      <c r="M99" s="246"/>
      <c r="N99" s="247">
        <f t="shared" si="21"/>
        <v>0</v>
      </c>
    </row>
    <row r="100" spans="1:14" ht="15.75" hidden="1" thickBot="1" x14ac:dyDescent="0.3">
      <c r="A100" s="190" t="s">
        <v>181</v>
      </c>
      <c r="B100" s="180" t="s">
        <v>182</v>
      </c>
      <c r="C100" s="246"/>
      <c r="D100" s="246"/>
      <c r="E100" s="247">
        <f t="shared" si="15"/>
        <v>0</v>
      </c>
      <c r="F100" s="246"/>
      <c r="G100" s="246"/>
      <c r="H100" s="247">
        <f t="shared" si="19"/>
        <v>0</v>
      </c>
      <c r="I100" s="246"/>
      <c r="J100" s="246"/>
      <c r="K100" s="247">
        <f t="shared" si="20"/>
        <v>0</v>
      </c>
      <c r="L100" s="246"/>
      <c r="M100" s="246"/>
      <c r="N100" s="247">
        <f t="shared" si="21"/>
        <v>0</v>
      </c>
    </row>
    <row r="101" spans="1:14" ht="15.75" hidden="1" thickBot="1" x14ac:dyDescent="0.3">
      <c r="A101" s="190" t="s">
        <v>183</v>
      </c>
      <c r="B101" s="180" t="s">
        <v>184</v>
      </c>
      <c r="C101" s="246">
        <f>SUM(C102:C104)</f>
        <v>0</v>
      </c>
      <c r="D101" s="246">
        <f>SUM(D102:D104)</f>
        <v>0</v>
      </c>
      <c r="E101" s="247">
        <f t="shared" si="15"/>
        <v>0</v>
      </c>
      <c r="F101" s="246">
        <f>SUM(F102:F104)</f>
        <v>0</v>
      </c>
      <c r="G101" s="246">
        <f>SUM(G102:G104)</f>
        <v>0</v>
      </c>
      <c r="H101" s="247">
        <f t="shared" si="19"/>
        <v>0</v>
      </c>
      <c r="I101" s="246">
        <f>SUM(I102:I104)</f>
        <v>0</v>
      </c>
      <c r="J101" s="246">
        <f>SUM(J102:J104)</f>
        <v>0</v>
      </c>
      <c r="K101" s="247">
        <f t="shared" si="20"/>
        <v>0</v>
      </c>
      <c r="L101" s="246">
        <f>SUM(L102:L104)</f>
        <v>0</v>
      </c>
      <c r="M101" s="246">
        <f>SUM(M102:M104)</f>
        <v>0</v>
      </c>
      <c r="N101" s="247">
        <f t="shared" si="21"/>
        <v>0</v>
      </c>
    </row>
    <row r="102" spans="1:14" ht="15.75" hidden="1" thickBot="1" x14ac:dyDescent="0.3">
      <c r="A102" s="190" t="s">
        <v>185</v>
      </c>
      <c r="B102" s="180" t="s">
        <v>186</v>
      </c>
      <c r="C102" s="246"/>
      <c r="D102" s="246"/>
      <c r="E102" s="247">
        <f t="shared" si="15"/>
        <v>0</v>
      </c>
      <c r="F102" s="246"/>
      <c r="G102" s="246"/>
      <c r="H102" s="247">
        <f t="shared" si="19"/>
        <v>0</v>
      </c>
      <c r="I102" s="246"/>
      <c r="J102" s="246"/>
      <c r="K102" s="247">
        <f t="shared" si="20"/>
        <v>0</v>
      </c>
      <c r="L102" s="246"/>
      <c r="M102" s="246"/>
      <c r="N102" s="247">
        <f t="shared" si="21"/>
        <v>0</v>
      </c>
    </row>
    <row r="103" spans="1:14" ht="15.75" hidden="1" thickBot="1" x14ac:dyDescent="0.3">
      <c r="A103" s="190" t="s">
        <v>187</v>
      </c>
      <c r="B103" s="180" t="s">
        <v>188</v>
      </c>
      <c r="C103" s="246"/>
      <c r="D103" s="246"/>
      <c r="E103" s="247">
        <f t="shared" si="15"/>
        <v>0</v>
      </c>
      <c r="F103" s="246"/>
      <c r="G103" s="246"/>
      <c r="H103" s="247">
        <f t="shared" si="19"/>
        <v>0</v>
      </c>
      <c r="I103" s="246"/>
      <c r="J103" s="246"/>
      <c r="K103" s="247">
        <f t="shared" si="20"/>
        <v>0</v>
      </c>
      <c r="L103" s="246"/>
      <c r="M103" s="246"/>
      <c r="N103" s="247">
        <f t="shared" si="21"/>
        <v>0</v>
      </c>
    </row>
    <row r="104" spans="1:14" ht="15.75" hidden="1" thickBot="1" x14ac:dyDescent="0.3">
      <c r="A104" s="191" t="s">
        <v>189</v>
      </c>
      <c r="B104" s="192" t="s">
        <v>190</v>
      </c>
      <c r="C104" s="248"/>
      <c r="D104" s="248"/>
      <c r="E104" s="249">
        <f t="shared" si="15"/>
        <v>0</v>
      </c>
      <c r="F104" s="248"/>
      <c r="G104" s="248"/>
      <c r="H104" s="249">
        <f t="shared" si="19"/>
        <v>0</v>
      </c>
      <c r="I104" s="248"/>
      <c r="J104" s="248"/>
      <c r="K104" s="249">
        <f t="shared" si="20"/>
        <v>0</v>
      </c>
      <c r="L104" s="248"/>
      <c r="M104" s="248"/>
      <c r="N104" s="249">
        <f t="shared" si="21"/>
        <v>0</v>
      </c>
    </row>
    <row r="105" spans="1:14" ht="15.75" thickBot="1" x14ac:dyDescent="0.3">
      <c r="A105" s="188" t="s">
        <v>191</v>
      </c>
      <c r="B105" s="189" t="s">
        <v>192</v>
      </c>
      <c r="C105" s="244">
        <f>SUM(C106:C110)</f>
        <v>0</v>
      </c>
      <c r="D105" s="244">
        <f>SUM(D106:D110)</f>
        <v>0</v>
      </c>
      <c r="E105" s="245">
        <f t="shared" si="15"/>
        <v>0</v>
      </c>
      <c r="F105" s="244">
        <f>SUM(F106:F110)</f>
        <v>0</v>
      </c>
      <c r="G105" s="244">
        <f>SUM(G106:G110)</f>
        <v>0</v>
      </c>
      <c r="H105" s="245">
        <f t="shared" si="19"/>
        <v>0</v>
      </c>
      <c r="I105" s="244">
        <f>SUM(I106:I110)</f>
        <v>0</v>
      </c>
      <c r="J105" s="244">
        <f>SUM(J106:J110)</f>
        <v>0</v>
      </c>
      <c r="K105" s="245">
        <f t="shared" si="20"/>
        <v>0</v>
      </c>
      <c r="L105" s="244">
        <f>SUM(L106:L110)</f>
        <v>0</v>
      </c>
      <c r="M105" s="244">
        <f>SUM(M106:M110)</f>
        <v>0</v>
      </c>
      <c r="N105" s="245">
        <f t="shared" si="21"/>
        <v>0</v>
      </c>
    </row>
    <row r="106" spans="1:14" ht="15.75" hidden="1" thickBot="1" x14ac:dyDescent="0.3">
      <c r="A106" s="190"/>
      <c r="B106" s="180" t="s">
        <v>193</v>
      </c>
      <c r="C106" s="246"/>
      <c r="D106" s="246"/>
      <c r="E106" s="247">
        <f t="shared" si="15"/>
        <v>0</v>
      </c>
      <c r="F106" s="246"/>
      <c r="G106" s="246"/>
      <c r="H106" s="247">
        <f t="shared" si="19"/>
        <v>0</v>
      </c>
      <c r="I106" s="246"/>
      <c r="J106" s="246"/>
      <c r="K106" s="247">
        <f t="shared" si="20"/>
        <v>0</v>
      </c>
      <c r="L106" s="246"/>
      <c r="M106" s="246"/>
      <c r="N106" s="247">
        <f t="shared" si="21"/>
        <v>0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15"/>
        <v>0</v>
      </c>
      <c r="F107" s="246"/>
      <c r="G107" s="246"/>
      <c r="H107" s="247">
        <f t="shared" si="19"/>
        <v>0</v>
      </c>
      <c r="I107" s="246"/>
      <c r="J107" s="246"/>
      <c r="K107" s="247">
        <f t="shared" si="20"/>
        <v>0</v>
      </c>
      <c r="L107" s="246"/>
      <c r="M107" s="246"/>
      <c r="N107" s="247">
        <f t="shared" si="21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15"/>
        <v>0</v>
      </c>
      <c r="F108" s="246"/>
      <c r="G108" s="246"/>
      <c r="H108" s="247">
        <f t="shared" si="19"/>
        <v>0</v>
      </c>
      <c r="I108" s="246"/>
      <c r="J108" s="246"/>
      <c r="K108" s="247">
        <f t="shared" si="20"/>
        <v>0</v>
      </c>
      <c r="L108" s="246"/>
      <c r="M108" s="246"/>
      <c r="N108" s="247">
        <f t="shared" si="21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15"/>
        <v>0</v>
      </c>
      <c r="F109" s="246"/>
      <c r="G109" s="246"/>
      <c r="H109" s="247">
        <f t="shared" si="19"/>
        <v>0</v>
      </c>
      <c r="I109" s="246"/>
      <c r="J109" s="246"/>
      <c r="K109" s="247">
        <f t="shared" si="20"/>
        <v>0</v>
      </c>
      <c r="L109" s="246"/>
      <c r="M109" s="246"/>
      <c r="N109" s="247">
        <f t="shared" si="21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15"/>
        <v>0</v>
      </c>
      <c r="F110" s="248"/>
      <c r="G110" s="248"/>
      <c r="H110" s="249">
        <f t="shared" si="19"/>
        <v>0</v>
      </c>
      <c r="I110" s="248"/>
      <c r="J110" s="248"/>
      <c r="K110" s="249">
        <f t="shared" si="20"/>
        <v>0</v>
      </c>
      <c r="L110" s="248"/>
      <c r="M110" s="248"/>
      <c r="N110" s="249">
        <f t="shared" si="21"/>
        <v>0</v>
      </c>
    </row>
    <row r="111" spans="1:14" ht="15.75" thickBot="1" x14ac:dyDescent="0.3">
      <c r="A111" s="188" t="s">
        <v>198</v>
      </c>
      <c r="B111" s="189" t="s">
        <v>35</v>
      </c>
      <c r="C111" s="244">
        <f>SUM(C112:C113,C114,C123,C122)</f>
        <v>0</v>
      </c>
      <c r="D111" s="244">
        <f>SUM(D112:D113,D114,D123,D122)</f>
        <v>0</v>
      </c>
      <c r="E111" s="245">
        <f t="shared" si="15"/>
        <v>0</v>
      </c>
      <c r="F111" s="244">
        <f>SUM(F112:F113,F114,F123,F122)</f>
        <v>0</v>
      </c>
      <c r="G111" s="244">
        <f>SUM(G112:G113,G114,G123,G122)</f>
        <v>0</v>
      </c>
      <c r="H111" s="245">
        <f t="shared" si="19"/>
        <v>0</v>
      </c>
      <c r="I111" s="244">
        <f>SUM(I112:I113,I114,I123,I122)</f>
        <v>0</v>
      </c>
      <c r="J111" s="244">
        <f>SUM(J112:J113,J114,J123,J122)</f>
        <v>0</v>
      </c>
      <c r="K111" s="245">
        <f t="shared" si="20"/>
        <v>0</v>
      </c>
      <c r="L111" s="244">
        <f>SUM(L112:L113,L114,L123,L122)</f>
        <v>0</v>
      </c>
      <c r="M111" s="244">
        <f>SUM(M112:M113,M114,M123,M122)</f>
        <v>0</v>
      </c>
      <c r="N111" s="245">
        <f t="shared" si="21"/>
        <v>0</v>
      </c>
    </row>
    <row r="112" spans="1:14" ht="15.75" hidden="1" thickBot="1" x14ac:dyDescent="0.3">
      <c r="A112" s="190" t="s">
        <v>199</v>
      </c>
      <c r="B112" s="180" t="s">
        <v>200</v>
      </c>
      <c r="C112" s="246"/>
      <c r="D112" s="246"/>
      <c r="E112" s="247">
        <f t="shared" si="15"/>
        <v>0</v>
      </c>
      <c r="F112" s="246"/>
      <c r="G112" s="246"/>
      <c r="H112" s="247">
        <f t="shared" si="19"/>
        <v>0</v>
      </c>
      <c r="I112" s="246"/>
      <c r="J112" s="246"/>
      <c r="K112" s="247">
        <f t="shared" si="20"/>
        <v>0</v>
      </c>
      <c r="L112" s="246"/>
      <c r="M112" s="246"/>
      <c r="N112" s="247">
        <f t="shared" si="21"/>
        <v>0</v>
      </c>
    </row>
    <row r="113" spans="1:14" ht="15.75" hidden="1" thickBot="1" x14ac:dyDescent="0.3">
      <c r="A113" s="190" t="s">
        <v>201</v>
      </c>
      <c r="B113" s="180" t="s">
        <v>202</v>
      </c>
      <c r="C113" s="246"/>
      <c r="D113" s="246"/>
      <c r="E113" s="247">
        <f t="shared" si="15"/>
        <v>0</v>
      </c>
      <c r="F113" s="246"/>
      <c r="G113" s="246"/>
      <c r="H113" s="247">
        <f t="shared" si="19"/>
        <v>0</v>
      </c>
      <c r="I113" s="246"/>
      <c r="J113" s="246"/>
      <c r="K113" s="247">
        <f t="shared" si="20"/>
        <v>0</v>
      </c>
      <c r="L113" s="246"/>
      <c r="M113" s="246"/>
      <c r="N113" s="247">
        <f t="shared" si="21"/>
        <v>0</v>
      </c>
    </row>
    <row r="114" spans="1:14" ht="15.75" hidden="1" thickBot="1" x14ac:dyDescent="0.3">
      <c r="A114" s="190" t="s">
        <v>203</v>
      </c>
      <c r="B114" s="180" t="s">
        <v>204</v>
      </c>
      <c r="C114" s="246">
        <f>SUM(C115:C121)</f>
        <v>0</v>
      </c>
      <c r="D114" s="246">
        <f>SUM(D115:D121)</f>
        <v>0</v>
      </c>
      <c r="E114" s="247">
        <f t="shared" si="15"/>
        <v>0</v>
      </c>
      <c r="F114" s="246">
        <f>SUM(F115:F121)</f>
        <v>0</v>
      </c>
      <c r="G114" s="246">
        <f>SUM(G115:G121)</f>
        <v>0</v>
      </c>
      <c r="H114" s="247">
        <f t="shared" si="19"/>
        <v>0</v>
      </c>
      <c r="I114" s="246">
        <f>SUM(I115:I121)</f>
        <v>0</v>
      </c>
      <c r="J114" s="246">
        <f>SUM(J115:J121)</f>
        <v>0</v>
      </c>
      <c r="K114" s="247">
        <f t="shared" si="20"/>
        <v>0</v>
      </c>
      <c r="L114" s="246">
        <f>SUM(L115:L121)</f>
        <v>0</v>
      </c>
      <c r="M114" s="246">
        <f>SUM(M115:M121)</f>
        <v>0</v>
      </c>
      <c r="N114" s="247">
        <f t="shared" si="21"/>
        <v>0</v>
      </c>
    </row>
    <row r="115" spans="1:14" ht="15.75" hidden="1" thickBot="1" x14ac:dyDescent="0.3">
      <c r="A115" s="190" t="s">
        <v>205</v>
      </c>
      <c r="B115" s="180" t="s">
        <v>206</v>
      </c>
      <c r="C115" s="246"/>
      <c r="D115" s="246"/>
      <c r="E115" s="247">
        <f t="shared" si="15"/>
        <v>0</v>
      </c>
      <c r="F115" s="246"/>
      <c r="G115" s="246"/>
      <c r="H115" s="247">
        <f t="shared" si="19"/>
        <v>0</v>
      </c>
      <c r="I115" s="246"/>
      <c r="J115" s="246"/>
      <c r="K115" s="247">
        <f t="shared" si="20"/>
        <v>0</v>
      </c>
      <c r="L115" s="246"/>
      <c r="M115" s="246"/>
      <c r="N115" s="247">
        <f t="shared" si="21"/>
        <v>0</v>
      </c>
    </row>
    <row r="116" spans="1:14" ht="15.75" hidden="1" thickBot="1" x14ac:dyDescent="0.3">
      <c r="A116" s="190" t="s">
        <v>207</v>
      </c>
      <c r="B116" s="180" t="s">
        <v>208</v>
      </c>
      <c r="C116" s="246"/>
      <c r="D116" s="246"/>
      <c r="E116" s="247">
        <f t="shared" si="15"/>
        <v>0</v>
      </c>
      <c r="F116" s="246"/>
      <c r="G116" s="246"/>
      <c r="H116" s="247">
        <f t="shared" si="19"/>
        <v>0</v>
      </c>
      <c r="I116" s="246"/>
      <c r="J116" s="246"/>
      <c r="K116" s="247">
        <f t="shared" si="20"/>
        <v>0</v>
      </c>
      <c r="L116" s="246"/>
      <c r="M116" s="246"/>
      <c r="N116" s="247">
        <f t="shared" si="21"/>
        <v>0</v>
      </c>
    </row>
    <row r="117" spans="1:14" ht="15.75" hidden="1" thickBot="1" x14ac:dyDescent="0.3">
      <c r="A117" s="190" t="s">
        <v>209</v>
      </c>
      <c r="B117" s="180" t="s">
        <v>210</v>
      </c>
      <c r="C117" s="246"/>
      <c r="D117" s="246"/>
      <c r="E117" s="247">
        <f t="shared" si="15"/>
        <v>0</v>
      </c>
      <c r="F117" s="246"/>
      <c r="G117" s="246"/>
      <c r="H117" s="247">
        <f t="shared" si="19"/>
        <v>0</v>
      </c>
      <c r="I117" s="246"/>
      <c r="J117" s="246"/>
      <c r="K117" s="247">
        <f t="shared" si="20"/>
        <v>0</v>
      </c>
      <c r="L117" s="246"/>
      <c r="M117" s="246"/>
      <c r="N117" s="247">
        <f t="shared" si="21"/>
        <v>0</v>
      </c>
    </row>
    <row r="118" spans="1:14" ht="15.75" hidden="1" thickBot="1" x14ac:dyDescent="0.3">
      <c r="A118" s="190" t="s">
        <v>211</v>
      </c>
      <c r="B118" s="180" t="s">
        <v>212</v>
      </c>
      <c r="C118" s="246"/>
      <c r="D118" s="246"/>
      <c r="E118" s="247">
        <f t="shared" si="15"/>
        <v>0</v>
      </c>
      <c r="F118" s="246"/>
      <c r="G118" s="246"/>
      <c r="H118" s="247">
        <f t="shared" si="19"/>
        <v>0</v>
      </c>
      <c r="I118" s="246"/>
      <c r="J118" s="246"/>
      <c r="K118" s="247">
        <f t="shared" si="20"/>
        <v>0</v>
      </c>
      <c r="L118" s="246"/>
      <c r="M118" s="246"/>
      <c r="N118" s="247">
        <f t="shared" si="21"/>
        <v>0</v>
      </c>
    </row>
    <row r="119" spans="1:14" ht="15.75" hidden="1" thickBot="1" x14ac:dyDescent="0.3">
      <c r="A119" s="190" t="s">
        <v>213</v>
      </c>
      <c r="B119" s="180" t="s">
        <v>214</v>
      </c>
      <c r="C119" s="246"/>
      <c r="D119" s="246"/>
      <c r="E119" s="247">
        <f t="shared" si="15"/>
        <v>0</v>
      </c>
      <c r="F119" s="246"/>
      <c r="G119" s="246"/>
      <c r="H119" s="247">
        <f t="shared" si="19"/>
        <v>0</v>
      </c>
      <c r="I119" s="246"/>
      <c r="J119" s="246"/>
      <c r="K119" s="247">
        <f t="shared" si="20"/>
        <v>0</v>
      </c>
      <c r="L119" s="246"/>
      <c r="M119" s="246"/>
      <c r="N119" s="247">
        <f t="shared" si="21"/>
        <v>0</v>
      </c>
    </row>
    <row r="120" spans="1:14" ht="15.75" hidden="1" thickBot="1" x14ac:dyDescent="0.3">
      <c r="A120" s="190" t="s">
        <v>215</v>
      </c>
      <c r="B120" s="180" t="s">
        <v>216</v>
      </c>
      <c r="C120" s="246"/>
      <c r="D120" s="246"/>
      <c r="E120" s="247">
        <f t="shared" si="15"/>
        <v>0</v>
      </c>
      <c r="F120" s="246"/>
      <c r="G120" s="246"/>
      <c r="H120" s="247">
        <f t="shared" si="19"/>
        <v>0</v>
      </c>
      <c r="I120" s="246"/>
      <c r="J120" s="246"/>
      <c r="K120" s="247">
        <f t="shared" si="20"/>
        <v>0</v>
      </c>
      <c r="L120" s="246"/>
      <c r="M120" s="246"/>
      <c r="N120" s="247">
        <f t="shared" si="21"/>
        <v>0</v>
      </c>
    </row>
    <row r="121" spans="1:14" ht="15.75" hidden="1" thickBot="1" x14ac:dyDescent="0.3">
      <c r="A121" s="190" t="s">
        <v>217</v>
      </c>
      <c r="B121" s="180" t="s">
        <v>218</v>
      </c>
      <c r="C121" s="246"/>
      <c r="D121" s="246"/>
      <c r="E121" s="247">
        <f t="shared" si="15"/>
        <v>0</v>
      </c>
      <c r="F121" s="246"/>
      <c r="G121" s="246"/>
      <c r="H121" s="247">
        <f t="shared" si="19"/>
        <v>0</v>
      </c>
      <c r="I121" s="246"/>
      <c r="J121" s="246"/>
      <c r="K121" s="247">
        <f t="shared" si="20"/>
        <v>0</v>
      </c>
      <c r="L121" s="246"/>
      <c r="M121" s="246"/>
      <c r="N121" s="247">
        <f t="shared" si="21"/>
        <v>0</v>
      </c>
    </row>
    <row r="122" spans="1:14" ht="15.75" hidden="1" thickBot="1" x14ac:dyDescent="0.3">
      <c r="A122" s="190" t="s">
        <v>219</v>
      </c>
      <c r="B122" s="180" t="s">
        <v>220</v>
      </c>
      <c r="C122" s="246"/>
      <c r="D122" s="246"/>
      <c r="E122" s="247">
        <f t="shared" si="15"/>
        <v>0</v>
      </c>
      <c r="F122" s="246"/>
      <c r="G122" s="246"/>
      <c r="H122" s="247">
        <f t="shared" si="19"/>
        <v>0</v>
      </c>
      <c r="I122" s="246"/>
      <c r="J122" s="246"/>
      <c r="K122" s="247">
        <f t="shared" si="20"/>
        <v>0</v>
      </c>
      <c r="L122" s="246"/>
      <c r="M122" s="246"/>
      <c r="N122" s="247">
        <f t="shared" si="21"/>
        <v>0</v>
      </c>
    </row>
    <row r="123" spans="1:14" ht="15.75" hidden="1" thickBot="1" x14ac:dyDescent="0.3">
      <c r="A123" s="190" t="s">
        <v>221</v>
      </c>
      <c r="B123" s="180" t="s">
        <v>222</v>
      </c>
      <c r="C123" s="246">
        <f>SUM(C124:C126)</f>
        <v>0</v>
      </c>
      <c r="D123" s="246">
        <f>SUM(D124:D126)</f>
        <v>0</v>
      </c>
      <c r="E123" s="247">
        <f t="shared" si="15"/>
        <v>0</v>
      </c>
      <c r="F123" s="246">
        <f>SUM(F124:F126)</f>
        <v>0</v>
      </c>
      <c r="G123" s="246">
        <f>SUM(G124:G126)</f>
        <v>0</v>
      </c>
      <c r="H123" s="247">
        <f t="shared" si="19"/>
        <v>0</v>
      </c>
      <c r="I123" s="246">
        <f>SUM(I124:I126)</f>
        <v>0</v>
      </c>
      <c r="J123" s="246">
        <f>SUM(J124:J126)</f>
        <v>0</v>
      </c>
      <c r="K123" s="247">
        <f t="shared" si="20"/>
        <v>0</v>
      </c>
      <c r="L123" s="246">
        <f>SUM(L124:L126)</f>
        <v>0</v>
      </c>
      <c r="M123" s="246">
        <f>SUM(M124:M126)</f>
        <v>0</v>
      </c>
      <c r="N123" s="247">
        <f t="shared" si="21"/>
        <v>0</v>
      </c>
    </row>
    <row r="124" spans="1:14" ht="15.75" hidden="1" thickBot="1" x14ac:dyDescent="0.3">
      <c r="A124" s="190"/>
      <c r="B124" s="180" t="s">
        <v>223</v>
      </c>
      <c r="C124" s="246"/>
      <c r="D124" s="246"/>
      <c r="E124" s="247">
        <f t="shared" si="15"/>
        <v>0</v>
      </c>
      <c r="F124" s="246"/>
      <c r="G124" s="246"/>
      <c r="H124" s="247">
        <f t="shared" si="19"/>
        <v>0</v>
      </c>
      <c r="I124" s="246"/>
      <c r="J124" s="246"/>
      <c r="K124" s="247">
        <f t="shared" si="20"/>
        <v>0</v>
      </c>
      <c r="L124" s="246"/>
      <c r="M124" s="246"/>
      <c r="N124" s="247">
        <f t="shared" si="21"/>
        <v>0</v>
      </c>
    </row>
    <row r="125" spans="1:14" ht="15.75" hidden="1" thickBot="1" x14ac:dyDescent="0.3">
      <c r="A125" s="191"/>
      <c r="B125" s="192" t="s">
        <v>224</v>
      </c>
      <c r="C125" s="246"/>
      <c r="D125" s="246"/>
      <c r="E125" s="247">
        <f t="shared" si="15"/>
        <v>0</v>
      </c>
      <c r="F125" s="246"/>
      <c r="G125" s="246"/>
      <c r="H125" s="247">
        <f t="shared" si="19"/>
        <v>0</v>
      </c>
      <c r="I125" s="246"/>
      <c r="J125" s="246"/>
      <c r="K125" s="247">
        <f t="shared" si="20"/>
        <v>0</v>
      </c>
      <c r="L125" s="246"/>
      <c r="M125" s="246"/>
      <c r="N125" s="247">
        <f t="shared" si="21"/>
        <v>0</v>
      </c>
    </row>
    <row r="126" spans="1:14" ht="15.75" hidden="1" thickBot="1" x14ac:dyDescent="0.3">
      <c r="A126" s="191" t="s">
        <v>225</v>
      </c>
      <c r="B126" s="192" t="s">
        <v>226</v>
      </c>
      <c r="C126" s="248"/>
      <c r="D126" s="248"/>
      <c r="E126" s="249">
        <f t="shared" si="15"/>
        <v>0</v>
      </c>
      <c r="F126" s="248"/>
      <c r="G126" s="248"/>
      <c r="H126" s="249">
        <f t="shared" si="19"/>
        <v>0</v>
      </c>
      <c r="I126" s="248"/>
      <c r="J126" s="248"/>
      <c r="K126" s="249">
        <f t="shared" si="20"/>
        <v>0</v>
      </c>
      <c r="L126" s="248"/>
      <c r="M126" s="248"/>
      <c r="N126" s="249">
        <f t="shared" si="21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15"/>
        <v>0</v>
      </c>
      <c r="F127" s="250"/>
      <c r="G127" s="250"/>
      <c r="H127" s="251">
        <f t="shared" si="19"/>
        <v>0</v>
      </c>
      <c r="I127" s="250"/>
      <c r="J127" s="250"/>
      <c r="K127" s="251">
        <f t="shared" si="20"/>
        <v>0</v>
      </c>
      <c r="L127" s="250"/>
      <c r="M127" s="250"/>
      <c r="N127" s="251">
        <f t="shared" si="21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>SUM(C129:C134)</f>
        <v>0</v>
      </c>
      <c r="D128" s="244">
        <f>SUM(D129:D134)</f>
        <v>0</v>
      </c>
      <c r="E128" s="245">
        <f t="shared" si="15"/>
        <v>0</v>
      </c>
      <c r="F128" s="244">
        <f>SUM(F129:F134)</f>
        <v>0</v>
      </c>
      <c r="G128" s="244">
        <f>SUM(G129:G134)</f>
        <v>0</v>
      </c>
      <c r="H128" s="245">
        <f t="shared" si="19"/>
        <v>0</v>
      </c>
      <c r="I128" s="244">
        <f>SUM(I129:I134)</f>
        <v>0</v>
      </c>
      <c r="J128" s="244">
        <f>SUM(J129:J134)</f>
        <v>0</v>
      </c>
      <c r="K128" s="245">
        <f t="shared" si="20"/>
        <v>0</v>
      </c>
      <c r="L128" s="244">
        <f>SUM(L129:L134)</f>
        <v>0</v>
      </c>
      <c r="M128" s="244">
        <f>SUM(M129:M134)</f>
        <v>0</v>
      </c>
      <c r="N128" s="245">
        <f t="shared" si="21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15"/>
        <v>0</v>
      </c>
      <c r="F129" s="246"/>
      <c r="G129" s="246"/>
      <c r="H129" s="247">
        <f t="shared" si="19"/>
        <v>0</v>
      </c>
      <c r="I129" s="246"/>
      <c r="J129" s="246"/>
      <c r="K129" s="247">
        <f t="shared" si="20"/>
        <v>0</v>
      </c>
      <c r="L129" s="246"/>
      <c r="M129" s="246"/>
      <c r="N129" s="247">
        <f t="shared" si="21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5"/>
        <v>0</v>
      </c>
      <c r="F130" s="246"/>
      <c r="G130" s="246"/>
      <c r="H130" s="247">
        <f t="shared" si="19"/>
        <v>0</v>
      </c>
      <c r="I130" s="246"/>
      <c r="J130" s="246"/>
      <c r="K130" s="247">
        <f t="shared" si="20"/>
        <v>0</v>
      </c>
      <c r="L130" s="246"/>
      <c r="M130" s="246"/>
      <c r="N130" s="247">
        <f t="shared" si="21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15"/>
        <v>0</v>
      </c>
      <c r="F131" s="246"/>
      <c r="G131" s="246"/>
      <c r="H131" s="247">
        <f t="shared" si="19"/>
        <v>0</v>
      </c>
      <c r="I131" s="246"/>
      <c r="J131" s="246"/>
      <c r="K131" s="247">
        <f t="shared" si="20"/>
        <v>0</v>
      </c>
      <c r="L131" s="246"/>
      <c r="M131" s="246"/>
      <c r="N131" s="247">
        <f t="shared" si="21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15"/>
        <v>0</v>
      </c>
      <c r="F132" s="246"/>
      <c r="G132" s="246"/>
      <c r="H132" s="247">
        <f t="shared" si="19"/>
        <v>0</v>
      </c>
      <c r="I132" s="246"/>
      <c r="J132" s="246"/>
      <c r="K132" s="247">
        <f t="shared" si="20"/>
        <v>0</v>
      </c>
      <c r="L132" s="246"/>
      <c r="M132" s="246"/>
      <c r="N132" s="247">
        <f t="shared" si="21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15"/>
        <v>0</v>
      </c>
      <c r="F133" s="246"/>
      <c r="G133" s="246"/>
      <c r="H133" s="247">
        <f t="shared" si="19"/>
        <v>0</v>
      </c>
      <c r="I133" s="246"/>
      <c r="J133" s="246"/>
      <c r="K133" s="247">
        <f t="shared" si="20"/>
        <v>0</v>
      </c>
      <c r="L133" s="246"/>
      <c r="M133" s="246"/>
      <c r="N133" s="247">
        <f t="shared" si="21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>SUM(C135:C136)</f>
        <v>0</v>
      </c>
      <c r="D134" s="246">
        <f>SUM(D135:D136)</f>
        <v>0</v>
      </c>
      <c r="E134" s="247">
        <f t="shared" si="15"/>
        <v>0</v>
      </c>
      <c r="F134" s="246">
        <f>SUM(F135:F136)</f>
        <v>0</v>
      </c>
      <c r="G134" s="246">
        <f>SUM(G135:G136)</f>
        <v>0</v>
      </c>
      <c r="H134" s="247">
        <f t="shared" si="19"/>
        <v>0</v>
      </c>
      <c r="I134" s="246">
        <f>SUM(I135:I136)</f>
        <v>0</v>
      </c>
      <c r="J134" s="246">
        <f>SUM(J135:J136)</f>
        <v>0</v>
      </c>
      <c r="K134" s="247">
        <f t="shared" si="20"/>
        <v>0</v>
      </c>
      <c r="L134" s="246">
        <f>SUM(L135:L136)</f>
        <v>0</v>
      </c>
      <c r="M134" s="246">
        <f>SUM(M135:M136)</f>
        <v>0</v>
      </c>
      <c r="N134" s="247">
        <f t="shared" si="21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15"/>
        <v>0</v>
      </c>
      <c r="F135" s="246"/>
      <c r="G135" s="246"/>
      <c r="H135" s="247">
        <f t="shared" si="19"/>
        <v>0</v>
      </c>
      <c r="I135" s="246"/>
      <c r="J135" s="246"/>
      <c r="K135" s="247">
        <f t="shared" si="20"/>
        <v>0</v>
      </c>
      <c r="L135" s="246"/>
      <c r="M135" s="246"/>
      <c r="N135" s="247">
        <f t="shared" si="21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15"/>
        <v>0</v>
      </c>
      <c r="F136" s="248"/>
      <c r="G136" s="248"/>
      <c r="H136" s="249">
        <f t="shared" si="19"/>
        <v>0</v>
      </c>
      <c r="I136" s="248"/>
      <c r="J136" s="248"/>
      <c r="K136" s="249">
        <f t="shared" si="20"/>
        <v>0</v>
      </c>
      <c r="L136" s="248"/>
      <c r="M136" s="248"/>
      <c r="N136" s="249">
        <f t="shared" si="21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15"/>
        <v>0</v>
      </c>
      <c r="F137" s="244"/>
      <c r="G137" s="244"/>
      <c r="H137" s="245">
        <f t="shared" si="19"/>
        <v>0</v>
      </c>
      <c r="I137" s="244"/>
      <c r="J137" s="244"/>
      <c r="K137" s="245">
        <f t="shared" si="20"/>
        <v>0</v>
      </c>
      <c r="L137" s="244"/>
      <c r="M137" s="244"/>
      <c r="N137" s="245">
        <f t="shared" si="21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15"/>
        <v>0</v>
      </c>
      <c r="F138" s="248"/>
      <c r="G138" s="248"/>
      <c r="H138" s="249">
        <f t="shared" si="19"/>
        <v>0</v>
      </c>
      <c r="I138" s="248"/>
      <c r="J138" s="248"/>
      <c r="K138" s="249">
        <f t="shared" si="20"/>
        <v>0</v>
      </c>
      <c r="L138" s="248"/>
      <c r="M138" s="248"/>
      <c r="N138" s="249">
        <f t="shared" si="21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15"/>
        <v>0</v>
      </c>
      <c r="F139" s="244"/>
      <c r="G139" s="244"/>
      <c r="H139" s="245">
        <f t="shared" si="19"/>
        <v>0</v>
      </c>
      <c r="I139" s="244"/>
      <c r="J139" s="244"/>
      <c r="K139" s="245">
        <f t="shared" si="20"/>
        <v>0</v>
      </c>
      <c r="L139" s="244"/>
      <c r="M139" s="244"/>
      <c r="N139" s="245">
        <f t="shared" si="21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15"/>
        <v>0</v>
      </c>
      <c r="F140" s="248"/>
      <c r="G140" s="248"/>
      <c r="H140" s="249">
        <f t="shared" si="19"/>
        <v>0</v>
      </c>
      <c r="I140" s="248"/>
      <c r="J140" s="248"/>
      <c r="K140" s="249">
        <f t="shared" si="20"/>
        <v>0</v>
      </c>
      <c r="L140" s="248"/>
      <c r="M140" s="248"/>
      <c r="N140" s="249">
        <f t="shared" si="21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15"/>
        <v>0</v>
      </c>
      <c r="F141" s="254"/>
      <c r="G141" s="254"/>
      <c r="H141" s="255">
        <f t="shared" si="19"/>
        <v>0</v>
      </c>
      <c r="I141" s="254"/>
      <c r="J141" s="254"/>
      <c r="K141" s="255">
        <f t="shared" si="20"/>
        <v>0</v>
      </c>
      <c r="L141" s="254"/>
      <c r="M141" s="254"/>
      <c r="N141" s="255">
        <f t="shared" si="21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>C141+C140+C139+C138+C137+C128+C127+C111+C105+C88</f>
        <v>0</v>
      </c>
      <c r="D142" s="250">
        <f>D141+D140+D139+D138+D137+D128+D127+D111+D105+D88</f>
        <v>0</v>
      </c>
      <c r="E142" s="251">
        <f t="shared" si="15"/>
        <v>0</v>
      </c>
      <c r="F142" s="250">
        <f>F141+F140+F139+F138+F137+F128+F127+F111+F105+F88</f>
        <v>0</v>
      </c>
      <c r="G142" s="250">
        <f>G141+G140+G139+G138+G137+G128+G127+G111+G105+G88</f>
        <v>0</v>
      </c>
      <c r="H142" s="251">
        <f t="shared" si="19"/>
        <v>0</v>
      </c>
      <c r="I142" s="250">
        <f>I141+I140+I139+I138+I137+I128+I127+I111+I105+I88</f>
        <v>0</v>
      </c>
      <c r="J142" s="250">
        <f>J141+J140+J139+J138+J137+J128+J127+J111+J105+J88</f>
        <v>0</v>
      </c>
      <c r="K142" s="251">
        <f t="shared" si="20"/>
        <v>0</v>
      </c>
      <c r="L142" s="250">
        <f>L141+L140+L139+L138+L137+L128+L127+L111+L105+L88</f>
        <v>0</v>
      </c>
      <c r="M142" s="250">
        <f>M141+M140+M139+M138+M137+M128+M127+M111+M105+M88</f>
        <v>0</v>
      </c>
      <c r="N142" s="251">
        <f t="shared" si="21"/>
        <v>0</v>
      </c>
    </row>
    <row r="143" spans="1:14" ht="15.75" thickBot="1" x14ac:dyDescent="0.3">
      <c r="A143" s="197" t="s">
        <v>250</v>
      </c>
      <c r="B143" s="198" t="s">
        <v>251</v>
      </c>
      <c r="C143" s="244">
        <f>SUM(C144:C150)</f>
        <v>0</v>
      </c>
      <c r="D143" s="244">
        <f>SUM(D144:D150)</f>
        <v>0</v>
      </c>
      <c r="E143" s="245">
        <f t="shared" si="15"/>
        <v>0</v>
      </c>
      <c r="F143" s="244">
        <f>SUM(F144:F150)</f>
        <v>0</v>
      </c>
      <c r="G143" s="244">
        <f>SUM(G144:G150)</f>
        <v>0</v>
      </c>
      <c r="H143" s="245">
        <f t="shared" si="19"/>
        <v>0</v>
      </c>
      <c r="I143" s="244">
        <f>SUM(I144:I150)</f>
        <v>0</v>
      </c>
      <c r="J143" s="244">
        <f>SUM(J144:J150)</f>
        <v>0</v>
      </c>
      <c r="K143" s="245">
        <f t="shared" si="20"/>
        <v>0</v>
      </c>
      <c r="L143" s="244">
        <f>SUM(L144:L150)</f>
        <v>0</v>
      </c>
      <c r="M143" s="244">
        <f>SUM(M144:M150)</f>
        <v>0</v>
      </c>
      <c r="N143" s="245">
        <f t="shared" si="21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15"/>
        <v>0</v>
      </c>
      <c r="F144" s="246"/>
      <c r="G144" s="246"/>
      <c r="H144" s="247">
        <f t="shared" si="19"/>
        <v>0</v>
      </c>
      <c r="I144" s="246"/>
      <c r="J144" s="246"/>
      <c r="K144" s="247">
        <f t="shared" si="20"/>
        <v>0</v>
      </c>
      <c r="L144" s="246"/>
      <c r="M144" s="246"/>
      <c r="N144" s="247">
        <f t="shared" si="21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15"/>
        <v>0</v>
      </c>
      <c r="F145" s="246"/>
      <c r="G145" s="246"/>
      <c r="H145" s="247">
        <f t="shared" si="19"/>
        <v>0</v>
      </c>
      <c r="I145" s="246"/>
      <c r="J145" s="246"/>
      <c r="K145" s="247">
        <f t="shared" si="20"/>
        <v>0</v>
      </c>
      <c r="L145" s="246"/>
      <c r="M145" s="246"/>
      <c r="N145" s="247">
        <f t="shared" si="21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15"/>
        <v>0</v>
      </c>
      <c r="F147" s="246"/>
      <c r="G147" s="246"/>
      <c r="H147" s="247">
        <f t="shared" ref="H147:H150" si="22">SUM(F147:G147)</f>
        <v>0</v>
      </c>
      <c r="I147" s="246"/>
      <c r="J147" s="246"/>
      <c r="K147" s="247">
        <f t="shared" ref="K147:K150" si="23">SUM(I147:J147)</f>
        <v>0</v>
      </c>
      <c r="L147" s="246"/>
      <c r="M147" s="246"/>
      <c r="N147" s="247">
        <f t="shared" ref="N147:N150" si="24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15"/>
        <v>0</v>
      </c>
      <c r="F148" s="246"/>
      <c r="G148" s="246"/>
      <c r="H148" s="247">
        <f t="shared" si="22"/>
        <v>0</v>
      </c>
      <c r="I148" s="246"/>
      <c r="J148" s="246"/>
      <c r="K148" s="247">
        <f t="shared" si="23"/>
        <v>0</v>
      </c>
      <c r="L148" s="246"/>
      <c r="M148" s="246"/>
      <c r="N148" s="247">
        <f t="shared" si="24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15"/>
        <v>0</v>
      </c>
      <c r="F149" s="246"/>
      <c r="G149" s="246"/>
      <c r="H149" s="247">
        <f t="shared" si="22"/>
        <v>0</v>
      </c>
      <c r="I149" s="246"/>
      <c r="J149" s="246"/>
      <c r="K149" s="247">
        <f t="shared" si="23"/>
        <v>0</v>
      </c>
      <c r="L149" s="246"/>
      <c r="M149" s="246"/>
      <c r="N149" s="247">
        <f t="shared" si="24"/>
        <v>0</v>
      </c>
    </row>
    <row r="150" spans="1:14" ht="15.75" hidden="1" thickBot="1" x14ac:dyDescent="0.3">
      <c r="A150" s="191"/>
      <c r="B150" s="192" t="s">
        <v>262</v>
      </c>
      <c r="C150" s="256"/>
      <c r="D150" s="248"/>
      <c r="E150" s="249">
        <f t="shared" si="15"/>
        <v>0</v>
      </c>
      <c r="F150" s="256"/>
      <c r="G150" s="248"/>
      <c r="H150" s="249">
        <f t="shared" si="22"/>
        <v>0</v>
      </c>
      <c r="I150" s="256"/>
      <c r="J150" s="248"/>
      <c r="K150" s="249">
        <f t="shared" si="23"/>
        <v>0</v>
      </c>
      <c r="L150" s="256"/>
      <c r="M150" s="248"/>
      <c r="N150" s="249">
        <f t="shared" si="24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>C143+C142</f>
        <v>0</v>
      </c>
      <c r="D151" s="257">
        <f>D143+D142</f>
        <v>0</v>
      </c>
      <c r="E151" s="258">
        <f>SUM(C151:D151)</f>
        <v>0</v>
      </c>
      <c r="F151" s="250">
        <f>F143+F142</f>
        <v>0</v>
      </c>
      <c r="G151" s="257">
        <f>G143+G142</f>
        <v>0</v>
      </c>
      <c r="H151" s="258">
        <f>SUM(F151:G151)</f>
        <v>0</v>
      </c>
      <c r="I151" s="250">
        <f>I143+I142</f>
        <v>0</v>
      </c>
      <c r="J151" s="257">
        <f>J143+J142</f>
        <v>0</v>
      </c>
      <c r="K151" s="258">
        <f>SUM(I151:J151)</f>
        <v>0</v>
      </c>
      <c r="L151" s="250">
        <f>L143+L142</f>
        <v>0</v>
      </c>
      <c r="M151" s="257">
        <f>M143+M142</f>
        <v>0</v>
      </c>
      <c r="N151" s="258">
        <f>SUM(L151:M151)</f>
        <v>0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E153" s="306">
        <f t="shared" ref="E153" si="25">E85-E151</f>
        <v>493000000</v>
      </c>
      <c r="H153" s="306">
        <f t="shared" ref="H153" si="26">H85-H151</f>
        <v>493000000</v>
      </c>
      <c r="K153" s="306">
        <f t="shared" ref="K153" si="27">K85-K151</f>
        <v>526389831</v>
      </c>
      <c r="N153" s="306">
        <f t="shared" ref="N153" si="28">N85-N151</f>
        <v>559711307</v>
      </c>
    </row>
  </sheetData>
  <mergeCells count="4">
    <mergeCell ref="L6:N6"/>
    <mergeCell ref="A1:E1"/>
    <mergeCell ref="A2:E2"/>
    <mergeCell ref="I6:K6"/>
  </mergeCells>
  <pageMargins left="0.55118110236220474" right="0.15748031496062992" top="0.27559055118110237" bottom="0.43307086614173229" header="0.31496062992125984" footer="0.31496062992125984"/>
  <pageSetup paperSize="9" scale="46" fitToHeight="0" orientation="portrait" horizontalDpi="300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1B71F"/>
  </sheetPr>
  <dimension ref="A1:BA152"/>
  <sheetViews>
    <sheetView zoomScaleNormal="100" workbookViewId="0">
      <pane xSplit="2" ySplit="8" topLeftCell="AL45" activePane="bottomRight" state="frozen"/>
      <selection pane="topRight" activeCell="C1" sqref="C1"/>
      <selection pane="bottomLeft" activeCell="A9" sqref="A9"/>
      <selection pane="bottomRight" activeCell="AL81" sqref="AL81:AL82"/>
    </sheetView>
  </sheetViews>
  <sheetFormatPr defaultRowHeight="15" x14ac:dyDescent="0.25"/>
  <cols>
    <col min="2" max="2" width="53.140625" customWidth="1"/>
    <col min="3" max="3" width="11.85546875" style="148" customWidth="1"/>
    <col min="4" max="4" width="9.140625" style="148" customWidth="1"/>
    <col min="5" max="5" width="13.140625" style="148" customWidth="1"/>
    <col min="6" max="6" width="11.85546875" style="148" customWidth="1"/>
    <col min="7" max="7" width="9.140625" style="148" customWidth="1"/>
    <col min="8" max="8" width="13.140625" style="148" customWidth="1"/>
    <col min="9" max="9" width="11.85546875" style="148" customWidth="1"/>
    <col min="10" max="10" width="9.140625" style="148" customWidth="1"/>
    <col min="11" max="11" width="13.140625" style="148" customWidth="1"/>
    <col min="12" max="12" width="11.85546875" style="148" customWidth="1"/>
    <col min="13" max="13" width="9.140625" style="148" customWidth="1"/>
    <col min="14" max="14" width="13.140625" style="148" customWidth="1"/>
    <col min="15" max="15" width="11.5703125" style="148" customWidth="1"/>
    <col min="16" max="16" width="8" style="148" customWidth="1"/>
    <col min="17" max="17" width="14" style="148" customWidth="1"/>
    <col min="18" max="18" width="11.5703125" style="148" customWidth="1"/>
    <col min="19" max="19" width="8" style="148" customWidth="1"/>
    <col min="20" max="20" width="14" style="148" customWidth="1"/>
    <col min="21" max="21" width="11.5703125" style="148" customWidth="1"/>
    <col min="22" max="22" width="8" style="148" customWidth="1"/>
    <col min="23" max="23" width="14" style="148" customWidth="1"/>
    <col min="24" max="24" width="11.5703125" style="148" customWidth="1"/>
    <col min="25" max="25" width="8" style="148" customWidth="1"/>
    <col min="26" max="26" width="14" style="148" customWidth="1"/>
    <col min="27" max="27" width="14.42578125" style="148" customWidth="1"/>
    <col min="28" max="28" width="12.7109375" style="148" customWidth="1"/>
    <col min="29" max="29" width="14.85546875" style="148" customWidth="1"/>
    <col min="30" max="30" width="14.42578125" style="148" customWidth="1"/>
    <col min="31" max="31" width="12.7109375" style="148" customWidth="1"/>
    <col min="32" max="32" width="14.85546875" style="148" customWidth="1"/>
    <col min="33" max="33" width="14.42578125" style="148" customWidth="1"/>
    <col min="34" max="34" width="12.7109375" style="148" customWidth="1"/>
    <col min="35" max="35" width="14.85546875" style="148" customWidth="1"/>
    <col min="36" max="36" width="14.42578125" style="148" customWidth="1"/>
    <col min="37" max="37" width="12.7109375" style="148" customWidth="1"/>
    <col min="38" max="38" width="14.85546875" style="148" customWidth="1"/>
    <col min="39" max="39" width="13.85546875" style="148" customWidth="1"/>
    <col min="40" max="40" width="11.7109375" style="148" customWidth="1"/>
    <col min="41" max="41" width="14.140625" style="148" customWidth="1"/>
    <col min="42" max="42" width="13.85546875" style="148" customWidth="1"/>
    <col min="43" max="43" width="11.7109375" style="148" customWidth="1"/>
    <col min="44" max="44" width="14.140625" style="148" customWidth="1"/>
    <col min="45" max="45" width="13.85546875" style="148" customWidth="1"/>
    <col min="46" max="46" width="11.7109375" style="148" customWidth="1"/>
    <col min="47" max="47" width="14.140625" style="148" customWidth="1"/>
    <col min="48" max="48" width="13.85546875" style="148" customWidth="1"/>
    <col min="49" max="49" width="11.7109375" style="148" customWidth="1"/>
    <col min="50" max="50" width="14.140625" style="148" customWidth="1"/>
    <col min="52" max="52" width="11" bestFit="1" customWidth="1"/>
    <col min="53" max="53" width="11.28515625" customWidth="1"/>
  </cols>
  <sheetData>
    <row r="1" spans="1:50" s="179" customFormat="1" x14ac:dyDescent="0.25">
      <c r="A1" s="912" t="s">
        <v>632</v>
      </c>
      <c r="B1" s="912"/>
      <c r="C1" s="912"/>
      <c r="D1" s="912"/>
      <c r="E1" s="912"/>
      <c r="F1" s="912"/>
      <c r="G1" s="912"/>
      <c r="H1" s="912"/>
      <c r="I1" s="638"/>
      <c r="J1" s="638"/>
      <c r="K1" s="638"/>
      <c r="L1" s="704"/>
      <c r="M1" s="704"/>
      <c r="N1" s="704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45" t="str">
        <f>'1 címrend'!B1</f>
        <v xml:space="preserve"> 12 / 2020. (VI.15) sz rendelet</v>
      </c>
      <c r="AO1" s="82"/>
      <c r="AP1" s="82"/>
      <c r="AQ1" s="82"/>
      <c r="AR1" s="82"/>
      <c r="AS1" s="82"/>
      <c r="AT1" s="82"/>
      <c r="AU1" s="82"/>
      <c r="AV1" s="82"/>
      <c r="AW1" s="82"/>
      <c r="AX1" s="82"/>
    </row>
    <row r="2" spans="1:50" x14ac:dyDescent="0.25">
      <c r="A2" s="913">
        <v>2019</v>
      </c>
      <c r="B2" s="913"/>
      <c r="C2" s="913"/>
      <c r="D2" s="913"/>
      <c r="E2" s="913"/>
      <c r="F2" s="913"/>
      <c r="G2" s="913"/>
      <c r="H2" s="913"/>
      <c r="I2" s="639"/>
      <c r="J2" s="639"/>
      <c r="K2" s="639"/>
      <c r="L2" s="705"/>
      <c r="M2" s="705"/>
      <c r="N2" s="705"/>
      <c r="O2" s="634"/>
      <c r="P2" s="634"/>
      <c r="Q2" s="634"/>
      <c r="R2" s="616"/>
      <c r="S2" s="616"/>
      <c r="T2" s="616"/>
      <c r="U2" s="639"/>
      <c r="V2" s="639"/>
      <c r="W2" s="639"/>
      <c r="X2" s="705"/>
      <c r="Y2" s="705"/>
      <c r="Z2" s="705"/>
    </row>
    <row r="3" spans="1:50" s="179" customFormat="1" x14ac:dyDescent="0.25"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914"/>
      <c r="P3" s="914"/>
      <c r="Q3" s="914"/>
      <c r="R3" s="914"/>
      <c r="S3" s="914"/>
      <c r="T3" s="914"/>
      <c r="U3" s="914"/>
      <c r="V3" s="914"/>
      <c r="W3" s="914"/>
      <c r="X3" s="914"/>
      <c r="Y3" s="914"/>
      <c r="Z3" s="914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622"/>
      <c r="AN3" s="517" t="s">
        <v>289</v>
      </c>
      <c r="AO3" s="633" t="str">
        <f>'3.1 mérleg2'!P6</f>
        <v xml:space="preserve"> melléklet az 12/2020. (VI.15.) rendelethez</v>
      </c>
      <c r="AP3" s="633"/>
      <c r="AQ3" s="633"/>
      <c r="AS3" s="640"/>
      <c r="AT3" s="640"/>
      <c r="AV3" s="703"/>
      <c r="AW3" s="703"/>
    </row>
    <row r="5" spans="1:50" ht="15.75" thickBot="1" x14ac:dyDescent="0.3"/>
    <row r="6" spans="1:50" ht="15.75" thickBot="1" x14ac:dyDescent="0.3">
      <c r="C6" s="909" t="s">
        <v>6</v>
      </c>
      <c r="D6" s="910"/>
      <c r="E6" s="910"/>
      <c r="F6" s="910"/>
      <c r="G6" s="910"/>
      <c r="H6" s="910"/>
      <c r="I6" s="910"/>
      <c r="J6" s="910"/>
      <c r="K6" s="910"/>
      <c r="L6" s="910"/>
      <c r="M6" s="910"/>
      <c r="N6" s="915"/>
      <c r="O6" s="916" t="s">
        <v>8</v>
      </c>
      <c r="P6" s="910"/>
      <c r="Q6" s="910"/>
      <c r="R6" s="910"/>
      <c r="S6" s="910"/>
      <c r="T6" s="910"/>
      <c r="U6" s="910"/>
      <c r="V6" s="910"/>
      <c r="W6" s="910"/>
      <c r="X6" s="910"/>
      <c r="Y6" s="910"/>
      <c r="Z6" s="915"/>
      <c r="AA6" s="916" t="s">
        <v>4</v>
      </c>
      <c r="AB6" s="910"/>
      <c r="AC6" s="910"/>
      <c r="AD6" s="910"/>
      <c r="AE6" s="910"/>
      <c r="AF6" s="910"/>
      <c r="AG6" s="910"/>
      <c r="AH6" s="910"/>
      <c r="AI6" s="910"/>
      <c r="AJ6" s="910"/>
      <c r="AK6" s="910"/>
      <c r="AL6" s="911"/>
      <c r="AM6" s="909" t="s">
        <v>18</v>
      </c>
      <c r="AN6" s="910"/>
      <c r="AO6" s="910"/>
      <c r="AP6" s="910"/>
      <c r="AQ6" s="910"/>
      <c r="AR6" s="910"/>
      <c r="AS6" s="910"/>
      <c r="AT6" s="910"/>
      <c r="AU6" s="910"/>
      <c r="AV6" s="910"/>
      <c r="AW6" s="910"/>
      <c r="AX6" s="911"/>
    </row>
    <row r="7" spans="1:50" s="79" customFormat="1" ht="15.75" customHeight="1" thickBot="1" x14ac:dyDescent="0.25">
      <c r="A7" s="391"/>
      <c r="B7" s="391"/>
      <c r="C7" s="909">
        <v>2019</v>
      </c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1"/>
      <c r="O7" s="909">
        <v>2019</v>
      </c>
      <c r="P7" s="910"/>
      <c r="Q7" s="910"/>
      <c r="R7" s="910"/>
      <c r="S7" s="910"/>
      <c r="T7" s="910"/>
      <c r="U7" s="910"/>
      <c r="V7" s="910"/>
      <c r="W7" s="910"/>
      <c r="X7" s="910"/>
      <c r="Y7" s="910"/>
      <c r="Z7" s="911"/>
      <c r="AA7" s="909">
        <v>2019</v>
      </c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1"/>
      <c r="AM7" s="909">
        <v>2019</v>
      </c>
      <c r="AN7" s="910"/>
      <c r="AO7" s="910"/>
      <c r="AP7" s="910"/>
      <c r="AQ7" s="910"/>
      <c r="AR7" s="910"/>
      <c r="AS7" s="910"/>
      <c r="AT7" s="910"/>
      <c r="AU7" s="910"/>
      <c r="AV7" s="910"/>
      <c r="AW7" s="910"/>
      <c r="AX7" s="911"/>
    </row>
    <row r="8" spans="1:50" ht="32.25" thickBot="1" x14ac:dyDescent="0.3">
      <c r="A8" s="181" t="s">
        <v>42</v>
      </c>
      <c r="B8" s="182" t="s">
        <v>23</v>
      </c>
      <c r="C8" s="325" t="s">
        <v>32</v>
      </c>
      <c r="D8" s="326" t="s">
        <v>33</v>
      </c>
      <c r="E8" s="327" t="s">
        <v>21</v>
      </c>
      <c r="F8" s="325" t="s">
        <v>32</v>
      </c>
      <c r="G8" s="326" t="s">
        <v>33</v>
      </c>
      <c r="H8" s="327" t="s">
        <v>825</v>
      </c>
      <c r="I8" s="325" t="s">
        <v>32</v>
      </c>
      <c r="J8" s="326" t="s">
        <v>33</v>
      </c>
      <c r="K8" s="327" t="s">
        <v>864</v>
      </c>
      <c r="L8" s="325" t="s">
        <v>32</v>
      </c>
      <c r="M8" s="326" t="s">
        <v>33</v>
      </c>
      <c r="N8" s="327" t="s">
        <v>908</v>
      </c>
      <c r="O8" s="325" t="s">
        <v>32</v>
      </c>
      <c r="P8" s="326" t="s">
        <v>33</v>
      </c>
      <c r="Q8" s="327" t="s">
        <v>21</v>
      </c>
      <c r="R8" s="325" t="s">
        <v>32</v>
      </c>
      <c r="S8" s="326" t="s">
        <v>33</v>
      </c>
      <c r="T8" s="327" t="s">
        <v>825</v>
      </c>
      <c r="U8" s="325" t="s">
        <v>32</v>
      </c>
      <c r="V8" s="326" t="s">
        <v>33</v>
      </c>
      <c r="W8" s="327" t="s">
        <v>864</v>
      </c>
      <c r="X8" s="325" t="s">
        <v>32</v>
      </c>
      <c r="Y8" s="326" t="s">
        <v>33</v>
      </c>
      <c r="Z8" s="327" t="s">
        <v>908</v>
      </c>
      <c r="AA8" s="325" t="s">
        <v>32</v>
      </c>
      <c r="AB8" s="326" t="s">
        <v>33</v>
      </c>
      <c r="AC8" s="327" t="s">
        <v>21</v>
      </c>
      <c r="AD8" s="325" t="s">
        <v>32</v>
      </c>
      <c r="AE8" s="326" t="s">
        <v>33</v>
      </c>
      <c r="AF8" s="327" t="s">
        <v>825</v>
      </c>
      <c r="AG8" s="325" t="s">
        <v>32</v>
      </c>
      <c r="AH8" s="326" t="s">
        <v>33</v>
      </c>
      <c r="AI8" s="327" t="s">
        <v>864</v>
      </c>
      <c r="AJ8" s="325" t="s">
        <v>32</v>
      </c>
      <c r="AK8" s="326" t="s">
        <v>33</v>
      </c>
      <c r="AL8" s="327" t="s">
        <v>908</v>
      </c>
      <c r="AM8" s="325" t="s">
        <v>32</v>
      </c>
      <c r="AN8" s="326" t="s">
        <v>33</v>
      </c>
      <c r="AO8" s="327" t="s">
        <v>21</v>
      </c>
      <c r="AP8" s="325" t="s">
        <v>32</v>
      </c>
      <c r="AQ8" s="326" t="s">
        <v>33</v>
      </c>
      <c r="AR8" s="327" t="s">
        <v>825</v>
      </c>
      <c r="AS8" s="325" t="s">
        <v>32</v>
      </c>
      <c r="AT8" s="326" t="s">
        <v>33</v>
      </c>
      <c r="AU8" s="327" t="s">
        <v>864</v>
      </c>
      <c r="AV8" s="325" t="s">
        <v>32</v>
      </c>
      <c r="AW8" s="326" t="s">
        <v>33</v>
      </c>
      <c r="AX8" s="327" t="s">
        <v>908</v>
      </c>
    </row>
    <row r="9" spans="1:50" ht="15.75" thickBot="1" x14ac:dyDescent="0.3">
      <c r="A9" s="26" t="s">
        <v>43</v>
      </c>
      <c r="B9" s="48" t="s">
        <v>44</v>
      </c>
      <c r="C9" s="329">
        <f>'5.0 hivatal'!C9</f>
        <v>0</v>
      </c>
      <c r="D9" s="329">
        <f>'5.0 hivatal'!D9</f>
        <v>0</v>
      </c>
      <c r="E9" s="253">
        <f>SUM(C9:D9)</f>
        <v>0</v>
      </c>
      <c r="F9" s="329">
        <f>'5.0 hivatal'!F9</f>
        <v>2298693</v>
      </c>
      <c r="G9" s="329">
        <f>'5.0 hivatal'!G9</f>
        <v>0</v>
      </c>
      <c r="H9" s="253">
        <f>SUM(F9:G9)</f>
        <v>2298693</v>
      </c>
      <c r="I9" s="329">
        <f>'5.0 hivatal'!I9</f>
        <v>2347102</v>
      </c>
      <c r="J9" s="329">
        <f>'5.0 hivatal'!J9</f>
        <v>0</v>
      </c>
      <c r="K9" s="253">
        <f>SUM(I9:J9)</f>
        <v>2347102</v>
      </c>
      <c r="L9" s="329">
        <f>'5.0 hivatal'!L9</f>
        <v>6357076</v>
      </c>
      <c r="M9" s="329">
        <f>'5.0 hivatal'!M9</f>
        <v>0</v>
      </c>
      <c r="N9" s="253">
        <f>SUM(L9:M9)</f>
        <v>6357076</v>
      </c>
      <c r="O9" s="329">
        <f>'6.0 hksk'!C9</f>
        <v>1932315</v>
      </c>
      <c r="P9" s="329">
        <f>'6.0 hksk'!D9</f>
        <v>0</v>
      </c>
      <c r="Q9" s="253">
        <f t="shared" ref="Q9:Q73" si="0">SUM(O9:P9)</f>
        <v>1932315</v>
      </c>
      <c r="R9" s="329">
        <f>'6.0 hksk'!F9</f>
        <v>4030501</v>
      </c>
      <c r="S9" s="329">
        <f>'6.0 hksk'!G9</f>
        <v>0</v>
      </c>
      <c r="T9" s="253">
        <f t="shared" ref="T9:T73" si="1">SUM(R9:S9)</f>
        <v>4030501</v>
      </c>
      <c r="U9" s="329">
        <f>'6.0 hksk'!I9</f>
        <v>4302734</v>
      </c>
      <c r="V9" s="329">
        <f>'6.0 hksk'!J9</f>
        <v>0</v>
      </c>
      <c r="W9" s="253">
        <f t="shared" ref="W9:W71" si="2">SUM(U9:V9)</f>
        <v>4302734</v>
      </c>
      <c r="X9" s="329">
        <f>'6.0 hksk'!L9</f>
        <v>4152248</v>
      </c>
      <c r="Y9" s="329">
        <f>'6.0 hksk'!M9</f>
        <v>0</v>
      </c>
      <c r="Z9" s="253">
        <f t="shared" ref="Z9:Z71" si="3">SUM(X9:Y9)</f>
        <v>4152248</v>
      </c>
      <c r="AA9" s="329">
        <f>'7.0 önkormányzat össz'!C9</f>
        <v>723205890</v>
      </c>
      <c r="AB9" s="329">
        <f>'7.0 önkormányzat össz'!D9</f>
        <v>0</v>
      </c>
      <c r="AC9" s="253">
        <f t="shared" ref="AC9:AC73" si="4">SUM(AA9:AB9)</f>
        <v>723205890</v>
      </c>
      <c r="AD9" s="329">
        <f>'7.0 önkormányzat össz'!F9</f>
        <v>738371505</v>
      </c>
      <c r="AE9" s="329">
        <f>'7.0 önkormányzat össz'!G9</f>
        <v>0</v>
      </c>
      <c r="AF9" s="253">
        <f t="shared" ref="AF9:AF73" si="5">SUM(AD9:AE9)</f>
        <v>738371505</v>
      </c>
      <c r="AG9" s="329">
        <f ca="1">'7.0 önkormányzat össz'!I9</f>
        <v>745054763</v>
      </c>
      <c r="AH9" s="329">
        <f>'7.0 önkormányzat össz'!J9</f>
        <v>0</v>
      </c>
      <c r="AI9" s="253">
        <f t="shared" ref="AI9:AI71" ca="1" si="6">SUM(AG9:AH9)</f>
        <v>745054763</v>
      </c>
      <c r="AJ9" s="329">
        <f ca="1">'7.0 önkormányzat össz'!L9</f>
        <v>692864084</v>
      </c>
      <c r="AK9" s="329">
        <f>'7.0 önkormányzat össz'!M9</f>
        <v>0</v>
      </c>
      <c r="AL9" s="253">
        <f t="shared" ref="AL9:AL71" ca="1" si="7">SUM(AJ9:AK9)</f>
        <v>692864084</v>
      </c>
      <c r="AM9" s="329">
        <f t="shared" ref="AM9:AM40" si="8">C9+O9+AA9</f>
        <v>725138205</v>
      </c>
      <c r="AN9" s="329">
        <f t="shared" ref="AN9:AN40" si="9">D9+P9+AB9</f>
        <v>0</v>
      </c>
      <c r="AO9" s="253">
        <f t="shared" ref="AO9:AO40" si="10">E9+Q9+AC9</f>
        <v>725138205</v>
      </c>
      <c r="AP9" s="329">
        <f t="shared" ref="AP9:AP40" si="11">F9+R9+AD9</f>
        <v>744700699</v>
      </c>
      <c r="AQ9" s="329">
        <f t="shared" ref="AQ9:AQ40" si="12">G9+S9+AE9</f>
        <v>0</v>
      </c>
      <c r="AR9" s="253">
        <f t="shared" ref="AR9:AR40" si="13">H9+T9+AF9</f>
        <v>744700699</v>
      </c>
      <c r="AS9" s="329">
        <f t="shared" ref="AS9:AS40" ca="1" si="14">I9+U9+AG9</f>
        <v>751704599</v>
      </c>
      <c r="AT9" s="329">
        <f t="shared" ref="AT9:AT40" si="15">J9+V9+AH9</f>
        <v>0</v>
      </c>
      <c r="AU9" s="253">
        <f t="shared" ref="AU9:AU40" ca="1" si="16">K9+W9+AI9</f>
        <v>751704599</v>
      </c>
      <c r="AV9" s="329">
        <f t="shared" ref="AV9:AV40" ca="1" si="17">L9+X9+AJ9</f>
        <v>703373408</v>
      </c>
      <c r="AW9" s="329">
        <f t="shared" ref="AW9:AW40" si="18">M9+Y9+AK9</f>
        <v>0</v>
      </c>
      <c r="AX9" s="647">
        <f t="shared" ref="AX9:AX40" ca="1" si="19">N9+Z9+AL9</f>
        <v>703373408</v>
      </c>
    </row>
    <row r="10" spans="1:50" ht="15.75" thickBot="1" x14ac:dyDescent="0.3">
      <c r="A10" s="27" t="s">
        <v>45</v>
      </c>
      <c r="B10" s="62" t="s">
        <v>46</v>
      </c>
      <c r="C10" s="246">
        <f>'5.0 hivatal'!C10</f>
        <v>0</v>
      </c>
      <c r="D10" s="246">
        <f>'5.0 hivatal'!D10</f>
        <v>0</v>
      </c>
      <c r="E10" s="247">
        <f t="shared" ref="E10:E40" si="20">SUM(C10:D10)</f>
        <v>0</v>
      </c>
      <c r="F10" s="246">
        <f>'5.0 hivatal'!F10</f>
        <v>92644</v>
      </c>
      <c r="G10" s="246">
        <f>'5.0 hivatal'!G10</f>
        <v>0</v>
      </c>
      <c r="H10" s="247">
        <f t="shared" ref="H10:H73" si="21">SUM(F10:G10)</f>
        <v>92644</v>
      </c>
      <c r="I10" s="246">
        <f>'5.0 hivatal'!I10</f>
        <v>141053</v>
      </c>
      <c r="J10" s="246">
        <f>'5.0 hivatal'!J10</f>
        <v>0</v>
      </c>
      <c r="K10" s="247">
        <f t="shared" ref="K10:K73" si="22">SUM(I10:J10)</f>
        <v>141053</v>
      </c>
      <c r="L10" s="246">
        <f>'5.0 hivatal'!L10</f>
        <v>141053</v>
      </c>
      <c r="M10" s="246">
        <f>'5.0 hivatal'!M10</f>
        <v>0</v>
      </c>
      <c r="N10" s="247">
        <f t="shared" ref="N10:N73" si="23">SUM(L10:M10)</f>
        <v>141053</v>
      </c>
      <c r="O10" s="244">
        <f>'6.0 hksk'!C10</f>
        <v>0</v>
      </c>
      <c r="P10" s="244">
        <f>'6.0 hksk'!D10</f>
        <v>0</v>
      </c>
      <c r="Q10" s="247">
        <f t="shared" si="0"/>
        <v>0</v>
      </c>
      <c r="R10" s="244">
        <f>'6.0 hksk'!F10</f>
        <v>2098186</v>
      </c>
      <c r="S10" s="244">
        <f>'6.0 hksk'!G10</f>
        <v>0</v>
      </c>
      <c r="T10" s="247">
        <f t="shared" si="1"/>
        <v>2098186</v>
      </c>
      <c r="U10" s="244">
        <f>'6.0 hksk'!I10</f>
        <v>2370419</v>
      </c>
      <c r="V10" s="244">
        <f>'6.0 hksk'!J10</f>
        <v>0</v>
      </c>
      <c r="W10" s="247">
        <f t="shared" si="2"/>
        <v>2370419</v>
      </c>
      <c r="X10" s="244">
        <f>'6.0 hksk'!L10</f>
        <v>2370419</v>
      </c>
      <c r="Y10" s="244">
        <f>'6.0 hksk'!M10</f>
        <v>0</v>
      </c>
      <c r="Z10" s="247">
        <f t="shared" si="3"/>
        <v>2370419</v>
      </c>
      <c r="AA10" s="244">
        <f>'7.0 önkormányzat össz'!C10</f>
        <v>458484335</v>
      </c>
      <c r="AB10" s="244">
        <f>'7.0 önkormányzat össz'!D10</f>
        <v>0</v>
      </c>
      <c r="AC10" s="247">
        <f t="shared" si="4"/>
        <v>458484335</v>
      </c>
      <c r="AD10" s="244">
        <f>'7.0 önkormányzat össz'!F10</f>
        <v>485214421</v>
      </c>
      <c r="AE10" s="244">
        <f>'7.0 önkormányzat össz'!G10</f>
        <v>0</v>
      </c>
      <c r="AF10" s="247">
        <f t="shared" si="5"/>
        <v>485214421</v>
      </c>
      <c r="AG10" s="244">
        <f ca="1">'7.0 önkormányzat össz'!I10</f>
        <v>493544130</v>
      </c>
      <c r="AH10" s="244">
        <f>'7.0 önkormányzat össz'!J10</f>
        <v>0</v>
      </c>
      <c r="AI10" s="247">
        <f t="shared" ca="1" si="6"/>
        <v>493544130</v>
      </c>
      <c r="AJ10" s="244">
        <f ca="1">'7.0 önkormányzat össz'!L10</f>
        <v>493544130</v>
      </c>
      <c r="AK10" s="244">
        <f>'7.0 önkormányzat össz'!M10</f>
        <v>0</v>
      </c>
      <c r="AL10" s="247">
        <f t="shared" ca="1" si="7"/>
        <v>493544130</v>
      </c>
      <c r="AM10" s="244">
        <f t="shared" si="8"/>
        <v>458484335</v>
      </c>
      <c r="AN10" s="244">
        <f t="shared" si="9"/>
        <v>0</v>
      </c>
      <c r="AO10" s="245">
        <f t="shared" si="10"/>
        <v>458484335</v>
      </c>
      <c r="AP10" s="244">
        <f t="shared" si="11"/>
        <v>487405251</v>
      </c>
      <c r="AQ10" s="244">
        <f t="shared" si="12"/>
        <v>0</v>
      </c>
      <c r="AR10" s="245">
        <f t="shared" si="13"/>
        <v>487405251</v>
      </c>
      <c r="AS10" s="329">
        <f t="shared" ca="1" si="14"/>
        <v>496055602</v>
      </c>
      <c r="AT10" s="329">
        <f t="shared" si="15"/>
        <v>0</v>
      </c>
      <c r="AU10" s="253">
        <f t="shared" ca="1" si="16"/>
        <v>496055602</v>
      </c>
      <c r="AV10" s="329">
        <f t="shared" ca="1" si="17"/>
        <v>496055602</v>
      </c>
      <c r="AW10" s="329">
        <f t="shared" si="18"/>
        <v>0</v>
      </c>
      <c r="AX10" s="647">
        <f t="shared" ca="1" si="19"/>
        <v>496055602</v>
      </c>
    </row>
    <row r="11" spans="1:50" ht="15.75" thickBot="1" x14ac:dyDescent="0.3">
      <c r="A11" s="27" t="s">
        <v>47</v>
      </c>
      <c r="B11" s="62" t="s">
        <v>48</v>
      </c>
      <c r="C11" s="246">
        <f>'5.0 hivatal'!C11</f>
        <v>0</v>
      </c>
      <c r="D11" s="246">
        <f>'5.0 hivatal'!D11</f>
        <v>0</v>
      </c>
      <c r="E11" s="247">
        <f t="shared" si="20"/>
        <v>0</v>
      </c>
      <c r="F11" s="246">
        <f>'5.0 hivatal'!F11</f>
        <v>92644</v>
      </c>
      <c r="G11" s="246">
        <f>'5.0 hivatal'!G11</f>
        <v>0</v>
      </c>
      <c r="H11" s="247">
        <f t="shared" si="21"/>
        <v>92644</v>
      </c>
      <c r="I11" s="246">
        <f>'5.0 hivatal'!I11</f>
        <v>141053</v>
      </c>
      <c r="J11" s="246">
        <f>'5.0 hivatal'!J11</f>
        <v>0</v>
      </c>
      <c r="K11" s="247">
        <f t="shared" si="22"/>
        <v>141053</v>
      </c>
      <c r="L11" s="246">
        <f>'5.0 hivatal'!L11</f>
        <v>141053</v>
      </c>
      <c r="M11" s="246">
        <f>'5.0 hivatal'!M11</f>
        <v>0</v>
      </c>
      <c r="N11" s="247">
        <f t="shared" si="23"/>
        <v>141053</v>
      </c>
      <c r="O11" s="244">
        <f>'6.0 hksk'!C11</f>
        <v>0</v>
      </c>
      <c r="P11" s="244">
        <f>'6.0 hksk'!D11</f>
        <v>0</v>
      </c>
      <c r="Q11" s="247">
        <f t="shared" si="0"/>
        <v>0</v>
      </c>
      <c r="R11" s="244">
        <f>'6.0 hksk'!F11</f>
        <v>358</v>
      </c>
      <c r="S11" s="244">
        <f>'6.0 hksk'!G11</f>
        <v>0</v>
      </c>
      <c r="T11" s="247">
        <f t="shared" si="1"/>
        <v>358</v>
      </c>
      <c r="U11" s="244">
        <f>'6.0 hksk'!I11</f>
        <v>358</v>
      </c>
      <c r="V11" s="244">
        <f>'6.0 hksk'!J11</f>
        <v>0</v>
      </c>
      <c r="W11" s="247">
        <f t="shared" si="2"/>
        <v>358</v>
      </c>
      <c r="X11" s="244">
        <f>'6.0 hksk'!L11</f>
        <v>358</v>
      </c>
      <c r="Y11" s="244">
        <f>'6.0 hksk'!M11</f>
        <v>0</v>
      </c>
      <c r="Z11" s="247">
        <f t="shared" si="3"/>
        <v>358</v>
      </c>
      <c r="AA11" s="244">
        <f>'7.0 önkormányzat össz'!C11</f>
        <v>251398914</v>
      </c>
      <c r="AB11" s="244">
        <f>'7.0 önkormányzat össz'!D11</f>
        <v>0</v>
      </c>
      <c r="AC11" s="247">
        <f t="shared" si="4"/>
        <v>251398914</v>
      </c>
      <c r="AD11" s="244">
        <f>'7.0 önkormányzat össz'!F11</f>
        <v>271251362</v>
      </c>
      <c r="AE11" s="244">
        <f>'7.0 önkormányzat össz'!G11</f>
        <v>0</v>
      </c>
      <c r="AF11" s="247">
        <f t="shared" si="5"/>
        <v>271251362</v>
      </c>
      <c r="AG11" s="244">
        <f ca="1">'7.0 önkormányzat össz'!I11</f>
        <v>254578513</v>
      </c>
      <c r="AH11" s="244">
        <f>'7.0 önkormányzat össz'!J11</f>
        <v>0</v>
      </c>
      <c r="AI11" s="247">
        <f t="shared" ca="1" si="6"/>
        <v>254578513</v>
      </c>
      <c r="AJ11" s="244">
        <f ca="1">'7.0 önkormányzat össz'!L11</f>
        <v>254578513</v>
      </c>
      <c r="AK11" s="244">
        <f>'7.0 önkormányzat össz'!M11</f>
        <v>0</v>
      </c>
      <c r="AL11" s="247">
        <f t="shared" ca="1" si="7"/>
        <v>254578513</v>
      </c>
      <c r="AM11" s="244">
        <f t="shared" si="8"/>
        <v>251398914</v>
      </c>
      <c r="AN11" s="244">
        <f t="shared" si="9"/>
        <v>0</v>
      </c>
      <c r="AO11" s="245">
        <f t="shared" si="10"/>
        <v>251398914</v>
      </c>
      <c r="AP11" s="244">
        <f t="shared" si="11"/>
        <v>271344364</v>
      </c>
      <c r="AQ11" s="244">
        <f t="shared" si="12"/>
        <v>0</v>
      </c>
      <c r="AR11" s="245">
        <f t="shared" si="13"/>
        <v>271344364</v>
      </c>
      <c r="AS11" s="329">
        <f t="shared" ca="1" si="14"/>
        <v>254719924</v>
      </c>
      <c r="AT11" s="329">
        <f t="shared" si="15"/>
        <v>0</v>
      </c>
      <c r="AU11" s="253">
        <f t="shared" ca="1" si="16"/>
        <v>254719924</v>
      </c>
      <c r="AV11" s="329">
        <f t="shared" ca="1" si="17"/>
        <v>254719924</v>
      </c>
      <c r="AW11" s="329">
        <f t="shared" si="18"/>
        <v>0</v>
      </c>
      <c r="AX11" s="647">
        <f t="shared" ca="1" si="19"/>
        <v>254719924</v>
      </c>
    </row>
    <row r="12" spans="1:50" ht="15.75" thickBot="1" x14ac:dyDescent="0.3">
      <c r="A12" s="27" t="s">
        <v>49</v>
      </c>
      <c r="B12" s="62" t="s">
        <v>50</v>
      </c>
      <c r="C12" s="246">
        <f>'5.0 hivatal'!C12</f>
        <v>0</v>
      </c>
      <c r="D12" s="246">
        <f>'5.0 hivatal'!D12</f>
        <v>0</v>
      </c>
      <c r="E12" s="247">
        <f t="shared" si="20"/>
        <v>0</v>
      </c>
      <c r="F12" s="246">
        <f>'5.0 hivatal'!F12</f>
        <v>0</v>
      </c>
      <c r="G12" s="246">
        <f>'5.0 hivatal'!G12</f>
        <v>0</v>
      </c>
      <c r="H12" s="247">
        <f t="shared" si="21"/>
        <v>0</v>
      </c>
      <c r="I12" s="246">
        <f>'5.0 hivatal'!I12</f>
        <v>0</v>
      </c>
      <c r="J12" s="246">
        <f>'5.0 hivatal'!J12</f>
        <v>0</v>
      </c>
      <c r="K12" s="247">
        <f t="shared" si="22"/>
        <v>0</v>
      </c>
      <c r="L12" s="246">
        <f>'5.0 hivatal'!L12</f>
        <v>0</v>
      </c>
      <c r="M12" s="246">
        <f>'5.0 hivatal'!M12</f>
        <v>0</v>
      </c>
      <c r="N12" s="247">
        <f t="shared" si="23"/>
        <v>0</v>
      </c>
      <c r="O12" s="244">
        <f>'6.0 hksk'!C12</f>
        <v>0</v>
      </c>
      <c r="P12" s="244">
        <f>'6.0 hksk'!D12</f>
        <v>0</v>
      </c>
      <c r="Q12" s="247">
        <f t="shared" si="0"/>
        <v>0</v>
      </c>
      <c r="R12" s="244">
        <f>'6.0 hksk'!F12</f>
        <v>0</v>
      </c>
      <c r="S12" s="244">
        <f>'6.0 hksk'!G12</f>
        <v>0</v>
      </c>
      <c r="T12" s="247">
        <f t="shared" si="1"/>
        <v>0</v>
      </c>
      <c r="U12" s="244">
        <f>'6.0 hksk'!I12</f>
        <v>0</v>
      </c>
      <c r="V12" s="244">
        <f>'6.0 hksk'!J12</f>
        <v>0</v>
      </c>
      <c r="W12" s="247">
        <f t="shared" si="2"/>
        <v>0</v>
      </c>
      <c r="X12" s="244">
        <f>'6.0 hksk'!L12</f>
        <v>0</v>
      </c>
      <c r="Y12" s="244">
        <f>'6.0 hksk'!M12</f>
        <v>0</v>
      </c>
      <c r="Z12" s="247">
        <f t="shared" si="3"/>
        <v>0</v>
      </c>
      <c r="AA12" s="244">
        <f>'7.0 önkormányzat össz'!C12</f>
        <v>108088484</v>
      </c>
      <c r="AB12" s="244">
        <f>'7.0 önkormányzat össz'!D12</f>
        <v>0</v>
      </c>
      <c r="AC12" s="247">
        <f t="shared" si="4"/>
        <v>108088484</v>
      </c>
      <c r="AD12" s="244">
        <f>'7.0 önkormányzat össz'!F12</f>
        <v>110038484</v>
      </c>
      <c r="AE12" s="244">
        <f>'7.0 önkormányzat össz'!G12</f>
        <v>0</v>
      </c>
      <c r="AF12" s="247">
        <f t="shared" si="5"/>
        <v>110038484</v>
      </c>
      <c r="AG12" s="244">
        <f ca="1">'7.0 önkormányzat össz'!I12</f>
        <v>113359674</v>
      </c>
      <c r="AH12" s="244">
        <f>'7.0 önkormányzat össz'!J12</f>
        <v>0</v>
      </c>
      <c r="AI12" s="247">
        <f t="shared" ca="1" si="6"/>
        <v>113359674</v>
      </c>
      <c r="AJ12" s="244">
        <f ca="1">'7.0 önkormányzat össz'!L12</f>
        <v>113359674</v>
      </c>
      <c r="AK12" s="244">
        <f>'7.0 önkormányzat össz'!M12</f>
        <v>0</v>
      </c>
      <c r="AL12" s="247">
        <f t="shared" ca="1" si="7"/>
        <v>113359674</v>
      </c>
      <c r="AM12" s="244">
        <f t="shared" si="8"/>
        <v>108088484</v>
      </c>
      <c r="AN12" s="244">
        <f t="shared" si="9"/>
        <v>0</v>
      </c>
      <c r="AO12" s="245">
        <f t="shared" si="10"/>
        <v>108088484</v>
      </c>
      <c r="AP12" s="244">
        <f t="shared" si="11"/>
        <v>110038484</v>
      </c>
      <c r="AQ12" s="244">
        <f t="shared" si="12"/>
        <v>0</v>
      </c>
      <c r="AR12" s="245">
        <f t="shared" si="13"/>
        <v>110038484</v>
      </c>
      <c r="AS12" s="329">
        <f t="shared" ca="1" si="14"/>
        <v>113359674</v>
      </c>
      <c r="AT12" s="329">
        <f t="shared" si="15"/>
        <v>0</v>
      </c>
      <c r="AU12" s="253">
        <f t="shared" ca="1" si="16"/>
        <v>113359674</v>
      </c>
      <c r="AV12" s="329">
        <f t="shared" ca="1" si="17"/>
        <v>113359674</v>
      </c>
      <c r="AW12" s="329">
        <f t="shared" si="18"/>
        <v>0</v>
      </c>
      <c r="AX12" s="647">
        <f t="shared" ca="1" si="19"/>
        <v>113359674</v>
      </c>
    </row>
    <row r="13" spans="1:50" ht="15.75" thickBot="1" x14ac:dyDescent="0.3">
      <c r="A13" s="27" t="s">
        <v>51</v>
      </c>
      <c r="B13" s="62" t="s">
        <v>52</v>
      </c>
      <c r="C13" s="246">
        <f>'5.0 hivatal'!C13</f>
        <v>0</v>
      </c>
      <c r="D13" s="246">
        <f>'5.0 hivatal'!D13</f>
        <v>0</v>
      </c>
      <c r="E13" s="247">
        <f t="shared" si="20"/>
        <v>0</v>
      </c>
      <c r="F13" s="246">
        <f>'5.0 hivatal'!F13</f>
        <v>0</v>
      </c>
      <c r="G13" s="246">
        <f>'5.0 hivatal'!G13</f>
        <v>0</v>
      </c>
      <c r="H13" s="247">
        <f t="shared" si="21"/>
        <v>0</v>
      </c>
      <c r="I13" s="246">
        <f>'5.0 hivatal'!I13</f>
        <v>0</v>
      </c>
      <c r="J13" s="246">
        <f>'5.0 hivatal'!J13</f>
        <v>0</v>
      </c>
      <c r="K13" s="247">
        <f t="shared" si="22"/>
        <v>0</v>
      </c>
      <c r="L13" s="246">
        <f>'5.0 hivatal'!L13</f>
        <v>0</v>
      </c>
      <c r="M13" s="246">
        <f>'5.0 hivatal'!M13</f>
        <v>0</v>
      </c>
      <c r="N13" s="247">
        <f t="shared" si="23"/>
        <v>0</v>
      </c>
      <c r="O13" s="244">
        <f>'6.0 hksk'!C13</f>
        <v>0</v>
      </c>
      <c r="P13" s="244">
        <f>'6.0 hksk'!D13</f>
        <v>0</v>
      </c>
      <c r="Q13" s="247">
        <f t="shared" si="0"/>
        <v>0</v>
      </c>
      <c r="R13" s="244">
        <f>'6.0 hksk'!F13</f>
        <v>0</v>
      </c>
      <c r="S13" s="244">
        <f>'6.0 hksk'!G13</f>
        <v>0</v>
      </c>
      <c r="T13" s="247">
        <f t="shared" si="1"/>
        <v>0</v>
      </c>
      <c r="U13" s="244">
        <f>'6.0 hksk'!I13</f>
        <v>0</v>
      </c>
      <c r="V13" s="244">
        <f>'6.0 hksk'!J13</f>
        <v>0</v>
      </c>
      <c r="W13" s="247">
        <f t="shared" si="2"/>
        <v>0</v>
      </c>
      <c r="X13" s="244">
        <f>'6.0 hksk'!L13</f>
        <v>0</v>
      </c>
      <c r="Y13" s="244">
        <f>'6.0 hksk'!M13</f>
        <v>0</v>
      </c>
      <c r="Z13" s="247">
        <f t="shared" si="3"/>
        <v>0</v>
      </c>
      <c r="AA13" s="244">
        <f>'7.0 önkormányzat össz'!C13</f>
        <v>93444247</v>
      </c>
      <c r="AB13" s="244">
        <f>'7.0 önkormányzat össz'!D13</f>
        <v>0</v>
      </c>
      <c r="AC13" s="247">
        <f t="shared" si="4"/>
        <v>93444247</v>
      </c>
      <c r="AD13" s="244">
        <f>'7.0 önkormányzat össz'!F13</f>
        <v>96385605</v>
      </c>
      <c r="AE13" s="244">
        <f>'7.0 önkormányzat össz'!G13</f>
        <v>0</v>
      </c>
      <c r="AF13" s="247">
        <f t="shared" si="5"/>
        <v>96385605</v>
      </c>
      <c r="AG13" s="244">
        <f ca="1">'7.0 önkormányzat össz'!I13</f>
        <v>100209040</v>
      </c>
      <c r="AH13" s="244">
        <f>'7.0 önkormányzat össz'!J13</f>
        <v>0</v>
      </c>
      <c r="AI13" s="247">
        <f t="shared" ca="1" si="6"/>
        <v>100209040</v>
      </c>
      <c r="AJ13" s="244">
        <f ca="1">'7.0 önkormányzat össz'!L13</f>
        <v>100209040</v>
      </c>
      <c r="AK13" s="244">
        <f>'7.0 önkormányzat össz'!M13</f>
        <v>0</v>
      </c>
      <c r="AL13" s="247">
        <f t="shared" ca="1" si="7"/>
        <v>100209040</v>
      </c>
      <c r="AM13" s="244">
        <f t="shared" si="8"/>
        <v>93444247</v>
      </c>
      <c r="AN13" s="244">
        <f t="shared" si="9"/>
        <v>0</v>
      </c>
      <c r="AO13" s="245">
        <f t="shared" si="10"/>
        <v>93444247</v>
      </c>
      <c r="AP13" s="244">
        <f t="shared" si="11"/>
        <v>96385605</v>
      </c>
      <c r="AQ13" s="244">
        <f t="shared" si="12"/>
        <v>0</v>
      </c>
      <c r="AR13" s="245">
        <f t="shared" si="13"/>
        <v>96385605</v>
      </c>
      <c r="AS13" s="329">
        <f t="shared" ca="1" si="14"/>
        <v>100209040</v>
      </c>
      <c r="AT13" s="329">
        <f t="shared" si="15"/>
        <v>0</v>
      </c>
      <c r="AU13" s="253">
        <f t="shared" ca="1" si="16"/>
        <v>100209040</v>
      </c>
      <c r="AV13" s="329">
        <f t="shared" ca="1" si="17"/>
        <v>100209040</v>
      </c>
      <c r="AW13" s="329">
        <f t="shared" si="18"/>
        <v>0</v>
      </c>
      <c r="AX13" s="647">
        <f t="shared" ca="1" si="19"/>
        <v>100209040</v>
      </c>
    </row>
    <row r="14" spans="1:50" ht="15.75" thickBot="1" x14ac:dyDescent="0.3">
      <c r="A14" s="27" t="s">
        <v>53</v>
      </c>
      <c r="B14" s="62" t="s">
        <v>54</v>
      </c>
      <c r="C14" s="246">
        <f>'5.0 hivatal'!C14</f>
        <v>0</v>
      </c>
      <c r="D14" s="246">
        <f>'5.0 hivatal'!D14</f>
        <v>0</v>
      </c>
      <c r="E14" s="247">
        <f t="shared" si="20"/>
        <v>0</v>
      </c>
      <c r="F14" s="246">
        <f>'5.0 hivatal'!F14</f>
        <v>0</v>
      </c>
      <c r="G14" s="246">
        <f>'5.0 hivatal'!G14</f>
        <v>0</v>
      </c>
      <c r="H14" s="247">
        <f t="shared" si="21"/>
        <v>0</v>
      </c>
      <c r="I14" s="246">
        <f>'5.0 hivatal'!I14</f>
        <v>0</v>
      </c>
      <c r="J14" s="246">
        <f>'5.0 hivatal'!J14</f>
        <v>0</v>
      </c>
      <c r="K14" s="247">
        <f t="shared" si="22"/>
        <v>0</v>
      </c>
      <c r="L14" s="246">
        <f>'5.0 hivatal'!L14</f>
        <v>0</v>
      </c>
      <c r="M14" s="246">
        <f>'5.0 hivatal'!M14</f>
        <v>0</v>
      </c>
      <c r="N14" s="247">
        <f t="shared" si="23"/>
        <v>0</v>
      </c>
      <c r="O14" s="244">
        <f>'6.0 hksk'!C14</f>
        <v>0</v>
      </c>
      <c r="P14" s="244">
        <f>'6.0 hksk'!D14</f>
        <v>0</v>
      </c>
      <c r="Q14" s="247">
        <f t="shared" si="0"/>
        <v>0</v>
      </c>
      <c r="R14" s="244">
        <f>'6.0 hksk'!F14</f>
        <v>2097828</v>
      </c>
      <c r="S14" s="244">
        <f>'6.0 hksk'!G14</f>
        <v>0</v>
      </c>
      <c r="T14" s="247">
        <f t="shared" si="1"/>
        <v>2097828</v>
      </c>
      <c r="U14" s="244">
        <f>'6.0 hksk'!I14</f>
        <v>2370061</v>
      </c>
      <c r="V14" s="244">
        <f>'6.0 hksk'!J14</f>
        <v>0</v>
      </c>
      <c r="W14" s="247">
        <f t="shared" si="2"/>
        <v>2370061</v>
      </c>
      <c r="X14" s="244">
        <f>'6.0 hksk'!L14</f>
        <v>2370061</v>
      </c>
      <c r="Y14" s="244">
        <f>'6.0 hksk'!M14</f>
        <v>0</v>
      </c>
      <c r="Z14" s="247">
        <f t="shared" si="3"/>
        <v>2370061</v>
      </c>
      <c r="AA14" s="244">
        <f>'7.0 önkormányzat össz'!C14</f>
        <v>5552690</v>
      </c>
      <c r="AB14" s="244">
        <f>'7.0 önkormányzat össz'!D14</f>
        <v>0</v>
      </c>
      <c r="AC14" s="247">
        <f t="shared" si="4"/>
        <v>5552690</v>
      </c>
      <c r="AD14" s="244">
        <f>'7.0 önkormányzat össz'!F14</f>
        <v>5552690</v>
      </c>
      <c r="AE14" s="244">
        <f>'7.0 önkormányzat össz'!G14</f>
        <v>0</v>
      </c>
      <c r="AF14" s="247">
        <f t="shared" si="5"/>
        <v>5552690</v>
      </c>
      <c r="AG14" s="244">
        <f ca="1">'7.0 önkormányzat össz'!I14</f>
        <v>5552690</v>
      </c>
      <c r="AH14" s="244">
        <f>'7.0 önkormányzat össz'!J14</f>
        <v>0</v>
      </c>
      <c r="AI14" s="247">
        <f t="shared" ca="1" si="6"/>
        <v>5552690</v>
      </c>
      <c r="AJ14" s="244">
        <f ca="1">'7.0 önkormányzat össz'!L14</f>
        <v>5552690</v>
      </c>
      <c r="AK14" s="244">
        <f>'7.0 önkormányzat össz'!M14</f>
        <v>0</v>
      </c>
      <c r="AL14" s="247">
        <f t="shared" ca="1" si="7"/>
        <v>5552690</v>
      </c>
      <c r="AM14" s="244">
        <f t="shared" si="8"/>
        <v>5552690</v>
      </c>
      <c r="AN14" s="244">
        <f t="shared" si="9"/>
        <v>0</v>
      </c>
      <c r="AO14" s="245">
        <f t="shared" si="10"/>
        <v>5552690</v>
      </c>
      <c r="AP14" s="244">
        <f t="shared" si="11"/>
        <v>7650518</v>
      </c>
      <c r="AQ14" s="244">
        <f t="shared" si="12"/>
        <v>0</v>
      </c>
      <c r="AR14" s="245">
        <f t="shared" si="13"/>
        <v>7650518</v>
      </c>
      <c r="AS14" s="329">
        <f t="shared" ca="1" si="14"/>
        <v>7922751</v>
      </c>
      <c r="AT14" s="329">
        <f t="shared" si="15"/>
        <v>0</v>
      </c>
      <c r="AU14" s="253">
        <f t="shared" ca="1" si="16"/>
        <v>7922751</v>
      </c>
      <c r="AV14" s="329">
        <f t="shared" ca="1" si="17"/>
        <v>7922751</v>
      </c>
      <c r="AW14" s="329">
        <f t="shared" si="18"/>
        <v>0</v>
      </c>
      <c r="AX14" s="647">
        <f t="shared" ca="1" si="19"/>
        <v>7922751</v>
      </c>
    </row>
    <row r="15" spans="1:50" ht="15.75" thickBot="1" x14ac:dyDescent="0.3">
      <c r="A15" s="27" t="s">
        <v>55</v>
      </c>
      <c r="B15" s="62" t="s">
        <v>56</v>
      </c>
      <c r="C15" s="246">
        <f>'5.0 hivatal'!C15</f>
        <v>0</v>
      </c>
      <c r="D15" s="246">
        <f>'5.0 hivatal'!D15</f>
        <v>0</v>
      </c>
      <c r="E15" s="247">
        <f t="shared" si="20"/>
        <v>0</v>
      </c>
      <c r="F15" s="246">
        <f>'5.0 hivatal'!F15</f>
        <v>0</v>
      </c>
      <c r="G15" s="246">
        <f>'5.0 hivatal'!G15</f>
        <v>0</v>
      </c>
      <c r="H15" s="247">
        <f t="shared" si="21"/>
        <v>0</v>
      </c>
      <c r="I15" s="246">
        <f>'5.0 hivatal'!I15</f>
        <v>0</v>
      </c>
      <c r="J15" s="246">
        <f>'5.0 hivatal'!J15</f>
        <v>0</v>
      </c>
      <c r="K15" s="247">
        <f t="shared" si="22"/>
        <v>0</v>
      </c>
      <c r="L15" s="246">
        <f>'5.0 hivatal'!L15</f>
        <v>0</v>
      </c>
      <c r="M15" s="246">
        <f>'5.0 hivatal'!M15</f>
        <v>0</v>
      </c>
      <c r="N15" s="247">
        <f t="shared" si="23"/>
        <v>0</v>
      </c>
      <c r="O15" s="244">
        <f>'6.0 hksk'!C15</f>
        <v>0</v>
      </c>
      <c r="P15" s="244">
        <f>'6.0 hksk'!D15</f>
        <v>0</v>
      </c>
      <c r="Q15" s="247">
        <f t="shared" si="0"/>
        <v>0</v>
      </c>
      <c r="R15" s="244">
        <f>'6.0 hksk'!F15</f>
        <v>0</v>
      </c>
      <c r="S15" s="244">
        <f>'6.0 hksk'!G15</f>
        <v>0</v>
      </c>
      <c r="T15" s="247">
        <f t="shared" si="1"/>
        <v>0</v>
      </c>
      <c r="U15" s="244">
        <f>'6.0 hksk'!I15</f>
        <v>0</v>
      </c>
      <c r="V15" s="244">
        <f>'6.0 hksk'!J15</f>
        <v>0</v>
      </c>
      <c r="W15" s="247">
        <f t="shared" si="2"/>
        <v>0</v>
      </c>
      <c r="X15" s="244">
        <f>'6.0 hksk'!L15</f>
        <v>0</v>
      </c>
      <c r="Y15" s="244">
        <f>'6.0 hksk'!M15</f>
        <v>0</v>
      </c>
      <c r="Z15" s="247">
        <f t="shared" si="3"/>
        <v>0</v>
      </c>
      <c r="AA15" s="244">
        <f>'7.0 önkormányzat össz'!C15</f>
        <v>0</v>
      </c>
      <c r="AB15" s="244">
        <f>'7.0 önkormányzat össz'!D15</f>
        <v>0</v>
      </c>
      <c r="AC15" s="247">
        <f t="shared" si="4"/>
        <v>0</v>
      </c>
      <c r="AD15" s="244">
        <f>'7.0 önkormányzat össz'!F15</f>
        <v>1986280</v>
      </c>
      <c r="AE15" s="244">
        <f>'7.0 önkormányzat össz'!G15</f>
        <v>0</v>
      </c>
      <c r="AF15" s="247">
        <f t="shared" si="5"/>
        <v>1986280</v>
      </c>
      <c r="AG15" s="244">
        <f ca="1">'7.0 önkormányzat össz'!I15</f>
        <v>18736680</v>
      </c>
      <c r="AH15" s="244">
        <f>'7.0 önkormányzat össz'!J15</f>
        <v>0</v>
      </c>
      <c r="AI15" s="247">
        <f t="shared" ca="1" si="6"/>
        <v>18736680</v>
      </c>
      <c r="AJ15" s="244">
        <f ca="1">'7.0 önkormányzat össz'!L15</f>
        <v>18736680</v>
      </c>
      <c r="AK15" s="244">
        <f>'7.0 önkormányzat össz'!M15</f>
        <v>0</v>
      </c>
      <c r="AL15" s="247">
        <f t="shared" ca="1" si="7"/>
        <v>18736680</v>
      </c>
      <c r="AM15" s="244">
        <f t="shared" si="8"/>
        <v>0</v>
      </c>
      <c r="AN15" s="244">
        <f t="shared" si="9"/>
        <v>0</v>
      </c>
      <c r="AO15" s="245">
        <f t="shared" si="10"/>
        <v>0</v>
      </c>
      <c r="AP15" s="244">
        <f t="shared" si="11"/>
        <v>1986280</v>
      </c>
      <c r="AQ15" s="244">
        <f t="shared" si="12"/>
        <v>0</v>
      </c>
      <c r="AR15" s="245">
        <f t="shared" si="13"/>
        <v>1986280</v>
      </c>
      <c r="AS15" s="329">
        <f t="shared" ca="1" si="14"/>
        <v>18736680</v>
      </c>
      <c r="AT15" s="329">
        <f t="shared" si="15"/>
        <v>0</v>
      </c>
      <c r="AU15" s="253">
        <f t="shared" ca="1" si="16"/>
        <v>18736680</v>
      </c>
      <c r="AV15" s="329">
        <f t="shared" ca="1" si="17"/>
        <v>18736680</v>
      </c>
      <c r="AW15" s="329">
        <f t="shared" si="18"/>
        <v>0</v>
      </c>
      <c r="AX15" s="647">
        <f t="shared" ca="1" si="19"/>
        <v>18736680</v>
      </c>
    </row>
    <row r="16" spans="1:50" ht="15.75" thickBot="1" x14ac:dyDescent="0.3">
      <c r="A16" s="27" t="s">
        <v>57</v>
      </c>
      <c r="B16" s="62" t="s">
        <v>58</v>
      </c>
      <c r="C16" s="246">
        <f>'5.0 hivatal'!C16</f>
        <v>0</v>
      </c>
      <c r="D16" s="246">
        <f>'5.0 hivatal'!D16</f>
        <v>0</v>
      </c>
      <c r="E16" s="247">
        <f t="shared" si="20"/>
        <v>0</v>
      </c>
      <c r="F16" s="246">
        <f>'5.0 hivatal'!F16</f>
        <v>0</v>
      </c>
      <c r="G16" s="246">
        <f>'5.0 hivatal'!G16</f>
        <v>0</v>
      </c>
      <c r="H16" s="247">
        <f t="shared" si="21"/>
        <v>0</v>
      </c>
      <c r="I16" s="246">
        <f>'5.0 hivatal'!I16</f>
        <v>0</v>
      </c>
      <c r="J16" s="246">
        <f>'5.0 hivatal'!J16</f>
        <v>0</v>
      </c>
      <c r="K16" s="247">
        <f t="shared" si="22"/>
        <v>0</v>
      </c>
      <c r="L16" s="246">
        <f>'5.0 hivatal'!L16</f>
        <v>0</v>
      </c>
      <c r="M16" s="246">
        <f>'5.0 hivatal'!M16</f>
        <v>0</v>
      </c>
      <c r="N16" s="247">
        <f t="shared" si="23"/>
        <v>0</v>
      </c>
      <c r="O16" s="244">
        <f>'6.0 hksk'!C16</f>
        <v>0</v>
      </c>
      <c r="P16" s="244">
        <f>'6.0 hksk'!D16</f>
        <v>0</v>
      </c>
      <c r="Q16" s="247">
        <f t="shared" si="0"/>
        <v>0</v>
      </c>
      <c r="R16" s="244">
        <f>'6.0 hksk'!F16</f>
        <v>0</v>
      </c>
      <c r="S16" s="244">
        <f>'6.0 hksk'!G16</f>
        <v>0</v>
      </c>
      <c r="T16" s="247">
        <f t="shared" si="1"/>
        <v>0</v>
      </c>
      <c r="U16" s="244">
        <f>'6.0 hksk'!I16</f>
        <v>0</v>
      </c>
      <c r="V16" s="244">
        <f>'6.0 hksk'!J16</f>
        <v>0</v>
      </c>
      <c r="W16" s="247">
        <f t="shared" si="2"/>
        <v>0</v>
      </c>
      <c r="X16" s="244">
        <f>'6.0 hksk'!L16</f>
        <v>0</v>
      </c>
      <c r="Y16" s="244">
        <f>'6.0 hksk'!M16</f>
        <v>0</v>
      </c>
      <c r="Z16" s="247">
        <f t="shared" si="3"/>
        <v>0</v>
      </c>
      <c r="AA16" s="244">
        <f>'7.0 önkormányzat össz'!C16</f>
        <v>0</v>
      </c>
      <c r="AB16" s="244">
        <f>'7.0 önkormányzat össz'!D16</f>
        <v>0</v>
      </c>
      <c r="AC16" s="247">
        <f t="shared" si="4"/>
        <v>0</v>
      </c>
      <c r="AD16" s="244">
        <f>'7.0 önkormányzat össz'!F16</f>
        <v>0</v>
      </c>
      <c r="AE16" s="244">
        <f>'7.0 önkormányzat össz'!G16</f>
        <v>0</v>
      </c>
      <c r="AF16" s="247">
        <f t="shared" si="5"/>
        <v>0</v>
      </c>
      <c r="AG16" s="244">
        <f ca="1">'7.0 önkormányzat össz'!I16</f>
        <v>1107533</v>
      </c>
      <c r="AH16" s="244">
        <f>'7.0 önkormányzat össz'!J16</f>
        <v>0</v>
      </c>
      <c r="AI16" s="247">
        <f t="shared" ca="1" si="6"/>
        <v>1107533</v>
      </c>
      <c r="AJ16" s="244">
        <f ca="1">'7.0 önkormányzat össz'!L16</f>
        <v>1107533</v>
      </c>
      <c r="AK16" s="244">
        <f>'7.0 önkormányzat össz'!M16</f>
        <v>0</v>
      </c>
      <c r="AL16" s="247">
        <f t="shared" ca="1" si="7"/>
        <v>1107533</v>
      </c>
      <c r="AM16" s="244">
        <f t="shared" si="8"/>
        <v>0</v>
      </c>
      <c r="AN16" s="244">
        <f t="shared" si="9"/>
        <v>0</v>
      </c>
      <c r="AO16" s="245">
        <f t="shared" si="10"/>
        <v>0</v>
      </c>
      <c r="AP16" s="244">
        <f t="shared" si="11"/>
        <v>0</v>
      </c>
      <c r="AQ16" s="244">
        <f t="shared" si="12"/>
        <v>0</v>
      </c>
      <c r="AR16" s="245">
        <f t="shared" si="13"/>
        <v>0</v>
      </c>
      <c r="AS16" s="329">
        <f t="shared" ca="1" si="14"/>
        <v>1107533</v>
      </c>
      <c r="AT16" s="329">
        <f t="shared" si="15"/>
        <v>0</v>
      </c>
      <c r="AU16" s="253">
        <f t="shared" ca="1" si="16"/>
        <v>1107533</v>
      </c>
      <c r="AV16" s="329">
        <f t="shared" ca="1" si="17"/>
        <v>1107533</v>
      </c>
      <c r="AW16" s="329">
        <f t="shared" si="18"/>
        <v>0</v>
      </c>
      <c r="AX16" s="647">
        <f t="shared" ca="1" si="19"/>
        <v>1107533</v>
      </c>
    </row>
    <row r="17" spans="1:53" ht="15.75" thickBot="1" x14ac:dyDescent="0.3">
      <c r="A17" s="27" t="s">
        <v>59</v>
      </c>
      <c r="B17" s="62" t="s">
        <v>60</v>
      </c>
      <c r="C17" s="246">
        <f>'5.0 hivatal'!C17</f>
        <v>0</v>
      </c>
      <c r="D17" s="246">
        <f>'5.0 hivatal'!D17</f>
        <v>0</v>
      </c>
      <c r="E17" s="247">
        <f t="shared" si="20"/>
        <v>0</v>
      </c>
      <c r="F17" s="246">
        <f>'5.0 hivatal'!F17</f>
        <v>0</v>
      </c>
      <c r="G17" s="246">
        <f>'5.0 hivatal'!G17</f>
        <v>0</v>
      </c>
      <c r="H17" s="247">
        <f t="shared" si="21"/>
        <v>0</v>
      </c>
      <c r="I17" s="246">
        <f>'5.0 hivatal'!I17</f>
        <v>0</v>
      </c>
      <c r="J17" s="246">
        <f>'5.0 hivatal'!J17</f>
        <v>0</v>
      </c>
      <c r="K17" s="247">
        <f t="shared" si="22"/>
        <v>0</v>
      </c>
      <c r="L17" s="246">
        <f>'5.0 hivatal'!L17</f>
        <v>0</v>
      </c>
      <c r="M17" s="246">
        <f>'5.0 hivatal'!M17</f>
        <v>0</v>
      </c>
      <c r="N17" s="247">
        <f t="shared" si="23"/>
        <v>0</v>
      </c>
      <c r="O17" s="244">
        <f>'6.0 hksk'!C17</f>
        <v>0</v>
      </c>
      <c r="P17" s="244">
        <f>'6.0 hksk'!D17</f>
        <v>0</v>
      </c>
      <c r="Q17" s="247">
        <f t="shared" si="0"/>
        <v>0</v>
      </c>
      <c r="R17" s="244">
        <f>'6.0 hksk'!F17</f>
        <v>0</v>
      </c>
      <c r="S17" s="244">
        <f>'6.0 hksk'!G17</f>
        <v>0</v>
      </c>
      <c r="T17" s="247">
        <f t="shared" si="1"/>
        <v>0</v>
      </c>
      <c r="U17" s="244">
        <f>'6.0 hksk'!I17</f>
        <v>0</v>
      </c>
      <c r="V17" s="244">
        <f>'6.0 hksk'!J17</f>
        <v>0</v>
      </c>
      <c r="W17" s="247">
        <f t="shared" si="2"/>
        <v>0</v>
      </c>
      <c r="X17" s="244">
        <f>'6.0 hksk'!L17</f>
        <v>0</v>
      </c>
      <c r="Y17" s="244">
        <f>'6.0 hksk'!M17</f>
        <v>0</v>
      </c>
      <c r="Z17" s="247">
        <f t="shared" si="3"/>
        <v>0</v>
      </c>
      <c r="AA17" s="244">
        <f>'7.0 önkormányzat össz'!C17</f>
        <v>0</v>
      </c>
      <c r="AB17" s="244">
        <f>'7.0 önkormányzat össz'!D17</f>
        <v>0</v>
      </c>
      <c r="AC17" s="247">
        <f t="shared" si="4"/>
        <v>0</v>
      </c>
      <c r="AD17" s="244">
        <f>'7.0 önkormányzat össz'!F17</f>
        <v>0</v>
      </c>
      <c r="AE17" s="244">
        <f>'7.0 önkormányzat össz'!G17</f>
        <v>0</v>
      </c>
      <c r="AF17" s="247">
        <f t="shared" si="5"/>
        <v>0</v>
      </c>
      <c r="AG17" s="244">
        <f ca="1">'7.0 önkormányzat össz'!I17</f>
        <v>0</v>
      </c>
      <c r="AH17" s="244">
        <f>'7.0 önkormányzat össz'!J17</f>
        <v>0</v>
      </c>
      <c r="AI17" s="247">
        <f t="shared" ca="1" si="6"/>
        <v>0</v>
      </c>
      <c r="AJ17" s="244">
        <f ca="1">'7.0 önkormányzat össz'!L17</f>
        <v>0</v>
      </c>
      <c r="AK17" s="244">
        <f>'7.0 önkormányzat össz'!M17</f>
        <v>0</v>
      </c>
      <c r="AL17" s="247">
        <f t="shared" ca="1" si="7"/>
        <v>0</v>
      </c>
      <c r="AM17" s="244">
        <f t="shared" si="8"/>
        <v>0</v>
      </c>
      <c r="AN17" s="244">
        <f t="shared" si="9"/>
        <v>0</v>
      </c>
      <c r="AO17" s="245">
        <f t="shared" si="10"/>
        <v>0</v>
      </c>
      <c r="AP17" s="244">
        <f t="shared" si="11"/>
        <v>0</v>
      </c>
      <c r="AQ17" s="244">
        <f t="shared" si="12"/>
        <v>0</v>
      </c>
      <c r="AR17" s="245">
        <f t="shared" si="13"/>
        <v>0</v>
      </c>
      <c r="AS17" s="329">
        <f t="shared" ca="1" si="14"/>
        <v>0</v>
      </c>
      <c r="AT17" s="329">
        <f t="shared" si="15"/>
        <v>0</v>
      </c>
      <c r="AU17" s="253">
        <f t="shared" ca="1" si="16"/>
        <v>0</v>
      </c>
      <c r="AV17" s="329">
        <f t="shared" ca="1" si="17"/>
        <v>0</v>
      </c>
      <c r="AW17" s="329">
        <f t="shared" si="18"/>
        <v>0</v>
      </c>
      <c r="AX17" s="647">
        <f t="shared" ca="1" si="19"/>
        <v>0</v>
      </c>
    </row>
    <row r="18" spans="1:53" ht="15.75" thickBot="1" x14ac:dyDescent="0.3">
      <c r="A18" s="27" t="s">
        <v>61</v>
      </c>
      <c r="B18" s="62" t="s">
        <v>62</v>
      </c>
      <c r="C18" s="246">
        <f>'5.0 hivatal'!C18</f>
        <v>0</v>
      </c>
      <c r="D18" s="246">
        <f>'5.0 hivatal'!D18</f>
        <v>0</v>
      </c>
      <c r="E18" s="247">
        <f t="shared" si="20"/>
        <v>0</v>
      </c>
      <c r="F18" s="246">
        <f>'5.0 hivatal'!F18</f>
        <v>0</v>
      </c>
      <c r="G18" s="246">
        <f>'5.0 hivatal'!G18</f>
        <v>0</v>
      </c>
      <c r="H18" s="247">
        <f t="shared" si="21"/>
        <v>0</v>
      </c>
      <c r="I18" s="246">
        <f>'5.0 hivatal'!I18</f>
        <v>0</v>
      </c>
      <c r="J18" s="246">
        <f>'5.0 hivatal'!J18</f>
        <v>0</v>
      </c>
      <c r="K18" s="247">
        <f t="shared" si="22"/>
        <v>0</v>
      </c>
      <c r="L18" s="246">
        <f>'5.0 hivatal'!L18</f>
        <v>0</v>
      </c>
      <c r="M18" s="246">
        <f>'5.0 hivatal'!M18</f>
        <v>0</v>
      </c>
      <c r="N18" s="247">
        <f t="shared" si="23"/>
        <v>0</v>
      </c>
      <c r="O18" s="244">
        <f>'6.0 hksk'!C18</f>
        <v>0</v>
      </c>
      <c r="P18" s="244">
        <f>'6.0 hksk'!D18</f>
        <v>0</v>
      </c>
      <c r="Q18" s="247">
        <f t="shared" si="0"/>
        <v>0</v>
      </c>
      <c r="R18" s="244">
        <f>'6.0 hksk'!F18</f>
        <v>0</v>
      </c>
      <c r="S18" s="244">
        <f>'6.0 hksk'!G18</f>
        <v>0</v>
      </c>
      <c r="T18" s="247">
        <f t="shared" si="1"/>
        <v>0</v>
      </c>
      <c r="U18" s="244">
        <f>'6.0 hksk'!I18</f>
        <v>0</v>
      </c>
      <c r="V18" s="244">
        <f>'6.0 hksk'!J18</f>
        <v>0</v>
      </c>
      <c r="W18" s="247">
        <f t="shared" si="2"/>
        <v>0</v>
      </c>
      <c r="X18" s="244">
        <f>'6.0 hksk'!L18</f>
        <v>0</v>
      </c>
      <c r="Y18" s="244">
        <f>'6.0 hksk'!M18</f>
        <v>0</v>
      </c>
      <c r="Z18" s="247">
        <f t="shared" si="3"/>
        <v>0</v>
      </c>
      <c r="AA18" s="244">
        <f>'7.0 önkormányzat össz'!C18</f>
        <v>0</v>
      </c>
      <c r="AB18" s="244">
        <f>'7.0 önkormányzat össz'!D18</f>
        <v>0</v>
      </c>
      <c r="AC18" s="247">
        <f t="shared" si="4"/>
        <v>0</v>
      </c>
      <c r="AD18" s="244">
        <f>'7.0 önkormányzat össz'!F18</f>
        <v>0</v>
      </c>
      <c r="AE18" s="244">
        <f>'7.0 önkormányzat össz'!G18</f>
        <v>0</v>
      </c>
      <c r="AF18" s="247">
        <f t="shared" si="5"/>
        <v>0</v>
      </c>
      <c r="AG18" s="244">
        <f ca="1">'7.0 önkormányzat össz'!I18</f>
        <v>0</v>
      </c>
      <c r="AH18" s="244">
        <f>'7.0 önkormányzat össz'!J18</f>
        <v>0</v>
      </c>
      <c r="AI18" s="247">
        <f t="shared" ca="1" si="6"/>
        <v>0</v>
      </c>
      <c r="AJ18" s="244">
        <f ca="1">'7.0 önkormányzat össz'!L18</f>
        <v>0</v>
      </c>
      <c r="AK18" s="244">
        <f>'7.0 önkormányzat össz'!M18</f>
        <v>0</v>
      </c>
      <c r="AL18" s="247">
        <f t="shared" ca="1" si="7"/>
        <v>0</v>
      </c>
      <c r="AM18" s="244">
        <f t="shared" si="8"/>
        <v>0</v>
      </c>
      <c r="AN18" s="244">
        <f t="shared" si="9"/>
        <v>0</v>
      </c>
      <c r="AO18" s="245">
        <f t="shared" si="10"/>
        <v>0</v>
      </c>
      <c r="AP18" s="244">
        <f t="shared" si="11"/>
        <v>0</v>
      </c>
      <c r="AQ18" s="244">
        <f t="shared" si="12"/>
        <v>0</v>
      </c>
      <c r="AR18" s="245">
        <f t="shared" si="13"/>
        <v>0</v>
      </c>
      <c r="AS18" s="329">
        <f t="shared" ca="1" si="14"/>
        <v>0</v>
      </c>
      <c r="AT18" s="329">
        <f t="shared" si="15"/>
        <v>0</v>
      </c>
      <c r="AU18" s="253">
        <f t="shared" ca="1" si="16"/>
        <v>0</v>
      </c>
      <c r="AV18" s="329">
        <f t="shared" ca="1" si="17"/>
        <v>0</v>
      </c>
      <c r="AW18" s="329">
        <f t="shared" si="18"/>
        <v>0</v>
      </c>
      <c r="AX18" s="647">
        <f t="shared" ca="1" si="19"/>
        <v>0</v>
      </c>
    </row>
    <row r="19" spans="1:53" s="44" customFormat="1" ht="15.75" thickBot="1" x14ac:dyDescent="0.3">
      <c r="A19" s="55" t="s">
        <v>266</v>
      </c>
      <c r="B19" s="64" t="s">
        <v>267</v>
      </c>
      <c r="C19" s="246">
        <f>'5.0 hivatal'!C19</f>
        <v>0</v>
      </c>
      <c r="D19" s="246">
        <f>'5.0 hivatal'!D19</f>
        <v>0</v>
      </c>
      <c r="E19" s="247">
        <f t="shared" si="20"/>
        <v>0</v>
      </c>
      <c r="F19" s="246">
        <f>'5.0 hivatal'!F19</f>
        <v>0</v>
      </c>
      <c r="G19" s="246">
        <f>'5.0 hivatal'!G19</f>
        <v>0</v>
      </c>
      <c r="H19" s="247">
        <f t="shared" si="21"/>
        <v>0</v>
      </c>
      <c r="I19" s="246">
        <f>'5.0 hivatal'!I19</f>
        <v>0</v>
      </c>
      <c r="J19" s="246">
        <f>'5.0 hivatal'!J19</f>
        <v>0</v>
      </c>
      <c r="K19" s="247">
        <f t="shared" si="22"/>
        <v>0</v>
      </c>
      <c r="L19" s="246">
        <f>'5.0 hivatal'!L19</f>
        <v>0</v>
      </c>
      <c r="M19" s="246">
        <f>'5.0 hivatal'!M19</f>
        <v>0</v>
      </c>
      <c r="N19" s="247">
        <f t="shared" si="23"/>
        <v>0</v>
      </c>
      <c r="O19" s="244">
        <f>'6.0 hksk'!C19</f>
        <v>0</v>
      </c>
      <c r="P19" s="244">
        <f>'6.0 hksk'!D19</f>
        <v>0</v>
      </c>
      <c r="Q19" s="247">
        <f t="shared" si="0"/>
        <v>0</v>
      </c>
      <c r="R19" s="244">
        <f>'6.0 hksk'!F19</f>
        <v>0</v>
      </c>
      <c r="S19" s="244">
        <f>'6.0 hksk'!G19</f>
        <v>0</v>
      </c>
      <c r="T19" s="247">
        <f t="shared" si="1"/>
        <v>0</v>
      </c>
      <c r="U19" s="244">
        <f>'6.0 hksk'!I19</f>
        <v>0</v>
      </c>
      <c r="V19" s="244">
        <f>'6.0 hksk'!J19</f>
        <v>0</v>
      </c>
      <c r="W19" s="247">
        <f t="shared" si="2"/>
        <v>0</v>
      </c>
      <c r="X19" s="244">
        <f>'6.0 hksk'!L19</f>
        <v>0</v>
      </c>
      <c r="Y19" s="244">
        <f>'6.0 hksk'!M19</f>
        <v>0</v>
      </c>
      <c r="Z19" s="247">
        <f t="shared" si="3"/>
        <v>0</v>
      </c>
      <c r="AA19" s="244">
        <f>'7.0 önkormányzat össz'!C19</f>
        <v>0</v>
      </c>
      <c r="AB19" s="244">
        <f>'7.0 önkormányzat össz'!D19</f>
        <v>0</v>
      </c>
      <c r="AC19" s="247">
        <f t="shared" si="4"/>
        <v>0</v>
      </c>
      <c r="AD19" s="244">
        <f>'7.0 önkormányzat össz'!F19</f>
        <v>0</v>
      </c>
      <c r="AE19" s="244">
        <f>'7.0 önkormányzat össz'!G19</f>
        <v>0</v>
      </c>
      <c r="AF19" s="247">
        <f t="shared" si="5"/>
        <v>0</v>
      </c>
      <c r="AG19" s="244">
        <f ca="1">'7.0 önkormányzat össz'!I19</f>
        <v>0</v>
      </c>
      <c r="AH19" s="244">
        <f>'7.0 önkormányzat össz'!J19</f>
        <v>0</v>
      </c>
      <c r="AI19" s="247">
        <f t="shared" ca="1" si="6"/>
        <v>0</v>
      </c>
      <c r="AJ19" s="244">
        <f ca="1">'7.0 önkormányzat össz'!L19</f>
        <v>0</v>
      </c>
      <c r="AK19" s="244">
        <f>'7.0 önkormányzat össz'!M19</f>
        <v>0</v>
      </c>
      <c r="AL19" s="247">
        <f t="shared" ca="1" si="7"/>
        <v>0</v>
      </c>
      <c r="AM19" s="244">
        <f t="shared" si="8"/>
        <v>0</v>
      </c>
      <c r="AN19" s="244">
        <f t="shared" si="9"/>
        <v>0</v>
      </c>
      <c r="AO19" s="245">
        <f t="shared" si="10"/>
        <v>0</v>
      </c>
      <c r="AP19" s="244">
        <f t="shared" si="11"/>
        <v>0</v>
      </c>
      <c r="AQ19" s="244">
        <f t="shared" si="12"/>
        <v>0</v>
      </c>
      <c r="AR19" s="245">
        <f t="shared" si="13"/>
        <v>0</v>
      </c>
      <c r="AS19" s="329">
        <f t="shared" ca="1" si="14"/>
        <v>0</v>
      </c>
      <c r="AT19" s="329">
        <f t="shared" si="15"/>
        <v>0</v>
      </c>
      <c r="AU19" s="253">
        <f t="shared" ca="1" si="16"/>
        <v>0</v>
      </c>
      <c r="AV19" s="329">
        <f t="shared" ca="1" si="17"/>
        <v>0</v>
      </c>
      <c r="AW19" s="329">
        <f t="shared" si="18"/>
        <v>0</v>
      </c>
      <c r="AX19" s="647">
        <f t="shared" ca="1" si="19"/>
        <v>0</v>
      </c>
    </row>
    <row r="20" spans="1:53" ht="15.75" thickBot="1" x14ac:dyDescent="0.3">
      <c r="A20" s="28" t="s">
        <v>63</v>
      </c>
      <c r="B20" s="64" t="s">
        <v>64</v>
      </c>
      <c r="C20" s="246">
        <f>'5.0 hivatal'!C20</f>
        <v>0</v>
      </c>
      <c r="D20" s="246">
        <f>'5.0 hivatal'!D20</f>
        <v>0</v>
      </c>
      <c r="E20" s="247">
        <f t="shared" si="20"/>
        <v>0</v>
      </c>
      <c r="F20" s="246">
        <f>'5.0 hivatal'!F20</f>
        <v>0</v>
      </c>
      <c r="G20" s="246">
        <f>'5.0 hivatal'!G20</f>
        <v>0</v>
      </c>
      <c r="H20" s="247">
        <f t="shared" si="21"/>
        <v>0</v>
      </c>
      <c r="I20" s="246">
        <f>'5.0 hivatal'!I20</f>
        <v>0</v>
      </c>
      <c r="J20" s="246">
        <f>'5.0 hivatal'!J20</f>
        <v>0</v>
      </c>
      <c r="K20" s="247">
        <f t="shared" si="22"/>
        <v>0</v>
      </c>
      <c r="L20" s="246">
        <f>'5.0 hivatal'!L20</f>
        <v>0</v>
      </c>
      <c r="M20" s="246">
        <f>'5.0 hivatal'!M20</f>
        <v>0</v>
      </c>
      <c r="N20" s="247">
        <f t="shared" si="23"/>
        <v>0</v>
      </c>
      <c r="O20" s="244">
        <f>'6.0 hksk'!C20</f>
        <v>0</v>
      </c>
      <c r="P20" s="244">
        <f>'6.0 hksk'!D20</f>
        <v>0</v>
      </c>
      <c r="Q20" s="247">
        <f t="shared" si="0"/>
        <v>0</v>
      </c>
      <c r="R20" s="244">
        <f>'6.0 hksk'!F20</f>
        <v>0</v>
      </c>
      <c r="S20" s="244">
        <f>'6.0 hksk'!G20</f>
        <v>0</v>
      </c>
      <c r="T20" s="247">
        <f t="shared" si="1"/>
        <v>0</v>
      </c>
      <c r="U20" s="244">
        <f>'6.0 hksk'!I20</f>
        <v>0</v>
      </c>
      <c r="V20" s="244">
        <f>'6.0 hksk'!J20</f>
        <v>0</v>
      </c>
      <c r="W20" s="247">
        <f t="shared" si="2"/>
        <v>0</v>
      </c>
      <c r="X20" s="244">
        <f>'6.0 hksk'!L20</f>
        <v>0</v>
      </c>
      <c r="Y20" s="244">
        <f>'6.0 hksk'!M20</f>
        <v>0</v>
      </c>
      <c r="Z20" s="247">
        <f t="shared" si="3"/>
        <v>0</v>
      </c>
      <c r="AA20" s="244">
        <f>'7.0 önkormányzat össz'!C20</f>
        <v>0</v>
      </c>
      <c r="AB20" s="244">
        <f>'7.0 önkormányzat össz'!D20</f>
        <v>0</v>
      </c>
      <c r="AC20" s="247">
        <f t="shared" si="4"/>
        <v>0</v>
      </c>
      <c r="AD20" s="244">
        <f>'7.0 önkormányzat össz'!F20</f>
        <v>0</v>
      </c>
      <c r="AE20" s="244">
        <f>'7.0 önkormányzat össz'!G20</f>
        <v>0</v>
      </c>
      <c r="AF20" s="247">
        <f t="shared" si="5"/>
        <v>0</v>
      </c>
      <c r="AG20" s="244">
        <f ca="1">'7.0 önkormányzat össz'!I20</f>
        <v>0</v>
      </c>
      <c r="AH20" s="244">
        <f>'7.0 önkormányzat össz'!J20</f>
        <v>0</v>
      </c>
      <c r="AI20" s="247">
        <f t="shared" ca="1" si="6"/>
        <v>0</v>
      </c>
      <c r="AJ20" s="244">
        <f ca="1">'7.0 önkormányzat össz'!L20</f>
        <v>0</v>
      </c>
      <c r="AK20" s="244">
        <f>'7.0 önkormányzat össz'!M20</f>
        <v>0</v>
      </c>
      <c r="AL20" s="247">
        <f t="shared" ca="1" si="7"/>
        <v>0</v>
      </c>
      <c r="AM20" s="244">
        <f t="shared" si="8"/>
        <v>0</v>
      </c>
      <c r="AN20" s="244">
        <f t="shared" si="9"/>
        <v>0</v>
      </c>
      <c r="AO20" s="245">
        <f t="shared" si="10"/>
        <v>0</v>
      </c>
      <c r="AP20" s="244">
        <f t="shared" si="11"/>
        <v>0</v>
      </c>
      <c r="AQ20" s="244">
        <f t="shared" si="12"/>
        <v>0</v>
      </c>
      <c r="AR20" s="245">
        <f t="shared" si="13"/>
        <v>0</v>
      </c>
      <c r="AS20" s="329">
        <f t="shared" ca="1" si="14"/>
        <v>0</v>
      </c>
      <c r="AT20" s="329">
        <f t="shared" si="15"/>
        <v>0</v>
      </c>
      <c r="AU20" s="253">
        <f t="shared" ca="1" si="16"/>
        <v>0</v>
      </c>
      <c r="AV20" s="329">
        <f t="shared" ca="1" si="17"/>
        <v>0</v>
      </c>
      <c r="AW20" s="329">
        <f t="shared" si="18"/>
        <v>0</v>
      </c>
      <c r="AX20" s="647">
        <f t="shared" ca="1" si="19"/>
        <v>0</v>
      </c>
    </row>
    <row r="21" spans="1:53" ht="15.75" thickBot="1" x14ac:dyDescent="0.3">
      <c r="A21" s="28" t="s">
        <v>65</v>
      </c>
      <c r="B21" s="64" t="s">
        <v>66</v>
      </c>
      <c r="C21" s="248">
        <f>'5.0 hivatal'!C21</f>
        <v>0</v>
      </c>
      <c r="D21" s="248">
        <f>'5.0 hivatal'!D21</f>
        <v>0</v>
      </c>
      <c r="E21" s="249">
        <f t="shared" si="20"/>
        <v>0</v>
      </c>
      <c r="F21" s="248">
        <f>'5.0 hivatal'!F21</f>
        <v>2206049</v>
      </c>
      <c r="G21" s="248">
        <f>'5.0 hivatal'!G21</f>
        <v>0</v>
      </c>
      <c r="H21" s="249">
        <f t="shared" si="21"/>
        <v>2206049</v>
      </c>
      <c r="I21" s="248">
        <f>'5.0 hivatal'!I21</f>
        <v>2206049</v>
      </c>
      <c r="J21" s="248">
        <f>'5.0 hivatal'!J21</f>
        <v>0</v>
      </c>
      <c r="K21" s="249">
        <f t="shared" si="22"/>
        <v>2206049</v>
      </c>
      <c r="L21" s="248">
        <f>'5.0 hivatal'!L21</f>
        <v>6216023</v>
      </c>
      <c r="M21" s="248">
        <f>'5.0 hivatal'!M21</f>
        <v>0</v>
      </c>
      <c r="N21" s="249">
        <f t="shared" si="23"/>
        <v>6216023</v>
      </c>
      <c r="O21" s="248">
        <f>'6.0 hksk'!C21</f>
        <v>1932315</v>
      </c>
      <c r="P21" s="248">
        <f>'6.0 hksk'!D21</f>
        <v>0</v>
      </c>
      <c r="Q21" s="249">
        <f t="shared" si="0"/>
        <v>1932315</v>
      </c>
      <c r="R21" s="248">
        <f>'6.0 hksk'!F21</f>
        <v>1932315</v>
      </c>
      <c r="S21" s="248">
        <f>'6.0 hksk'!G21</f>
        <v>0</v>
      </c>
      <c r="T21" s="249">
        <f t="shared" si="1"/>
        <v>1932315</v>
      </c>
      <c r="U21" s="248">
        <f>'6.0 hksk'!I21</f>
        <v>1932315</v>
      </c>
      <c r="V21" s="248">
        <f>'6.0 hksk'!J21</f>
        <v>0</v>
      </c>
      <c r="W21" s="249">
        <f t="shared" si="2"/>
        <v>1932315</v>
      </c>
      <c r="X21" s="248">
        <f>'6.0 hksk'!L21</f>
        <v>1781829</v>
      </c>
      <c r="Y21" s="248">
        <f>'6.0 hksk'!M21</f>
        <v>0</v>
      </c>
      <c r="Z21" s="249">
        <f t="shared" si="3"/>
        <v>1781829</v>
      </c>
      <c r="AA21" s="248">
        <f>'7.0 önkormányzat össz'!C21</f>
        <v>264721555</v>
      </c>
      <c r="AB21" s="248">
        <f>'7.0 önkormányzat össz'!D21</f>
        <v>0</v>
      </c>
      <c r="AC21" s="249">
        <f t="shared" si="4"/>
        <v>264721555</v>
      </c>
      <c r="AD21" s="248">
        <f>'7.0 önkormányzat össz'!F21</f>
        <v>253157084</v>
      </c>
      <c r="AE21" s="248">
        <f>'7.0 önkormányzat össz'!G21</f>
        <v>0</v>
      </c>
      <c r="AF21" s="249">
        <f t="shared" si="5"/>
        <v>253157084</v>
      </c>
      <c r="AG21" s="248">
        <f ca="1">'7.0 önkormányzat össz'!I21</f>
        <v>251510633</v>
      </c>
      <c r="AH21" s="248">
        <f>'7.0 önkormányzat össz'!J21</f>
        <v>0</v>
      </c>
      <c r="AI21" s="249">
        <f t="shared" ca="1" si="6"/>
        <v>251510633</v>
      </c>
      <c r="AJ21" s="248">
        <f ca="1">'7.0 önkormányzat össz'!L21</f>
        <v>199319954</v>
      </c>
      <c r="AK21" s="248">
        <f>'7.0 önkormányzat össz'!M21</f>
        <v>0</v>
      </c>
      <c r="AL21" s="249">
        <f t="shared" ca="1" si="7"/>
        <v>199319954</v>
      </c>
      <c r="AM21" s="248">
        <f t="shared" si="8"/>
        <v>266653870</v>
      </c>
      <c r="AN21" s="248">
        <f t="shared" si="9"/>
        <v>0</v>
      </c>
      <c r="AO21" s="395">
        <f t="shared" si="10"/>
        <v>266653870</v>
      </c>
      <c r="AP21" s="248">
        <f t="shared" si="11"/>
        <v>257295448</v>
      </c>
      <c r="AQ21" s="248">
        <f t="shared" si="12"/>
        <v>0</v>
      </c>
      <c r="AR21" s="395">
        <f t="shared" si="13"/>
        <v>257295448</v>
      </c>
      <c r="AS21" s="329">
        <f t="shared" ca="1" si="14"/>
        <v>255648997</v>
      </c>
      <c r="AT21" s="329">
        <f t="shared" si="15"/>
        <v>0</v>
      </c>
      <c r="AU21" s="253">
        <f t="shared" ca="1" si="16"/>
        <v>255648997</v>
      </c>
      <c r="AV21" s="329">
        <f t="shared" ca="1" si="17"/>
        <v>207317806</v>
      </c>
      <c r="AW21" s="329">
        <f t="shared" si="18"/>
        <v>0</v>
      </c>
      <c r="AX21" s="647">
        <f t="shared" ca="1" si="19"/>
        <v>207317806</v>
      </c>
      <c r="BA21" s="148"/>
    </row>
    <row r="22" spans="1:53" ht="15.75" thickBot="1" x14ac:dyDescent="0.3">
      <c r="A22" s="75" t="s">
        <v>67</v>
      </c>
      <c r="B22" s="49" t="s">
        <v>27</v>
      </c>
      <c r="C22" s="244">
        <f>'5.0 hivatal'!C22</f>
        <v>0</v>
      </c>
      <c r="D22" s="244">
        <f>'5.0 hivatal'!D22</f>
        <v>0</v>
      </c>
      <c r="E22" s="245">
        <f t="shared" si="20"/>
        <v>0</v>
      </c>
      <c r="F22" s="244">
        <f>'5.0 hivatal'!F22</f>
        <v>0</v>
      </c>
      <c r="G22" s="244">
        <f>'5.0 hivatal'!G22</f>
        <v>0</v>
      </c>
      <c r="H22" s="245">
        <f t="shared" si="21"/>
        <v>0</v>
      </c>
      <c r="I22" s="244">
        <f>'5.0 hivatal'!I22</f>
        <v>0</v>
      </c>
      <c r="J22" s="244">
        <f>'5.0 hivatal'!J22</f>
        <v>0</v>
      </c>
      <c r="K22" s="245">
        <f t="shared" si="22"/>
        <v>0</v>
      </c>
      <c r="L22" s="244">
        <f>'5.0 hivatal'!L22</f>
        <v>0</v>
      </c>
      <c r="M22" s="244">
        <f>'5.0 hivatal'!M22</f>
        <v>0</v>
      </c>
      <c r="N22" s="245">
        <f t="shared" si="23"/>
        <v>0</v>
      </c>
      <c r="O22" s="244">
        <f>'6.0 hksk'!C22</f>
        <v>0</v>
      </c>
      <c r="P22" s="244">
        <f>'6.0 hksk'!D22</f>
        <v>0</v>
      </c>
      <c r="Q22" s="245">
        <f t="shared" si="0"/>
        <v>0</v>
      </c>
      <c r="R22" s="244">
        <f>'6.0 hksk'!F22</f>
        <v>0</v>
      </c>
      <c r="S22" s="244">
        <f>'6.0 hksk'!G22</f>
        <v>0</v>
      </c>
      <c r="T22" s="245">
        <f t="shared" si="1"/>
        <v>0</v>
      </c>
      <c r="U22" s="244">
        <f>'6.0 hksk'!I22</f>
        <v>0</v>
      </c>
      <c r="V22" s="244">
        <f>'6.0 hksk'!J22</f>
        <v>0</v>
      </c>
      <c r="W22" s="245">
        <f t="shared" si="2"/>
        <v>0</v>
      </c>
      <c r="X22" s="244">
        <f>'6.0 hksk'!L22</f>
        <v>0</v>
      </c>
      <c r="Y22" s="244">
        <f>'6.0 hksk'!M22</f>
        <v>0</v>
      </c>
      <c r="Z22" s="245">
        <f t="shared" si="3"/>
        <v>0</v>
      </c>
      <c r="AA22" s="244">
        <f>'7.0 önkormányzat össz'!C22</f>
        <v>1006762937</v>
      </c>
      <c r="AB22" s="244">
        <f>'7.0 önkormányzat össz'!D22</f>
        <v>0</v>
      </c>
      <c r="AC22" s="245">
        <f t="shared" si="4"/>
        <v>1006762937</v>
      </c>
      <c r="AD22" s="244">
        <f>'7.0 önkormányzat össz'!F22</f>
        <v>1006762937</v>
      </c>
      <c r="AE22" s="244">
        <f>'7.0 önkormányzat össz'!G22</f>
        <v>0</v>
      </c>
      <c r="AF22" s="245">
        <f t="shared" si="5"/>
        <v>1006762937</v>
      </c>
      <c r="AG22" s="244">
        <f ca="1">'7.0 önkormányzat össz'!I22</f>
        <v>1011738782</v>
      </c>
      <c r="AH22" s="244">
        <f>'7.0 önkormányzat össz'!J22</f>
        <v>0</v>
      </c>
      <c r="AI22" s="245">
        <f t="shared" ca="1" si="6"/>
        <v>1011738782</v>
      </c>
      <c r="AJ22" s="244">
        <f ca="1">'7.0 önkormányzat össz'!L22</f>
        <v>957123845</v>
      </c>
      <c r="AK22" s="244">
        <f>'7.0 önkormányzat össz'!M22</f>
        <v>0</v>
      </c>
      <c r="AL22" s="245">
        <f t="shared" ca="1" si="7"/>
        <v>957123845</v>
      </c>
      <c r="AM22" s="244">
        <f t="shared" si="8"/>
        <v>1006762937</v>
      </c>
      <c r="AN22" s="244">
        <f t="shared" si="9"/>
        <v>0</v>
      </c>
      <c r="AO22" s="245">
        <f t="shared" si="10"/>
        <v>1006762937</v>
      </c>
      <c r="AP22" s="244">
        <f t="shared" si="11"/>
        <v>1006762937</v>
      </c>
      <c r="AQ22" s="244">
        <f t="shared" si="12"/>
        <v>0</v>
      </c>
      <c r="AR22" s="245">
        <f t="shared" si="13"/>
        <v>1006762937</v>
      </c>
      <c r="AS22" s="329">
        <f t="shared" ca="1" si="14"/>
        <v>1011738782</v>
      </c>
      <c r="AT22" s="329">
        <f t="shared" si="15"/>
        <v>0</v>
      </c>
      <c r="AU22" s="253">
        <f t="shared" ca="1" si="16"/>
        <v>1011738782</v>
      </c>
      <c r="AV22" s="329">
        <f t="shared" ca="1" si="17"/>
        <v>957123845</v>
      </c>
      <c r="AW22" s="329">
        <f t="shared" si="18"/>
        <v>0</v>
      </c>
      <c r="AX22" s="647">
        <f t="shared" ca="1" si="19"/>
        <v>957123845</v>
      </c>
    </row>
    <row r="23" spans="1:53" s="44" customFormat="1" ht="15.75" thickBot="1" x14ac:dyDescent="0.3">
      <c r="A23" s="76"/>
      <c r="B23" s="180" t="s">
        <v>268</v>
      </c>
      <c r="C23" s="246">
        <f>'5.0 hivatal'!C23</f>
        <v>0</v>
      </c>
      <c r="D23" s="246">
        <f>'5.0 hivatal'!D23</f>
        <v>0</v>
      </c>
      <c r="E23" s="247">
        <f t="shared" si="20"/>
        <v>0</v>
      </c>
      <c r="F23" s="246">
        <f>'5.0 hivatal'!F23</f>
        <v>0</v>
      </c>
      <c r="G23" s="246">
        <f>'5.0 hivatal'!G23</f>
        <v>0</v>
      </c>
      <c r="H23" s="247">
        <f t="shared" si="21"/>
        <v>0</v>
      </c>
      <c r="I23" s="246">
        <f>'5.0 hivatal'!I23</f>
        <v>0</v>
      </c>
      <c r="J23" s="246">
        <f>'5.0 hivatal'!J23</f>
        <v>0</v>
      </c>
      <c r="K23" s="247">
        <f t="shared" si="22"/>
        <v>0</v>
      </c>
      <c r="L23" s="246">
        <f>'5.0 hivatal'!L23</f>
        <v>0</v>
      </c>
      <c r="M23" s="246">
        <f>'5.0 hivatal'!M23</f>
        <v>0</v>
      </c>
      <c r="N23" s="247">
        <f t="shared" si="23"/>
        <v>0</v>
      </c>
      <c r="O23" s="244">
        <f>'6.0 hksk'!C23</f>
        <v>0</v>
      </c>
      <c r="P23" s="244">
        <f>'6.0 hksk'!D23</f>
        <v>0</v>
      </c>
      <c r="Q23" s="247">
        <f t="shared" si="0"/>
        <v>0</v>
      </c>
      <c r="R23" s="244">
        <f>'6.0 hksk'!F23</f>
        <v>0</v>
      </c>
      <c r="S23" s="244">
        <f>'6.0 hksk'!G23</f>
        <v>0</v>
      </c>
      <c r="T23" s="247">
        <f t="shared" si="1"/>
        <v>0</v>
      </c>
      <c r="U23" s="244">
        <f>'6.0 hksk'!I23</f>
        <v>0</v>
      </c>
      <c r="V23" s="244">
        <f>'6.0 hksk'!J23</f>
        <v>0</v>
      </c>
      <c r="W23" s="247">
        <f t="shared" si="2"/>
        <v>0</v>
      </c>
      <c r="X23" s="244">
        <f>'6.0 hksk'!L23</f>
        <v>0</v>
      </c>
      <c r="Y23" s="244">
        <f>'6.0 hksk'!M23</f>
        <v>0</v>
      </c>
      <c r="Z23" s="247">
        <f t="shared" si="3"/>
        <v>0</v>
      </c>
      <c r="AA23" s="244">
        <f>'7.0 önkormányzat össz'!C23</f>
        <v>952724500</v>
      </c>
      <c r="AB23" s="244">
        <f>'7.0 önkormányzat össz'!D23</f>
        <v>0</v>
      </c>
      <c r="AC23" s="247">
        <f t="shared" si="4"/>
        <v>952724500</v>
      </c>
      <c r="AD23" s="244">
        <f>'7.0 önkormányzat össz'!F23</f>
        <v>952724500</v>
      </c>
      <c r="AE23" s="244">
        <f>'7.0 önkormányzat össz'!G23</f>
        <v>0</v>
      </c>
      <c r="AF23" s="247">
        <f t="shared" si="5"/>
        <v>952724500</v>
      </c>
      <c r="AG23" s="244">
        <f ca="1">'7.0 önkormányzat össz'!I23</f>
        <v>957700345</v>
      </c>
      <c r="AH23" s="244">
        <f>'7.0 önkormányzat össz'!J23</f>
        <v>0</v>
      </c>
      <c r="AI23" s="247">
        <f t="shared" ca="1" si="6"/>
        <v>957700345</v>
      </c>
      <c r="AJ23" s="244">
        <f ca="1">'7.0 önkormányzat össz'!L23</f>
        <v>957123845</v>
      </c>
      <c r="AK23" s="244">
        <f>'7.0 önkormányzat össz'!M23</f>
        <v>0</v>
      </c>
      <c r="AL23" s="247">
        <f t="shared" ca="1" si="7"/>
        <v>957123845</v>
      </c>
      <c r="AM23" s="244">
        <f t="shared" si="8"/>
        <v>952724500</v>
      </c>
      <c r="AN23" s="244">
        <f t="shared" si="9"/>
        <v>0</v>
      </c>
      <c r="AO23" s="245">
        <f t="shared" si="10"/>
        <v>952724500</v>
      </c>
      <c r="AP23" s="244">
        <f t="shared" si="11"/>
        <v>952724500</v>
      </c>
      <c r="AQ23" s="244">
        <f t="shared" si="12"/>
        <v>0</v>
      </c>
      <c r="AR23" s="245">
        <f t="shared" si="13"/>
        <v>952724500</v>
      </c>
      <c r="AS23" s="329">
        <f t="shared" ca="1" si="14"/>
        <v>957700345</v>
      </c>
      <c r="AT23" s="329">
        <f t="shared" si="15"/>
        <v>0</v>
      </c>
      <c r="AU23" s="253">
        <f t="shared" ca="1" si="16"/>
        <v>957700345</v>
      </c>
      <c r="AV23" s="329">
        <f t="shared" ca="1" si="17"/>
        <v>957123845</v>
      </c>
      <c r="AW23" s="329">
        <f t="shared" si="18"/>
        <v>0</v>
      </c>
      <c r="AX23" s="647">
        <f t="shared" ca="1" si="19"/>
        <v>957123845</v>
      </c>
    </row>
    <row r="24" spans="1:53" s="44" customFormat="1" ht="15.75" thickBot="1" x14ac:dyDescent="0.3">
      <c r="A24" s="77"/>
      <c r="B24" s="50" t="s">
        <v>269</v>
      </c>
      <c r="C24" s="248">
        <f>'5.0 hivatal'!C24</f>
        <v>0</v>
      </c>
      <c r="D24" s="248">
        <f>'5.0 hivatal'!D24</f>
        <v>0</v>
      </c>
      <c r="E24" s="249">
        <f t="shared" si="20"/>
        <v>0</v>
      </c>
      <c r="F24" s="248">
        <f>'5.0 hivatal'!F24</f>
        <v>0</v>
      </c>
      <c r="G24" s="248">
        <f>'5.0 hivatal'!G24</f>
        <v>0</v>
      </c>
      <c r="H24" s="249">
        <f t="shared" si="21"/>
        <v>0</v>
      </c>
      <c r="I24" s="248">
        <f>'5.0 hivatal'!I24</f>
        <v>0</v>
      </c>
      <c r="J24" s="248">
        <f>'5.0 hivatal'!J24</f>
        <v>0</v>
      </c>
      <c r="K24" s="249">
        <f t="shared" si="22"/>
        <v>0</v>
      </c>
      <c r="L24" s="248">
        <f>'5.0 hivatal'!L24</f>
        <v>0</v>
      </c>
      <c r="M24" s="248">
        <f>'5.0 hivatal'!M24</f>
        <v>0</v>
      </c>
      <c r="N24" s="249">
        <f t="shared" si="23"/>
        <v>0</v>
      </c>
      <c r="O24" s="248">
        <f>'6.0 hksk'!C24</f>
        <v>0</v>
      </c>
      <c r="P24" s="248">
        <f>'6.0 hksk'!D24</f>
        <v>0</v>
      </c>
      <c r="Q24" s="249">
        <f t="shared" si="0"/>
        <v>0</v>
      </c>
      <c r="R24" s="248">
        <f>'6.0 hksk'!F24</f>
        <v>0</v>
      </c>
      <c r="S24" s="248">
        <f>'6.0 hksk'!G24</f>
        <v>0</v>
      </c>
      <c r="T24" s="249">
        <f t="shared" si="1"/>
        <v>0</v>
      </c>
      <c r="U24" s="248">
        <f>'6.0 hksk'!I24</f>
        <v>0</v>
      </c>
      <c r="V24" s="248">
        <f>'6.0 hksk'!J24</f>
        <v>0</v>
      </c>
      <c r="W24" s="249">
        <f t="shared" si="2"/>
        <v>0</v>
      </c>
      <c r="X24" s="248">
        <f>'6.0 hksk'!L24</f>
        <v>0</v>
      </c>
      <c r="Y24" s="248">
        <f>'6.0 hksk'!M24</f>
        <v>0</v>
      </c>
      <c r="Z24" s="249">
        <f t="shared" si="3"/>
        <v>0</v>
      </c>
      <c r="AA24" s="248">
        <f>'7.0 önkormányzat össz'!C24</f>
        <v>54038437</v>
      </c>
      <c r="AB24" s="248">
        <f>'7.0 önkormányzat össz'!D24</f>
        <v>0</v>
      </c>
      <c r="AC24" s="249">
        <f t="shared" si="4"/>
        <v>54038437</v>
      </c>
      <c r="AD24" s="248">
        <f>'7.0 önkormányzat össz'!F24</f>
        <v>54038437</v>
      </c>
      <c r="AE24" s="248">
        <f>'7.0 önkormányzat össz'!G24</f>
        <v>0</v>
      </c>
      <c r="AF24" s="249">
        <f t="shared" si="5"/>
        <v>54038437</v>
      </c>
      <c r="AG24" s="248">
        <f ca="1">'7.0 önkormányzat össz'!I24</f>
        <v>54038437</v>
      </c>
      <c r="AH24" s="248">
        <f>'7.0 önkormányzat össz'!J24</f>
        <v>0</v>
      </c>
      <c r="AI24" s="249">
        <f t="shared" ca="1" si="6"/>
        <v>54038437</v>
      </c>
      <c r="AJ24" s="248">
        <f ca="1">'7.0 önkormányzat össz'!L24</f>
        <v>0</v>
      </c>
      <c r="AK24" s="248">
        <f>'7.0 önkormányzat össz'!M24</f>
        <v>0</v>
      </c>
      <c r="AL24" s="249">
        <f t="shared" ca="1" si="7"/>
        <v>0</v>
      </c>
      <c r="AM24" s="248">
        <f t="shared" si="8"/>
        <v>54038437</v>
      </c>
      <c r="AN24" s="248">
        <f t="shared" si="9"/>
        <v>0</v>
      </c>
      <c r="AO24" s="249">
        <f t="shared" si="10"/>
        <v>54038437</v>
      </c>
      <c r="AP24" s="248">
        <f t="shared" si="11"/>
        <v>54038437</v>
      </c>
      <c r="AQ24" s="248">
        <f t="shared" si="12"/>
        <v>0</v>
      </c>
      <c r="AR24" s="249">
        <f t="shared" si="13"/>
        <v>54038437</v>
      </c>
      <c r="AS24" s="329">
        <f t="shared" ca="1" si="14"/>
        <v>54038437</v>
      </c>
      <c r="AT24" s="329">
        <f t="shared" si="15"/>
        <v>0</v>
      </c>
      <c r="AU24" s="253">
        <f t="shared" ca="1" si="16"/>
        <v>54038437</v>
      </c>
      <c r="AV24" s="329">
        <f t="shared" ca="1" si="17"/>
        <v>0</v>
      </c>
      <c r="AW24" s="329">
        <f t="shared" si="18"/>
        <v>0</v>
      </c>
      <c r="AX24" s="647">
        <f t="shared" ca="1" si="19"/>
        <v>0</v>
      </c>
    </row>
    <row r="25" spans="1:53" ht="15.75" thickBot="1" x14ac:dyDescent="0.3">
      <c r="A25" s="30" t="s">
        <v>68</v>
      </c>
      <c r="B25" s="68" t="s">
        <v>25</v>
      </c>
      <c r="C25" s="244">
        <f>'5.0 hivatal'!C25</f>
        <v>0</v>
      </c>
      <c r="D25" s="244">
        <f>'5.0 hivatal'!D25</f>
        <v>0</v>
      </c>
      <c r="E25" s="245">
        <f t="shared" si="20"/>
        <v>0</v>
      </c>
      <c r="F25" s="244">
        <f>'5.0 hivatal'!F25</f>
        <v>0</v>
      </c>
      <c r="G25" s="244">
        <f>'5.0 hivatal'!G25</f>
        <v>0</v>
      </c>
      <c r="H25" s="245">
        <f t="shared" si="21"/>
        <v>0</v>
      </c>
      <c r="I25" s="244">
        <f>'5.0 hivatal'!I25</f>
        <v>0</v>
      </c>
      <c r="J25" s="244">
        <f>'5.0 hivatal'!J25</f>
        <v>0</v>
      </c>
      <c r="K25" s="245">
        <f t="shared" si="22"/>
        <v>0</v>
      </c>
      <c r="L25" s="244">
        <f>'5.0 hivatal'!L25</f>
        <v>1800</v>
      </c>
      <c r="M25" s="244">
        <f>'5.0 hivatal'!M25</f>
        <v>0</v>
      </c>
      <c r="N25" s="245">
        <f t="shared" si="23"/>
        <v>1800</v>
      </c>
      <c r="O25" s="244">
        <f>'6.0 hksk'!C25</f>
        <v>0</v>
      </c>
      <c r="P25" s="244">
        <f>'6.0 hksk'!D25</f>
        <v>0</v>
      </c>
      <c r="Q25" s="245">
        <f t="shared" si="0"/>
        <v>0</v>
      </c>
      <c r="R25" s="244">
        <f>'6.0 hksk'!F25</f>
        <v>0</v>
      </c>
      <c r="S25" s="244">
        <f>'6.0 hksk'!G25</f>
        <v>0</v>
      </c>
      <c r="T25" s="245">
        <f t="shared" si="1"/>
        <v>0</v>
      </c>
      <c r="U25" s="244">
        <f>'6.0 hksk'!I25</f>
        <v>0</v>
      </c>
      <c r="V25" s="244">
        <f>'6.0 hksk'!J25</f>
        <v>0</v>
      </c>
      <c r="W25" s="245">
        <f t="shared" si="2"/>
        <v>0</v>
      </c>
      <c r="X25" s="244">
        <f>'6.0 hksk'!L25</f>
        <v>0</v>
      </c>
      <c r="Y25" s="244">
        <f>'6.0 hksk'!M25</f>
        <v>0</v>
      </c>
      <c r="Z25" s="245">
        <f t="shared" si="3"/>
        <v>0</v>
      </c>
      <c r="AA25" s="244">
        <f>'7.0 önkormányzat össz'!C25</f>
        <v>504000000</v>
      </c>
      <c r="AB25" s="244">
        <f>'7.0 önkormányzat össz'!D25</f>
        <v>0</v>
      </c>
      <c r="AC25" s="245">
        <f t="shared" si="4"/>
        <v>504000000</v>
      </c>
      <c r="AD25" s="244">
        <f>'7.0 önkormányzat össz'!F25</f>
        <v>504000000</v>
      </c>
      <c r="AE25" s="244">
        <f>'7.0 önkormányzat össz'!G25</f>
        <v>0</v>
      </c>
      <c r="AF25" s="245">
        <f t="shared" si="5"/>
        <v>504000000</v>
      </c>
      <c r="AG25" s="244">
        <f ca="1">'7.0 önkormányzat össz'!I25</f>
        <v>537389831</v>
      </c>
      <c r="AH25" s="244">
        <f>'7.0 önkormányzat össz'!J25</f>
        <v>0</v>
      </c>
      <c r="AI25" s="245">
        <f t="shared" ca="1" si="6"/>
        <v>537389831</v>
      </c>
      <c r="AJ25" s="244">
        <f ca="1">'7.0 önkormányzat össz'!L25</f>
        <v>570271624</v>
      </c>
      <c r="AK25" s="244">
        <f>'7.0 önkormányzat össz'!M25</f>
        <v>0</v>
      </c>
      <c r="AL25" s="245">
        <f t="shared" ca="1" si="7"/>
        <v>570271624</v>
      </c>
      <c r="AM25" s="244">
        <f t="shared" si="8"/>
        <v>504000000</v>
      </c>
      <c r="AN25" s="244">
        <f t="shared" si="9"/>
        <v>0</v>
      </c>
      <c r="AO25" s="367">
        <f t="shared" si="10"/>
        <v>504000000</v>
      </c>
      <c r="AP25" s="244">
        <f t="shared" si="11"/>
        <v>504000000</v>
      </c>
      <c r="AQ25" s="244">
        <f t="shared" si="12"/>
        <v>0</v>
      </c>
      <c r="AR25" s="367">
        <f t="shared" si="13"/>
        <v>504000000</v>
      </c>
      <c r="AS25" s="329">
        <f t="shared" ca="1" si="14"/>
        <v>537389831</v>
      </c>
      <c r="AT25" s="329">
        <f t="shared" si="15"/>
        <v>0</v>
      </c>
      <c r="AU25" s="253">
        <f t="shared" ca="1" si="16"/>
        <v>537389831</v>
      </c>
      <c r="AV25" s="329">
        <f t="shared" ca="1" si="17"/>
        <v>570273424</v>
      </c>
      <c r="AW25" s="329">
        <f t="shared" si="18"/>
        <v>0</v>
      </c>
      <c r="AX25" s="647">
        <f t="shared" ca="1" si="19"/>
        <v>570273424</v>
      </c>
      <c r="BA25" s="148"/>
    </row>
    <row r="26" spans="1:53" ht="15.75" thickBot="1" x14ac:dyDescent="0.3">
      <c r="A26" s="27" t="s">
        <v>69</v>
      </c>
      <c r="B26" s="62" t="s">
        <v>70</v>
      </c>
      <c r="C26" s="246">
        <f>'5.0 hivatal'!C26</f>
        <v>0</v>
      </c>
      <c r="D26" s="246">
        <f>'5.0 hivatal'!D26</f>
        <v>0</v>
      </c>
      <c r="E26" s="247">
        <f t="shared" si="20"/>
        <v>0</v>
      </c>
      <c r="F26" s="246">
        <f>'5.0 hivatal'!F26</f>
        <v>0</v>
      </c>
      <c r="G26" s="246">
        <f>'5.0 hivatal'!G26</f>
        <v>0</v>
      </c>
      <c r="H26" s="247">
        <f t="shared" si="21"/>
        <v>0</v>
      </c>
      <c r="I26" s="246">
        <f>'5.0 hivatal'!I26</f>
        <v>0</v>
      </c>
      <c r="J26" s="246">
        <f>'5.0 hivatal'!J26</f>
        <v>0</v>
      </c>
      <c r="K26" s="247">
        <f t="shared" si="22"/>
        <v>0</v>
      </c>
      <c r="L26" s="246">
        <f>'5.0 hivatal'!L26</f>
        <v>0</v>
      </c>
      <c r="M26" s="246">
        <f>'5.0 hivatal'!M26</f>
        <v>0</v>
      </c>
      <c r="N26" s="247">
        <f t="shared" si="23"/>
        <v>0</v>
      </c>
      <c r="O26" s="244">
        <f>'6.0 hksk'!C26</f>
        <v>0</v>
      </c>
      <c r="P26" s="244">
        <f>'6.0 hksk'!D26</f>
        <v>0</v>
      </c>
      <c r="Q26" s="247">
        <f t="shared" si="0"/>
        <v>0</v>
      </c>
      <c r="R26" s="244">
        <f>'6.0 hksk'!F26</f>
        <v>0</v>
      </c>
      <c r="S26" s="244">
        <f>'6.0 hksk'!G26</f>
        <v>0</v>
      </c>
      <c r="T26" s="247">
        <f t="shared" si="1"/>
        <v>0</v>
      </c>
      <c r="U26" s="244">
        <f>'6.0 hksk'!I26</f>
        <v>0</v>
      </c>
      <c r="V26" s="244">
        <f>'6.0 hksk'!J26</f>
        <v>0</v>
      </c>
      <c r="W26" s="247">
        <f t="shared" si="2"/>
        <v>0</v>
      </c>
      <c r="X26" s="244">
        <f>'6.0 hksk'!L26</f>
        <v>0</v>
      </c>
      <c r="Y26" s="244">
        <f>'6.0 hksk'!M26</f>
        <v>0</v>
      </c>
      <c r="Z26" s="247">
        <f t="shared" si="3"/>
        <v>0</v>
      </c>
      <c r="AA26" s="244">
        <f>'7.0 önkormányzat össz'!C26</f>
        <v>198000000</v>
      </c>
      <c r="AB26" s="244">
        <f>'7.0 önkormányzat össz'!D26</f>
        <v>0</v>
      </c>
      <c r="AC26" s="247">
        <f t="shared" si="4"/>
        <v>198000000</v>
      </c>
      <c r="AD26" s="244">
        <f>'7.0 önkormányzat össz'!F26</f>
        <v>198000000</v>
      </c>
      <c r="AE26" s="244">
        <f>'7.0 önkormányzat össz'!G26</f>
        <v>0</v>
      </c>
      <c r="AF26" s="247">
        <f t="shared" si="5"/>
        <v>198000000</v>
      </c>
      <c r="AG26" s="244">
        <f ca="1">'7.0 önkormányzat össz'!I26</f>
        <v>219992843</v>
      </c>
      <c r="AH26" s="244">
        <f>'7.0 önkormányzat össz'!J26</f>
        <v>0</v>
      </c>
      <c r="AI26" s="247">
        <f t="shared" ca="1" si="6"/>
        <v>219992843</v>
      </c>
      <c r="AJ26" s="244">
        <f ca="1">'7.0 önkormányzat össz'!L26</f>
        <v>224032780</v>
      </c>
      <c r="AK26" s="244">
        <f>'7.0 önkormányzat össz'!M26</f>
        <v>0</v>
      </c>
      <c r="AL26" s="247">
        <f t="shared" ca="1" si="7"/>
        <v>224032780</v>
      </c>
      <c r="AM26" s="244">
        <f t="shared" si="8"/>
        <v>198000000</v>
      </c>
      <c r="AN26" s="244">
        <f t="shared" si="9"/>
        <v>0</v>
      </c>
      <c r="AO26" s="245">
        <f t="shared" si="10"/>
        <v>198000000</v>
      </c>
      <c r="AP26" s="244">
        <f t="shared" si="11"/>
        <v>198000000</v>
      </c>
      <c r="AQ26" s="244">
        <f t="shared" si="12"/>
        <v>0</v>
      </c>
      <c r="AR26" s="245">
        <f t="shared" si="13"/>
        <v>198000000</v>
      </c>
      <c r="AS26" s="329">
        <f t="shared" ca="1" si="14"/>
        <v>219992843</v>
      </c>
      <c r="AT26" s="329">
        <f t="shared" si="15"/>
        <v>0</v>
      </c>
      <c r="AU26" s="253">
        <f t="shared" ca="1" si="16"/>
        <v>219992843</v>
      </c>
      <c r="AV26" s="329">
        <f t="shared" ca="1" si="17"/>
        <v>224032780</v>
      </c>
      <c r="AW26" s="329">
        <f t="shared" si="18"/>
        <v>0</v>
      </c>
      <c r="AX26" s="647">
        <f t="shared" ca="1" si="19"/>
        <v>224032780</v>
      </c>
    </row>
    <row r="27" spans="1:53" ht="15.75" thickBot="1" x14ac:dyDescent="0.3">
      <c r="A27" s="27"/>
      <c r="B27" s="62" t="s">
        <v>71</v>
      </c>
      <c r="C27" s="246">
        <f>'5.0 hivatal'!C27</f>
        <v>0</v>
      </c>
      <c r="D27" s="246">
        <f>'5.0 hivatal'!D27</f>
        <v>0</v>
      </c>
      <c r="E27" s="247">
        <f t="shared" si="20"/>
        <v>0</v>
      </c>
      <c r="F27" s="246">
        <f>'5.0 hivatal'!F27</f>
        <v>0</v>
      </c>
      <c r="G27" s="246">
        <f>'5.0 hivatal'!G27</f>
        <v>0</v>
      </c>
      <c r="H27" s="247">
        <f t="shared" si="21"/>
        <v>0</v>
      </c>
      <c r="I27" s="246">
        <f>'5.0 hivatal'!I27</f>
        <v>0</v>
      </c>
      <c r="J27" s="246">
        <f>'5.0 hivatal'!J27</f>
        <v>0</v>
      </c>
      <c r="K27" s="247">
        <f t="shared" si="22"/>
        <v>0</v>
      </c>
      <c r="L27" s="246">
        <f>'5.0 hivatal'!L27</f>
        <v>0</v>
      </c>
      <c r="M27" s="246">
        <f>'5.0 hivatal'!M27</f>
        <v>0</v>
      </c>
      <c r="N27" s="247">
        <f t="shared" si="23"/>
        <v>0</v>
      </c>
      <c r="O27" s="244">
        <f>'6.0 hksk'!C27</f>
        <v>0</v>
      </c>
      <c r="P27" s="244">
        <f>'6.0 hksk'!D27</f>
        <v>0</v>
      </c>
      <c r="Q27" s="247">
        <f t="shared" si="0"/>
        <v>0</v>
      </c>
      <c r="R27" s="244">
        <f>'6.0 hksk'!F27</f>
        <v>0</v>
      </c>
      <c r="S27" s="244">
        <f>'6.0 hksk'!G27</f>
        <v>0</v>
      </c>
      <c r="T27" s="247">
        <f t="shared" si="1"/>
        <v>0</v>
      </c>
      <c r="U27" s="244">
        <f>'6.0 hksk'!I27</f>
        <v>0</v>
      </c>
      <c r="V27" s="244">
        <f>'6.0 hksk'!J27</f>
        <v>0</v>
      </c>
      <c r="W27" s="247">
        <f t="shared" si="2"/>
        <v>0</v>
      </c>
      <c r="X27" s="244">
        <f>'6.0 hksk'!L27</f>
        <v>0</v>
      </c>
      <c r="Y27" s="244">
        <f>'6.0 hksk'!M27</f>
        <v>0</v>
      </c>
      <c r="Z27" s="247">
        <f t="shared" si="3"/>
        <v>0</v>
      </c>
      <c r="AA27" s="244">
        <f>'7.0 önkormányzat össz'!C27</f>
        <v>170000000</v>
      </c>
      <c r="AB27" s="244">
        <f>'7.0 önkormányzat össz'!D27</f>
        <v>0</v>
      </c>
      <c r="AC27" s="247">
        <f t="shared" si="4"/>
        <v>170000000</v>
      </c>
      <c r="AD27" s="244">
        <f>'7.0 önkormányzat össz'!F27</f>
        <v>170000000</v>
      </c>
      <c r="AE27" s="244">
        <f>'7.0 önkormányzat össz'!G27</f>
        <v>0</v>
      </c>
      <c r="AF27" s="247">
        <f t="shared" si="5"/>
        <v>170000000</v>
      </c>
      <c r="AG27" s="244">
        <f ca="1">'7.0 önkormányzat össz'!I27</f>
        <v>174992843</v>
      </c>
      <c r="AH27" s="244">
        <f>'7.0 önkormányzat össz'!J27</f>
        <v>0</v>
      </c>
      <c r="AI27" s="247">
        <f t="shared" ca="1" si="6"/>
        <v>174992843</v>
      </c>
      <c r="AJ27" s="244">
        <f ca="1">'7.0 önkormányzat össz'!L27</f>
        <v>178996761</v>
      </c>
      <c r="AK27" s="244">
        <f>'7.0 önkormányzat össz'!M27</f>
        <v>0</v>
      </c>
      <c r="AL27" s="247">
        <f t="shared" ca="1" si="7"/>
        <v>178996761</v>
      </c>
      <c r="AM27" s="244">
        <f t="shared" si="8"/>
        <v>170000000</v>
      </c>
      <c r="AN27" s="244">
        <f t="shared" si="9"/>
        <v>0</v>
      </c>
      <c r="AO27" s="245">
        <f t="shared" si="10"/>
        <v>170000000</v>
      </c>
      <c r="AP27" s="244">
        <f t="shared" si="11"/>
        <v>170000000</v>
      </c>
      <c r="AQ27" s="244">
        <f t="shared" si="12"/>
        <v>0</v>
      </c>
      <c r="AR27" s="245">
        <f t="shared" si="13"/>
        <v>170000000</v>
      </c>
      <c r="AS27" s="329">
        <f t="shared" ca="1" si="14"/>
        <v>174992843</v>
      </c>
      <c r="AT27" s="329">
        <f t="shared" si="15"/>
        <v>0</v>
      </c>
      <c r="AU27" s="253">
        <f t="shared" ca="1" si="16"/>
        <v>174992843</v>
      </c>
      <c r="AV27" s="329">
        <f t="shared" ca="1" si="17"/>
        <v>178996761</v>
      </c>
      <c r="AW27" s="329">
        <f t="shared" si="18"/>
        <v>0</v>
      </c>
      <c r="AX27" s="647">
        <f t="shared" ca="1" si="19"/>
        <v>178996761</v>
      </c>
    </row>
    <row r="28" spans="1:53" ht="15.75" thickBot="1" x14ac:dyDescent="0.3">
      <c r="A28" s="27"/>
      <c r="B28" s="62" t="s">
        <v>72</v>
      </c>
      <c r="C28" s="246">
        <f>'5.0 hivatal'!C28</f>
        <v>0</v>
      </c>
      <c r="D28" s="246">
        <f>'5.0 hivatal'!D28</f>
        <v>0</v>
      </c>
      <c r="E28" s="247">
        <f t="shared" si="20"/>
        <v>0</v>
      </c>
      <c r="F28" s="246">
        <f>'5.0 hivatal'!F28</f>
        <v>0</v>
      </c>
      <c r="G28" s="246">
        <f>'5.0 hivatal'!G28</f>
        <v>0</v>
      </c>
      <c r="H28" s="247">
        <f t="shared" si="21"/>
        <v>0</v>
      </c>
      <c r="I28" s="246">
        <f>'5.0 hivatal'!I28</f>
        <v>0</v>
      </c>
      <c r="J28" s="246">
        <f>'5.0 hivatal'!J28</f>
        <v>0</v>
      </c>
      <c r="K28" s="247">
        <f t="shared" si="22"/>
        <v>0</v>
      </c>
      <c r="L28" s="246">
        <f>'5.0 hivatal'!L28</f>
        <v>0</v>
      </c>
      <c r="M28" s="246">
        <f>'5.0 hivatal'!M28</f>
        <v>0</v>
      </c>
      <c r="N28" s="247">
        <f t="shared" si="23"/>
        <v>0</v>
      </c>
      <c r="O28" s="244">
        <f>'6.0 hksk'!C28</f>
        <v>0</v>
      </c>
      <c r="P28" s="244">
        <f>'6.0 hksk'!D28</f>
        <v>0</v>
      </c>
      <c r="Q28" s="247">
        <f t="shared" si="0"/>
        <v>0</v>
      </c>
      <c r="R28" s="244">
        <f>'6.0 hksk'!F28</f>
        <v>0</v>
      </c>
      <c r="S28" s="244">
        <f>'6.0 hksk'!G28</f>
        <v>0</v>
      </c>
      <c r="T28" s="247">
        <f t="shared" si="1"/>
        <v>0</v>
      </c>
      <c r="U28" s="244">
        <f>'6.0 hksk'!I28</f>
        <v>0</v>
      </c>
      <c r="V28" s="244">
        <f>'6.0 hksk'!J28</f>
        <v>0</v>
      </c>
      <c r="W28" s="247">
        <f t="shared" si="2"/>
        <v>0</v>
      </c>
      <c r="X28" s="244">
        <f>'6.0 hksk'!L28</f>
        <v>0</v>
      </c>
      <c r="Y28" s="244">
        <f>'6.0 hksk'!M28</f>
        <v>0</v>
      </c>
      <c r="Z28" s="247">
        <f t="shared" si="3"/>
        <v>0</v>
      </c>
      <c r="AA28" s="244">
        <f>'7.0 önkormányzat össz'!C28</f>
        <v>0</v>
      </c>
      <c r="AB28" s="244">
        <f>'7.0 önkormányzat össz'!D28</f>
        <v>0</v>
      </c>
      <c r="AC28" s="247">
        <f t="shared" si="4"/>
        <v>0</v>
      </c>
      <c r="AD28" s="244">
        <f>'7.0 önkormányzat össz'!F28</f>
        <v>0</v>
      </c>
      <c r="AE28" s="244">
        <f>'7.0 önkormányzat össz'!G28</f>
        <v>0</v>
      </c>
      <c r="AF28" s="247">
        <f t="shared" si="5"/>
        <v>0</v>
      </c>
      <c r="AG28" s="244">
        <f ca="1">'7.0 önkormányzat össz'!I28</f>
        <v>0</v>
      </c>
      <c r="AH28" s="244">
        <f>'7.0 önkormányzat össz'!J28</f>
        <v>0</v>
      </c>
      <c r="AI28" s="247">
        <f t="shared" ca="1" si="6"/>
        <v>0</v>
      </c>
      <c r="AJ28" s="244">
        <f ca="1">'7.0 önkormányzat össz'!L28</f>
        <v>0</v>
      </c>
      <c r="AK28" s="244">
        <f>'7.0 önkormányzat össz'!M28</f>
        <v>0</v>
      </c>
      <c r="AL28" s="247">
        <f t="shared" ca="1" si="7"/>
        <v>0</v>
      </c>
      <c r="AM28" s="244">
        <f t="shared" si="8"/>
        <v>0</v>
      </c>
      <c r="AN28" s="244">
        <f t="shared" si="9"/>
        <v>0</v>
      </c>
      <c r="AO28" s="245">
        <f t="shared" si="10"/>
        <v>0</v>
      </c>
      <c r="AP28" s="244">
        <f t="shared" si="11"/>
        <v>0</v>
      </c>
      <c r="AQ28" s="244">
        <f t="shared" si="12"/>
        <v>0</v>
      </c>
      <c r="AR28" s="245">
        <f t="shared" si="13"/>
        <v>0</v>
      </c>
      <c r="AS28" s="329">
        <f t="shared" ca="1" si="14"/>
        <v>0</v>
      </c>
      <c r="AT28" s="329">
        <f t="shared" si="15"/>
        <v>0</v>
      </c>
      <c r="AU28" s="253">
        <f t="shared" ca="1" si="16"/>
        <v>0</v>
      </c>
      <c r="AV28" s="329">
        <f t="shared" ca="1" si="17"/>
        <v>0</v>
      </c>
      <c r="AW28" s="329">
        <f t="shared" si="18"/>
        <v>0</v>
      </c>
      <c r="AX28" s="647">
        <f t="shared" ca="1" si="19"/>
        <v>0</v>
      </c>
    </row>
    <row r="29" spans="1:53" ht="15.75" thickBot="1" x14ac:dyDescent="0.3">
      <c r="A29" s="27"/>
      <c r="B29" s="62" t="s">
        <v>73</v>
      </c>
      <c r="C29" s="246">
        <f>'5.0 hivatal'!C29</f>
        <v>0</v>
      </c>
      <c r="D29" s="246">
        <f>'5.0 hivatal'!D29</f>
        <v>0</v>
      </c>
      <c r="E29" s="247">
        <f t="shared" si="20"/>
        <v>0</v>
      </c>
      <c r="F29" s="246">
        <f>'5.0 hivatal'!F29</f>
        <v>0</v>
      </c>
      <c r="G29" s="246">
        <f>'5.0 hivatal'!G29</f>
        <v>0</v>
      </c>
      <c r="H29" s="247">
        <f t="shared" si="21"/>
        <v>0</v>
      </c>
      <c r="I29" s="246">
        <f>'5.0 hivatal'!I29</f>
        <v>0</v>
      </c>
      <c r="J29" s="246">
        <f>'5.0 hivatal'!J29</f>
        <v>0</v>
      </c>
      <c r="K29" s="247">
        <f t="shared" si="22"/>
        <v>0</v>
      </c>
      <c r="L29" s="246">
        <f>'5.0 hivatal'!L29</f>
        <v>0</v>
      </c>
      <c r="M29" s="246">
        <f>'5.0 hivatal'!M29</f>
        <v>0</v>
      </c>
      <c r="N29" s="247">
        <f t="shared" si="23"/>
        <v>0</v>
      </c>
      <c r="O29" s="244">
        <f>'6.0 hksk'!C29</f>
        <v>0</v>
      </c>
      <c r="P29" s="244">
        <f>'6.0 hksk'!D29</f>
        <v>0</v>
      </c>
      <c r="Q29" s="247">
        <f t="shared" si="0"/>
        <v>0</v>
      </c>
      <c r="R29" s="244">
        <f>'6.0 hksk'!F29</f>
        <v>0</v>
      </c>
      <c r="S29" s="244">
        <f>'6.0 hksk'!G29</f>
        <v>0</v>
      </c>
      <c r="T29" s="247">
        <f t="shared" si="1"/>
        <v>0</v>
      </c>
      <c r="U29" s="244">
        <f>'6.0 hksk'!I29</f>
        <v>0</v>
      </c>
      <c r="V29" s="244">
        <f>'6.0 hksk'!J29</f>
        <v>0</v>
      </c>
      <c r="W29" s="247">
        <f t="shared" si="2"/>
        <v>0</v>
      </c>
      <c r="X29" s="244">
        <f>'6.0 hksk'!L29</f>
        <v>0</v>
      </c>
      <c r="Y29" s="244">
        <f>'6.0 hksk'!M29</f>
        <v>0</v>
      </c>
      <c r="Z29" s="247">
        <f t="shared" si="3"/>
        <v>0</v>
      </c>
      <c r="AA29" s="244">
        <f>'7.0 önkormányzat össz'!C29</f>
        <v>28000000</v>
      </c>
      <c r="AB29" s="244">
        <f>'7.0 önkormányzat össz'!D29</f>
        <v>0</v>
      </c>
      <c r="AC29" s="247">
        <f t="shared" si="4"/>
        <v>28000000</v>
      </c>
      <c r="AD29" s="244">
        <f>'7.0 önkormányzat össz'!F29</f>
        <v>28000000</v>
      </c>
      <c r="AE29" s="244">
        <f>'7.0 önkormányzat össz'!G29</f>
        <v>0</v>
      </c>
      <c r="AF29" s="247">
        <f t="shared" si="5"/>
        <v>28000000</v>
      </c>
      <c r="AG29" s="244">
        <f ca="1">'7.0 önkormányzat össz'!I29</f>
        <v>45000000</v>
      </c>
      <c r="AH29" s="244">
        <f>'7.0 önkormányzat össz'!J29</f>
        <v>0</v>
      </c>
      <c r="AI29" s="247">
        <f t="shared" ca="1" si="6"/>
        <v>45000000</v>
      </c>
      <c r="AJ29" s="244">
        <f ca="1">'7.0 önkormányzat össz'!L29</f>
        <v>45036019</v>
      </c>
      <c r="AK29" s="244">
        <f>'7.0 önkormányzat össz'!M29</f>
        <v>0</v>
      </c>
      <c r="AL29" s="247">
        <f t="shared" ca="1" si="7"/>
        <v>45036019</v>
      </c>
      <c r="AM29" s="244">
        <f t="shared" si="8"/>
        <v>28000000</v>
      </c>
      <c r="AN29" s="244">
        <f t="shared" si="9"/>
        <v>0</v>
      </c>
      <c r="AO29" s="245">
        <f t="shared" si="10"/>
        <v>28000000</v>
      </c>
      <c r="AP29" s="244">
        <f t="shared" si="11"/>
        <v>28000000</v>
      </c>
      <c r="AQ29" s="244">
        <f t="shared" si="12"/>
        <v>0</v>
      </c>
      <c r="AR29" s="245">
        <f t="shared" si="13"/>
        <v>28000000</v>
      </c>
      <c r="AS29" s="329">
        <f t="shared" ca="1" si="14"/>
        <v>45000000</v>
      </c>
      <c r="AT29" s="329">
        <f t="shared" si="15"/>
        <v>0</v>
      </c>
      <c r="AU29" s="253">
        <f t="shared" ca="1" si="16"/>
        <v>45000000</v>
      </c>
      <c r="AV29" s="329">
        <f t="shared" ca="1" si="17"/>
        <v>45036019</v>
      </c>
      <c r="AW29" s="329">
        <f t="shared" si="18"/>
        <v>0</v>
      </c>
      <c r="AX29" s="647">
        <f t="shared" ca="1" si="19"/>
        <v>45036019</v>
      </c>
    </row>
    <row r="30" spans="1:53" ht="15.75" thickBot="1" x14ac:dyDescent="0.3">
      <c r="A30" s="27" t="s">
        <v>74</v>
      </c>
      <c r="B30" s="62" t="s">
        <v>75</v>
      </c>
      <c r="C30" s="246">
        <f>'5.0 hivatal'!C30</f>
        <v>0</v>
      </c>
      <c r="D30" s="246">
        <f>'5.0 hivatal'!D30</f>
        <v>0</v>
      </c>
      <c r="E30" s="247">
        <f t="shared" si="20"/>
        <v>0</v>
      </c>
      <c r="F30" s="246">
        <f>'5.0 hivatal'!F30</f>
        <v>0</v>
      </c>
      <c r="G30" s="246">
        <f>'5.0 hivatal'!G30</f>
        <v>0</v>
      </c>
      <c r="H30" s="247">
        <f t="shared" si="21"/>
        <v>0</v>
      </c>
      <c r="I30" s="246">
        <f>'5.0 hivatal'!I30</f>
        <v>0</v>
      </c>
      <c r="J30" s="246">
        <f>'5.0 hivatal'!J30</f>
        <v>0</v>
      </c>
      <c r="K30" s="247">
        <f t="shared" si="22"/>
        <v>0</v>
      </c>
      <c r="L30" s="246">
        <f>'5.0 hivatal'!L30</f>
        <v>0</v>
      </c>
      <c r="M30" s="246">
        <f>'5.0 hivatal'!M30</f>
        <v>0</v>
      </c>
      <c r="N30" s="247">
        <f t="shared" si="23"/>
        <v>0</v>
      </c>
      <c r="O30" s="244">
        <f>'6.0 hksk'!C30</f>
        <v>0</v>
      </c>
      <c r="P30" s="244">
        <f>'6.0 hksk'!D30</f>
        <v>0</v>
      </c>
      <c r="Q30" s="247">
        <f t="shared" si="0"/>
        <v>0</v>
      </c>
      <c r="R30" s="244">
        <f>'6.0 hksk'!F30</f>
        <v>0</v>
      </c>
      <c r="S30" s="244">
        <f>'6.0 hksk'!G30</f>
        <v>0</v>
      </c>
      <c r="T30" s="247">
        <f t="shared" si="1"/>
        <v>0</v>
      </c>
      <c r="U30" s="244">
        <f>'6.0 hksk'!I30</f>
        <v>0</v>
      </c>
      <c r="V30" s="244">
        <f>'6.0 hksk'!J30</f>
        <v>0</v>
      </c>
      <c r="W30" s="247">
        <f t="shared" si="2"/>
        <v>0</v>
      </c>
      <c r="X30" s="244">
        <f>'6.0 hksk'!L30</f>
        <v>0</v>
      </c>
      <c r="Y30" s="244">
        <f>'6.0 hksk'!M30</f>
        <v>0</v>
      </c>
      <c r="Z30" s="247">
        <f t="shared" si="3"/>
        <v>0</v>
      </c>
      <c r="AA30" s="244">
        <f>'7.0 önkormányzat össz'!C30</f>
        <v>294000000</v>
      </c>
      <c r="AB30" s="244">
        <f>'7.0 önkormányzat össz'!D30</f>
        <v>0</v>
      </c>
      <c r="AC30" s="247">
        <f t="shared" si="4"/>
        <v>294000000</v>
      </c>
      <c r="AD30" s="244">
        <f>'7.0 önkormányzat össz'!F30</f>
        <v>294000000</v>
      </c>
      <c r="AE30" s="244">
        <f>'7.0 önkormányzat össz'!G30</f>
        <v>0</v>
      </c>
      <c r="AF30" s="247">
        <f t="shared" si="5"/>
        <v>294000000</v>
      </c>
      <c r="AG30" s="244">
        <f ca="1">'7.0 önkormányzat össz'!I30</f>
        <v>305396988</v>
      </c>
      <c r="AH30" s="244">
        <f>'7.0 önkormányzat össz'!J30</f>
        <v>0</v>
      </c>
      <c r="AI30" s="247">
        <f t="shared" ca="1" si="6"/>
        <v>305396988</v>
      </c>
      <c r="AJ30" s="244">
        <f ca="1">'7.0 önkormányzat össz'!L30</f>
        <v>333149576</v>
      </c>
      <c r="AK30" s="244">
        <f>'7.0 önkormányzat össz'!M30</f>
        <v>0</v>
      </c>
      <c r="AL30" s="247">
        <f t="shared" ca="1" si="7"/>
        <v>333149576</v>
      </c>
      <c r="AM30" s="244">
        <f t="shared" si="8"/>
        <v>294000000</v>
      </c>
      <c r="AN30" s="244">
        <f t="shared" si="9"/>
        <v>0</v>
      </c>
      <c r="AO30" s="245">
        <f t="shared" si="10"/>
        <v>294000000</v>
      </c>
      <c r="AP30" s="244">
        <f t="shared" si="11"/>
        <v>294000000</v>
      </c>
      <c r="AQ30" s="244">
        <f t="shared" si="12"/>
        <v>0</v>
      </c>
      <c r="AR30" s="245">
        <f t="shared" si="13"/>
        <v>294000000</v>
      </c>
      <c r="AS30" s="329">
        <f t="shared" ca="1" si="14"/>
        <v>305396988</v>
      </c>
      <c r="AT30" s="329">
        <f t="shared" si="15"/>
        <v>0</v>
      </c>
      <c r="AU30" s="253">
        <f t="shared" ca="1" si="16"/>
        <v>305396988</v>
      </c>
      <c r="AV30" s="329">
        <f t="shared" ca="1" si="17"/>
        <v>333149576</v>
      </c>
      <c r="AW30" s="329">
        <f t="shared" si="18"/>
        <v>0</v>
      </c>
      <c r="AX30" s="647">
        <f t="shared" ca="1" si="19"/>
        <v>333149576</v>
      </c>
    </row>
    <row r="31" spans="1:53" ht="15.75" thickBot="1" x14ac:dyDescent="0.3">
      <c r="A31" s="27" t="s">
        <v>76</v>
      </c>
      <c r="B31" s="62" t="s">
        <v>77</v>
      </c>
      <c r="C31" s="246">
        <f>'5.0 hivatal'!C31</f>
        <v>0</v>
      </c>
      <c r="D31" s="246">
        <f>'5.0 hivatal'!D31</f>
        <v>0</v>
      </c>
      <c r="E31" s="247">
        <f t="shared" si="20"/>
        <v>0</v>
      </c>
      <c r="F31" s="246">
        <f>'5.0 hivatal'!F31</f>
        <v>0</v>
      </c>
      <c r="G31" s="246">
        <f>'5.0 hivatal'!G31</f>
        <v>0</v>
      </c>
      <c r="H31" s="247">
        <f t="shared" si="21"/>
        <v>0</v>
      </c>
      <c r="I31" s="246">
        <f>'5.0 hivatal'!I31</f>
        <v>0</v>
      </c>
      <c r="J31" s="246">
        <f>'5.0 hivatal'!J31</f>
        <v>0</v>
      </c>
      <c r="K31" s="247">
        <f t="shared" si="22"/>
        <v>0</v>
      </c>
      <c r="L31" s="246">
        <f>'5.0 hivatal'!L31</f>
        <v>0</v>
      </c>
      <c r="M31" s="246">
        <f>'5.0 hivatal'!M31</f>
        <v>0</v>
      </c>
      <c r="N31" s="247">
        <f t="shared" si="23"/>
        <v>0</v>
      </c>
      <c r="O31" s="244">
        <f>'6.0 hksk'!C31</f>
        <v>0</v>
      </c>
      <c r="P31" s="244">
        <f>'6.0 hksk'!D31</f>
        <v>0</v>
      </c>
      <c r="Q31" s="247">
        <f t="shared" si="0"/>
        <v>0</v>
      </c>
      <c r="R31" s="244">
        <f>'6.0 hksk'!F31</f>
        <v>0</v>
      </c>
      <c r="S31" s="244">
        <f>'6.0 hksk'!G31</f>
        <v>0</v>
      </c>
      <c r="T31" s="247">
        <f t="shared" si="1"/>
        <v>0</v>
      </c>
      <c r="U31" s="244">
        <f>'6.0 hksk'!I31</f>
        <v>0</v>
      </c>
      <c r="V31" s="244">
        <f>'6.0 hksk'!J31</f>
        <v>0</v>
      </c>
      <c r="W31" s="247">
        <f t="shared" si="2"/>
        <v>0</v>
      </c>
      <c r="X31" s="244">
        <f>'6.0 hksk'!L31</f>
        <v>0</v>
      </c>
      <c r="Y31" s="244">
        <f>'6.0 hksk'!M31</f>
        <v>0</v>
      </c>
      <c r="Z31" s="247">
        <f t="shared" si="3"/>
        <v>0</v>
      </c>
      <c r="AA31" s="244">
        <f>'7.0 önkormányzat össz'!C31</f>
        <v>155000000</v>
      </c>
      <c r="AB31" s="244">
        <f>'7.0 önkormányzat össz'!D31</f>
        <v>0</v>
      </c>
      <c r="AC31" s="247">
        <f t="shared" si="4"/>
        <v>155000000</v>
      </c>
      <c r="AD31" s="244">
        <f>'7.0 önkormányzat össz'!F31</f>
        <v>155000000</v>
      </c>
      <c r="AE31" s="244">
        <f>'7.0 önkormányzat össz'!G31</f>
        <v>0</v>
      </c>
      <c r="AF31" s="247">
        <f t="shared" si="5"/>
        <v>155000000</v>
      </c>
      <c r="AG31" s="244">
        <f ca="1">'7.0 önkormányzat össz'!I31</f>
        <v>155000000</v>
      </c>
      <c r="AH31" s="244">
        <f>'7.0 önkormányzat össz'!J31</f>
        <v>0</v>
      </c>
      <c r="AI31" s="247">
        <f t="shared" ca="1" si="6"/>
        <v>155000000</v>
      </c>
      <c r="AJ31" s="244">
        <f ca="1">'7.0 önkormányzat össz'!L31</f>
        <v>180483848</v>
      </c>
      <c r="AK31" s="244">
        <f>'7.0 önkormányzat össz'!M31</f>
        <v>0</v>
      </c>
      <c r="AL31" s="247">
        <f t="shared" ca="1" si="7"/>
        <v>180483848</v>
      </c>
      <c r="AM31" s="244">
        <f t="shared" si="8"/>
        <v>155000000</v>
      </c>
      <c r="AN31" s="244">
        <f t="shared" si="9"/>
        <v>0</v>
      </c>
      <c r="AO31" s="245">
        <f t="shared" si="10"/>
        <v>155000000</v>
      </c>
      <c r="AP31" s="244">
        <f t="shared" si="11"/>
        <v>155000000</v>
      </c>
      <c r="AQ31" s="244">
        <f t="shared" si="12"/>
        <v>0</v>
      </c>
      <c r="AR31" s="245">
        <f t="shared" si="13"/>
        <v>155000000</v>
      </c>
      <c r="AS31" s="329">
        <f t="shared" ca="1" si="14"/>
        <v>155000000</v>
      </c>
      <c r="AT31" s="329">
        <f t="shared" si="15"/>
        <v>0</v>
      </c>
      <c r="AU31" s="253">
        <f t="shared" ca="1" si="16"/>
        <v>155000000</v>
      </c>
      <c r="AV31" s="329">
        <f t="shared" ca="1" si="17"/>
        <v>180483848</v>
      </c>
      <c r="AW31" s="329">
        <f t="shared" si="18"/>
        <v>0</v>
      </c>
      <c r="AX31" s="647">
        <f t="shared" ca="1" si="19"/>
        <v>180483848</v>
      </c>
    </row>
    <row r="32" spans="1:53" ht="15.75" thickBot="1" x14ac:dyDescent="0.3">
      <c r="A32" s="27"/>
      <c r="B32" s="62" t="s">
        <v>78</v>
      </c>
      <c r="C32" s="246">
        <f>'5.0 hivatal'!C32</f>
        <v>0</v>
      </c>
      <c r="D32" s="246">
        <f>'5.0 hivatal'!D32</f>
        <v>0</v>
      </c>
      <c r="E32" s="247">
        <f t="shared" si="20"/>
        <v>0</v>
      </c>
      <c r="F32" s="246">
        <f>'5.0 hivatal'!F32</f>
        <v>0</v>
      </c>
      <c r="G32" s="246">
        <f>'5.0 hivatal'!G32</f>
        <v>0</v>
      </c>
      <c r="H32" s="247">
        <f t="shared" si="21"/>
        <v>0</v>
      </c>
      <c r="I32" s="246">
        <f>'5.0 hivatal'!I32</f>
        <v>0</v>
      </c>
      <c r="J32" s="246">
        <f>'5.0 hivatal'!J32</f>
        <v>0</v>
      </c>
      <c r="K32" s="247">
        <f t="shared" si="22"/>
        <v>0</v>
      </c>
      <c r="L32" s="246">
        <f>'5.0 hivatal'!L32</f>
        <v>0</v>
      </c>
      <c r="M32" s="246">
        <f>'5.0 hivatal'!M32</f>
        <v>0</v>
      </c>
      <c r="N32" s="247">
        <f t="shared" si="23"/>
        <v>0</v>
      </c>
      <c r="O32" s="244">
        <f>'6.0 hksk'!C32</f>
        <v>0</v>
      </c>
      <c r="P32" s="244">
        <f>'6.0 hksk'!D32</f>
        <v>0</v>
      </c>
      <c r="Q32" s="247">
        <f t="shared" si="0"/>
        <v>0</v>
      </c>
      <c r="R32" s="244">
        <f>'6.0 hksk'!F32</f>
        <v>0</v>
      </c>
      <c r="S32" s="244">
        <f>'6.0 hksk'!G32</f>
        <v>0</v>
      </c>
      <c r="T32" s="247">
        <f t="shared" si="1"/>
        <v>0</v>
      </c>
      <c r="U32" s="244">
        <f>'6.0 hksk'!I32</f>
        <v>0</v>
      </c>
      <c r="V32" s="244">
        <f>'6.0 hksk'!J32</f>
        <v>0</v>
      </c>
      <c r="W32" s="247">
        <f t="shared" si="2"/>
        <v>0</v>
      </c>
      <c r="X32" s="244">
        <f>'6.0 hksk'!L32</f>
        <v>0</v>
      </c>
      <c r="Y32" s="244">
        <f>'6.0 hksk'!M32</f>
        <v>0</v>
      </c>
      <c r="Z32" s="247">
        <f t="shared" si="3"/>
        <v>0</v>
      </c>
      <c r="AA32" s="244">
        <f>'7.0 önkormányzat össz'!C32</f>
        <v>155000000</v>
      </c>
      <c r="AB32" s="244">
        <f>'7.0 önkormányzat össz'!D32</f>
        <v>0</v>
      </c>
      <c r="AC32" s="247">
        <f t="shared" si="4"/>
        <v>155000000</v>
      </c>
      <c r="AD32" s="244">
        <f>'7.0 önkormányzat össz'!F32</f>
        <v>155000000</v>
      </c>
      <c r="AE32" s="244">
        <f>'7.0 önkormányzat össz'!G32</f>
        <v>0</v>
      </c>
      <c r="AF32" s="247">
        <f t="shared" si="5"/>
        <v>155000000</v>
      </c>
      <c r="AG32" s="244">
        <f ca="1">'7.0 önkormányzat össz'!I32</f>
        <v>155000000</v>
      </c>
      <c r="AH32" s="244">
        <f>'7.0 önkormányzat össz'!J32</f>
        <v>0</v>
      </c>
      <c r="AI32" s="247">
        <f t="shared" ca="1" si="6"/>
        <v>155000000</v>
      </c>
      <c r="AJ32" s="244">
        <f ca="1">'7.0 önkormányzat össz'!L32</f>
        <v>180483848</v>
      </c>
      <c r="AK32" s="244">
        <f>'7.0 önkormányzat össz'!M32</f>
        <v>0</v>
      </c>
      <c r="AL32" s="247">
        <f t="shared" ca="1" si="7"/>
        <v>180483848</v>
      </c>
      <c r="AM32" s="244">
        <f t="shared" si="8"/>
        <v>155000000</v>
      </c>
      <c r="AN32" s="244">
        <f t="shared" si="9"/>
        <v>0</v>
      </c>
      <c r="AO32" s="245">
        <f t="shared" si="10"/>
        <v>155000000</v>
      </c>
      <c r="AP32" s="244">
        <f t="shared" si="11"/>
        <v>155000000</v>
      </c>
      <c r="AQ32" s="244">
        <f t="shared" si="12"/>
        <v>0</v>
      </c>
      <c r="AR32" s="245">
        <f t="shared" si="13"/>
        <v>155000000</v>
      </c>
      <c r="AS32" s="329">
        <f t="shared" ca="1" si="14"/>
        <v>155000000</v>
      </c>
      <c r="AT32" s="329">
        <f t="shared" si="15"/>
        <v>0</v>
      </c>
      <c r="AU32" s="253">
        <f t="shared" ca="1" si="16"/>
        <v>155000000</v>
      </c>
      <c r="AV32" s="329">
        <f t="shared" ca="1" si="17"/>
        <v>180483848</v>
      </c>
      <c r="AW32" s="329">
        <f t="shared" si="18"/>
        <v>0</v>
      </c>
      <c r="AX32" s="647">
        <f t="shared" ca="1" si="19"/>
        <v>180483848</v>
      </c>
    </row>
    <row r="33" spans="1:53" ht="15.75" thickBot="1" x14ac:dyDescent="0.3">
      <c r="A33" s="27" t="s">
        <v>79</v>
      </c>
      <c r="B33" s="62" t="s">
        <v>80</v>
      </c>
      <c r="C33" s="246">
        <f>'5.0 hivatal'!C33</f>
        <v>0</v>
      </c>
      <c r="D33" s="246">
        <f>'5.0 hivatal'!D33</f>
        <v>0</v>
      </c>
      <c r="E33" s="247">
        <f t="shared" si="20"/>
        <v>0</v>
      </c>
      <c r="F33" s="246">
        <f>'5.0 hivatal'!F33</f>
        <v>0</v>
      </c>
      <c r="G33" s="246">
        <f>'5.0 hivatal'!G33</f>
        <v>0</v>
      </c>
      <c r="H33" s="247">
        <f t="shared" si="21"/>
        <v>0</v>
      </c>
      <c r="I33" s="246">
        <f>'5.0 hivatal'!I33</f>
        <v>0</v>
      </c>
      <c r="J33" s="246">
        <f>'5.0 hivatal'!J33</f>
        <v>0</v>
      </c>
      <c r="K33" s="247">
        <f t="shared" si="22"/>
        <v>0</v>
      </c>
      <c r="L33" s="246">
        <f>'5.0 hivatal'!L33</f>
        <v>0</v>
      </c>
      <c r="M33" s="246">
        <f>'5.0 hivatal'!M33</f>
        <v>0</v>
      </c>
      <c r="N33" s="247">
        <f t="shared" si="23"/>
        <v>0</v>
      </c>
      <c r="O33" s="244">
        <f>'6.0 hksk'!C33</f>
        <v>0</v>
      </c>
      <c r="P33" s="244">
        <f>'6.0 hksk'!D33</f>
        <v>0</v>
      </c>
      <c r="Q33" s="247">
        <f t="shared" si="0"/>
        <v>0</v>
      </c>
      <c r="R33" s="244">
        <f>'6.0 hksk'!F33</f>
        <v>0</v>
      </c>
      <c r="S33" s="244">
        <f>'6.0 hksk'!G33</f>
        <v>0</v>
      </c>
      <c r="T33" s="247">
        <f t="shared" si="1"/>
        <v>0</v>
      </c>
      <c r="U33" s="244">
        <f>'6.0 hksk'!I33</f>
        <v>0</v>
      </c>
      <c r="V33" s="244">
        <f>'6.0 hksk'!J33</f>
        <v>0</v>
      </c>
      <c r="W33" s="247">
        <f t="shared" si="2"/>
        <v>0</v>
      </c>
      <c r="X33" s="244">
        <f>'6.0 hksk'!L33</f>
        <v>0</v>
      </c>
      <c r="Y33" s="244">
        <f>'6.0 hksk'!M33</f>
        <v>0</v>
      </c>
      <c r="Z33" s="247">
        <f t="shared" si="3"/>
        <v>0</v>
      </c>
      <c r="AA33" s="244">
        <f>'7.0 önkormányzat össz'!C33</f>
        <v>14000000</v>
      </c>
      <c r="AB33" s="244">
        <f>'7.0 önkormányzat össz'!D33</f>
        <v>0</v>
      </c>
      <c r="AC33" s="247">
        <f t="shared" si="4"/>
        <v>14000000</v>
      </c>
      <c r="AD33" s="244">
        <f>'7.0 önkormányzat össz'!F33</f>
        <v>14000000</v>
      </c>
      <c r="AE33" s="244">
        <f>'7.0 önkormányzat össz'!G33</f>
        <v>0</v>
      </c>
      <c r="AF33" s="247">
        <f t="shared" si="5"/>
        <v>14000000</v>
      </c>
      <c r="AG33" s="244">
        <f ca="1">'7.0 önkormányzat össz'!I33</f>
        <v>14000000</v>
      </c>
      <c r="AH33" s="244">
        <f>'7.0 önkormányzat össz'!J33</f>
        <v>0</v>
      </c>
      <c r="AI33" s="247">
        <f t="shared" ca="1" si="6"/>
        <v>14000000</v>
      </c>
      <c r="AJ33" s="244">
        <f ca="1">'7.0 önkormányzat össz'!L33</f>
        <v>14182280</v>
      </c>
      <c r="AK33" s="244">
        <f>'7.0 önkormányzat össz'!M33</f>
        <v>0</v>
      </c>
      <c r="AL33" s="247">
        <f t="shared" ca="1" si="7"/>
        <v>14182280</v>
      </c>
      <c r="AM33" s="244">
        <f t="shared" si="8"/>
        <v>14000000</v>
      </c>
      <c r="AN33" s="244">
        <f t="shared" si="9"/>
        <v>0</v>
      </c>
      <c r="AO33" s="245">
        <f t="shared" si="10"/>
        <v>14000000</v>
      </c>
      <c r="AP33" s="244">
        <f t="shared" si="11"/>
        <v>14000000</v>
      </c>
      <c r="AQ33" s="244">
        <f t="shared" si="12"/>
        <v>0</v>
      </c>
      <c r="AR33" s="245">
        <f t="shared" si="13"/>
        <v>14000000</v>
      </c>
      <c r="AS33" s="329">
        <f t="shared" ca="1" si="14"/>
        <v>14000000</v>
      </c>
      <c r="AT33" s="329">
        <f t="shared" si="15"/>
        <v>0</v>
      </c>
      <c r="AU33" s="253">
        <f t="shared" ca="1" si="16"/>
        <v>14000000</v>
      </c>
      <c r="AV33" s="329">
        <f t="shared" ca="1" si="17"/>
        <v>14182280</v>
      </c>
      <c r="AW33" s="329">
        <f t="shared" si="18"/>
        <v>0</v>
      </c>
      <c r="AX33" s="647">
        <f t="shared" ca="1" si="19"/>
        <v>14182280</v>
      </c>
    </row>
    <row r="34" spans="1:53" ht="15.75" thickBot="1" x14ac:dyDescent="0.3">
      <c r="A34" s="27" t="s">
        <v>81</v>
      </c>
      <c r="B34" s="62" t="s">
        <v>82</v>
      </c>
      <c r="C34" s="246">
        <f>'5.0 hivatal'!C34</f>
        <v>0</v>
      </c>
      <c r="D34" s="246">
        <f>'5.0 hivatal'!D34</f>
        <v>0</v>
      </c>
      <c r="E34" s="247">
        <f t="shared" si="20"/>
        <v>0</v>
      </c>
      <c r="F34" s="246">
        <f>'5.0 hivatal'!F34</f>
        <v>0</v>
      </c>
      <c r="G34" s="246">
        <f>'5.0 hivatal'!G34</f>
        <v>0</v>
      </c>
      <c r="H34" s="247">
        <f t="shared" si="21"/>
        <v>0</v>
      </c>
      <c r="I34" s="246">
        <f>'5.0 hivatal'!I34</f>
        <v>0</v>
      </c>
      <c r="J34" s="246">
        <f>'5.0 hivatal'!J34</f>
        <v>0</v>
      </c>
      <c r="K34" s="247">
        <f t="shared" si="22"/>
        <v>0</v>
      </c>
      <c r="L34" s="246">
        <f>'5.0 hivatal'!L34</f>
        <v>0</v>
      </c>
      <c r="M34" s="246">
        <f>'5.0 hivatal'!M34</f>
        <v>0</v>
      </c>
      <c r="N34" s="247">
        <f t="shared" si="23"/>
        <v>0</v>
      </c>
      <c r="O34" s="244">
        <f>'6.0 hksk'!C34</f>
        <v>0</v>
      </c>
      <c r="P34" s="244">
        <f>'6.0 hksk'!D34</f>
        <v>0</v>
      </c>
      <c r="Q34" s="247">
        <f t="shared" si="0"/>
        <v>0</v>
      </c>
      <c r="R34" s="244">
        <f>'6.0 hksk'!F34</f>
        <v>0</v>
      </c>
      <c r="S34" s="244">
        <f>'6.0 hksk'!G34</f>
        <v>0</v>
      </c>
      <c r="T34" s="247">
        <f t="shared" si="1"/>
        <v>0</v>
      </c>
      <c r="U34" s="244">
        <f>'6.0 hksk'!I34</f>
        <v>0</v>
      </c>
      <c r="V34" s="244">
        <f>'6.0 hksk'!J34</f>
        <v>0</v>
      </c>
      <c r="W34" s="247">
        <f t="shared" si="2"/>
        <v>0</v>
      </c>
      <c r="X34" s="244">
        <f>'6.0 hksk'!L34</f>
        <v>0</v>
      </c>
      <c r="Y34" s="244">
        <f>'6.0 hksk'!M34</f>
        <v>0</v>
      </c>
      <c r="Z34" s="247">
        <f t="shared" si="3"/>
        <v>0</v>
      </c>
      <c r="AA34" s="244">
        <f>'7.0 önkormányzat össz'!C34</f>
        <v>125000000</v>
      </c>
      <c r="AB34" s="244">
        <f>'7.0 önkormányzat össz'!D34</f>
        <v>0</v>
      </c>
      <c r="AC34" s="247">
        <f t="shared" si="4"/>
        <v>125000000</v>
      </c>
      <c r="AD34" s="244">
        <f>'7.0 önkormányzat össz'!F34</f>
        <v>125000000</v>
      </c>
      <c r="AE34" s="244">
        <f>'7.0 önkormányzat össz'!G34</f>
        <v>0</v>
      </c>
      <c r="AF34" s="247">
        <f t="shared" si="5"/>
        <v>125000000</v>
      </c>
      <c r="AG34" s="244">
        <f ca="1">'7.0 önkormányzat össz'!I34</f>
        <v>136396988</v>
      </c>
      <c r="AH34" s="244">
        <f>'7.0 önkormányzat össz'!J34</f>
        <v>0</v>
      </c>
      <c r="AI34" s="247">
        <f t="shared" ca="1" si="6"/>
        <v>136396988</v>
      </c>
      <c r="AJ34" s="244">
        <f ca="1">'7.0 önkormányzat össz'!L34</f>
        <v>138483448</v>
      </c>
      <c r="AK34" s="244">
        <f>'7.0 önkormányzat össz'!M34</f>
        <v>0</v>
      </c>
      <c r="AL34" s="247">
        <f t="shared" ca="1" si="7"/>
        <v>138483448</v>
      </c>
      <c r="AM34" s="244">
        <f t="shared" si="8"/>
        <v>125000000</v>
      </c>
      <c r="AN34" s="244">
        <f t="shared" si="9"/>
        <v>0</v>
      </c>
      <c r="AO34" s="245">
        <f t="shared" si="10"/>
        <v>125000000</v>
      </c>
      <c r="AP34" s="244">
        <f t="shared" si="11"/>
        <v>125000000</v>
      </c>
      <c r="AQ34" s="244">
        <f t="shared" si="12"/>
        <v>0</v>
      </c>
      <c r="AR34" s="245">
        <f t="shared" si="13"/>
        <v>125000000</v>
      </c>
      <c r="AS34" s="329">
        <f t="shared" ca="1" si="14"/>
        <v>136396988</v>
      </c>
      <c r="AT34" s="329">
        <f t="shared" si="15"/>
        <v>0</v>
      </c>
      <c r="AU34" s="253">
        <f t="shared" ca="1" si="16"/>
        <v>136396988</v>
      </c>
      <c r="AV34" s="329">
        <f t="shared" ca="1" si="17"/>
        <v>138483448</v>
      </c>
      <c r="AW34" s="329">
        <f t="shared" si="18"/>
        <v>0</v>
      </c>
      <c r="AX34" s="647">
        <f t="shared" ca="1" si="19"/>
        <v>138483448</v>
      </c>
    </row>
    <row r="35" spans="1:53" ht="15.75" thickBot="1" x14ac:dyDescent="0.3">
      <c r="A35" s="27"/>
      <c r="B35" s="62" t="s">
        <v>83</v>
      </c>
      <c r="C35" s="246">
        <f>'5.0 hivatal'!C35</f>
        <v>0</v>
      </c>
      <c r="D35" s="246">
        <f>'5.0 hivatal'!D35</f>
        <v>0</v>
      </c>
      <c r="E35" s="247">
        <f t="shared" si="20"/>
        <v>0</v>
      </c>
      <c r="F35" s="246">
        <f>'5.0 hivatal'!F35</f>
        <v>0</v>
      </c>
      <c r="G35" s="246">
        <f>'5.0 hivatal'!G35</f>
        <v>0</v>
      </c>
      <c r="H35" s="247">
        <f t="shared" si="21"/>
        <v>0</v>
      </c>
      <c r="I35" s="246">
        <f>'5.0 hivatal'!I35</f>
        <v>0</v>
      </c>
      <c r="J35" s="246">
        <f>'5.0 hivatal'!J35</f>
        <v>0</v>
      </c>
      <c r="K35" s="247">
        <f t="shared" si="22"/>
        <v>0</v>
      </c>
      <c r="L35" s="246">
        <f>'5.0 hivatal'!L35</f>
        <v>0</v>
      </c>
      <c r="M35" s="246">
        <f>'5.0 hivatal'!M35</f>
        <v>0</v>
      </c>
      <c r="N35" s="247">
        <f t="shared" si="23"/>
        <v>0</v>
      </c>
      <c r="O35" s="244">
        <f>'6.0 hksk'!C35</f>
        <v>0</v>
      </c>
      <c r="P35" s="244">
        <f>'6.0 hksk'!D35</f>
        <v>0</v>
      </c>
      <c r="Q35" s="247">
        <f t="shared" si="0"/>
        <v>0</v>
      </c>
      <c r="R35" s="244">
        <f>'6.0 hksk'!F35</f>
        <v>0</v>
      </c>
      <c r="S35" s="244">
        <f>'6.0 hksk'!G35</f>
        <v>0</v>
      </c>
      <c r="T35" s="247">
        <f t="shared" si="1"/>
        <v>0</v>
      </c>
      <c r="U35" s="244">
        <f>'6.0 hksk'!I35</f>
        <v>0</v>
      </c>
      <c r="V35" s="244">
        <f>'6.0 hksk'!J35</f>
        <v>0</v>
      </c>
      <c r="W35" s="247">
        <f t="shared" si="2"/>
        <v>0</v>
      </c>
      <c r="X35" s="244">
        <f>'6.0 hksk'!L35</f>
        <v>0</v>
      </c>
      <c r="Y35" s="244">
        <f>'6.0 hksk'!M35</f>
        <v>0</v>
      </c>
      <c r="Z35" s="247">
        <f t="shared" si="3"/>
        <v>0</v>
      </c>
      <c r="AA35" s="244">
        <f>'7.0 önkormányzat össz'!C35</f>
        <v>125000000</v>
      </c>
      <c r="AB35" s="244">
        <f>'7.0 önkormányzat össz'!D35</f>
        <v>0</v>
      </c>
      <c r="AC35" s="247">
        <f t="shared" si="4"/>
        <v>125000000</v>
      </c>
      <c r="AD35" s="244">
        <f>'7.0 önkormányzat össz'!F35</f>
        <v>125000000</v>
      </c>
      <c r="AE35" s="244">
        <f>'7.0 önkormányzat össz'!G35</f>
        <v>0</v>
      </c>
      <c r="AF35" s="247">
        <f t="shared" si="5"/>
        <v>125000000</v>
      </c>
      <c r="AG35" s="244">
        <f ca="1">'7.0 önkormányzat össz'!I35</f>
        <v>136396988</v>
      </c>
      <c r="AH35" s="244">
        <f>'7.0 önkormányzat össz'!J35</f>
        <v>0</v>
      </c>
      <c r="AI35" s="247">
        <f t="shared" ca="1" si="6"/>
        <v>136396988</v>
      </c>
      <c r="AJ35" s="244">
        <f ca="1">'7.0 önkormányzat össz'!L35</f>
        <v>138479959</v>
      </c>
      <c r="AK35" s="244">
        <f>'7.0 önkormányzat össz'!M35</f>
        <v>0</v>
      </c>
      <c r="AL35" s="247">
        <f t="shared" ca="1" si="7"/>
        <v>138479959</v>
      </c>
      <c r="AM35" s="244">
        <f t="shared" si="8"/>
        <v>125000000</v>
      </c>
      <c r="AN35" s="244">
        <f t="shared" si="9"/>
        <v>0</v>
      </c>
      <c r="AO35" s="245">
        <f t="shared" si="10"/>
        <v>125000000</v>
      </c>
      <c r="AP35" s="244">
        <f t="shared" si="11"/>
        <v>125000000</v>
      </c>
      <c r="AQ35" s="244">
        <f t="shared" si="12"/>
        <v>0</v>
      </c>
      <c r="AR35" s="245">
        <f t="shared" si="13"/>
        <v>125000000</v>
      </c>
      <c r="AS35" s="329">
        <f t="shared" ca="1" si="14"/>
        <v>136396988</v>
      </c>
      <c r="AT35" s="329">
        <f t="shared" si="15"/>
        <v>0</v>
      </c>
      <c r="AU35" s="253">
        <f t="shared" ca="1" si="16"/>
        <v>136396988</v>
      </c>
      <c r="AV35" s="329">
        <f t="shared" ca="1" si="17"/>
        <v>138479959</v>
      </c>
      <c r="AW35" s="329">
        <f t="shared" si="18"/>
        <v>0</v>
      </c>
      <c r="AX35" s="647">
        <f t="shared" ca="1" si="19"/>
        <v>138479959</v>
      </c>
    </row>
    <row r="36" spans="1:53" ht="15.75" thickBot="1" x14ac:dyDescent="0.3">
      <c r="A36" s="27"/>
      <c r="B36" s="62" t="s">
        <v>84</v>
      </c>
      <c r="C36" s="246">
        <f>'5.0 hivatal'!C36</f>
        <v>0</v>
      </c>
      <c r="D36" s="246">
        <f>'5.0 hivatal'!D36</f>
        <v>0</v>
      </c>
      <c r="E36" s="247">
        <f t="shared" si="20"/>
        <v>0</v>
      </c>
      <c r="F36" s="246">
        <f>'5.0 hivatal'!F36</f>
        <v>0</v>
      </c>
      <c r="G36" s="246">
        <f>'5.0 hivatal'!G36</f>
        <v>0</v>
      </c>
      <c r="H36" s="247">
        <f t="shared" si="21"/>
        <v>0</v>
      </c>
      <c r="I36" s="246">
        <f>'5.0 hivatal'!I36</f>
        <v>0</v>
      </c>
      <c r="J36" s="246">
        <f>'5.0 hivatal'!J36</f>
        <v>0</v>
      </c>
      <c r="K36" s="247">
        <f t="shared" si="22"/>
        <v>0</v>
      </c>
      <c r="L36" s="246">
        <f>'5.0 hivatal'!L36</f>
        <v>0</v>
      </c>
      <c r="M36" s="246">
        <f>'5.0 hivatal'!M36</f>
        <v>0</v>
      </c>
      <c r="N36" s="247">
        <f t="shared" si="23"/>
        <v>0</v>
      </c>
      <c r="O36" s="244">
        <f>'6.0 hksk'!C36</f>
        <v>0</v>
      </c>
      <c r="P36" s="244">
        <f>'6.0 hksk'!D36</f>
        <v>0</v>
      </c>
      <c r="Q36" s="247">
        <f t="shared" si="0"/>
        <v>0</v>
      </c>
      <c r="R36" s="244">
        <f>'6.0 hksk'!F36</f>
        <v>0</v>
      </c>
      <c r="S36" s="244">
        <f>'6.0 hksk'!G36</f>
        <v>0</v>
      </c>
      <c r="T36" s="247">
        <f t="shared" si="1"/>
        <v>0</v>
      </c>
      <c r="U36" s="244">
        <f>'6.0 hksk'!I36</f>
        <v>0</v>
      </c>
      <c r="V36" s="244">
        <f>'6.0 hksk'!J36</f>
        <v>0</v>
      </c>
      <c r="W36" s="247">
        <f t="shared" si="2"/>
        <v>0</v>
      </c>
      <c r="X36" s="244">
        <f>'6.0 hksk'!L36</f>
        <v>0</v>
      </c>
      <c r="Y36" s="244">
        <f>'6.0 hksk'!M36</f>
        <v>0</v>
      </c>
      <c r="Z36" s="247">
        <f t="shared" si="3"/>
        <v>0</v>
      </c>
      <c r="AA36" s="244">
        <f>'7.0 önkormányzat össz'!C36</f>
        <v>0</v>
      </c>
      <c r="AB36" s="244">
        <f>'7.0 önkormányzat össz'!D36</f>
        <v>0</v>
      </c>
      <c r="AC36" s="247">
        <f t="shared" si="4"/>
        <v>0</v>
      </c>
      <c r="AD36" s="244">
        <f>'7.0 önkormányzat össz'!F36</f>
        <v>0</v>
      </c>
      <c r="AE36" s="244">
        <f>'7.0 önkormányzat össz'!G36</f>
        <v>0</v>
      </c>
      <c r="AF36" s="247">
        <f t="shared" si="5"/>
        <v>0</v>
      </c>
      <c r="AG36" s="244">
        <f ca="1">'7.0 önkormányzat össz'!I36</f>
        <v>0</v>
      </c>
      <c r="AH36" s="244">
        <f>'7.0 önkormányzat össz'!J36</f>
        <v>0</v>
      </c>
      <c r="AI36" s="247">
        <f t="shared" ca="1" si="6"/>
        <v>0</v>
      </c>
      <c r="AJ36" s="244">
        <f ca="1">'7.0 önkormányzat össz'!L36</f>
        <v>0</v>
      </c>
      <c r="AK36" s="244">
        <f>'7.0 önkormányzat össz'!M36</f>
        <v>0</v>
      </c>
      <c r="AL36" s="247">
        <f t="shared" ca="1" si="7"/>
        <v>0</v>
      </c>
      <c r="AM36" s="244">
        <f t="shared" si="8"/>
        <v>0</v>
      </c>
      <c r="AN36" s="244">
        <f t="shared" si="9"/>
        <v>0</v>
      </c>
      <c r="AO36" s="245">
        <f t="shared" si="10"/>
        <v>0</v>
      </c>
      <c r="AP36" s="244">
        <f t="shared" si="11"/>
        <v>0</v>
      </c>
      <c r="AQ36" s="244">
        <f t="shared" si="12"/>
        <v>0</v>
      </c>
      <c r="AR36" s="245">
        <f t="shared" si="13"/>
        <v>0</v>
      </c>
      <c r="AS36" s="329">
        <f t="shared" ca="1" si="14"/>
        <v>0</v>
      </c>
      <c r="AT36" s="329">
        <f t="shared" si="15"/>
        <v>0</v>
      </c>
      <c r="AU36" s="253">
        <f t="shared" ca="1" si="16"/>
        <v>0</v>
      </c>
      <c r="AV36" s="329">
        <f t="shared" ca="1" si="17"/>
        <v>0</v>
      </c>
      <c r="AW36" s="329">
        <f t="shared" si="18"/>
        <v>0</v>
      </c>
      <c r="AX36" s="647">
        <f t="shared" ca="1" si="19"/>
        <v>0</v>
      </c>
    </row>
    <row r="37" spans="1:53" ht="15.75" thickBot="1" x14ac:dyDescent="0.3">
      <c r="A37" s="27"/>
      <c r="B37" s="62" t="s">
        <v>85</v>
      </c>
      <c r="C37" s="246">
        <f>'5.0 hivatal'!C37</f>
        <v>0</v>
      </c>
      <c r="D37" s="246">
        <f>'5.0 hivatal'!D37</f>
        <v>0</v>
      </c>
      <c r="E37" s="247">
        <f t="shared" si="20"/>
        <v>0</v>
      </c>
      <c r="F37" s="246">
        <f>'5.0 hivatal'!F37</f>
        <v>0</v>
      </c>
      <c r="G37" s="246">
        <f>'5.0 hivatal'!G37</f>
        <v>0</v>
      </c>
      <c r="H37" s="247">
        <f t="shared" si="21"/>
        <v>0</v>
      </c>
      <c r="I37" s="246">
        <f>'5.0 hivatal'!I37</f>
        <v>0</v>
      </c>
      <c r="J37" s="246">
        <f>'5.0 hivatal'!J37</f>
        <v>0</v>
      </c>
      <c r="K37" s="247">
        <f t="shared" si="22"/>
        <v>0</v>
      </c>
      <c r="L37" s="246">
        <f>'5.0 hivatal'!L37</f>
        <v>0</v>
      </c>
      <c r="M37" s="246">
        <f>'5.0 hivatal'!M37</f>
        <v>0</v>
      </c>
      <c r="N37" s="247">
        <f t="shared" si="23"/>
        <v>0</v>
      </c>
      <c r="O37" s="244">
        <f>'6.0 hksk'!C37</f>
        <v>0</v>
      </c>
      <c r="P37" s="244">
        <f>'6.0 hksk'!D37</f>
        <v>0</v>
      </c>
      <c r="Q37" s="247">
        <f t="shared" si="0"/>
        <v>0</v>
      </c>
      <c r="R37" s="244">
        <f>'6.0 hksk'!F37</f>
        <v>0</v>
      </c>
      <c r="S37" s="244">
        <f>'6.0 hksk'!G37</f>
        <v>0</v>
      </c>
      <c r="T37" s="247">
        <f t="shared" si="1"/>
        <v>0</v>
      </c>
      <c r="U37" s="244">
        <f>'6.0 hksk'!I37</f>
        <v>0</v>
      </c>
      <c r="V37" s="244">
        <f>'6.0 hksk'!J37</f>
        <v>0</v>
      </c>
      <c r="W37" s="247">
        <f t="shared" si="2"/>
        <v>0</v>
      </c>
      <c r="X37" s="244">
        <f>'6.0 hksk'!L37</f>
        <v>0</v>
      </c>
      <c r="Y37" s="244">
        <f>'6.0 hksk'!M37</f>
        <v>0</v>
      </c>
      <c r="Z37" s="247">
        <f t="shared" si="3"/>
        <v>0</v>
      </c>
      <c r="AA37" s="244">
        <f>'7.0 önkormányzat össz'!C37</f>
        <v>0</v>
      </c>
      <c r="AB37" s="244">
        <f>'7.0 önkormányzat össz'!D37</f>
        <v>0</v>
      </c>
      <c r="AC37" s="247">
        <f t="shared" si="4"/>
        <v>0</v>
      </c>
      <c r="AD37" s="244">
        <f>'7.0 önkormányzat össz'!F37</f>
        <v>0</v>
      </c>
      <c r="AE37" s="244">
        <f>'7.0 önkormányzat össz'!G37</f>
        <v>0</v>
      </c>
      <c r="AF37" s="247">
        <f t="shared" si="5"/>
        <v>0</v>
      </c>
      <c r="AG37" s="244">
        <f ca="1">'7.0 önkormányzat össz'!I37</f>
        <v>0</v>
      </c>
      <c r="AH37" s="244">
        <f>'7.0 önkormányzat össz'!J37</f>
        <v>0</v>
      </c>
      <c r="AI37" s="247">
        <f t="shared" ca="1" si="6"/>
        <v>0</v>
      </c>
      <c r="AJ37" s="244">
        <f ca="1">'7.0 önkormányzat össz'!L37</f>
        <v>3489</v>
      </c>
      <c r="AK37" s="244">
        <f>'7.0 önkormányzat össz'!M37</f>
        <v>0</v>
      </c>
      <c r="AL37" s="247">
        <f t="shared" ca="1" si="7"/>
        <v>3489</v>
      </c>
      <c r="AM37" s="244">
        <f t="shared" si="8"/>
        <v>0</v>
      </c>
      <c r="AN37" s="244">
        <f t="shared" si="9"/>
        <v>0</v>
      </c>
      <c r="AO37" s="245">
        <f t="shared" si="10"/>
        <v>0</v>
      </c>
      <c r="AP37" s="244">
        <f t="shared" si="11"/>
        <v>0</v>
      </c>
      <c r="AQ37" s="244">
        <f t="shared" si="12"/>
        <v>0</v>
      </c>
      <c r="AR37" s="245">
        <f t="shared" si="13"/>
        <v>0</v>
      </c>
      <c r="AS37" s="329">
        <f t="shared" ca="1" si="14"/>
        <v>0</v>
      </c>
      <c r="AT37" s="329">
        <f t="shared" si="15"/>
        <v>0</v>
      </c>
      <c r="AU37" s="253">
        <f t="shared" ca="1" si="16"/>
        <v>0</v>
      </c>
      <c r="AV37" s="329">
        <f t="shared" ca="1" si="17"/>
        <v>3489</v>
      </c>
      <c r="AW37" s="329">
        <f t="shared" si="18"/>
        <v>0</v>
      </c>
      <c r="AX37" s="647">
        <f t="shared" ca="1" si="19"/>
        <v>3489</v>
      </c>
    </row>
    <row r="38" spans="1:53" ht="15.75" thickBot="1" x14ac:dyDescent="0.3">
      <c r="A38" s="27" t="s">
        <v>86</v>
      </c>
      <c r="B38" s="62" t="s">
        <v>87</v>
      </c>
      <c r="C38" s="246">
        <f>'5.0 hivatal'!C38</f>
        <v>0</v>
      </c>
      <c r="D38" s="246">
        <f>'5.0 hivatal'!D38</f>
        <v>0</v>
      </c>
      <c r="E38" s="247">
        <f t="shared" si="20"/>
        <v>0</v>
      </c>
      <c r="F38" s="246">
        <f>'5.0 hivatal'!F38</f>
        <v>0</v>
      </c>
      <c r="G38" s="246">
        <f>'5.0 hivatal'!G38</f>
        <v>0</v>
      </c>
      <c r="H38" s="247">
        <f t="shared" si="21"/>
        <v>0</v>
      </c>
      <c r="I38" s="246">
        <f>'5.0 hivatal'!I38</f>
        <v>0</v>
      </c>
      <c r="J38" s="246">
        <f>'5.0 hivatal'!J38</f>
        <v>0</v>
      </c>
      <c r="K38" s="247">
        <f t="shared" si="22"/>
        <v>0</v>
      </c>
      <c r="L38" s="246">
        <f>'5.0 hivatal'!L38</f>
        <v>1800</v>
      </c>
      <c r="M38" s="246">
        <f>'5.0 hivatal'!M38</f>
        <v>0</v>
      </c>
      <c r="N38" s="247">
        <f t="shared" si="23"/>
        <v>1800</v>
      </c>
      <c r="O38" s="244">
        <f>'6.0 hksk'!C38</f>
        <v>0</v>
      </c>
      <c r="P38" s="244">
        <f>'6.0 hksk'!D38</f>
        <v>0</v>
      </c>
      <c r="Q38" s="247">
        <f t="shared" si="0"/>
        <v>0</v>
      </c>
      <c r="R38" s="244">
        <f>'6.0 hksk'!F38</f>
        <v>0</v>
      </c>
      <c r="S38" s="244">
        <f>'6.0 hksk'!G38</f>
        <v>0</v>
      </c>
      <c r="T38" s="247">
        <f t="shared" si="1"/>
        <v>0</v>
      </c>
      <c r="U38" s="244">
        <f>'6.0 hksk'!I38</f>
        <v>0</v>
      </c>
      <c r="V38" s="244">
        <f>'6.0 hksk'!J38</f>
        <v>0</v>
      </c>
      <c r="W38" s="247">
        <f t="shared" si="2"/>
        <v>0</v>
      </c>
      <c r="X38" s="244">
        <f>'6.0 hksk'!L38</f>
        <v>0</v>
      </c>
      <c r="Y38" s="244">
        <f>'6.0 hksk'!M38</f>
        <v>0</v>
      </c>
      <c r="Z38" s="247">
        <f t="shared" si="3"/>
        <v>0</v>
      </c>
      <c r="AA38" s="244">
        <f>'7.0 önkormányzat össz'!C38</f>
        <v>12000000</v>
      </c>
      <c r="AB38" s="244">
        <f>'7.0 önkormányzat össz'!D38</f>
        <v>0</v>
      </c>
      <c r="AC38" s="247">
        <f t="shared" si="4"/>
        <v>12000000</v>
      </c>
      <c r="AD38" s="244">
        <f>'7.0 önkormányzat össz'!F38</f>
        <v>12000000</v>
      </c>
      <c r="AE38" s="244">
        <f>'7.0 önkormányzat össz'!G38</f>
        <v>0</v>
      </c>
      <c r="AF38" s="247">
        <f t="shared" si="5"/>
        <v>12000000</v>
      </c>
      <c r="AG38" s="244">
        <f ca="1">'7.0 önkormányzat össz'!I38</f>
        <v>12000000</v>
      </c>
      <c r="AH38" s="244">
        <f>'7.0 önkormányzat össz'!J38</f>
        <v>0</v>
      </c>
      <c r="AI38" s="247">
        <f t="shared" ca="1" si="6"/>
        <v>12000000</v>
      </c>
      <c r="AJ38" s="244">
        <f ca="1">'7.0 önkormányzat össz'!L38</f>
        <v>13089268</v>
      </c>
      <c r="AK38" s="244">
        <f>'7.0 önkormányzat össz'!M38</f>
        <v>0</v>
      </c>
      <c r="AL38" s="247">
        <f t="shared" ca="1" si="7"/>
        <v>13089268</v>
      </c>
      <c r="AM38" s="244">
        <f t="shared" si="8"/>
        <v>12000000</v>
      </c>
      <c r="AN38" s="244">
        <f t="shared" si="9"/>
        <v>0</v>
      </c>
      <c r="AO38" s="245">
        <f t="shared" si="10"/>
        <v>12000000</v>
      </c>
      <c r="AP38" s="244">
        <f t="shared" si="11"/>
        <v>12000000</v>
      </c>
      <c r="AQ38" s="244">
        <f t="shared" si="12"/>
        <v>0</v>
      </c>
      <c r="AR38" s="245">
        <f t="shared" si="13"/>
        <v>12000000</v>
      </c>
      <c r="AS38" s="329">
        <f t="shared" ca="1" si="14"/>
        <v>12000000</v>
      </c>
      <c r="AT38" s="329">
        <f t="shared" si="15"/>
        <v>0</v>
      </c>
      <c r="AU38" s="253">
        <f t="shared" ca="1" si="16"/>
        <v>12000000</v>
      </c>
      <c r="AV38" s="329">
        <f t="shared" ca="1" si="17"/>
        <v>13091068</v>
      </c>
      <c r="AW38" s="329">
        <f t="shared" si="18"/>
        <v>0</v>
      </c>
      <c r="AX38" s="647">
        <f t="shared" ca="1" si="19"/>
        <v>13091068</v>
      </c>
    </row>
    <row r="39" spans="1:53" ht="15.75" thickBot="1" x14ac:dyDescent="0.3">
      <c r="A39" s="27"/>
      <c r="B39" s="62" t="s">
        <v>88</v>
      </c>
      <c r="C39" s="246">
        <f>'5.0 hivatal'!C39</f>
        <v>0</v>
      </c>
      <c r="D39" s="246">
        <f>'5.0 hivatal'!D39</f>
        <v>0</v>
      </c>
      <c r="E39" s="247">
        <f t="shared" si="20"/>
        <v>0</v>
      </c>
      <c r="F39" s="246">
        <f>'5.0 hivatal'!F39</f>
        <v>0</v>
      </c>
      <c r="G39" s="246">
        <f>'5.0 hivatal'!G39</f>
        <v>0</v>
      </c>
      <c r="H39" s="247">
        <f t="shared" si="21"/>
        <v>0</v>
      </c>
      <c r="I39" s="246">
        <f>'5.0 hivatal'!I39</f>
        <v>0</v>
      </c>
      <c r="J39" s="246">
        <f>'5.0 hivatal'!J39</f>
        <v>0</v>
      </c>
      <c r="K39" s="247">
        <f t="shared" si="22"/>
        <v>0</v>
      </c>
      <c r="L39" s="246">
        <f>'5.0 hivatal'!L39</f>
        <v>1800</v>
      </c>
      <c r="M39" s="246">
        <f>'5.0 hivatal'!M39</f>
        <v>0</v>
      </c>
      <c r="N39" s="247">
        <f t="shared" si="23"/>
        <v>1800</v>
      </c>
      <c r="O39" s="244">
        <f>'6.0 hksk'!C39</f>
        <v>0</v>
      </c>
      <c r="P39" s="244">
        <f>'6.0 hksk'!D39</f>
        <v>0</v>
      </c>
      <c r="Q39" s="247">
        <f t="shared" si="0"/>
        <v>0</v>
      </c>
      <c r="R39" s="244">
        <f>'6.0 hksk'!F39</f>
        <v>0</v>
      </c>
      <c r="S39" s="244">
        <f>'6.0 hksk'!G39</f>
        <v>0</v>
      </c>
      <c r="T39" s="247">
        <f t="shared" si="1"/>
        <v>0</v>
      </c>
      <c r="U39" s="244">
        <f>'6.0 hksk'!I39</f>
        <v>0</v>
      </c>
      <c r="V39" s="244">
        <f>'6.0 hksk'!J39</f>
        <v>0</v>
      </c>
      <c r="W39" s="247">
        <f t="shared" si="2"/>
        <v>0</v>
      </c>
      <c r="X39" s="244">
        <f>'6.0 hksk'!L39</f>
        <v>0</v>
      </c>
      <c r="Y39" s="244">
        <f>'6.0 hksk'!M39</f>
        <v>0</v>
      </c>
      <c r="Z39" s="247">
        <f t="shared" si="3"/>
        <v>0</v>
      </c>
      <c r="AA39" s="244">
        <f>'7.0 önkormányzat össz'!C39</f>
        <v>0</v>
      </c>
      <c r="AB39" s="244">
        <f>'7.0 önkormányzat össz'!D39</f>
        <v>0</v>
      </c>
      <c r="AC39" s="247">
        <f t="shared" si="4"/>
        <v>0</v>
      </c>
      <c r="AD39" s="244">
        <f>'7.0 önkormányzat össz'!F39</f>
        <v>0</v>
      </c>
      <c r="AE39" s="244">
        <f>'7.0 önkormányzat össz'!G39</f>
        <v>0</v>
      </c>
      <c r="AF39" s="247">
        <f t="shared" si="5"/>
        <v>0</v>
      </c>
      <c r="AG39" s="244">
        <f ca="1">'7.0 önkormányzat össz'!I39</f>
        <v>0</v>
      </c>
      <c r="AH39" s="244">
        <f>'7.0 önkormányzat össz'!J39</f>
        <v>0</v>
      </c>
      <c r="AI39" s="247">
        <f t="shared" ca="1" si="6"/>
        <v>0</v>
      </c>
      <c r="AJ39" s="244">
        <f ca="1">'7.0 önkormányzat össz'!L39</f>
        <v>0</v>
      </c>
      <c r="AK39" s="244">
        <f>'7.0 önkormányzat össz'!M39</f>
        <v>0</v>
      </c>
      <c r="AL39" s="247">
        <f t="shared" ca="1" si="7"/>
        <v>0</v>
      </c>
      <c r="AM39" s="244">
        <f t="shared" si="8"/>
        <v>0</v>
      </c>
      <c r="AN39" s="244">
        <f t="shared" si="9"/>
        <v>0</v>
      </c>
      <c r="AO39" s="245">
        <f t="shared" si="10"/>
        <v>0</v>
      </c>
      <c r="AP39" s="244">
        <f t="shared" si="11"/>
        <v>0</v>
      </c>
      <c r="AQ39" s="244">
        <f t="shared" si="12"/>
        <v>0</v>
      </c>
      <c r="AR39" s="245">
        <f t="shared" si="13"/>
        <v>0</v>
      </c>
      <c r="AS39" s="329">
        <f t="shared" ca="1" si="14"/>
        <v>0</v>
      </c>
      <c r="AT39" s="329">
        <f t="shared" si="15"/>
        <v>0</v>
      </c>
      <c r="AU39" s="253">
        <f t="shared" ca="1" si="16"/>
        <v>0</v>
      </c>
      <c r="AV39" s="329">
        <f t="shared" ca="1" si="17"/>
        <v>1800</v>
      </c>
      <c r="AW39" s="329">
        <f t="shared" si="18"/>
        <v>0</v>
      </c>
      <c r="AX39" s="647">
        <f t="shared" ca="1" si="19"/>
        <v>1800</v>
      </c>
    </row>
    <row r="40" spans="1:53" ht="15.75" thickBot="1" x14ac:dyDescent="0.3">
      <c r="A40" s="27"/>
      <c r="B40" s="62" t="s">
        <v>89</v>
      </c>
      <c r="C40" s="246">
        <f>'5.0 hivatal'!C40</f>
        <v>0</v>
      </c>
      <c r="D40" s="246">
        <f>'5.0 hivatal'!D40</f>
        <v>0</v>
      </c>
      <c r="E40" s="247">
        <f t="shared" si="20"/>
        <v>0</v>
      </c>
      <c r="F40" s="246">
        <f>'5.0 hivatal'!F40</f>
        <v>0</v>
      </c>
      <c r="G40" s="246">
        <f>'5.0 hivatal'!G40</f>
        <v>0</v>
      </c>
      <c r="H40" s="247">
        <f t="shared" si="21"/>
        <v>0</v>
      </c>
      <c r="I40" s="246">
        <f>'5.0 hivatal'!I40</f>
        <v>0</v>
      </c>
      <c r="J40" s="246">
        <f>'5.0 hivatal'!J40</f>
        <v>0</v>
      </c>
      <c r="K40" s="247">
        <f t="shared" si="22"/>
        <v>0</v>
      </c>
      <c r="L40" s="246">
        <f>'5.0 hivatal'!L40</f>
        <v>0</v>
      </c>
      <c r="M40" s="246">
        <f>'5.0 hivatal'!M40</f>
        <v>0</v>
      </c>
      <c r="N40" s="247">
        <f t="shared" si="23"/>
        <v>0</v>
      </c>
      <c r="O40" s="244">
        <f>'6.0 hksk'!C40</f>
        <v>0</v>
      </c>
      <c r="P40" s="244">
        <f>'6.0 hksk'!D40</f>
        <v>0</v>
      </c>
      <c r="Q40" s="247">
        <f t="shared" si="0"/>
        <v>0</v>
      </c>
      <c r="R40" s="244">
        <f>'6.0 hksk'!F40</f>
        <v>0</v>
      </c>
      <c r="S40" s="244">
        <f>'6.0 hksk'!G40</f>
        <v>0</v>
      </c>
      <c r="T40" s="247">
        <f t="shared" si="1"/>
        <v>0</v>
      </c>
      <c r="U40" s="244">
        <f>'6.0 hksk'!I40</f>
        <v>0</v>
      </c>
      <c r="V40" s="244">
        <f>'6.0 hksk'!J40</f>
        <v>0</v>
      </c>
      <c r="W40" s="247">
        <f t="shared" si="2"/>
        <v>0</v>
      </c>
      <c r="X40" s="244">
        <f>'6.0 hksk'!L40</f>
        <v>0</v>
      </c>
      <c r="Y40" s="244">
        <f>'6.0 hksk'!M40</f>
        <v>0</v>
      </c>
      <c r="Z40" s="247">
        <f t="shared" si="3"/>
        <v>0</v>
      </c>
      <c r="AA40" s="244">
        <f>'7.0 önkormányzat össz'!C40</f>
        <v>0</v>
      </c>
      <c r="AB40" s="244">
        <f>'7.0 önkormányzat össz'!D40</f>
        <v>0</v>
      </c>
      <c r="AC40" s="247">
        <f t="shared" si="4"/>
        <v>0</v>
      </c>
      <c r="AD40" s="244">
        <f>'7.0 önkormányzat össz'!F40</f>
        <v>0</v>
      </c>
      <c r="AE40" s="244">
        <f>'7.0 önkormányzat össz'!G40</f>
        <v>0</v>
      </c>
      <c r="AF40" s="247">
        <f t="shared" si="5"/>
        <v>0</v>
      </c>
      <c r="AG40" s="244">
        <f ca="1">'7.0 önkormányzat össz'!I40</f>
        <v>0</v>
      </c>
      <c r="AH40" s="244">
        <f>'7.0 önkormányzat össz'!J40</f>
        <v>0</v>
      </c>
      <c r="AI40" s="247">
        <f t="shared" ca="1" si="6"/>
        <v>0</v>
      </c>
      <c r="AJ40" s="244">
        <f ca="1">'7.0 önkormányzat össz'!L40</f>
        <v>0</v>
      </c>
      <c r="AK40" s="244">
        <f>'7.0 önkormányzat össz'!M40</f>
        <v>0</v>
      </c>
      <c r="AL40" s="247">
        <f t="shared" ca="1" si="7"/>
        <v>0</v>
      </c>
      <c r="AM40" s="244">
        <f t="shared" si="8"/>
        <v>0</v>
      </c>
      <c r="AN40" s="244">
        <f t="shared" si="9"/>
        <v>0</v>
      </c>
      <c r="AO40" s="245">
        <f t="shared" si="10"/>
        <v>0</v>
      </c>
      <c r="AP40" s="244">
        <f t="shared" si="11"/>
        <v>0</v>
      </c>
      <c r="AQ40" s="244">
        <f t="shared" si="12"/>
        <v>0</v>
      </c>
      <c r="AR40" s="245">
        <f t="shared" si="13"/>
        <v>0</v>
      </c>
      <c r="AS40" s="329">
        <f t="shared" ca="1" si="14"/>
        <v>0</v>
      </c>
      <c r="AT40" s="329">
        <f t="shared" si="15"/>
        <v>0</v>
      </c>
      <c r="AU40" s="253">
        <f t="shared" ca="1" si="16"/>
        <v>0</v>
      </c>
      <c r="AV40" s="329">
        <f t="shared" ca="1" si="17"/>
        <v>0</v>
      </c>
      <c r="AW40" s="329">
        <f t="shared" si="18"/>
        <v>0</v>
      </c>
      <c r="AX40" s="647">
        <f t="shared" ca="1" si="19"/>
        <v>0</v>
      </c>
    </row>
    <row r="41" spans="1:53" ht="15.75" thickBot="1" x14ac:dyDescent="0.3">
      <c r="A41" s="27"/>
      <c r="B41" s="62" t="s">
        <v>90</v>
      </c>
      <c r="C41" s="246">
        <f>'5.0 hivatal'!C41</f>
        <v>0</v>
      </c>
      <c r="D41" s="246">
        <f>'5.0 hivatal'!D41</f>
        <v>0</v>
      </c>
      <c r="E41" s="247">
        <f t="shared" ref="E41:E73" si="24">SUM(C41:D41)</f>
        <v>0</v>
      </c>
      <c r="F41" s="246">
        <f>'5.0 hivatal'!F41</f>
        <v>0</v>
      </c>
      <c r="G41" s="246">
        <f>'5.0 hivatal'!G41</f>
        <v>0</v>
      </c>
      <c r="H41" s="247">
        <f t="shared" si="21"/>
        <v>0</v>
      </c>
      <c r="I41" s="246">
        <f>'5.0 hivatal'!I41</f>
        <v>0</v>
      </c>
      <c r="J41" s="246">
        <f>'5.0 hivatal'!J41</f>
        <v>0</v>
      </c>
      <c r="K41" s="247">
        <f t="shared" si="22"/>
        <v>0</v>
      </c>
      <c r="L41" s="246">
        <f>'5.0 hivatal'!L41</f>
        <v>0</v>
      </c>
      <c r="M41" s="246">
        <f>'5.0 hivatal'!M41</f>
        <v>0</v>
      </c>
      <c r="N41" s="247">
        <f t="shared" si="23"/>
        <v>0</v>
      </c>
      <c r="O41" s="244">
        <f>'6.0 hksk'!C41</f>
        <v>0</v>
      </c>
      <c r="P41" s="244">
        <f>'6.0 hksk'!D41</f>
        <v>0</v>
      </c>
      <c r="Q41" s="247">
        <f t="shared" si="0"/>
        <v>0</v>
      </c>
      <c r="R41" s="244">
        <f>'6.0 hksk'!F41</f>
        <v>0</v>
      </c>
      <c r="S41" s="244">
        <f>'6.0 hksk'!G41</f>
        <v>0</v>
      </c>
      <c r="T41" s="247">
        <f t="shared" si="1"/>
        <v>0</v>
      </c>
      <c r="U41" s="244">
        <f>'6.0 hksk'!I41</f>
        <v>0</v>
      </c>
      <c r="V41" s="244">
        <f>'6.0 hksk'!J41</f>
        <v>0</v>
      </c>
      <c r="W41" s="247">
        <f t="shared" si="2"/>
        <v>0</v>
      </c>
      <c r="X41" s="244">
        <f>'6.0 hksk'!L41</f>
        <v>0</v>
      </c>
      <c r="Y41" s="244">
        <f>'6.0 hksk'!M41</f>
        <v>0</v>
      </c>
      <c r="Z41" s="247">
        <f t="shared" si="3"/>
        <v>0</v>
      </c>
      <c r="AA41" s="244">
        <f>'7.0 önkormányzat össz'!C41</f>
        <v>0</v>
      </c>
      <c r="AB41" s="244">
        <f>'7.0 önkormányzat össz'!D41</f>
        <v>0</v>
      </c>
      <c r="AC41" s="247">
        <f t="shared" si="4"/>
        <v>0</v>
      </c>
      <c r="AD41" s="244">
        <f>'7.0 önkormányzat össz'!F41</f>
        <v>0</v>
      </c>
      <c r="AE41" s="244">
        <f>'7.0 önkormányzat össz'!G41</f>
        <v>0</v>
      </c>
      <c r="AF41" s="247">
        <f t="shared" si="5"/>
        <v>0</v>
      </c>
      <c r="AG41" s="244">
        <f ca="1">'7.0 önkormányzat össz'!I41</f>
        <v>0</v>
      </c>
      <c r="AH41" s="244">
        <f>'7.0 önkormányzat össz'!J41</f>
        <v>0</v>
      </c>
      <c r="AI41" s="247">
        <f t="shared" ca="1" si="6"/>
        <v>0</v>
      </c>
      <c r="AJ41" s="244">
        <f ca="1">'7.0 önkormányzat össz'!L41</f>
        <v>0</v>
      </c>
      <c r="AK41" s="244">
        <f>'7.0 önkormányzat össz'!M41</f>
        <v>0</v>
      </c>
      <c r="AL41" s="247">
        <f t="shared" ca="1" si="7"/>
        <v>0</v>
      </c>
      <c r="AM41" s="244">
        <f t="shared" ref="AM41:AM72" si="25">C41+O41+AA41</f>
        <v>0</v>
      </c>
      <c r="AN41" s="244">
        <f t="shared" ref="AN41:AN72" si="26">D41+P41+AB41</f>
        <v>0</v>
      </c>
      <c r="AO41" s="245">
        <f t="shared" ref="AO41:AO72" si="27">E41+Q41+AC41</f>
        <v>0</v>
      </c>
      <c r="AP41" s="244">
        <f t="shared" ref="AP41:AP72" si="28">F41+R41+AD41</f>
        <v>0</v>
      </c>
      <c r="AQ41" s="244">
        <f t="shared" ref="AQ41:AQ72" si="29">G41+S41+AE41</f>
        <v>0</v>
      </c>
      <c r="AR41" s="245">
        <f t="shared" ref="AR41:AR72" si="30">H41+T41+AF41</f>
        <v>0</v>
      </c>
      <c r="AS41" s="329">
        <f t="shared" ref="AS41:AS72" ca="1" si="31">I41+U41+AG41</f>
        <v>0</v>
      </c>
      <c r="AT41" s="329">
        <f t="shared" ref="AT41:AT72" si="32">J41+V41+AH41</f>
        <v>0</v>
      </c>
      <c r="AU41" s="253">
        <f t="shared" ref="AU41:AU72" ca="1" si="33">K41+W41+AI41</f>
        <v>0</v>
      </c>
      <c r="AV41" s="329">
        <f t="shared" ref="AV41:AV72" ca="1" si="34">L41+X41+AJ41</f>
        <v>0</v>
      </c>
      <c r="AW41" s="329">
        <f t="shared" ref="AW41:AW72" si="35">M41+Y41+AK41</f>
        <v>0</v>
      </c>
      <c r="AX41" s="647">
        <f t="shared" ref="AX41:AX72" ca="1" si="36">N41+Z41+AL41</f>
        <v>0</v>
      </c>
    </row>
    <row r="42" spans="1:53" ht="15.75" thickBot="1" x14ac:dyDescent="0.3">
      <c r="A42" s="27"/>
      <c r="B42" s="62" t="s">
        <v>91</v>
      </c>
      <c r="C42" s="246">
        <f>'5.0 hivatal'!C42</f>
        <v>0</v>
      </c>
      <c r="D42" s="246">
        <f>'5.0 hivatal'!D42</f>
        <v>0</v>
      </c>
      <c r="E42" s="247">
        <f t="shared" si="24"/>
        <v>0</v>
      </c>
      <c r="F42" s="246">
        <f>'5.0 hivatal'!F42</f>
        <v>0</v>
      </c>
      <c r="G42" s="246">
        <f>'5.0 hivatal'!G42</f>
        <v>0</v>
      </c>
      <c r="H42" s="247">
        <f t="shared" si="21"/>
        <v>0</v>
      </c>
      <c r="I42" s="246">
        <f>'5.0 hivatal'!I42</f>
        <v>0</v>
      </c>
      <c r="J42" s="246">
        <f>'5.0 hivatal'!J42</f>
        <v>0</v>
      </c>
      <c r="K42" s="247">
        <f t="shared" si="22"/>
        <v>0</v>
      </c>
      <c r="L42" s="246">
        <f>'5.0 hivatal'!L42</f>
        <v>0</v>
      </c>
      <c r="M42" s="246">
        <f>'5.0 hivatal'!M42</f>
        <v>0</v>
      </c>
      <c r="N42" s="247">
        <f t="shared" si="23"/>
        <v>0</v>
      </c>
      <c r="O42" s="244">
        <f>'6.0 hksk'!C42</f>
        <v>0</v>
      </c>
      <c r="P42" s="244">
        <f>'6.0 hksk'!D42</f>
        <v>0</v>
      </c>
      <c r="Q42" s="247">
        <f t="shared" si="0"/>
        <v>0</v>
      </c>
      <c r="R42" s="244">
        <f>'6.0 hksk'!F42</f>
        <v>0</v>
      </c>
      <c r="S42" s="244">
        <f>'6.0 hksk'!G42</f>
        <v>0</v>
      </c>
      <c r="T42" s="247">
        <f t="shared" si="1"/>
        <v>0</v>
      </c>
      <c r="U42" s="244">
        <f>'6.0 hksk'!I42</f>
        <v>0</v>
      </c>
      <c r="V42" s="244">
        <f>'6.0 hksk'!J42</f>
        <v>0</v>
      </c>
      <c r="W42" s="247">
        <f t="shared" si="2"/>
        <v>0</v>
      </c>
      <c r="X42" s="244">
        <f>'6.0 hksk'!L42</f>
        <v>0</v>
      </c>
      <c r="Y42" s="244">
        <f>'6.0 hksk'!M42</f>
        <v>0</v>
      </c>
      <c r="Z42" s="247">
        <f t="shared" si="3"/>
        <v>0</v>
      </c>
      <c r="AA42" s="244">
        <f>'7.0 önkormányzat össz'!C42</f>
        <v>11000000</v>
      </c>
      <c r="AB42" s="244">
        <f>'7.0 önkormányzat össz'!D42</f>
        <v>0</v>
      </c>
      <c r="AC42" s="247">
        <f t="shared" si="4"/>
        <v>11000000</v>
      </c>
      <c r="AD42" s="244">
        <f>'7.0 önkormányzat össz'!F42</f>
        <v>11000000</v>
      </c>
      <c r="AE42" s="244">
        <f>'7.0 önkormányzat össz'!G42</f>
        <v>0</v>
      </c>
      <c r="AF42" s="247">
        <f t="shared" si="5"/>
        <v>11000000</v>
      </c>
      <c r="AG42" s="244">
        <f ca="1">'7.0 önkormányzat össz'!I42</f>
        <v>11000000</v>
      </c>
      <c r="AH42" s="244">
        <f>'7.0 önkormányzat össz'!J42</f>
        <v>0</v>
      </c>
      <c r="AI42" s="247">
        <f t="shared" ca="1" si="6"/>
        <v>11000000</v>
      </c>
      <c r="AJ42" s="244">
        <f ca="1">'7.0 önkormányzat össz'!L42</f>
        <v>10560317</v>
      </c>
      <c r="AK42" s="244">
        <f>'7.0 önkormányzat össz'!M42</f>
        <v>0</v>
      </c>
      <c r="AL42" s="247">
        <f t="shared" ca="1" si="7"/>
        <v>10560317</v>
      </c>
      <c r="AM42" s="244">
        <f t="shared" si="25"/>
        <v>11000000</v>
      </c>
      <c r="AN42" s="244">
        <f t="shared" si="26"/>
        <v>0</v>
      </c>
      <c r="AO42" s="245">
        <f t="shared" si="27"/>
        <v>11000000</v>
      </c>
      <c r="AP42" s="244">
        <f t="shared" si="28"/>
        <v>11000000</v>
      </c>
      <c r="AQ42" s="244">
        <f t="shared" si="29"/>
        <v>0</v>
      </c>
      <c r="AR42" s="245">
        <f t="shared" si="30"/>
        <v>11000000</v>
      </c>
      <c r="AS42" s="329">
        <f t="shared" ca="1" si="31"/>
        <v>11000000</v>
      </c>
      <c r="AT42" s="329">
        <f t="shared" si="32"/>
        <v>0</v>
      </c>
      <c r="AU42" s="253">
        <f t="shared" ca="1" si="33"/>
        <v>11000000</v>
      </c>
      <c r="AV42" s="329">
        <f t="shared" ca="1" si="34"/>
        <v>10560317</v>
      </c>
      <c r="AW42" s="329">
        <f t="shared" si="35"/>
        <v>0</v>
      </c>
      <c r="AX42" s="647">
        <f t="shared" ca="1" si="36"/>
        <v>10560317</v>
      </c>
    </row>
    <row r="43" spans="1:53" ht="15.75" thickBot="1" x14ac:dyDescent="0.3">
      <c r="A43" s="27"/>
      <c r="B43" s="62" t="s">
        <v>92</v>
      </c>
      <c r="C43" s="246">
        <f>'5.0 hivatal'!C43</f>
        <v>0</v>
      </c>
      <c r="D43" s="246">
        <f>'5.0 hivatal'!D43</f>
        <v>0</v>
      </c>
      <c r="E43" s="247">
        <f t="shared" si="24"/>
        <v>0</v>
      </c>
      <c r="F43" s="246">
        <f>'5.0 hivatal'!F43</f>
        <v>0</v>
      </c>
      <c r="G43" s="246">
        <f>'5.0 hivatal'!G43</f>
        <v>0</v>
      </c>
      <c r="H43" s="247">
        <f t="shared" si="21"/>
        <v>0</v>
      </c>
      <c r="I43" s="246">
        <f>'5.0 hivatal'!I43</f>
        <v>0</v>
      </c>
      <c r="J43" s="246">
        <f>'5.0 hivatal'!J43</f>
        <v>0</v>
      </c>
      <c r="K43" s="247">
        <f t="shared" si="22"/>
        <v>0</v>
      </c>
      <c r="L43" s="246">
        <f>'5.0 hivatal'!L43</f>
        <v>0</v>
      </c>
      <c r="M43" s="246">
        <f>'5.0 hivatal'!M43</f>
        <v>0</v>
      </c>
      <c r="N43" s="247">
        <f t="shared" si="23"/>
        <v>0</v>
      </c>
      <c r="O43" s="244">
        <f>'6.0 hksk'!C43</f>
        <v>0</v>
      </c>
      <c r="P43" s="244">
        <f>'6.0 hksk'!D43</f>
        <v>0</v>
      </c>
      <c r="Q43" s="247">
        <f t="shared" si="0"/>
        <v>0</v>
      </c>
      <c r="R43" s="244">
        <f>'6.0 hksk'!F43</f>
        <v>0</v>
      </c>
      <c r="S43" s="244">
        <f>'6.0 hksk'!G43</f>
        <v>0</v>
      </c>
      <c r="T43" s="247">
        <f t="shared" si="1"/>
        <v>0</v>
      </c>
      <c r="U43" s="244">
        <f>'6.0 hksk'!I43</f>
        <v>0</v>
      </c>
      <c r="V43" s="244">
        <f>'6.0 hksk'!J43</f>
        <v>0</v>
      </c>
      <c r="W43" s="247">
        <f t="shared" si="2"/>
        <v>0</v>
      </c>
      <c r="X43" s="244">
        <f>'6.0 hksk'!L43</f>
        <v>0</v>
      </c>
      <c r="Y43" s="244">
        <f>'6.0 hksk'!M43</f>
        <v>0</v>
      </c>
      <c r="Z43" s="247">
        <f t="shared" si="3"/>
        <v>0</v>
      </c>
      <c r="AA43" s="244">
        <f>'7.0 önkormányzat össz'!C43</f>
        <v>0</v>
      </c>
      <c r="AB43" s="244">
        <f>'7.0 önkormányzat össz'!D43</f>
        <v>0</v>
      </c>
      <c r="AC43" s="247">
        <f t="shared" si="4"/>
        <v>0</v>
      </c>
      <c r="AD43" s="244">
        <f>'7.0 önkormányzat össz'!F43</f>
        <v>0</v>
      </c>
      <c r="AE43" s="244">
        <f>'7.0 önkormányzat össz'!G43</f>
        <v>0</v>
      </c>
      <c r="AF43" s="247">
        <f t="shared" si="5"/>
        <v>0</v>
      </c>
      <c r="AG43" s="244">
        <f ca="1">'7.0 önkormányzat össz'!I43</f>
        <v>0</v>
      </c>
      <c r="AH43" s="244">
        <f>'7.0 önkormányzat össz'!J43</f>
        <v>0</v>
      </c>
      <c r="AI43" s="247">
        <f t="shared" ca="1" si="6"/>
        <v>0</v>
      </c>
      <c r="AJ43" s="244">
        <f ca="1">'7.0 önkormányzat össz'!L43</f>
        <v>0</v>
      </c>
      <c r="AK43" s="244">
        <f>'7.0 önkormányzat össz'!M43</f>
        <v>0</v>
      </c>
      <c r="AL43" s="247">
        <f t="shared" ca="1" si="7"/>
        <v>0</v>
      </c>
      <c r="AM43" s="244">
        <f t="shared" si="25"/>
        <v>0</v>
      </c>
      <c r="AN43" s="244">
        <f t="shared" si="26"/>
        <v>0</v>
      </c>
      <c r="AO43" s="245">
        <f t="shared" si="27"/>
        <v>0</v>
      </c>
      <c r="AP43" s="244">
        <f t="shared" si="28"/>
        <v>0</v>
      </c>
      <c r="AQ43" s="244">
        <f t="shared" si="29"/>
        <v>0</v>
      </c>
      <c r="AR43" s="245">
        <f t="shared" si="30"/>
        <v>0</v>
      </c>
      <c r="AS43" s="329">
        <f t="shared" ca="1" si="31"/>
        <v>0</v>
      </c>
      <c r="AT43" s="329">
        <f t="shared" si="32"/>
        <v>0</v>
      </c>
      <c r="AU43" s="253">
        <f t="shared" ca="1" si="33"/>
        <v>0</v>
      </c>
      <c r="AV43" s="329">
        <f t="shared" ca="1" si="34"/>
        <v>0</v>
      </c>
      <c r="AW43" s="329">
        <f t="shared" si="35"/>
        <v>0</v>
      </c>
      <c r="AX43" s="647">
        <f t="shared" ca="1" si="36"/>
        <v>0</v>
      </c>
    </row>
    <row r="44" spans="1:53" ht="15.75" thickBot="1" x14ac:dyDescent="0.3">
      <c r="A44" s="28"/>
      <c r="B44" s="64" t="s">
        <v>93</v>
      </c>
      <c r="C44" s="248">
        <f>'5.0 hivatal'!C44</f>
        <v>0</v>
      </c>
      <c r="D44" s="248">
        <f>'5.0 hivatal'!D44</f>
        <v>0</v>
      </c>
      <c r="E44" s="249">
        <f t="shared" si="24"/>
        <v>0</v>
      </c>
      <c r="F44" s="248">
        <f>'5.0 hivatal'!F44</f>
        <v>0</v>
      </c>
      <c r="G44" s="248">
        <f>'5.0 hivatal'!G44</f>
        <v>0</v>
      </c>
      <c r="H44" s="249">
        <f t="shared" si="21"/>
        <v>0</v>
      </c>
      <c r="I44" s="248">
        <f>'5.0 hivatal'!I44</f>
        <v>0</v>
      </c>
      <c r="J44" s="248">
        <f>'5.0 hivatal'!J44</f>
        <v>0</v>
      </c>
      <c r="K44" s="249">
        <f t="shared" si="22"/>
        <v>0</v>
      </c>
      <c r="L44" s="248">
        <f>'5.0 hivatal'!L44</f>
        <v>0</v>
      </c>
      <c r="M44" s="248">
        <f>'5.0 hivatal'!M44</f>
        <v>0</v>
      </c>
      <c r="N44" s="249">
        <f t="shared" si="23"/>
        <v>0</v>
      </c>
      <c r="O44" s="248">
        <f>'6.0 hksk'!C44</f>
        <v>0</v>
      </c>
      <c r="P44" s="248">
        <f>'6.0 hksk'!D44</f>
        <v>0</v>
      </c>
      <c r="Q44" s="249">
        <f t="shared" si="0"/>
        <v>0</v>
      </c>
      <c r="R44" s="248">
        <f>'6.0 hksk'!F44</f>
        <v>0</v>
      </c>
      <c r="S44" s="248">
        <f>'6.0 hksk'!G44</f>
        <v>0</v>
      </c>
      <c r="T44" s="249">
        <f t="shared" si="1"/>
        <v>0</v>
      </c>
      <c r="U44" s="248">
        <f>'6.0 hksk'!I44</f>
        <v>0</v>
      </c>
      <c r="V44" s="248">
        <f>'6.0 hksk'!J44</f>
        <v>0</v>
      </c>
      <c r="W44" s="249">
        <f t="shared" si="2"/>
        <v>0</v>
      </c>
      <c r="X44" s="248">
        <f>'6.0 hksk'!L44</f>
        <v>0</v>
      </c>
      <c r="Y44" s="248">
        <f>'6.0 hksk'!M44</f>
        <v>0</v>
      </c>
      <c r="Z44" s="249">
        <f t="shared" si="3"/>
        <v>0</v>
      </c>
      <c r="AA44" s="248">
        <f>'7.0 önkormányzat össz'!C44</f>
        <v>0</v>
      </c>
      <c r="AB44" s="248">
        <f>'7.0 önkormányzat össz'!D44</f>
        <v>0</v>
      </c>
      <c r="AC44" s="249">
        <f t="shared" si="4"/>
        <v>0</v>
      </c>
      <c r="AD44" s="248">
        <f>'7.0 önkormányzat össz'!F44</f>
        <v>0</v>
      </c>
      <c r="AE44" s="248">
        <f>'7.0 önkormányzat össz'!G44</f>
        <v>0</v>
      </c>
      <c r="AF44" s="249">
        <f t="shared" si="5"/>
        <v>0</v>
      </c>
      <c r="AG44" s="248">
        <f ca="1">'7.0 önkormányzat össz'!I44</f>
        <v>0</v>
      </c>
      <c r="AH44" s="248">
        <f>'7.0 önkormányzat össz'!J44</f>
        <v>0</v>
      </c>
      <c r="AI44" s="249">
        <f t="shared" ca="1" si="6"/>
        <v>0</v>
      </c>
      <c r="AJ44" s="248">
        <f ca="1">'7.0 önkormányzat össz'!L44</f>
        <v>0</v>
      </c>
      <c r="AK44" s="248">
        <f>'7.0 önkormányzat össz'!M44</f>
        <v>0</v>
      </c>
      <c r="AL44" s="249">
        <f t="shared" ca="1" si="7"/>
        <v>0</v>
      </c>
      <c r="AM44" s="248">
        <f t="shared" si="25"/>
        <v>0</v>
      </c>
      <c r="AN44" s="248">
        <f t="shared" si="26"/>
        <v>0</v>
      </c>
      <c r="AO44" s="249">
        <f t="shared" si="27"/>
        <v>0</v>
      </c>
      <c r="AP44" s="248">
        <f t="shared" si="28"/>
        <v>0</v>
      </c>
      <c r="AQ44" s="248">
        <f t="shared" si="29"/>
        <v>0</v>
      </c>
      <c r="AR44" s="249">
        <f t="shared" si="30"/>
        <v>0</v>
      </c>
      <c r="AS44" s="329">
        <f t="shared" ca="1" si="31"/>
        <v>0</v>
      </c>
      <c r="AT44" s="329">
        <f t="shared" si="32"/>
        <v>0</v>
      </c>
      <c r="AU44" s="253">
        <f t="shared" ca="1" si="33"/>
        <v>0</v>
      </c>
      <c r="AV44" s="329">
        <f t="shared" ca="1" si="34"/>
        <v>0</v>
      </c>
      <c r="AW44" s="329">
        <f t="shared" si="35"/>
        <v>0</v>
      </c>
      <c r="AX44" s="647">
        <f t="shared" ca="1" si="36"/>
        <v>0</v>
      </c>
    </row>
    <row r="45" spans="1:53" ht="15.75" thickBot="1" x14ac:dyDescent="0.3">
      <c r="A45" s="26" t="s">
        <v>94</v>
      </c>
      <c r="B45" s="48" t="s">
        <v>26</v>
      </c>
      <c r="C45" s="244">
        <f>'5.0 hivatal'!C45</f>
        <v>420000</v>
      </c>
      <c r="D45" s="244">
        <f>'5.0 hivatal'!D45</f>
        <v>0</v>
      </c>
      <c r="E45" s="245">
        <f t="shared" si="24"/>
        <v>420000</v>
      </c>
      <c r="F45" s="244">
        <f>'5.0 hivatal'!F45</f>
        <v>420000</v>
      </c>
      <c r="G45" s="244">
        <f>'5.0 hivatal'!G45</f>
        <v>0</v>
      </c>
      <c r="H45" s="245">
        <f t="shared" si="21"/>
        <v>420000</v>
      </c>
      <c r="I45" s="244">
        <f>'5.0 hivatal'!I45</f>
        <v>420000</v>
      </c>
      <c r="J45" s="244">
        <f>'5.0 hivatal'!J45</f>
        <v>0</v>
      </c>
      <c r="K45" s="245">
        <f t="shared" si="22"/>
        <v>420000</v>
      </c>
      <c r="L45" s="244">
        <f>'5.0 hivatal'!L45</f>
        <v>298215</v>
      </c>
      <c r="M45" s="244">
        <f>'5.0 hivatal'!M45</f>
        <v>0</v>
      </c>
      <c r="N45" s="245">
        <f t="shared" si="23"/>
        <v>298215</v>
      </c>
      <c r="O45" s="244">
        <f>'6.0 hksk'!C45</f>
        <v>18935490</v>
      </c>
      <c r="P45" s="244">
        <f>'6.0 hksk'!D45</f>
        <v>0</v>
      </c>
      <c r="Q45" s="245">
        <f t="shared" si="0"/>
        <v>18935490</v>
      </c>
      <c r="R45" s="244">
        <f>'6.0 hksk'!F45</f>
        <v>21473055</v>
      </c>
      <c r="S45" s="244">
        <f>'6.0 hksk'!G45</f>
        <v>0</v>
      </c>
      <c r="T45" s="245">
        <f t="shared" si="1"/>
        <v>21473055</v>
      </c>
      <c r="U45" s="244">
        <f>'6.0 hksk'!I45</f>
        <v>21689057</v>
      </c>
      <c r="V45" s="244">
        <f>'6.0 hksk'!J45</f>
        <v>0</v>
      </c>
      <c r="W45" s="245">
        <f t="shared" si="2"/>
        <v>21689057</v>
      </c>
      <c r="X45" s="244">
        <f>'6.0 hksk'!L45</f>
        <v>12927148</v>
      </c>
      <c r="Y45" s="244">
        <f>'6.0 hksk'!M45</f>
        <v>0</v>
      </c>
      <c r="Z45" s="245">
        <f t="shared" si="3"/>
        <v>12927148</v>
      </c>
      <c r="AA45" s="244">
        <f>'7.0 önkormányzat össz'!C45</f>
        <v>142600000</v>
      </c>
      <c r="AB45" s="244">
        <f>'7.0 önkormányzat össz'!D45</f>
        <v>0</v>
      </c>
      <c r="AC45" s="245">
        <f t="shared" si="4"/>
        <v>142600000</v>
      </c>
      <c r="AD45" s="244">
        <f>'7.0 önkormányzat össz'!F45</f>
        <v>145094650</v>
      </c>
      <c r="AE45" s="244">
        <f>'7.0 önkormányzat össz'!G45</f>
        <v>0</v>
      </c>
      <c r="AF45" s="245">
        <f t="shared" si="5"/>
        <v>145094650</v>
      </c>
      <c r="AG45" s="244">
        <f ca="1">'7.0 önkormányzat össz'!I45</f>
        <v>147285480</v>
      </c>
      <c r="AH45" s="244">
        <f>'7.0 önkormányzat össz'!J45</f>
        <v>0</v>
      </c>
      <c r="AI45" s="245">
        <f t="shared" ca="1" si="6"/>
        <v>147285480</v>
      </c>
      <c r="AJ45" s="244">
        <f ca="1">'7.0 önkormányzat össz'!L45</f>
        <v>143781572</v>
      </c>
      <c r="AK45" s="244">
        <f>'7.0 önkormányzat össz'!M45</f>
        <v>0</v>
      </c>
      <c r="AL45" s="245">
        <f t="shared" ca="1" si="7"/>
        <v>143781572</v>
      </c>
      <c r="AM45" s="244">
        <f t="shared" si="25"/>
        <v>161955490</v>
      </c>
      <c r="AN45" s="244">
        <f t="shared" si="26"/>
        <v>0</v>
      </c>
      <c r="AO45" s="367">
        <f t="shared" si="27"/>
        <v>161955490</v>
      </c>
      <c r="AP45" s="244">
        <f t="shared" si="28"/>
        <v>166987705</v>
      </c>
      <c r="AQ45" s="244">
        <f t="shared" si="29"/>
        <v>0</v>
      </c>
      <c r="AR45" s="367">
        <f t="shared" si="30"/>
        <v>166987705</v>
      </c>
      <c r="AS45" s="329">
        <f t="shared" ca="1" si="31"/>
        <v>169394537</v>
      </c>
      <c r="AT45" s="329">
        <f t="shared" si="32"/>
        <v>0</v>
      </c>
      <c r="AU45" s="253">
        <f t="shared" ca="1" si="33"/>
        <v>169394537</v>
      </c>
      <c r="AV45" s="329">
        <f t="shared" ca="1" si="34"/>
        <v>157006935</v>
      </c>
      <c r="AW45" s="329">
        <f t="shared" si="35"/>
        <v>0</v>
      </c>
      <c r="AX45" s="647">
        <f t="shared" ca="1" si="36"/>
        <v>157006935</v>
      </c>
      <c r="BA45" s="148"/>
    </row>
    <row r="46" spans="1:53" ht="15.75" thickBot="1" x14ac:dyDescent="0.3">
      <c r="A46" s="27" t="s">
        <v>95</v>
      </c>
      <c r="B46" s="62" t="s">
        <v>96</v>
      </c>
      <c r="C46" s="246">
        <f>'5.0 hivatal'!C46</f>
        <v>0</v>
      </c>
      <c r="D46" s="246">
        <f>'5.0 hivatal'!D46</f>
        <v>0</v>
      </c>
      <c r="E46" s="247">
        <f t="shared" si="24"/>
        <v>0</v>
      </c>
      <c r="F46" s="246">
        <f>'5.0 hivatal'!F46</f>
        <v>0</v>
      </c>
      <c r="G46" s="246">
        <f>'5.0 hivatal'!G46</f>
        <v>0</v>
      </c>
      <c r="H46" s="247">
        <f t="shared" si="21"/>
        <v>0</v>
      </c>
      <c r="I46" s="246">
        <f>'5.0 hivatal'!I46</f>
        <v>0</v>
      </c>
      <c r="J46" s="246">
        <f>'5.0 hivatal'!J46</f>
        <v>0</v>
      </c>
      <c r="K46" s="247">
        <f t="shared" si="22"/>
        <v>0</v>
      </c>
      <c r="L46" s="246">
        <f>'5.0 hivatal'!L46</f>
        <v>0</v>
      </c>
      <c r="M46" s="246">
        <f>'5.0 hivatal'!M46</f>
        <v>0</v>
      </c>
      <c r="N46" s="247">
        <f t="shared" si="23"/>
        <v>0</v>
      </c>
      <c r="O46" s="244">
        <f>'6.0 hksk'!C46</f>
        <v>341515</v>
      </c>
      <c r="P46" s="244">
        <f>'6.0 hksk'!D46</f>
        <v>0</v>
      </c>
      <c r="Q46" s="247">
        <f t="shared" si="0"/>
        <v>341515</v>
      </c>
      <c r="R46" s="244">
        <f>'6.0 hksk'!F46</f>
        <v>341515</v>
      </c>
      <c r="S46" s="244">
        <f>'6.0 hksk'!G46</f>
        <v>0</v>
      </c>
      <c r="T46" s="247">
        <f t="shared" si="1"/>
        <v>341515</v>
      </c>
      <c r="U46" s="244">
        <f>'6.0 hksk'!I46</f>
        <v>341515</v>
      </c>
      <c r="V46" s="244">
        <f>'6.0 hksk'!J46</f>
        <v>0</v>
      </c>
      <c r="W46" s="247">
        <f t="shared" si="2"/>
        <v>341515</v>
      </c>
      <c r="X46" s="244">
        <f>'6.0 hksk'!L46</f>
        <v>339852</v>
      </c>
      <c r="Y46" s="244">
        <f>'6.0 hksk'!M46</f>
        <v>0</v>
      </c>
      <c r="Z46" s="247">
        <f t="shared" si="3"/>
        <v>339852</v>
      </c>
      <c r="AA46" s="244">
        <f>'7.0 önkormányzat össz'!C46</f>
        <v>0</v>
      </c>
      <c r="AB46" s="244">
        <f>'7.0 önkormányzat össz'!D46</f>
        <v>0</v>
      </c>
      <c r="AC46" s="247">
        <f t="shared" si="4"/>
        <v>0</v>
      </c>
      <c r="AD46" s="244">
        <f>'7.0 önkormányzat össz'!F46</f>
        <v>0</v>
      </c>
      <c r="AE46" s="244">
        <f>'7.0 önkormányzat össz'!G46</f>
        <v>0</v>
      </c>
      <c r="AF46" s="247">
        <f t="shared" si="5"/>
        <v>0</v>
      </c>
      <c r="AG46" s="244">
        <f ca="1">'7.0 önkormányzat össz'!I46</f>
        <v>0</v>
      </c>
      <c r="AH46" s="244">
        <f>'7.0 önkormányzat össz'!J46</f>
        <v>0</v>
      </c>
      <c r="AI46" s="247">
        <f t="shared" ca="1" si="6"/>
        <v>0</v>
      </c>
      <c r="AJ46" s="244">
        <f ca="1">'7.0 önkormányzat össz'!L46</f>
        <v>0</v>
      </c>
      <c r="AK46" s="244">
        <f>'7.0 önkormányzat össz'!M46</f>
        <v>0</v>
      </c>
      <c r="AL46" s="247">
        <f t="shared" ca="1" si="7"/>
        <v>0</v>
      </c>
      <c r="AM46" s="244">
        <f t="shared" si="25"/>
        <v>341515</v>
      </c>
      <c r="AN46" s="244">
        <f t="shared" si="26"/>
        <v>0</v>
      </c>
      <c r="AO46" s="245">
        <f t="shared" si="27"/>
        <v>341515</v>
      </c>
      <c r="AP46" s="244">
        <f t="shared" si="28"/>
        <v>341515</v>
      </c>
      <c r="AQ46" s="244">
        <f t="shared" si="29"/>
        <v>0</v>
      </c>
      <c r="AR46" s="245">
        <f t="shared" si="30"/>
        <v>341515</v>
      </c>
      <c r="AS46" s="329">
        <f t="shared" ca="1" si="31"/>
        <v>341515</v>
      </c>
      <c r="AT46" s="329">
        <f t="shared" si="32"/>
        <v>0</v>
      </c>
      <c r="AU46" s="253">
        <f t="shared" ca="1" si="33"/>
        <v>341515</v>
      </c>
      <c r="AV46" s="329">
        <f t="shared" ca="1" si="34"/>
        <v>339852</v>
      </c>
      <c r="AW46" s="329">
        <f t="shared" si="35"/>
        <v>0</v>
      </c>
      <c r="AX46" s="647">
        <f t="shared" ca="1" si="36"/>
        <v>339852</v>
      </c>
    </row>
    <row r="47" spans="1:53" ht="15.75" thickBot="1" x14ac:dyDescent="0.3">
      <c r="A47" s="27" t="s">
        <v>97</v>
      </c>
      <c r="B47" s="62" t="s">
        <v>98</v>
      </c>
      <c r="C47" s="246">
        <f>'5.0 hivatal'!C47</f>
        <v>300000</v>
      </c>
      <c r="D47" s="246">
        <f>'5.0 hivatal'!D47</f>
        <v>0</v>
      </c>
      <c r="E47" s="247">
        <f t="shared" si="24"/>
        <v>300000</v>
      </c>
      <c r="F47" s="246">
        <f>'5.0 hivatal'!F47</f>
        <v>300000</v>
      </c>
      <c r="G47" s="246">
        <f>'5.0 hivatal'!G47</f>
        <v>0</v>
      </c>
      <c r="H47" s="247">
        <f t="shared" si="21"/>
        <v>300000</v>
      </c>
      <c r="I47" s="246">
        <f>'5.0 hivatal'!I47</f>
        <v>300000</v>
      </c>
      <c r="J47" s="246">
        <f>'5.0 hivatal'!J47</f>
        <v>0</v>
      </c>
      <c r="K47" s="247">
        <f t="shared" si="22"/>
        <v>300000</v>
      </c>
      <c r="L47" s="246">
        <f>'5.0 hivatal'!L47</f>
        <v>234000</v>
      </c>
      <c r="M47" s="246">
        <f>'5.0 hivatal'!M47</f>
        <v>0</v>
      </c>
      <c r="N47" s="247">
        <f t="shared" si="23"/>
        <v>234000</v>
      </c>
      <c r="O47" s="244">
        <f>'6.0 hksk'!C47</f>
        <v>15647716</v>
      </c>
      <c r="P47" s="244">
        <f>'6.0 hksk'!D47</f>
        <v>0</v>
      </c>
      <c r="Q47" s="247">
        <f t="shared" si="0"/>
        <v>15647716</v>
      </c>
      <c r="R47" s="244">
        <f>'6.0 hksk'!F47</f>
        <v>17155503</v>
      </c>
      <c r="S47" s="244">
        <f>'6.0 hksk'!G47</f>
        <v>0</v>
      </c>
      <c r="T47" s="247">
        <f t="shared" si="1"/>
        <v>17155503</v>
      </c>
      <c r="U47" s="244">
        <f>'6.0 hksk'!I47</f>
        <v>17155503</v>
      </c>
      <c r="V47" s="244">
        <f>'6.0 hksk'!J47</f>
        <v>0</v>
      </c>
      <c r="W47" s="247">
        <f t="shared" si="2"/>
        <v>17155503</v>
      </c>
      <c r="X47" s="244">
        <f>'6.0 hksk'!L47</f>
        <v>10626002</v>
      </c>
      <c r="Y47" s="244">
        <f>'6.0 hksk'!M47</f>
        <v>0</v>
      </c>
      <c r="Z47" s="247">
        <f t="shared" si="3"/>
        <v>10626002</v>
      </c>
      <c r="AA47" s="244">
        <f>'7.0 önkormányzat össz'!C47</f>
        <v>101361755</v>
      </c>
      <c r="AB47" s="244">
        <f>'7.0 önkormányzat össz'!D47</f>
        <v>0</v>
      </c>
      <c r="AC47" s="247">
        <f t="shared" si="4"/>
        <v>101361755</v>
      </c>
      <c r="AD47" s="244">
        <f>'7.0 önkormányzat össz'!F47</f>
        <v>101361755</v>
      </c>
      <c r="AE47" s="244">
        <f>'7.0 önkormányzat össz'!G47</f>
        <v>0</v>
      </c>
      <c r="AF47" s="247">
        <f t="shared" si="5"/>
        <v>101361755</v>
      </c>
      <c r="AG47" s="244">
        <f ca="1">'7.0 önkormányzat össz'!I47</f>
        <v>103552585</v>
      </c>
      <c r="AH47" s="244">
        <f>'7.0 önkormányzat össz'!J47</f>
        <v>0</v>
      </c>
      <c r="AI47" s="247">
        <f t="shared" ca="1" si="6"/>
        <v>103552585</v>
      </c>
      <c r="AJ47" s="244">
        <f ca="1">'7.0 önkormányzat össz'!L47</f>
        <v>100220970</v>
      </c>
      <c r="AK47" s="244">
        <f>'7.0 önkormányzat össz'!M47</f>
        <v>0</v>
      </c>
      <c r="AL47" s="247">
        <f t="shared" ca="1" si="7"/>
        <v>100220970</v>
      </c>
      <c r="AM47" s="244">
        <f t="shared" si="25"/>
        <v>117309471</v>
      </c>
      <c r="AN47" s="244">
        <f t="shared" si="26"/>
        <v>0</v>
      </c>
      <c r="AO47" s="245">
        <f t="shared" si="27"/>
        <v>117309471</v>
      </c>
      <c r="AP47" s="244">
        <f t="shared" si="28"/>
        <v>118817258</v>
      </c>
      <c r="AQ47" s="244">
        <f t="shared" si="29"/>
        <v>0</v>
      </c>
      <c r="AR47" s="245">
        <f t="shared" si="30"/>
        <v>118817258</v>
      </c>
      <c r="AS47" s="329">
        <f t="shared" ca="1" si="31"/>
        <v>121008088</v>
      </c>
      <c r="AT47" s="329">
        <f t="shared" si="32"/>
        <v>0</v>
      </c>
      <c r="AU47" s="253">
        <f t="shared" ca="1" si="33"/>
        <v>121008088</v>
      </c>
      <c r="AV47" s="329">
        <f t="shared" ca="1" si="34"/>
        <v>111080972</v>
      </c>
      <c r="AW47" s="329">
        <f t="shared" si="35"/>
        <v>0</v>
      </c>
      <c r="AX47" s="647">
        <f t="shared" ca="1" si="36"/>
        <v>111080972</v>
      </c>
    </row>
    <row r="48" spans="1:53" ht="15.75" thickBot="1" x14ac:dyDescent="0.3">
      <c r="A48" s="27" t="s">
        <v>99</v>
      </c>
      <c r="B48" s="62" t="s">
        <v>100</v>
      </c>
      <c r="C48" s="246">
        <f>'5.0 hivatal'!C48</f>
        <v>120000</v>
      </c>
      <c r="D48" s="246">
        <f>'5.0 hivatal'!D48</f>
        <v>0</v>
      </c>
      <c r="E48" s="247">
        <f t="shared" si="24"/>
        <v>120000</v>
      </c>
      <c r="F48" s="246">
        <f>'5.0 hivatal'!F48</f>
        <v>120000</v>
      </c>
      <c r="G48" s="246">
        <f>'5.0 hivatal'!G48</f>
        <v>0</v>
      </c>
      <c r="H48" s="247">
        <f t="shared" si="21"/>
        <v>120000</v>
      </c>
      <c r="I48" s="246">
        <f>'5.0 hivatal'!I48</f>
        <v>120000</v>
      </c>
      <c r="J48" s="246">
        <f>'5.0 hivatal'!J48</f>
        <v>0</v>
      </c>
      <c r="K48" s="247">
        <f t="shared" si="22"/>
        <v>120000</v>
      </c>
      <c r="L48" s="246">
        <f>'5.0 hivatal'!L48</f>
        <v>63313</v>
      </c>
      <c r="M48" s="246">
        <f>'5.0 hivatal'!M48</f>
        <v>0</v>
      </c>
      <c r="N48" s="247">
        <f t="shared" si="23"/>
        <v>63313</v>
      </c>
      <c r="O48" s="244">
        <f>'6.0 hksk'!C48</f>
        <v>0</v>
      </c>
      <c r="P48" s="244">
        <f>'6.0 hksk'!D48</f>
        <v>0</v>
      </c>
      <c r="Q48" s="247">
        <f t="shared" si="0"/>
        <v>0</v>
      </c>
      <c r="R48" s="244">
        <f>'6.0 hksk'!F48</f>
        <v>0</v>
      </c>
      <c r="S48" s="244">
        <f>'6.0 hksk'!G48</f>
        <v>0</v>
      </c>
      <c r="T48" s="247">
        <f t="shared" si="1"/>
        <v>0</v>
      </c>
      <c r="U48" s="244">
        <f>'6.0 hksk'!I48</f>
        <v>191354</v>
      </c>
      <c r="V48" s="244">
        <f>'6.0 hksk'!J48</f>
        <v>0</v>
      </c>
      <c r="W48" s="247">
        <f t="shared" si="2"/>
        <v>191354</v>
      </c>
      <c r="X48" s="244">
        <f>'6.0 hksk'!L48</f>
        <v>191354</v>
      </c>
      <c r="Y48" s="244">
        <f>'6.0 hksk'!M48</f>
        <v>0</v>
      </c>
      <c r="Z48" s="247">
        <f t="shared" si="3"/>
        <v>191354</v>
      </c>
      <c r="AA48" s="244">
        <f>'7.0 önkormányzat össz'!C48</f>
        <v>6154000</v>
      </c>
      <c r="AB48" s="244">
        <f>'7.0 önkormányzat össz'!D48</f>
        <v>0</v>
      </c>
      <c r="AC48" s="247">
        <f t="shared" si="4"/>
        <v>6154000</v>
      </c>
      <c r="AD48" s="244">
        <f>'7.0 önkormányzat össz'!F48</f>
        <v>6154000</v>
      </c>
      <c r="AE48" s="244">
        <f>'7.0 önkormányzat össz'!G48</f>
        <v>0</v>
      </c>
      <c r="AF48" s="247">
        <f t="shared" si="5"/>
        <v>6154000</v>
      </c>
      <c r="AG48" s="244">
        <f ca="1">'7.0 önkormányzat össz'!I48</f>
        <v>6154000</v>
      </c>
      <c r="AH48" s="244">
        <f>'7.0 önkormányzat össz'!J48</f>
        <v>0</v>
      </c>
      <c r="AI48" s="247">
        <f t="shared" ca="1" si="6"/>
        <v>6154000</v>
      </c>
      <c r="AJ48" s="244">
        <f ca="1">'7.0 önkormányzat össz'!L48</f>
        <v>6606737</v>
      </c>
      <c r="AK48" s="244">
        <f>'7.0 önkormányzat össz'!M48</f>
        <v>0</v>
      </c>
      <c r="AL48" s="247">
        <f t="shared" ca="1" si="7"/>
        <v>6606737</v>
      </c>
      <c r="AM48" s="244">
        <f t="shared" si="25"/>
        <v>6274000</v>
      </c>
      <c r="AN48" s="244">
        <f t="shared" si="26"/>
        <v>0</v>
      </c>
      <c r="AO48" s="245">
        <f t="shared" si="27"/>
        <v>6274000</v>
      </c>
      <c r="AP48" s="244">
        <f t="shared" si="28"/>
        <v>6274000</v>
      </c>
      <c r="AQ48" s="244">
        <f t="shared" si="29"/>
        <v>0</v>
      </c>
      <c r="AR48" s="245">
        <f t="shared" si="30"/>
        <v>6274000</v>
      </c>
      <c r="AS48" s="329">
        <f t="shared" ca="1" si="31"/>
        <v>6465354</v>
      </c>
      <c r="AT48" s="329">
        <f t="shared" si="32"/>
        <v>0</v>
      </c>
      <c r="AU48" s="253">
        <f t="shared" ca="1" si="33"/>
        <v>6465354</v>
      </c>
      <c r="AV48" s="329">
        <f t="shared" ca="1" si="34"/>
        <v>6861404</v>
      </c>
      <c r="AW48" s="329">
        <f t="shared" si="35"/>
        <v>0</v>
      </c>
      <c r="AX48" s="647">
        <f t="shared" ca="1" si="36"/>
        <v>6861404</v>
      </c>
    </row>
    <row r="49" spans="1:53" ht="15.75" thickBot="1" x14ac:dyDescent="0.3">
      <c r="A49" s="27" t="s">
        <v>101</v>
      </c>
      <c r="B49" s="62" t="s">
        <v>102</v>
      </c>
      <c r="C49" s="246">
        <f>'5.0 hivatal'!C49</f>
        <v>0</v>
      </c>
      <c r="D49" s="246">
        <f>'5.0 hivatal'!D49</f>
        <v>0</v>
      </c>
      <c r="E49" s="247">
        <f t="shared" si="24"/>
        <v>0</v>
      </c>
      <c r="F49" s="246">
        <f>'5.0 hivatal'!F49</f>
        <v>0</v>
      </c>
      <c r="G49" s="246">
        <f>'5.0 hivatal'!G49</f>
        <v>0</v>
      </c>
      <c r="H49" s="247">
        <f t="shared" si="21"/>
        <v>0</v>
      </c>
      <c r="I49" s="246">
        <f>'5.0 hivatal'!I49</f>
        <v>0</v>
      </c>
      <c r="J49" s="246">
        <f>'5.0 hivatal'!J49</f>
        <v>0</v>
      </c>
      <c r="K49" s="247">
        <f t="shared" si="22"/>
        <v>0</v>
      </c>
      <c r="L49" s="246">
        <f>'5.0 hivatal'!L49</f>
        <v>0</v>
      </c>
      <c r="M49" s="246">
        <f>'5.0 hivatal'!M49</f>
        <v>0</v>
      </c>
      <c r="N49" s="247">
        <f t="shared" si="23"/>
        <v>0</v>
      </c>
      <c r="O49" s="244">
        <f>'6.0 hksk'!C49</f>
        <v>0</v>
      </c>
      <c r="P49" s="244">
        <f>'6.0 hksk'!D49</f>
        <v>0</v>
      </c>
      <c r="Q49" s="247">
        <f t="shared" si="0"/>
        <v>0</v>
      </c>
      <c r="R49" s="244">
        <f>'6.0 hksk'!F49</f>
        <v>0</v>
      </c>
      <c r="S49" s="244">
        <f>'6.0 hksk'!G49</f>
        <v>0</v>
      </c>
      <c r="T49" s="247">
        <f t="shared" si="1"/>
        <v>0</v>
      </c>
      <c r="U49" s="244">
        <f>'6.0 hksk'!I49</f>
        <v>0</v>
      </c>
      <c r="V49" s="244">
        <f>'6.0 hksk'!J49</f>
        <v>0</v>
      </c>
      <c r="W49" s="247">
        <f t="shared" si="2"/>
        <v>0</v>
      </c>
      <c r="X49" s="244">
        <f>'6.0 hksk'!L49</f>
        <v>0</v>
      </c>
      <c r="Y49" s="244">
        <f>'6.0 hksk'!M49</f>
        <v>0</v>
      </c>
      <c r="Z49" s="247">
        <f t="shared" si="3"/>
        <v>0</v>
      </c>
      <c r="AA49" s="244">
        <f>'7.0 önkormányzat össz'!C49</f>
        <v>9291338</v>
      </c>
      <c r="AB49" s="244">
        <f>'7.0 önkormányzat össz'!D49</f>
        <v>0</v>
      </c>
      <c r="AC49" s="247">
        <f t="shared" si="4"/>
        <v>9291338</v>
      </c>
      <c r="AD49" s="244">
        <f>'7.0 önkormányzat össz'!F49</f>
        <v>9291338</v>
      </c>
      <c r="AE49" s="244">
        <f>'7.0 önkormányzat össz'!G49</f>
        <v>0</v>
      </c>
      <c r="AF49" s="247">
        <f t="shared" si="5"/>
        <v>9291338</v>
      </c>
      <c r="AG49" s="244">
        <f ca="1">'7.0 önkormányzat össz'!I49</f>
        <v>9291338</v>
      </c>
      <c r="AH49" s="244">
        <f>'7.0 önkormányzat össz'!J49</f>
        <v>0</v>
      </c>
      <c r="AI49" s="247">
        <f t="shared" ca="1" si="6"/>
        <v>9291338</v>
      </c>
      <c r="AJ49" s="244">
        <f ca="1">'7.0 önkormányzat össz'!L49</f>
        <v>8476690</v>
      </c>
      <c r="AK49" s="244">
        <f>'7.0 önkormányzat össz'!M49</f>
        <v>0</v>
      </c>
      <c r="AL49" s="247">
        <f t="shared" ca="1" si="7"/>
        <v>8476690</v>
      </c>
      <c r="AM49" s="244">
        <f t="shared" si="25"/>
        <v>9291338</v>
      </c>
      <c r="AN49" s="244">
        <f t="shared" si="26"/>
        <v>0</v>
      </c>
      <c r="AO49" s="245">
        <f t="shared" si="27"/>
        <v>9291338</v>
      </c>
      <c r="AP49" s="244">
        <f t="shared" si="28"/>
        <v>9291338</v>
      </c>
      <c r="AQ49" s="244">
        <f t="shared" si="29"/>
        <v>0</v>
      </c>
      <c r="AR49" s="245">
        <f t="shared" si="30"/>
        <v>9291338</v>
      </c>
      <c r="AS49" s="329">
        <f t="shared" ca="1" si="31"/>
        <v>9291338</v>
      </c>
      <c r="AT49" s="329">
        <f t="shared" si="32"/>
        <v>0</v>
      </c>
      <c r="AU49" s="253">
        <f t="shared" ca="1" si="33"/>
        <v>9291338</v>
      </c>
      <c r="AV49" s="329">
        <f t="shared" ca="1" si="34"/>
        <v>8476690</v>
      </c>
      <c r="AW49" s="329">
        <f t="shared" si="35"/>
        <v>0</v>
      </c>
      <c r="AX49" s="647">
        <f t="shared" ca="1" si="36"/>
        <v>8476690</v>
      </c>
    </row>
    <row r="50" spans="1:53" ht="15.75" thickBot="1" x14ac:dyDescent="0.3">
      <c r="A50" s="27"/>
      <c r="B50" s="62" t="s">
        <v>103</v>
      </c>
      <c r="C50" s="246">
        <f>'5.0 hivatal'!C50</f>
        <v>0</v>
      </c>
      <c r="D50" s="246">
        <f>'5.0 hivatal'!D50</f>
        <v>0</v>
      </c>
      <c r="E50" s="247">
        <f t="shared" si="24"/>
        <v>0</v>
      </c>
      <c r="F50" s="246">
        <f>'5.0 hivatal'!F50</f>
        <v>0</v>
      </c>
      <c r="G50" s="246">
        <f>'5.0 hivatal'!G50</f>
        <v>0</v>
      </c>
      <c r="H50" s="247">
        <f t="shared" si="21"/>
        <v>0</v>
      </c>
      <c r="I50" s="246">
        <f>'5.0 hivatal'!I50</f>
        <v>0</v>
      </c>
      <c r="J50" s="246">
        <f>'5.0 hivatal'!J50</f>
        <v>0</v>
      </c>
      <c r="K50" s="247">
        <f t="shared" si="22"/>
        <v>0</v>
      </c>
      <c r="L50" s="246">
        <f>'5.0 hivatal'!L50</f>
        <v>0</v>
      </c>
      <c r="M50" s="246">
        <f>'5.0 hivatal'!M50</f>
        <v>0</v>
      </c>
      <c r="N50" s="247">
        <f t="shared" si="23"/>
        <v>0</v>
      </c>
      <c r="O50" s="244">
        <f>'6.0 hksk'!C50</f>
        <v>0</v>
      </c>
      <c r="P50" s="244">
        <f>'6.0 hksk'!D50</f>
        <v>0</v>
      </c>
      <c r="Q50" s="247">
        <f t="shared" si="0"/>
        <v>0</v>
      </c>
      <c r="R50" s="244">
        <f>'6.0 hksk'!F50</f>
        <v>0</v>
      </c>
      <c r="S50" s="244">
        <f>'6.0 hksk'!G50</f>
        <v>0</v>
      </c>
      <c r="T50" s="247">
        <f t="shared" si="1"/>
        <v>0</v>
      </c>
      <c r="U50" s="244">
        <f>'6.0 hksk'!I50</f>
        <v>0</v>
      </c>
      <c r="V50" s="244">
        <f>'6.0 hksk'!J50</f>
        <v>0</v>
      </c>
      <c r="W50" s="247">
        <f t="shared" si="2"/>
        <v>0</v>
      </c>
      <c r="X50" s="244">
        <f>'6.0 hksk'!L50</f>
        <v>0</v>
      </c>
      <c r="Y50" s="244">
        <f>'6.0 hksk'!M50</f>
        <v>0</v>
      </c>
      <c r="Z50" s="247">
        <f t="shared" si="3"/>
        <v>0</v>
      </c>
      <c r="AA50" s="244">
        <f>'7.0 önkormányzat össz'!C50</f>
        <v>0</v>
      </c>
      <c r="AB50" s="244">
        <f>'7.0 önkormányzat össz'!D50</f>
        <v>0</v>
      </c>
      <c r="AC50" s="247">
        <f t="shared" si="4"/>
        <v>0</v>
      </c>
      <c r="AD50" s="244">
        <f>'7.0 önkormányzat össz'!F50</f>
        <v>0</v>
      </c>
      <c r="AE50" s="244">
        <f>'7.0 önkormányzat össz'!G50</f>
        <v>0</v>
      </c>
      <c r="AF50" s="247">
        <f t="shared" si="5"/>
        <v>0</v>
      </c>
      <c r="AG50" s="244">
        <f ca="1">'7.0 önkormányzat össz'!I50</f>
        <v>0</v>
      </c>
      <c r="AH50" s="244">
        <f>'7.0 önkormányzat össz'!J50</f>
        <v>0</v>
      </c>
      <c r="AI50" s="247">
        <f t="shared" ca="1" si="6"/>
        <v>0</v>
      </c>
      <c r="AJ50" s="244">
        <f ca="1">'7.0 önkormányzat össz'!L50</f>
        <v>0</v>
      </c>
      <c r="AK50" s="244">
        <f>'7.0 önkormányzat össz'!M50</f>
        <v>0</v>
      </c>
      <c r="AL50" s="247">
        <f t="shared" ca="1" si="7"/>
        <v>0</v>
      </c>
      <c r="AM50" s="244">
        <f t="shared" si="25"/>
        <v>0</v>
      </c>
      <c r="AN50" s="244">
        <f t="shared" si="26"/>
        <v>0</v>
      </c>
      <c r="AO50" s="245">
        <f t="shared" si="27"/>
        <v>0</v>
      </c>
      <c r="AP50" s="244">
        <f t="shared" si="28"/>
        <v>0</v>
      </c>
      <c r="AQ50" s="244">
        <f t="shared" si="29"/>
        <v>0</v>
      </c>
      <c r="AR50" s="245">
        <f t="shared" si="30"/>
        <v>0</v>
      </c>
      <c r="AS50" s="329">
        <f t="shared" ca="1" si="31"/>
        <v>0</v>
      </c>
      <c r="AT50" s="329">
        <f t="shared" si="32"/>
        <v>0</v>
      </c>
      <c r="AU50" s="253">
        <f t="shared" ca="1" si="33"/>
        <v>0</v>
      </c>
      <c r="AV50" s="329">
        <f t="shared" ca="1" si="34"/>
        <v>0</v>
      </c>
      <c r="AW50" s="329">
        <f t="shared" si="35"/>
        <v>0</v>
      </c>
      <c r="AX50" s="647">
        <f t="shared" ca="1" si="36"/>
        <v>0</v>
      </c>
    </row>
    <row r="51" spans="1:53" ht="15.75" thickBot="1" x14ac:dyDescent="0.3">
      <c r="A51" s="27"/>
      <c r="B51" s="62" t="s">
        <v>104</v>
      </c>
      <c r="C51" s="246">
        <f>'5.0 hivatal'!C51</f>
        <v>0</v>
      </c>
      <c r="D51" s="246">
        <f>'5.0 hivatal'!D51</f>
        <v>0</v>
      </c>
      <c r="E51" s="247">
        <f t="shared" si="24"/>
        <v>0</v>
      </c>
      <c r="F51" s="246">
        <f>'5.0 hivatal'!F51</f>
        <v>0</v>
      </c>
      <c r="G51" s="246">
        <f>'5.0 hivatal'!G51</f>
        <v>0</v>
      </c>
      <c r="H51" s="247">
        <f t="shared" si="21"/>
        <v>0</v>
      </c>
      <c r="I51" s="246">
        <f>'5.0 hivatal'!I51</f>
        <v>0</v>
      </c>
      <c r="J51" s="246">
        <f>'5.0 hivatal'!J51</f>
        <v>0</v>
      </c>
      <c r="K51" s="247">
        <f t="shared" si="22"/>
        <v>0</v>
      </c>
      <c r="L51" s="246">
        <f>'5.0 hivatal'!L51</f>
        <v>0</v>
      </c>
      <c r="M51" s="246">
        <f>'5.0 hivatal'!M51</f>
        <v>0</v>
      </c>
      <c r="N51" s="247">
        <f t="shared" si="23"/>
        <v>0</v>
      </c>
      <c r="O51" s="244">
        <f>'6.0 hksk'!C51</f>
        <v>0</v>
      </c>
      <c r="P51" s="244">
        <f>'6.0 hksk'!D51</f>
        <v>0</v>
      </c>
      <c r="Q51" s="247">
        <f t="shared" si="0"/>
        <v>0</v>
      </c>
      <c r="R51" s="244">
        <f>'6.0 hksk'!F51</f>
        <v>0</v>
      </c>
      <c r="S51" s="244">
        <f>'6.0 hksk'!G51</f>
        <v>0</v>
      </c>
      <c r="T51" s="247">
        <f t="shared" si="1"/>
        <v>0</v>
      </c>
      <c r="U51" s="244">
        <f>'6.0 hksk'!I51</f>
        <v>0</v>
      </c>
      <c r="V51" s="244">
        <f>'6.0 hksk'!J51</f>
        <v>0</v>
      </c>
      <c r="W51" s="247">
        <f t="shared" si="2"/>
        <v>0</v>
      </c>
      <c r="X51" s="244">
        <f>'6.0 hksk'!L51</f>
        <v>0</v>
      </c>
      <c r="Y51" s="244">
        <f>'6.0 hksk'!M51</f>
        <v>0</v>
      </c>
      <c r="Z51" s="247">
        <f t="shared" si="3"/>
        <v>0</v>
      </c>
      <c r="AA51" s="244">
        <f>'7.0 önkormányzat össz'!C51</f>
        <v>9291338</v>
      </c>
      <c r="AB51" s="244">
        <f>'7.0 önkormányzat össz'!D51</f>
        <v>0</v>
      </c>
      <c r="AC51" s="247">
        <f t="shared" si="4"/>
        <v>9291338</v>
      </c>
      <c r="AD51" s="244">
        <f>'7.0 önkormányzat össz'!F51</f>
        <v>9291338</v>
      </c>
      <c r="AE51" s="244">
        <f>'7.0 önkormányzat össz'!G51</f>
        <v>0</v>
      </c>
      <c r="AF51" s="247">
        <f t="shared" si="5"/>
        <v>9291338</v>
      </c>
      <c r="AG51" s="244">
        <f ca="1">'7.0 önkormányzat össz'!I51</f>
        <v>9291338</v>
      </c>
      <c r="AH51" s="244">
        <f>'7.0 önkormányzat össz'!J51</f>
        <v>0</v>
      </c>
      <c r="AI51" s="247">
        <f t="shared" ca="1" si="6"/>
        <v>9291338</v>
      </c>
      <c r="AJ51" s="244">
        <f ca="1">'7.0 önkormányzat össz'!L51</f>
        <v>8476690</v>
      </c>
      <c r="AK51" s="244">
        <f>'7.0 önkormányzat össz'!M51</f>
        <v>0</v>
      </c>
      <c r="AL51" s="247">
        <f t="shared" ca="1" si="7"/>
        <v>8476690</v>
      </c>
      <c r="AM51" s="244">
        <f t="shared" si="25"/>
        <v>9291338</v>
      </c>
      <c r="AN51" s="244">
        <f t="shared" si="26"/>
        <v>0</v>
      </c>
      <c r="AO51" s="245">
        <f t="shared" si="27"/>
        <v>9291338</v>
      </c>
      <c r="AP51" s="244">
        <f t="shared" si="28"/>
        <v>9291338</v>
      </c>
      <c r="AQ51" s="244">
        <f t="shared" si="29"/>
        <v>0</v>
      </c>
      <c r="AR51" s="245">
        <f t="shared" si="30"/>
        <v>9291338</v>
      </c>
      <c r="AS51" s="329">
        <f t="shared" ca="1" si="31"/>
        <v>9291338</v>
      </c>
      <c r="AT51" s="329">
        <f t="shared" si="32"/>
        <v>0</v>
      </c>
      <c r="AU51" s="253">
        <f t="shared" ca="1" si="33"/>
        <v>9291338</v>
      </c>
      <c r="AV51" s="329">
        <f t="shared" ca="1" si="34"/>
        <v>8476690</v>
      </c>
      <c r="AW51" s="329">
        <f t="shared" si="35"/>
        <v>0</v>
      </c>
      <c r="AX51" s="647">
        <f t="shared" ca="1" si="36"/>
        <v>8476690</v>
      </c>
    </row>
    <row r="52" spans="1:53" ht="15.75" thickBot="1" x14ac:dyDescent="0.3">
      <c r="A52" s="27"/>
      <c r="B52" s="62" t="s">
        <v>105</v>
      </c>
      <c r="C52" s="246">
        <f>'5.0 hivatal'!C52</f>
        <v>0</v>
      </c>
      <c r="D52" s="246">
        <f>'5.0 hivatal'!D52</f>
        <v>0</v>
      </c>
      <c r="E52" s="247">
        <f t="shared" si="24"/>
        <v>0</v>
      </c>
      <c r="F52" s="246">
        <f>'5.0 hivatal'!F52</f>
        <v>0</v>
      </c>
      <c r="G52" s="246">
        <f>'5.0 hivatal'!G52</f>
        <v>0</v>
      </c>
      <c r="H52" s="247">
        <f t="shared" si="21"/>
        <v>0</v>
      </c>
      <c r="I52" s="246">
        <f>'5.0 hivatal'!I52</f>
        <v>0</v>
      </c>
      <c r="J52" s="246">
        <f>'5.0 hivatal'!J52</f>
        <v>0</v>
      </c>
      <c r="K52" s="247">
        <f t="shared" si="22"/>
        <v>0</v>
      </c>
      <c r="L52" s="246">
        <f>'5.0 hivatal'!L52</f>
        <v>0</v>
      </c>
      <c r="M52" s="246">
        <f>'5.0 hivatal'!M52</f>
        <v>0</v>
      </c>
      <c r="N52" s="247">
        <f t="shared" si="23"/>
        <v>0</v>
      </c>
      <c r="O52" s="244">
        <f>'6.0 hksk'!C52</f>
        <v>0</v>
      </c>
      <c r="P52" s="244">
        <f>'6.0 hksk'!D52</f>
        <v>0</v>
      </c>
      <c r="Q52" s="247">
        <f t="shared" si="0"/>
        <v>0</v>
      </c>
      <c r="R52" s="244">
        <f>'6.0 hksk'!F52</f>
        <v>0</v>
      </c>
      <c r="S52" s="244">
        <f>'6.0 hksk'!G52</f>
        <v>0</v>
      </c>
      <c r="T52" s="247">
        <f t="shared" si="1"/>
        <v>0</v>
      </c>
      <c r="U52" s="244">
        <f>'6.0 hksk'!I52</f>
        <v>0</v>
      </c>
      <c r="V52" s="244">
        <f>'6.0 hksk'!J52</f>
        <v>0</v>
      </c>
      <c r="W52" s="247">
        <f t="shared" si="2"/>
        <v>0</v>
      </c>
      <c r="X52" s="244">
        <f>'6.0 hksk'!L52</f>
        <v>0</v>
      </c>
      <c r="Y52" s="244">
        <f>'6.0 hksk'!M52</f>
        <v>0</v>
      </c>
      <c r="Z52" s="247">
        <f t="shared" si="3"/>
        <v>0</v>
      </c>
      <c r="AA52" s="244">
        <f>'7.0 önkormányzat össz'!C52</f>
        <v>0</v>
      </c>
      <c r="AB52" s="244">
        <f>'7.0 önkormányzat össz'!D52</f>
        <v>0</v>
      </c>
      <c r="AC52" s="247">
        <f t="shared" si="4"/>
        <v>0</v>
      </c>
      <c r="AD52" s="244">
        <f>'7.0 önkormányzat össz'!F52</f>
        <v>0</v>
      </c>
      <c r="AE52" s="244">
        <f>'7.0 önkormányzat össz'!G52</f>
        <v>0</v>
      </c>
      <c r="AF52" s="247">
        <f t="shared" si="5"/>
        <v>0</v>
      </c>
      <c r="AG52" s="244">
        <f ca="1">'7.0 önkormányzat össz'!I52</f>
        <v>0</v>
      </c>
      <c r="AH52" s="244">
        <f>'7.0 önkormányzat össz'!J52</f>
        <v>0</v>
      </c>
      <c r="AI52" s="247">
        <f t="shared" ca="1" si="6"/>
        <v>0</v>
      </c>
      <c r="AJ52" s="244">
        <f ca="1">'7.0 önkormányzat össz'!L52</f>
        <v>0</v>
      </c>
      <c r="AK52" s="244">
        <f>'7.0 önkormányzat össz'!M52</f>
        <v>0</v>
      </c>
      <c r="AL52" s="247">
        <f t="shared" ca="1" si="7"/>
        <v>0</v>
      </c>
      <c r="AM52" s="244">
        <f t="shared" si="25"/>
        <v>0</v>
      </c>
      <c r="AN52" s="244">
        <f t="shared" si="26"/>
        <v>0</v>
      </c>
      <c r="AO52" s="245">
        <f t="shared" si="27"/>
        <v>0</v>
      </c>
      <c r="AP52" s="244">
        <f t="shared" si="28"/>
        <v>0</v>
      </c>
      <c r="AQ52" s="244">
        <f t="shared" si="29"/>
        <v>0</v>
      </c>
      <c r="AR52" s="245">
        <f t="shared" si="30"/>
        <v>0</v>
      </c>
      <c r="AS52" s="329">
        <f t="shared" ca="1" si="31"/>
        <v>0</v>
      </c>
      <c r="AT52" s="329">
        <f t="shared" si="32"/>
        <v>0</v>
      </c>
      <c r="AU52" s="253">
        <f t="shared" ca="1" si="33"/>
        <v>0</v>
      </c>
      <c r="AV52" s="329">
        <f t="shared" ca="1" si="34"/>
        <v>0</v>
      </c>
      <c r="AW52" s="329">
        <f t="shared" si="35"/>
        <v>0</v>
      </c>
      <c r="AX52" s="647">
        <f t="shared" ca="1" si="36"/>
        <v>0</v>
      </c>
    </row>
    <row r="53" spans="1:53" ht="15.75" thickBot="1" x14ac:dyDescent="0.3">
      <c r="A53" s="27"/>
      <c r="B53" s="62" t="s">
        <v>106</v>
      </c>
      <c r="C53" s="246">
        <f>'5.0 hivatal'!C53</f>
        <v>0</v>
      </c>
      <c r="D53" s="246">
        <f>'5.0 hivatal'!D53</f>
        <v>0</v>
      </c>
      <c r="E53" s="247">
        <f t="shared" si="24"/>
        <v>0</v>
      </c>
      <c r="F53" s="246">
        <f>'5.0 hivatal'!F53</f>
        <v>0</v>
      </c>
      <c r="G53" s="246">
        <f>'5.0 hivatal'!G53</f>
        <v>0</v>
      </c>
      <c r="H53" s="247">
        <f t="shared" si="21"/>
        <v>0</v>
      </c>
      <c r="I53" s="246">
        <f>'5.0 hivatal'!I53</f>
        <v>0</v>
      </c>
      <c r="J53" s="246">
        <f>'5.0 hivatal'!J53</f>
        <v>0</v>
      </c>
      <c r="K53" s="247">
        <f t="shared" si="22"/>
        <v>0</v>
      </c>
      <c r="L53" s="246">
        <f>'5.0 hivatal'!L53</f>
        <v>0</v>
      </c>
      <c r="M53" s="246">
        <f>'5.0 hivatal'!M53</f>
        <v>0</v>
      </c>
      <c r="N53" s="247">
        <f t="shared" si="23"/>
        <v>0</v>
      </c>
      <c r="O53" s="244">
        <f>'6.0 hksk'!C53</f>
        <v>0</v>
      </c>
      <c r="P53" s="244">
        <f>'6.0 hksk'!D53</f>
        <v>0</v>
      </c>
      <c r="Q53" s="247">
        <f t="shared" si="0"/>
        <v>0</v>
      </c>
      <c r="R53" s="244">
        <f>'6.0 hksk'!F53</f>
        <v>0</v>
      </c>
      <c r="S53" s="244">
        <f>'6.0 hksk'!G53</f>
        <v>0</v>
      </c>
      <c r="T53" s="247">
        <f t="shared" si="1"/>
        <v>0</v>
      </c>
      <c r="U53" s="244">
        <f>'6.0 hksk'!I53</f>
        <v>0</v>
      </c>
      <c r="V53" s="244">
        <f>'6.0 hksk'!J53</f>
        <v>0</v>
      </c>
      <c r="W53" s="247">
        <f t="shared" si="2"/>
        <v>0</v>
      </c>
      <c r="X53" s="244">
        <f>'6.0 hksk'!L53</f>
        <v>0</v>
      </c>
      <c r="Y53" s="244">
        <f>'6.0 hksk'!M53</f>
        <v>0</v>
      </c>
      <c r="Z53" s="247">
        <f t="shared" si="3"/>
        <v>0</v>
      </c>
      <c r="AA53" s="244">
        <f>'7.0 önkormányzat össz'!C53</f>
        <v>0</v>
      </c>
      <c r="AB53" s="244">
        <f>'7.0 önkormányzat össz'!D53</f>
        <v>0</v>
      </c>
      <c r="AC53" s="247">
        <f t="shared" si="4"/>
        <v>0</v>
      </c>
      <c r="AD53" s="244">
        <f>'7.0 önkormányzat össz'!F53</f>
        <v>0</v>
      </c>
      <c r="AE53" s="244">
        <f>'7.0 önkormányzat össz'!G53</f>
        <v>0</v>
      </c>
      <c r="AF53" s="247">
        <f t="shared" si="5"/>
        <v>0</v>
      </c>
      <c r="AG53" s="244">
        <f ca="1">'7.0 önkormányzat össz'!I53</f>
        <v>0</v>
      </c>
      <c r="AH53" s="244">
        <f>'7.0 önkormányzat össz'!J53</f>
        <v>0</v>
      </c>
      <c r="AI53" s="247">
        <f t="shared" ca="1" si="6"/>
        <v>0</v>
      </c>
      <c r="AJ53" s="244">
        <f ca="1">'7.0 önkormányzat össz'!L53</f>
        <v>0</v>
      </c>
      <c r="AK53" s="244">
        <f>'7.0 önkormányzat össz'!M53</f>
        <v>0</v>
      </c>
      <c r="AL53" s="247">
        <f t="shared" ca="1" si="7"/>
        <v>0</v>
      </c>
      <c r="AM53" s="244">
        <f t="shared" si="25"/>
        <v>0</v>
      </c>
      <c r="AN53" s="244">
        <f t="shared" si="26"/>
        <v>0</v>
      </c>
      <c r="AO53" s="245">
        <f t="shared" si="27"/>
        <v>0</v>
      </c>
      <c r="AP53" s="244">
        <f t="shared" si="28"/>
        <v>0</v>
      </c>
      <c r="AQ53" s="244">
        <f t="shared" si="29"/>
        <v>0</v>
      </c>
      <c r="AR53" s="245">
        <f t="shared" si="30"/>
        <v>0</v>
      </c>
      <c r="AS53" s="329">
        <f t="shared" ca="1" si="31"/>
        <v>0</v>
      </c>
      <c r="AT53" s="329">
        <f t="shared" si="32"/>
        <v>0</v>
      </c>
      <c r="AU53" s="253">
        <f t="shared" ca="1" si="33"/>
        <v>0</v>
      </c>
      <c r="AV53" s="329">
        <f t="shared" ca="1" si="34"/>
        <v>0</v>
      </c>
      <c r="AW53" s="329">
        <f t="shared" si="35"/>
        <v>0</v>
      </c>
      <c r="AX53" s="647">
        <f t="shared" ca="1" si="36"/>
        <v>0</v>
      </c>
    </row>
    <row r="54" spans="1:53" ht="15.75" thickBot="1" x14ac:dyDescent="0.3">
      <c r="A54" s="27" t="s">
        <v>107</v>
      </c>
      <c r="B54" s="62" t="s">
        <v>108</v>
      </c>
      <c r="C54" s="246">
        <f>'5.0 hivatal'!C54</f>
        <v>0</v>
      </c>
      <c r="D54" s="246">
        <f>'5.0 hivatal'!D54</f>
        <v>0</v>
      </c>
      <c r="E54" s="247">
        <f t="shared" si="24"/>
        <v>0</v>
      </c>
      <c r="F54" s="246">
        <f>'5.0 hivatal'!F54</f>
        <v>0</v>
      </c>
      <c r="G54" s="246">
        <f>'5.0 hivatal'!G54</f>
        <v>0</v>
      </c>
      <c r="H54" s="247">
        <f t="shared" si="21"/>
        <v>0</v>
      </c>
      <c r="I54" s="246">
        <f>'5.0 hivatal'!I54</f>
        <v>0</v>
      </c>
      <c r="J54" s="246">
        <f>'5.0 hivatal'!J54</f>
        <v>0</v>
      </c>
      <c r="K54" s="247">
        <f t="shared" si="22"/>
        <v>0</v>
      </c>
      <c r="L54" s="246">
        <f>'5.0 hivatal'!L54</f>
        <v>0</v>
      </c>
      <c r="M54" s="246">
        <f>'5.0 hivatal'!M54</f>
        <v>0</v>
      </c>
      <c r="N54" s="247">
        <f t="shared" si="23"/>
        <v>0</v>
      </c>
      <c r="O54" s="244">
        <f>'6.0 hksk'!C54</f>
        <v>0</v>
      </c>
      <c r="P54" s="244">
        <f>'6.0 hksk'!D54</f>
        <v>0</v>
      </c>
      <c r="Q54" s="247">
        <f t="shared" si="0"/>
        <v>0</v>
      </c>
      <c r="R54" s="244">
        <f>'6.0 hksk'!F54</f>
        <v>0</v>
      </c>
      <c r="S54" s="244">
        <f>'6.0 hksk'!G54</f>
        <v>0</v>
      </c>
      <c r="T54" s="247">
        <f t="shared" si="1"/>
        <v>0</v>
      </c>
      <c r="U54" s="244">
        <f>'6.0 hksk'!I54</f>
        <v>0</v>
      </c>
      <c r="V54" s="244">
        <f>'6.0 hksk'!J54</f>
        <v>0</v>
      </c>
      <c r="W54" s="247">
        <f t="shared" si="2"/>
        <v>0</v>
      </c>
      <c r="X54" s="244">
        <f>'6.0 hksk'!L54</f>
        <v>0</v>
      </c>
      <c r="Y54" s="244">
        <f>'6.0 hksk'!M54</f>
        <v>0</v>
      </c>
      <c r="Z54" s="247">
        <f t="shared" si="3"/>
        <v>0</v>
      </c>
      <c r="AA54" s="244">
        <f>'7.0 önkormányzat össz'!C54</f>
        <v>4330709</v>
      </c>
      <c r="AB54" s="244">
        <f>'7.0 önkormányzat össz'!D54</f>
        <v>0</v>
      </c>
      <c r="AC54" s="247">
        <f t="shared" si="4"/>
        <v>4330709</v>
      </c>
      <c r="AD54" s="244">
        <f>'7.0 önkormányzat össz'!F54</f>
        <v>6295000</v>
      </c>
      <c r="AE54" s="244">
        <f>'7.0 önkormányzat össz'!G54</f>
        <v>0</v>
      </c>
      <c r="AF54" s="247">
        <f t="shared" si="5"/>
        <v>6295000</v>
      </c>
      <c r="AG54" s="244">
        <f ca="1">'7.0 önkormányzat össz'!I54</f>
        <v>6295000</v>
      </c>
      <c r="AH54" s="244">
        <f>'7.0 önkormányzat össz'!J54</f>
        <v>0</v>
      </c>
      <c r="AI54" s="247">
        <f t="shared" ca="1" si="6"/>
        <v>6295000</v>
      </c>
      <c r="AJ54" s="244">
        <f ca="1">'7.0 önkormányzat össz'!L54</f>
        <v>6111860</v>
      </c>
      <c r="AK54" s="244">
        <f>'7.0 önkormányzat össz'!M54</f>
        <v>0</v>
      </c>
      <c r="AL54" s="247">
        <f t="shared" ca="1" si="7"/>
        <v>6111860</v>
      </c>
      <c r="AM54" s="244">
        <f t="shared" si="25"/>
        <v>4330709</v>
      </c>
      <c r="AN54" s="244">
        <f t="shared" si="26"/>
        <v>0</v>
      </c>
      <c r="AO54" s="245">
        <f t="shared" si="27"/>
        <v>4330709</v>
      </c>
      <c r="AP54" s="244">
        <f t="shared" si="28"/>
        <v>6295000</v>
      </c>
      <c r="AQ54" s="244">
        <f t="shared" si="29"/>
        <v>0</v>
      </c>
      <c r="AR54" s="245">
        <f t="shared" si="30"/>
        <v>6295000</v>
      </c>
      <c r="AS54" s="329">
        <f t="shared" ca="1" si="31"/>
        <v>6295000</v>
      </c>
      <c r="AT54" s="329">
        <f t="shared" si="32"/>
        <v>0</v>
      </c>
      <c r="AU54" s="253">
        <f t="shared" ca="1" si="33"/>
        <v>6295000</v>
      </c>
      <c r="AV54" s="329">
        <f t="shared" ca="1" si="34"/>
        <v>6111860</v>
      </c>
      <c r="AW54" s="329">
        <f t="shared" si="35"/>
        <v>0</v>
      </c>
      <c r="AX54" s="647">
        <f t="shared" ca="1" si="36"/>
        <v>6111860</v>
      </c>
    </row>
    <row r="55" spans="1:53" ht="15.75" thickBot="1" x14ac:dyDescent="0.3">
      <c r="A55" s="27" t="s">
        <v>109</v>
      </c>
      <c r="B55" s="62" t="s">
        <v>110</v>
      </c>
      <c r="C55" s="246">
        <f>'5.0 hivatal'!C55</f>
        <v>0</v>
      </c>
      <c r="D55" s="246">
        <f>'5.0 hivatal'!D55</f>
        <v>0</v>
      </c>
      <c r="E55" s="247">
        <f t="shared" si="24"/>
        <v>0</v>
      </c>
      <c r="F55" s="246">
        <f>'5.0 hivatal'!F55</f>
        <v>0</v>
      </c>
      <c r="G55" s="246">
        <f>'5.0 hivatal'!G55</f>
        <v>0</v>
      </c>
      <c r="H55" s="247">
        <f t="shared" si="21"/>
        <v>0</v>
      </c>
      <c r="I55" s="246">
        <f>'5.0 hivatal'!I55</f>
        <v>0</v>
      </c>
      <c r="J55" s="246">
        <f>'5.0 hivatal'!J55</f>
        <v>0</v>
      </c>
      <c r="K55" s="247">
        <f t="shared" si="22"/>
        <v>0</v>
      </c>
      <c r="L55" s="246">
        <f>'5.0 hivatal'!L55</f>
        <v>0</v>
      </c>
      <c r="M55" s="246">
        <f>'5.0 hivatal'!M55</f>
        <v>0</v>
      </c>
      <c r="N55" s="247">
        <f t="shared" si="23"/>
        <v>0</v>
      </c>
      <c r="O55" s="244">
        <f>'6.0 hksk'!C55</f>
        <v>2946259</v>
      </c>
      <c r="P55" s="244">
        <f>'6.0 hksk'!D55</f>
        <v>0</v>
      </c>
      <c r="Q55" s="247">
        <f t="shared" si="0"/>
        <v>2946259</v>
      </c>
      <c r="R55" s="244">
        <f>'6.0 hksk'!F55</f>
        <v>3976037</v>
      </c>
      <c r="S55" s="244">
        <f>'6.0 hksk'!G55</f>
        <v>0</v>
      </c>
      <c r="T55" s="247">
        <f t="shared" si="1"/>
        <v>3976037</v>
      </c>
      <c r="U55" s="244">
        <f>'6.0 hksk'!I55</f>
        <v>3976037</v>
      </c>
      <c r="V55" s="244">
        <f>'6.0 hksk'!J55</f>
        <v>0</v>
      </c>
      <c r="W55" s="247">
        <f t="shared" si="2"/>
        <v>3976037</v>
      </c>
      <c r="X55" s="244">
        <f>'6.0 hksk'!L55</f>
        <v>1745350</v>
      </c>
      <c r="Y55" s="244">
        <f>'6.0 hksk'!M55</f>
        <v>0</v>
      </c>
      <c r="Z55" s="247">
        <f t="shared" si="3"/>
        <v>1745350</v>
      </c>
      <c r="AA55" s="244">
        <f>'7.0 önkormányzat össz'!C55</f>
        <v>20932198</v>
      </c>
      <c r="AB55" s="244">
        <f>'7.0 önkormányzat össz'!D55</f>
        <v>0</v>
      </c>
      <c r="AC55" s="247">
        <f t="shared" si="4"/>
        <v>20932198</v>
      </c>
      <c r="AD55" s="244">
        <f>'7.0 önkormányzat össz'!F55</f>
        <v>21462557</v>
      </c>
      <c r="AE55" s="244">
        <f>'7.0 önkormányzat össz'!G55</f>
        <v>0</v>
      </c>
      <c r="AF55" s="247">
        <f t="shared" si="5"/>
        <v>21462557</v>
      </c>
      <c r="AG55" s="244">
        <f ca="1">'7.0 önkormányzat össz'!I55</f>
        <v>21462557</v>
      </c>
      <c r="AH55" s="244">
        <f>'7.0 önkormányzat össz'!J55</f>
        <v>0</v>
      </c>
      <c r="AI55" s="247">
        <f t="shared" ca="1" si="6"/>
        <v>21462557</v>
      </c>
      <c r="AJ55" s="244">
        <f ca="1">'7.0 önkormányzat össz'!L55</f>
        <v>21179909</v>
      </c>
      <c r="AK55" s="244">
        <f>'7.0 önkormányzat össz'!M55</f>
        <v>0</v>
      </c>
      <c r="AL55" s="247">
        <f t="shared" ca="1" si="7"/>
        <v>21179909</v>
      </c>
      <c r="AM55" s="244">
        <f t="shared" si="25"/>
        <v>23878457</v>
      </c>
      <c r="AN55" s="244">
        <f t="shared" si="26"/>
        <v>0</v>
      </c>
      <c r="AO55" s="245">
        <f t="shared" si="27"/>
        <v>23878457</v>
      </c>
      <c r="AP55" s="244">
        <f t="shared" si="28"/>
        <v>25438594</v>
      </c>
      <c r="AQ55" s="244">
        <f t="shared" si="29"/>
        <v>0</v>
      </c>
      <c r="AR55" s="245">
        <f t="shared" si="30"/>
        <v>25438594</v>
      </c>
      <c r="AS55" s="329">
        <f t="shared" ca="1" si="31"/>
        <v>25438594</v>
      </c>
      <c r="AT55" s="329">
        <f t="shared" si="32"/>
        <v>0</v>
      </c>
      <c r="AU55" s="253">
        <f t="shared" ca="1" si="33"/>
        <v>25438594</v>
      </c>
      <c r="AV55" s="329">
        <f t="shared" ca="1" si="34"/>
        <v>22925259</v>
      </c>
      <c r="AW55" s="329">
        <f t="shared" si="35"/>
        <v>0</v>
      </c>
      <c r="AX55" s="647">
        <f t="shared" ca="1" si="36"/>
        <v>22925259</v>
      </c>
    </row>
    <row r="56" spans="1:53" ht="15.75" thickBot="1" x14ac:dyDescent="0.3">
      <c r="A56" s="27" t="s">
        <v>111</v>
      </c>
      <c r="B56" s="62" t="s">
        <v>112</v>
      </c>
      <c r="C56" s="246">
        <f>'5.0 hivatal'!C56</f>
        <v>0</v>
      </c>
      <c r="D56" s="246">
        <f>'5.0 hivatal'!D56</f>
        <v>0</v>
      </c>
      <c r="E56" s="247">
        <f t="shared" si="24"/>
        <v>0</v>
      </c>
      <c r="F56" s="246">
        <f>'5.0 hivatal'!F56</f>
        <v>0</v>
      </c>
      <c r="G56" s="246">
        <f>'5.0 hivatal'!G56</f>
        <v>0</v>
      </c>
      <c r="H56" s="247">
        <f t="shared" si="21"/>
        <v>0</v>
      </c>
      <c r="I56" s="246">
        <f>'5.0 hivatal'!I56</f>
        <v>0</v>
      </c>
      <c r="J56" s="246">
        <f>'5.0 hivatal'!J56</f>
        <v>0</v>
      </c>
      <c r="K56" s="247">
        <f t="shared" si="22"/>
        <v>0</v>
      </c>
      <c r="L56" s="246">
        <f>'5.0 hivatal'!L56</f>
        <v>0</v>
      </c>
      <c r="M56" s="246">
        <f>'5.0 hivatal'!M56</f>
        <v>0</v>
      </c>
      <c r="N56" s="247">
        <f t="shared" si="23"/>
        <v>0</v>
      </c>
      <c r="O56" s="244">
        <f>'6.0 hksk'!C56</f>
        <v>0</v>
      </c>
      <c r="P56" s="244">
        <f>'6.0 hksk'!D56</f>
        <v>0</v>
      </c>
      <c r="Q56" s="247">
        <f t="shared" si="0"/>
        <v>0</v>
      </c>
      <c r="R56" s="244">
        <f>'6.0 hksk'!F56</f>
        <v>0</v>
      </c>
      <c r="S56" s="244">
        <f>'6.0 hksk'!G56</f>
        <v>0</v>
      </c>
      <c r="T56" s="247">
        <f t="shared" si="1"/>
        <v>0</v>
      </c>
      <c r="U56" s="244">
        <f>'6.0 hksk'!I56</f>
        <v>0</v>
      </c>
      <c r="V56" s="244">
        <f>'6.0 hksk'!J56</f>
        <v>0</v>
      </c>
      <c r="W56" s="247">
        <f t="shared" si="2"/>
        <v>0</v>
      </c>
      <c r="X56" s="244">
        <f>'6.0 hksk'!L56</f>
        <v>0</v>
      </c>
      <c r="Y56" s="244">
        <f>'6.0 hksk'!M56</f>
        <v>0</v>
      </c>
      <c r="Z56" s="247">
        <f t="shared" si="3"/>
        <v>0</v>
      </c>
      <c r="AA56" s="244">
        <f>'7.0 önkormányzat össz'!C56</f>
        <v>0</v>
      </c>
      <c r="AB56" s="244">
        <f>'7.0 önkormányzat össz'!D56</f>
        <v>0</v>
      </c>
      <c r="AC56" s="247">
        <f t="shared" si="4"/>
        <v>0</v>
      </c>
      <c r="AD56" s="244">
        <f>'7.0 önkormányzat össz'!F56</f>
        <v>0</v>
      </c>
      <c r="AE56" s="244">
        <f>'7.0 önkormányzat össz'!G56</f>
        <v>0</v>
      </c>
      <c r="AF56" s="247">
        <f t="shared" si="5"/>
        <v>0</v>
      </c>
      <c r="AG56" s="244">
        <f ca="1">'7.0 önkormányzat össz'!I56</f>
        <v>0</v>
      </c>
      <c r="AH56" s="244">
        <f>'7.0 önkormányzat össz'!J56</f>
        <v>0</v>
      </c>
      <c r="AI56" s="247">
        <f t="shared" ca="1" si="6"/>
        <v>0</v>
      </c>
      <c r="AJ56" s="244">
        <f ca="1">'7.0 önkormányzat össz'!L56</f>
        <v>0</v>
      </c>
      <c r="AK56" s="244">
        <f>'7.0 önkormányzat össz'!M56</f>
        <v>0</v>
      </c>
      <c r="AL56" s="247">
        <f t="shared" ca="1" si="7"/>
        <v>0</v>
      </c>
      <c r="AM56" s="244">
        <f t="shared" si="25"/>
        <v>0</v>
      </c>
      <c r="AN56" s="244">
        <f t="shared" si="26"/>
        <v>0</v>
      </c>
      <c r="AO56" s="245">
        <f t="shared" si="27"/>
        <v>0</v>
      </c>
      <c r="AP56" s="244">
        <f t="shared" si="28"/>
        <v>0</v>
      </c>
      <c r="AQ56" s="244">
        <f t="shared" si="29"/>
        <v>0</v>
      </c>
      <c r="AR56" s="245">
        <f t="shared" si="30"/>
        <v>0</v>
      </c>
      <c r="AS56" s="329">
        <f t="shared" ca="1" si="31"/>
        <v>0</v>
      </c>
      <c r="AT56" s="329">
        <f t="shared" si="32"/>
        <v>0</v>
      </c>
      <c r="AU56" s="253">
        <f t="shared" ca="1" si="33"/>
        <v>0</v>
      </c>
      <c r="AV56" s="329">
        <f t="shared" ca="1" si="34"/>
        <v>0</v>
      </c>
      <c r="AW56" s="329">
        <f t="shared" si="35"/>
        <v>0</v>
      </c>
      <c r="AX56" s="647">
        <f t="shared" ca="1" si="36"/>
        <v>0</v>
      </c>
    </row>
    <row r="57" spans="1:53" ht="15.75" thickBot="1" x14ac:dyDescent="0.3">
      <c r="A57" s="27" t="s">
        <v>113</v>
      </c>
      <c r="B57" s="62" t="s">
        <v>114</v>
      </c>
      <c r="C57" s="246">
        <f>'5.0 hivatal'!C57</f>
        <v>0</v>
      </c>
      <c r="D57" s="246">
        <f>'5.0 hivatal'!D57</f>
        <v>0</v>
      </c>
      <c r="E57" s="247">
        <f t="shared" si="24"/>
        <v>0</v>
      </c>
      <c r="F57" s="246">
        <f>'5.0 hivatal'!F57</f>
        <v>0</v>
      </c>
      <c r="G57" s="246">
        <f>'5.0 hivatal'!G57</f>
        <v>0</v>
      </c>
      <c r="H57" s="247">
        <f t="shared" si="21"/>
        <v>0</v>
      </c>
      <c r="I57" s="246">
        <f>'5.0 hivatal'!I57</f>
        <v>0</v>
      </c>
      <c r="J57" s="246">
        <f>'5.0 hivatal'!J57</f>
        <v>0</v>
      </c>
      <c r="K57" s="247">
        <f t="shared" si="22"/>
        <v>0</v>
      </c>
      <c r="L57" s="246">
        <f>'5.0 hivatal'!L57</f>
        <v>71</v>
      </c>
      <c r="M57" s="246">
        <f>'5.0 hivatal'!M57</f>
        <v>0</v>
      </c>
      <c r="N57" s="247">
        <f t="shared" si="23"/>
        <v>71</v>
      </c>
      <c r="O57" s="244">
        <f>'6.0 hksk'!C57</f>
        <v>0</v>
      </c>
      <c r="P57" s="244">
        <f>'6.0 hksk'!D57</f>
        <v>0</v>
      </c>
      <c r="Q57" s="247">
        <f t="shared" si="0"/>
        <v>0</v>
      </c>
      <c r="R57" s="244">
        <f>'6.0 hksk'!F57</f>
        <v>0</v>
      </c>
      <c r="S57" s="244">
        <f>'6.0 hksk'!G57</f>
        <v>0</v>
      </c>
      <c r="T57" s="247">
        <f t="shared" si="1"/>
        <v>0</v>
      </c>
      <c r="U57" s="244">
        <f>'6.0 hksk'!I57</f>
        <v>100</v>
      </c>
      <c r="V57" s="244">
        <f>'6.0 hksk'!J57</f>
        <v>0</v>
      </c>
      <c r="W57" s="247">
        <f t="shared" si="2"/>
        <v>100</v>
      </c>
      <c r="X57" s="244">
        <f>'6.0 hksk'!L57</f>
        <v>42</v>
      </c>
      <c r="Y57" s="244">
        <f>'6.0 hksk'!M57</f>
        <v>0</v>
      </c>
      <c r="Z57" s="247">
        <f t="shared" si="3"/>
        <v>42</v>
      </c>
      <c r="AA57" s="244">
        <f>'7.0 önkormányzat össz'!C57</f>
        <v>30000</v>
      </c>
      <c r="AB57" s="244">
        <f>'7.0 önkormányzat össz'!D57</f>
        <v>0</v>
      </c>
      <c r="AC57" s="247">
        <f t="shared" si="4"/>
        <v>30000</v>
      </c>
      <c r="AD57" s="244">
        <f>'7.0 önkormányzat össz'!F57</f>
        <v>30000</v>
      </c>
      <c r="AE57" s="244">
        <f>'7.0 önkormányzat össz'!G57</f>
        <v>0</v>
      </c>
      <c r="AF57" s="247">
        <f t="shared" si="5"/>
        <v>30000</v>
      </c>
      <c r="AG57" s="244">
        <f ca="1">'7.0 önkormányzat össz'!I57</f>
        <v>30000</v>
      </c>
      <c r="AH57" s="244">
        <f>'7.0 önkormányzat össz'!J57</f>
        <v>0</v>
      </c>
      <c r="AI57" s="247">
        <f t="shared" ca="1" si="6"/>
        <v>30000</v>
      </c>
      <c r="AJ57" s="244">
        <f ca="1">'7.0 önkormányzat össz'!L57</f>
        <v>276824</v>
      </c>
      <c r="AK57" s="244">
        <f>'7.0 önkormányzat össz'!M57</f>
        <v>0</v>
      </c>
      <c r="AL57" s="247">
        <f t="shared" ca="1" si="7"/>
        <v>276824</v>
      </c>
      <c r="AM57" s="244">
        <f t="shared" si="25"/>
        <v>30000</v>
      </c>
      <c r="AN57" s="244">
        <f t="shared" si="26"/>
        <v>0</v>
      </c>
      <c r="AO57" s="245">
        <f t="shared" si="27"/>
        <v>30000</v>
      </c>
      <c r="AP57" s="244">
        <f t="shared" si="28"/>
        <v>30000</v>
      </c>
      <c r="AQ57" s="244">
        <f t="shared" si="29"/>
        <v>0</v>
      </c>
      <c r="AR57" s="245">
        <f t="shared" si="30"/>
        <v>30000</v>
      </c>
      <c r="AS57" s="329">
        <f t="shared" ca="1" si="31"/>
        <v>30100</v>
      </c>
      <c r="AT57" s="329">
        <f t="shared" si="32"/>
        <v>0</v>
      </c>
      <c r="AU57" s="253">
        <f t="shared" ca="1" si="33"/>
        <v>30100</v>
      </c>
      <c r="AV57" s="329">
        <f t="shared" ca="1" si="34"/>
        <v>276937</v>
      </c>
      <c r="AW57" s="329">
        <f t="shared" si="35"/>
        <v>0</v>
      </c>
      <c r="AX57" s="647">
        <f t="shared" ca="1" si="36"/>
        <v>276937</v>
      </c>
    </row>
    <row r="58" spans="1:53" ht="15.75" thickBot="1" x14ac:dyDescent="0.3">
      <c r="A58" s="27" t="s">
        <v>115</v>
      </c>
      <c r="B58" s="62" t="s">
        <v>116</v>
      </c>
      <c r="C58" s="246">
        <f>'5.0 hivatal'!C58</f>
        <v>0</v>
      </c>
      <c r="D58" s="246">
        <f>'5.0 hivatal'!D58</f>
        <v>0</v>
      </c>
      <c r="E58" s="247">
        <f t="shared" si="24"/>
        <v>0</v>
      </c>
      <c r="F58" s="246">
        <f>'5.0 hivatal'!F58</f>
        <v>0</v>
      </c>
      <c r="G58" s="246">
        <f>'5.0 hivatal'!G58</f>
        <v>0</v>
      </c>
      <c r="H58" s="247">
        <f t="shared" si="21"/>
        <v>0</v>
      </c>
      <c r="I58" s="246">
        <f>'5.0 hivatal'!I58</f>
        <v>0</v>
      </c>
      <c r="J58" s="246">
        <f>'5.0 hivatal'!J58</f>
        <v>0</v>
      </c>
      <c r="K58" s="247">
        <f t="shared" si="22"/>
        <v>0</v>
      </c>
      <c r="L58" s="246">
        <f>'5.0 hivatal'!L58</f>
        <v>0</v>
      </c>
      <c r="M58" s="246">
        <f>'5.0 hivatal'!M58</f>
        <v>0</v>
      </c>
      <c r="N58" s="247">
        <f t="shared" si="23"/>
        <v>0</v>
      </c>
      <c r="O58" s="244">
        <f>'6.0 hksk'!C58</f>
        <v>0</v>
      </c>
      <c r="P58" s="244">
        <f>'6.0 hksk'!D58</f>
        <v>0</v>
      </c>
      <c r="Q58" s="247">
        <f t="shared" si="0"/>
        <v>0</v>
      </c>
      <c r="R58" s="244">
        <f>'6.0 hksk'!F58</f>
        <v>0</v>
      </c>
      <c r="S58" s="244">
        <f>'6.0 hksk'!G58</f>
        <v>0</v>
      </c>
      <c r="T58" s="247">
        <f t="shared" si="1"/>
        <v>0</v>
      </c>
      <c r="U58" s="244">
        <f>'6.0 hksk'!I58</f>
        <v>0</v>
      </c>
      <c r="V58" s="244">
        <f>'6.0 hksk'!J58</f>
        <v>0</v>
      </c>
      <c r="W58" s="247">
        <f t="shared" si="2"/>
        <v>0</v>
      </c>
      <c r="X58" s="244">
        <f>'6.0 hksk'!L58</f>
        <v>0</v>
      </c>
      <c r="Y58" s="244">
        <f>'6.0 hksk'!M58</f>
        <v>0</v>
      </c>
      <c r="Z58" s="247">
        <f t="shared" si="3"/>
        <v>0</v>
      </c>
      <c r="AA58" s="244">
        <f>'7.0 önkormányzat össz'!C58</f>
        <v>0</v>
      </c>
      <c r="AB58" s="244">
        <f>'7.0 önkormányzat össz'!D58</f>
        <v>0</v>
      </c>
      <c r="AC58" s="247">
        <f t="shared" si="4"/>
        <v>0</v>
      </c>
      <c r="AD58" s="244">
        <f>'7.0 önkormányzat össz'!F58</f>
        <v>0</v>
      </c>
      <c r="AE58" s="244">
        <f>'7.0 önkormányzat össz'!G58</f>
        <v>0</v>
      </c>
      <c r="AF58" s="247">
        <f t="shared" si="5"/>
        <v>0</v>
      </c>
      <c r="AG58" s="244">
        <f ca="1">'7.0 önkormányzat össz'!I58</f>
        <v>0</v>
      </c>
      <c r="AH58" s="244">
        <f>'7.0 önkormányzat össz'!J58</f>
        <v>0</v>
      </c>
      <c r="AI58" s="247">
        <f t="shared" ca="1" si="6"/>
        <v>0</v>
      </c>
      <c r="AJ58" s="244">
        <f ca="1">'7.0 önkormányzat össz'!L58</f>
        <v>0</v>
      </c>
      <c r="AK58" s="244">
        <f>'7.0 önkormányzat össz'!M58</f>
        <v>0</v>
      </c>
      <c r="AL58" s="247">
        <f t="shared" ca="1" si="7"/>
        <v>0</v>
      </c>
      <c r="AM58" s="244">
        <f t="shared" si="25"/>
        <v>0</v>
      </c>
      <c r="AN58" s="244">
        <f t="shared" si="26"/>
        <v>0</v>
      </c>
      <c r="AO58" s="245">
        <f t="shared" si="27"/>
        <v>0</v>
      </c>
      <c r="AP58" s="244">
        <f t="shared" si="28"/>
        <v>0</v>
      </c>
      <c r="AQ58" s="244">
        <f t="shared" si="29"/>
        <v>0</v>
      </c>
      <c r="AR58" s="245">
        <f t="shared" si="30"/>
        <v>0</v>
      </c>
      <c r="AS58" s="329">
        <f t="shared" ca="1" si="31"/>
        <v>0</v>
      </c>
      <c r="AT58" s="329">
        <f t="shared" si="32"/>
        <v>0</v>
      </c>
      <c r="AU58" s="253">
        <f t="shared" ca="1" si="33"/>
        <v>0</v>
      </c>
      <c r="AV58" s="329">
        <f t="shared" ca="1" si="34"/>
        <v>0</v>
      </c>
      <c r="AW58" s="329">
        <f t="shared" si="35"/>
        <v>0</v>
      </c>
      <c r="AX58" s="647">
        <f t="shared" ca="1" si="36"/>
        <v>0</v>
      </c>
    </row>
    <row r="59" spans="1:53" ht="15.75" thickBot="1" x14ac:dyDescent="0.3">
      <c r="A59" s="27" t="s">
        <v>117</v>
      </c>
      <c r="B59" s="62" t="s">
        <v>118</v>
      </c>
      <c r="C59" s="246">
        <f>'5.0 hivatal'!C59</f>
        <v>0</v>
      </c>
      <c r="D59" s="246">
        <f>'5.0 hivatal'!D59</f>
        <v>0</v>
      </c>
      <c r="E59" s="247">
        <f t="shared" si="24"/>
        <v>0</v>
      </c>
      <c r="F59" s="246">
        <f>'5.0 hivatal'!F59</f>
        <v>0</v>
      </c>
      <c r="G59" s="246">
        <f>'5.0 hivatal'!G59</f>
        <v>0</v>
      </c>
      <c r="H59" s="247">
        <f t="shared" si="21"/>
        <v>0</v>
      </c>
      <c r="I59" s="246">
        <f>'5.0 hivatal'!I59</f>
        <v>0</v>
      </c>
      <c r="J59" s="246">
        <f>'5.0 hivatal'!J59</f>
        <v>0</v>
      </c>
      <c r="K59" s="247">
        <f t="shared" si="22"/>
        <v>0</v>
      </c>
      <c r="L59" s="246">
        <f>'5.0 hivatal'!L59</f>
        <v>0</v>
      </c>
      <c r="M59" s="246">
        <f>'5.0 hivatal'!M59</f>
        <v>0</v>
      </c>
      <c r="N59" s="247">
        <f t="shared" si="23"/>
        <v>0</v>
      </c>
      <c r="O59" s="244">
        <f>'6.0 hksk'!C59</f>
        <v>0</v>
      </c>
      <c r="P59" s="244">
        <f>'6.0 hksk'!D59</f>
        <v>0</v>
      </c>
      <c r="Q59" s="247">
        <f t="shared" si="0"/>
        <v>0</v>
      </c>
      <c r="R59" s="244">
        <f>'6.0 hksk'!F59</f>
        <v>0</v>
      </c>
      <c r="S59" s="244">
        <f>'6.0 hksk'!G59</f>
        <v>0</v>
      </c>
      <c r="T59" s="247">
        <f t="shared" si="1"/>
        <v>0</v>
      </c>
      <c r="U59" s="244">
        <f>'6.0 hksk'!I59</f>
        <v>0</v>
      </c>
      <c r="V59" s="244">
        <f>'6.0 hksk'!J59</f>
        <v>0</v>
      </c>
      <c r="W59" s="247">
        <f t="shared" si="2"/>
        <v>0</v>
      </c>
      <c r="X59" s="244">
        <f>'6.0 hksk'!L59</f>
        <v>0</v>
      </c>
      <c r="Y59" s="244">
        <f>'6.0 hksk'!M59</f>
        <v>0</v>
      </c>
      <c r="Z59" s="247">
        <f t="shared" si="3"/>
        <v>0</v>
      </c>
      <c r="AA59" s="244">
        <f>'7.0 önkormányzat össz'!C59</f>
        <v>0</v>
      </c>
      <c r="AB59" s="244">
        <f>'7.0 önkormányzat össz'!D59</f>
        <v>0</v>
      </c>
      <c r="AC59" s="247">
        <f t="shared" si="4"/>
        <v>0</v>
      </c>
      <c r="AD59" s="244">
        <f>'7.0 önkormányzat össz'!F59</f>
        <v>0</v>
      </c>
      <c r="AE59" s="244">
        <f>'7.0 önkormányzat össz'!G59</f>
        <v>0</v>
      </c>
      <c r="AF59" s="247">
        <f t="shared" si="5"/>
        <v>0</v>
      </c>
      <c r="AG59" s="244">
        <f ca="1">'7.0 önkormányzat össz'!I59</f>
        <v>0</v>
      </c>
      <c r="AH59" s="244">
        <f>'7.0 önkormányzat össz'!J59</f>
        <v>0</v>
      </c>
      <c r="AI59" s="247">
        <f t="shared" ca="1" si="6"/>
        <v>0</v>
      </c>
      <c r="AJ59" s="244">
        <f ca="1">'7.0 önkormányzat össz'!L59</f>
        <v>0</v>
      </c>
      <c r="AK59" s="244">
        <f>'7.0 önkormányzat össz'!M59</f>
        <v>0</v>
      </c>
      <c r="AL59" s="247">
        <f t="shared" ca="1" si="7"/>
        <v>0</v>
      </c>
      <c r="AM59" s="244">
        <f t="shared" si="25"/>
        <v>0</v>
      </c>
      <c r="AN59" s="244">
        <f t="shared" si="26"/>
        <v>0</v>
      </c>
      <c r="AO59" s="245">
        <f t="shared" si="27"/>
        <v>0</v>
      </c>
      <c r="AP59" s="244">
        <f t="shared" si="28"/>
        <v>0</v>
      </c>
      <c r="AQ59" s="244">
        <f t="shared" si="29"/>
        <v>0</v>
      </c>
      <c r="AR59" s="245">
        <f t="shared" si="30"/>
        <v>0</v>
      </c>
      <c r="AS59" s="329">
        <f t="shared" ca="1" si="31"/>
        <v>0</v>
      </c>
      <c r="AT59" s="329">
        <f t="shared" si="32"/>
        <v>0</v>
      </c>
      <c r="AU59" s="253">
        <f t="shared" ca="1" si="33"/>
        <v>0</v>
      </c>
      <c r="AV59" s="329">
        <f t="shared" ca="1" si="34"/>
        <v>0</v>
      </c>
      <c r="AW59" s="329">
        <f t="shared" si="35"/>
        <v>0</v>
      </c>
      <c r="AX59" s="647">
        <f t="shared" ca="1" si="36"/>
        <v>0</v>
      </c>
    </row>
    <row r="60" spans="1:53" ht="15.75" thickBot="1" x14ac:dyDescent="0.3">
      <c r="A60" s="28" t="s">
        <v>119</v>
      </c>
      <c r="B60" s="64" t="s">
        <v>120</v>
      </c>
      <c r="C60" s="248">
        <f>'5.0 hivatal'!C60</f>
        <v>0</v>
      </c>
      <c r="D60" s="248">
        <f>'5.0 hivatal'!D60</f>
        <v>0</v>
      </c>
      <c r="E60" s="249">
        <f t="shared" si="24"/>
        <v>0</v>
      </c>
      <c r="F60" s="248">
        <f>'5.0 hivatal'!F60</f>
        <v>0</v>
      </c>
      <c r="G60" s="248">
        <f>'5.0 hivatal'!G60</f>
        <v>0</v>
      </c>
      <c r="H60" s="249">
        <f t="shared" si="21"/>
        <v>0</v>
      </c>
      <c r="I60" s="248">
        <f>'5.0 hivatal'!I60</f>
        <v>0</v>
      </c>
      <c r="J60" s="248">
        <f>'5.0 hivatal'!J60</f>
        <v>0</v>
      </c>
      <c r="K60" s="249">
        <f t="shared" si="22"/>
        <v>0</v>
      </c>
      <c r="L60" s="248">
        <f>'5.0 hivatal'!L60</f>
        <v>831</v>
      </c>
      <c r="M60" s="248">
        <f>'5.0 hivatal'!M60</f>
        <v>0</v>
      </c>
      <c r="N60" s="249">
        <f t="shared" si="23"/>
        <v>831</v>
      </c>
      <c r="O60" s="248">
        <f>'6.0 hksk'!C60</f>
        <v>0</v>
      </c>
      <c r="P60" s="248">
        <f>'6.0 hksk'!D60</f>
        <v>0</v>
      </c>
      <c r="Q60" s="249">
        <f t="shared" si="0"/>
        <v>0</v>
      </c>
      <c r="R60" s="248">
        <f>'6.0 hksk'!F60</f>
        <v>0</v>
      </c>
      <c r="S60" s="248">
        <f>'6.0 hksk'!G60</f>
        <v>0</v>
      </c>
      <c r="T60" s="249">
        <f t="shared" si="1"/>
        <v>0</v>
      </c>
      <c r="U60" s="248">
        <f>'6.0 hksk'!I60</f>
        <v>24548</v>
      </c>
      <c r="V60" s="248">
        <f>'6.0 hksk'!J60</f>
        <v>0</v>
      </c>
      <c r="W60" s="249">
        <f t="shared" si="2"/>
        <v>24548</v>
      </c>
      <c r="X60" s="248">
        <f>'6.0 hksk'!L60</f>
        <v>24548</v>
      </c>
      <c r="Y60" s="248">
        <f>'6.0 hksk'!M60</f>
        <v>0</v>
      </c>
      <c r="Z60" s="249">
        <f t="shared" si="3"/>
        <v>24548</v>
      </c>
      <c r="AA60" s="248">
        <f>'7.0 önkormányzat össz'!C60</f>
        <v>500000</v>
      </c>
      <c r="AB60" s="248">
        <f>'7.0 önkormányzat össz'!D60</f>
        <v>0</v>
      </c>
      <c r="AC60" s="249">
        <f t="shared" si="4"/>
        <v>500000</v>
      </c>
      <c r="AD60" s="248">
        <f>'7.0 önkormányzat össz'!F60</f>
        <v>500000</v>
      </c>
      <c r="AE60" s="248">
        <f>'7.0 önkormányzat össz'!G60</f>
        <v>0</v>
      </c>
      <c r="AF60" s="249">
        <f t="shared" si="5"/>
        <v>500000</v>
      </c>
      <c r="AG60" s="248">
        <f ca="1">'7.0 önkormányzat össz'!I60</f>
        <v>500000</v>
      </c>
      <c r="AH60" s="248">
        <f>'7.0 önkormányzat össz'!J60</f>
        <v>0</v>
      </c>
      <c r="AI60" s="249">
        <f t="shared" ca="1" si="6"/>
        <v>500000</v>
      </c>
      <c r="AJ60" s="248">
        <f ca="1">'7.0 önkormányzat össz'!L60</f>
        <v>908582</v>
      </c>
      <c r="AK60" s="248">
        <f>'7.0 önkormányzat össz'!M60</f>
        <v>0</v>
      </c>
      <c r="AL60" s="249">
        <f t="shared" ca="1" si="7"/>
        <v>908582</v>
      </c>
      <c r="AM60" s="248">
        <f t="shared" si="25"/>
        <v>500000</v>
      </c>
      <c r="AN60" s="248">
        <f t="shared" si="26"/>
        <v>0</v>
      </c>
      <c r="AO60" s="249">
        <f t="shared" si="27"/>
        <v>500000</v>
      </c>
      <c r="AP60" s="248">
        <f t="shared" si="28"/>
        <v>500000</v>
      </c>
      <c r="AQ60" s="248">
        <f t="shared" si="29"/>
        <v>0</v>
      </c>
      <c r="AR60" s="249">
        <f t="shared" si="30"/>
        <v>500000</v>
      </c>
      <c r="AS60" s="329">
        <f t="shared" ca="1" si="31"/>
        <v>524548</v>
      </c>
      <c r="AT60" s="329">
        <f t="shared" si="32"/>
        <v>0</v>
      </c>
      <c r="AU60" s="253">
        <f t="shared" ca="1" si="33"/>
        <v>524548</v>
      </c>
      <c r="AV60" s="329">
        <f t="shared" ca="1" si="34"/>
        <v>933961</v>
      </c>
      <c r="AW60" s="329">
        <f t="shared" si="35"/>
        <v>0</v>
      </c>
      <c r="AX60" s="647">
        <f t="shared" ca="1" si="36"/>
        <v>933961</v>
      </c>
    </row>
    <row r="61" spans="1:53" ht="15.75" thickBot="1" x14ac:dyDescent="0.3">
      <c r="A61" s="26" t="s">
        <v>121</v>
      </c>
      <c r="B61" s="48" t="s">
        <v>28</v>
      </c>
      <c r="C61" s="244">
        <f>'5.0 hivatal'!C61</f>
        <v>0</v>
      </c>
      <c r="D61" s="244">
        <f>'5.0 hivatal'!D61</f>
        <v>0</v>
      </c>
      <c r="E61" s="245">
        <f t="shared" si="24"/>
        <v>0</v>
      </c>
      <c r="F61" s="244">
        <f>'5.0 hivatal'!F61</f>
        <v>0</v>
      </c>
      <c r="G61" s="244">
        <f>'5.0 hivatal'!G61</f>
        <v>0</v>
      </c>
      <c r="H61" s="245">
        <f t="shared" si="21"/>
        <v>0</v>
      </c>
      <c r="I61" s="244">
        <f>'5.0 hivatal'!I61</f>
        <v>0</v>
      </c>
      <c r="J61" s="244">
        <f>'5.0 hivatal'!J61</f>
        <v>0</v>
      </c>
      <c r="K61" s="245">
        <f t="shared" si="22"/>
        <v>0</v>
      </c>
      <c r="L61" s="244">
        <f>'5.0 hivatal'!L61</f>
        <v>0</v>
      </c>
      <c r="M61" s="244">
        <f>'5.0 hivatal'!M61</f>
        <v>0</v>
      </c>
      <c r="N61" s="245">
        <f t="shared" si="23"/>
        <v>0</v>
      </c>
      <c r="O61" s="244">
        <f>'6.0 hksk'!C61</f>
        <v>0</v>
      </c>
      <c r="P61" s="244">
        <f>'6.0 hksk'!D61</f>
        <v>0</v>
      </c>
      <c r="Q61" s="245">
        <f t="shared" si="0"/>
        <v>0</v>
      </c>
      <c r="R61" s="244">
        <f>'6.0 hksk'!F61</f>
        <v>0</v>
      </c>
      <c r="S61" s="244">
        <f>'6.0 hksk'!G61</f>
        <v>0</v>
      </c>
      <c r="T61" s="245">
        <f t="shared" si="1"/>
        <v>0</v>
      </c>
      <c r="U61" s="244">
        <f>'6.0 hksk'!I61</f>
        <v>28407</v>
      </c>
      <c r="V61" s="244">
        <f>'6.0 hksk'!J61</f>
        <v>0</v>
      </c>
      <c r="W61" s="245">
        <f t="shared" si="2"/>
        <v>28407</v>
      </c>
      <c r="X61" s="244">
        <f>'6.0 hksk'!L61</f>
        <v>0</v>
      </c>
      <c r="Y61" s="244">
        <f>'6.0 hksk'!M61</f>
        <v>0</v>
      </c>
      <c r="Z61" s="245">
        <f t="shared" si="3"/>
        <v>0</v>
      </c>
      <c r="AA61" s="244">
        <f>'7.0 önkormányzat össz'!C61</f>
        <v>7695000</v>
      </c>
      <c r="AB61" s="244">
        <f>'7.0 önkormányzat össz'!D61</f>
        <v>0</v>
      </c>
      <c r="AC61" s="245">
        <f t="shared" si="4"/>
        <v>7695000</v>
      </c>
      <c r="AD61" s="244">
        <f>'7.0 önkormányzat össz'!F61</f>
        <v>9298826</v>
      </c>
      <c r="AE61" s="244">
        <f>'7.0 önkormányzat össz'!G61</f>
        <v>0</v>
      </c>
      <c r="AF61" s="245">
        <f t="shared" si="5"/>
        <v>9298826</v>
      </c>
      <c r="AG61" s="244">
        <f ca="1">'7.0 önkormányzat össz'!I61</f>
        <v>9298826</v>
      </c>
      <c r="AH61" s="244">
        <f>'7.0 önkormányzat össz'!J61</f>
        <v>0</v>
      </c>
      <c r="AI61" s="245">
        <f t="shared" ca="1" si="6"/>
        <v>9298826</v>
      </c>
      <c r="AJ61" s="244">
        <f ca="1">'7.0 önkormányzat össz'!L61</f>
        <v>9298826</v>
      </c>
      <c r="AK61" s="244">
        <f>'7.0 önkormányzat össz'!M61</f>
        <v>0</v>
      </c>
      <c r="AL61" s="245">
        <f t="shared" ca="1" si="7"/>
        <v>9298826</v>
      </c>
      <c r="AM61" s="244">
        <f t="shared" si="25"/>
        <v>7695000</v>
      </c>
      <c r="AN61" s="244">
        <f t="shared" si="26"/>
        <v>0</v>
      </c>
      <c r="AO61" s="245">
        <f t="shared" si="27"/>
        <v>7695000</v>
      </c>
      <c r="AP61" s="244">
        <f t="shared" si="28"/>
        <v>9298826</v>
      </c>
      <c r="AQ61" s="244">
        <f t="shared" si="29"/>
        <v>0</v>
      </c>
      <c r="AR61" s="245">
        <f t="shared" si="30"/>
        <v>9298826</v>
      </c>
      <c r="AS61" s="329">
        <f t="shared" ca="1" si="31"/>
        <v>9327233</v>
      </c>
      <c r="AT61" s="329">
        <f t="shared" si="32"/>
        <v>0</v>
      </c>
      <c r="AU61" s="253">
        <f t="shared" ca="1" si="33"/>
        <v>9327233</v>
      </c>
      <c r="AV61" s="329">
        <f t="shared" ca="1" si="34"/>
        <v>9298826</v>
      </c>
      <c r="AW61" s="329">
        <f t="shared" si="35"/>
        <v>0</v>
      </c>
      <c r="AX61" s="647">
        <f t="shared" ca="1" si="36"/>
        <v>9298826</v>
      </c>
      <c r="BA61" s="148"/>
    </row>
    <row r="62" spans="1:53" ht="15.75" thickBot="1" x14ac:dyDescent="0.3">
      <c r="A62" s="27" t="s">
        <v>122</v>
      </c>
      <c r="B62" s="62" t="s">
        <v>123</v>
      </c>
      <c r="C62" s="246">
        <f>'5.0 hivatal'!C62</f>
        <v>0</v>
      </c>
      <c r="D62" s="246">
        <f>'5.0 hivatal'!D62</f>
        <v>0</v>
      </c>
      <c r="E62" s="247">
        <f t="shared" si="24"/>
        <v>0</v>
      </c>
      <c r="F62" s="246">
        <f>'5.0 hivatal'!F62</f>
        <v>0</v>
      </c>
      <c r="G62" s="246">
        <f>'5.0 hivatal'!G62</f>
        <v>0</v>
      </c>
      <c r="H62" s="247">
        <f t="shared" si="21"/>
        <v>0</v>
      </c>
      <c r="I62" s="246">
        <f>'5.0 hivatal'!I62</f>
        <v>0</v>
      </c>
      <c r="J62" s="246">
        <f>'5.0 hivatal'!J62</f>
        <v>0</v>
      </c>
      <c r="K62" s="247">
        <f t="shared" si="22"/>
        <v>0</v>
      </c>
      <c r="L62" s="246">
        <f>'5.0 hivatal'!L62</f>
        <v>0</v>
      </c>
      <c r="M62" s="246">
        <f>'5.0 hivatal'!M62</f>
        <v>0</v>
      </c>
      <c r="N62" s="247">
        <f t="shared" si="23"/>
        <v>0</v>
      </c>
      <c r="O62" s="244">
        <f>'6.0 hksk'!C62</f>
        <v>0</v>
      </c>
      <c r="P62" s="244">
        <f>'6.0 hksk'!D62</f>
        <v>0</v>
      </c>
      <c r="Q62" s="247">
        <f t="shared" si="0"/>
        <v>0</v>
      </c>
      <c r="R62" s="244">
        <f>'6.0 hksk'!F62</f>
        <v>0</v>
      </c>
      <c r="S62" s="244">
        <f>'6.0 hksk'!G62</f>
        <v>0</v>
      </c>
      <c r="T62" s="247">
        <f t="shared" si="1"/>
        <v>0</v>
      </c>
      <c r="U62" s="244">
        <f>'6.0 hksk'!I62</f>
        <v>0</v>
      </c>
      <c r="V62" s="244">
        <f>'6.0 hksk'!J62</f>
        <v>0</v>
      </c>
      <c r="W62" s="247">
        <f t="shared" si="2"/>
        <v>0</v>
      </c>
      <c r="X62" s="244">
        <f>'6.0 hksk'!L62</f>
        <v>0</v>
      </c>
      <c r="Y62" s="244">
        <f>'6.0 hksk'!M62</f>
        <v>0</v>
      </c>
      <c r="Z62" s="247">
        <f t="shared" si="3"/>
        <v>0</v>
      </c>
      <c r="AA62" s="244">
        <f>'7.0 önkormányzat össz'!C62</f>
        <v>0</v>
      </c>
      <c r="AB62" s="244">
        <f>'7.0 önkormányzat össz'!D62</f>
        <v>0</v>
      </c>
      <c r="AC62" s="247">
        <f t="shared" si="4"/>
        <v>0</v>
      </c>
      <c r="AD62" s="244">
        <f>'7.0 önkormányzat össz'!F62</f>
        <v>0</v>
      </c>
      <c r="AE62" s="244">
        <f>'7.0 önkormányzat össz'!G62</f>
        <v>0</v>
      </c>
      <c r="AF62" s="247">
        <f t="shared" si="5"/>
        <v>0</v>
      </c>
      <c r="AG62" s="244">
        <f ca="1">'7.0 önkormányzat össz'!I62</f>
        <v>0</v>
      </c>
      <c r="AH62" s="244">
        <f>'7.0 önkormányzat össz'!J62</f>
        <v>0</v>
      </c>
      <c r="AI62" s="247">
        <f t="shared" ca="1" si="6"/>
        <v>0</v>
      </c>
      <c r="AJ62" s="244">
        <f ca="1">'7.0 önkormányzat össz'!L62</f>
        <v>0</v>
      </c>
      <c r="AK62" s="244">
        <f>'7.0 önkormányzat össz'!M62</f>
        <v>0</v>
      </c>
      <c r="AL62" s="247">
        <f t="shared" ca="1" si="7"/>
        <v>0</v>
      </c>
      <c r="AM62" s="244">
        <f t="shared" si="25"/>
        <v>0</v>
      </c>
      <c r="AN62" s="244">
        <f t="shared" si="26"/>
        <v>0</v>
      </c>
      <c r="AO62" s="245">
        <f t="shared" si="27"/>
        <v>0</v>
      </c>
      <c r="AP62" s="244">
        <f t="shared" si="28"/>
        <v>0</v>
      </c>
      <c r="AQ62" s="244">
        <f t="shared" si="29"/>
        <v>0</v>
      </c>
      <c r="AR62" s="245">
        <f t="shared" si="30"/>
        <v>0</v>
      </c>
      <c r="AS62" s="329">
        <f t="shared" ca="1" si="31"/>
        <v>0</v>
      </c>
      <c r="AT62" s="329">
        <f t="shared" si="32"/>
        <v>0</v>
      </c>
      <c r="AU62" s="253">
        <f t="shared" ca="1" si="33"/>
        <v>0</v>
      </c>
      <c r="AV62" s="329">
        <f t="shared" ca="1" si="34"/>
        <v>0</v>
      </c>
      <c r="AW62" s="329">
        <f t="shared" si="35"/>
        <v>0</v>
      </c>
      <c r="AX62" s="647">
        <f t="shared" ca="1" si="36"/>
        <v>0</v>
      </c>
    </row>
    <row r="63" spans="1:53" ht="15.75" thickBot="1" x14ac:dyDescent="0.3">
      <c r="A63" s="27" t="s">
        <v>124</v>
      </c>
      <c r="B63" s="62" t="s">
        <v>125</v>
      </c>
      <c r="C63" s="246">
        <f>'5.0 hivatal'!C63</f>
        <v>0</v>
      </c>
      <c r="D63" s="246">
        <f>'5.0 hivatal'!D63</f>
        <v>0</v>
      </c>
      <c r="E63" s="247">
        <f t="shared" si="24"/>
        <v>0</v>
      </c>
      <c r="F63" s="246">
        <f>'5.0 hivatal'!F63</f>
        <v>0</v>
      </c>
      <c r="G63" s="246">
        <f>'5.0 hivatal'!G63</f>
        <v>0</v>
      </c>
      <c r="H63" s="247">
        <f t="shared" si="21"/>
        <v>0</v>
      </c>
      <c r="I63" s="246">
        <f>'5.0 hivatal'!I63</f>
        <v>0</v>
      </c>
      <c r="J63" s="246">
        <f>'5.0 hivatal'!J63</f>
        <v>0</v>
      </c>
      <c r="K63" s="247">
        <f t="shared" si="22"/>
        <v>0</v>
      </c>
      <c r="L63" s="246">
        <f>'5.0 hivatal'!L63</f>
        <v>0</v>
      </c>
      <c r="M63" s="246">
        <f>'5.0 hivatal'!M63</f>
        <v>0</v>
      </c>
      <c r="N63" s="247">
        <f t="shared" si="23"/>
        <v>0</v>
      </c>
      <c r="O63" s="244">
        <f>'6.0 hksk'!C63</f>
        <v>0</v>
      </c>
      <c r="P63" s="244">
        <f>'6.0 hksk'!D63</f>
        <v>0</v>
      </c>
      <c r="Q63" s="247">
        <f t="shared" si="0"/>
        <v>0</v>
      </c>
      <c r="R63" s="244">
        <f>'6.0 hksk'!F63</f>
        <v>0</v>
      </c>
      <c r="S63" s="244">
        <f>'6.0 hksk'!G63</f>
        <v>0</v>
      </c>
      <c r="T63" s="247">
        <f t="shared" si="1"/>
        <v>0</v>
      </c>
      <c r="U63" s="244">
        <f>'6.0 hksk'!I63</f>
        <v>0</v>
      </c>
      <c r="V63" s="244">
        <f>'6.0 hksk'!J63</f>
        <v>0</v>
      </c>
      <c r="W63" s="247">
        <f t="shared" si="2"/>
        <v>0</v>
      </c>
      <c r="X63" s="244">
        <f>'6.0 hksk'!L63</f>
        <v>0</v>
      </c>
      <c r="Y63" s="244">
        <f>'6.0 hksk'!M63</f>
        <v>0</v>
      </c>
      <c r="Z63" s="247">
        <f t="shared" si="3"/>
        <v>0</v>
      </c>
      <c r="AA63" s="244">
        <f>'7.0 önkormányzat össz'!C63</f>
        <v>7695000</v>
      </c>
      <c r="AB63" s="244">
        <f>'7.0 önkormányzat össz'!D63</f>
        <v>0</v>
      </c>
      <c r="AC63" s="247">
        <f t="shared" si="4"/>
        <v>7695000</v>
      </c>
      <c r="AD63" s="244">
        <f>'7.0 önkormányzat össz'!F63</f>
        <v>8626400</v>
      </c>
      <c r="AE63" s="244">
        <f>'7.0 önkormányzat össz'!G63</f>
        <v>0</v>
      </c>
      <c r="AF63" s="247">
        <f t="shared" si="5"/>
        <v>8626400</v>
      </c>
      <c r="AG63" s="244">
        <f ca="1">'7.0 önkormányzat össz'!I63</f>
        <v>8626400</v>
      </c>
      <c r="AH63" s="244">
        <f>'7.0 önkormányzat össz'!J63</f>
        <v>0</v>
      </c>
      <c r="AI63" s="247">
        <f t="shared" ca="1" si="6"/>
        <v>8626400</v>
      </c>
      <c r="AJ63" s="244">
        <f ca="1">'7.0 önkormányzat össz'!L63</f>
        <v>8626400</v>
      </c>
      <c r="AK63" s="244">
        <f>'7.0 önkormányzat össz'!M63</f>
        <v>0</v>
      </c>
      <c r="AL63" s="247">
        <f t="shared" ca="1" si="7"/>
        <v>8626400</v>
      </c>
      <c r="AM63" s="244">
        <f t="shared" si="25"/>
        <v>7695000</v>
      </c>
      <c r="AN63" s="244">
        <f t="shared" si="26"/>
        <v>0</v>
      </c>
      <c r="AO63" s="245">
        <f t="shared" si="27"/>
        <v>7695000</v>
      </c>
      <c r="AP63" s="244">
        <f t="shared" si="28"/>
        <v>8626400</v>
      </c>
      <c r="AQ63" s="244">
        <f t="shared" si="29"/>
        <v>0</v>
      </c>
      <c r="AR63" s="245">
        <f t="shared" si="30"/>
        <v>8626400</v>
      </c>
      <c r="AS63" s="329">
        <f t="shared" ca="1" si="31"/>
        <v>8626400</v>
      </c>
      <c r="AT63" s="329">
        <f t="shared" si="32"/>
        <v>0</v>
      </c>
      <c r="AU63" s="253">
        <f t="shared" ca="1" si="33"/>
        <v>8626400</v>
      </c>
      <c r="AV63" s="329">
        <f t="shared" ca="1" si="34"/>
        <v>8626400</v>
      </c>
      <c r="AW63" s="329">
        <f t="shared" si="35"/>
        <v>0</v>
      </c>
      <c r="AX63" s="647">
        <f t="shared" ca="1" si="36"/>
        <v>8626400</v>
      </c>
    </row>
    <row r="64" spans="1:53" ht="15.75" thickBot="1" x14ac:dyDescent="0.3">
      <c r="A64" s="27" t="s">
        <v>126</v>
      </c>
      <c r="B64" s="62" t="s">
        <v>127</v>
      </c>
      <c r="C64" s="246">
        <f>'5.0 hivatal'!C64</f>
        <v>0</v>
      </c>
      <c r="D64" s="246">
        <f>'5.0 hivatal'!D64</f>
        <v>0</v>
      </c>
      <c r="E64" s="247">
        <f t="shared" si="24"/>
        <v>0</v>
      </c>
      <c r="F64" s="246">
        <f>'5.0 hivatal'!F64</f>
        <v>0</v>
      </c>
      <c r="G64" s="246">
        <f>'5.0 hivatal'!G64</f>
        <v>0</v>
      </c>
      <c r="H64" s="247">
        <f t="shared" si="21"/>
        <v>0</v>
      </c>
      <c r="I64" s="246">
        <f>'5.0 hivatal'!I64</f>
        <v>0</v>
      </c>
      <c r="J64" s="246">
        <f>'5.0 hivatal'!J64</f>
        <v>0</v>
      </c>
      <c r="K64" s="247">
        <f t="shared" si="22"/>
        <v>0</v>
      </c>
      <c r="L64" s="246">
        <f>'5.0 hivatal'!L64</f>
        <v>0</v>
      </c>
      <c r="M64" s="246">
        <f>'5.0 hivatal'!M64</f>
        <v>0</v>
      </c>
      <c r="N64" s="247">
        <f t="shared" si="23"/>
        <v>0</v>
      </c>
      <c r="O64" s="244">
        <f>'6.0 hksk'!C64</f>
        <v>0</v>
      </c>
      <c r="P64" s="244">
        <f>'6.0 hksk'!D64</f>
        <v>0</v>
      </c>
      <c r="Q64" s="247">
        <f t="shared" si="0"/>
        <v>0</v>
      </c>
      <c r="R64" s="244">
        <f>'6.0 hksk'!F64</f>
        <v>0</v>
      </c>
      <c r="S64" s="244">
        <f>'6.0 hksk'!G64</f>
        <v>0</v>
      </c>
      <c r="T64" s="247">
        <f t="shared" si="1"/>
        <v>0</v>
      </c>
      <c r="U64" s="244">
        <f>'6.0 hksk'!I64</f>
        <v>28407</v>
      </c>
      <c r="V64" s="244">
        <f>'6.0 hksk'!J64</f>
        <v>0</v>
      </c>
      <c r="W64" s="247">
        <f t="shared" si="2"/>
        <v>28407</v>
      </c>
      <c r="X64" s="244">
        <f>'6.0 hksk'!L64</f>
        <v>0</v>
      </c>
      <c r="Y64" s="244">
        <f>'6.0 hksk'!M64</f>
        <v>0</v>
      </c>
      <c r="Z64" s="247">
        <f t="shared" si="3"/>
        <v>0</v>
      </c>
      <c r="AA64" s="244">
        <f>'7.0 önkormányzat össz'!C64</f>
        <v>0</v>
      </c>
      <c r="AB64" s="244">
        <f>'7.0 önkormányzat össz'!D64</f>
        <v>0</v>
      </c>
      <c r="AC64" s="247">
        <f t="shared" si="4"/>
        <v>0</v>
      </c>
      <c r="AD64" s="244">
        <f>'7.0 önkormányzat össz'!F64</f>
        <v>672426</v>
      </c>
      <c r="AE64" s="244">
        <f>'7.0 önkormányzat össz'!G64</f>
        <v>0</v>
      </c>
      <c r="AF64" s="247">
        <f t="shared" si="5"/>
        <v>672426</v>
      </c>
      <c r="AG64" s="244">
        <f ca="1">'7.0 önkormányzat össz'!I64</f>
        <v>672426</v>
      </c>
      <c r="AH64" s="244">
        <f>'7.0 önkormányzat össz'!J64</f>
        <v>0</v>
      </c>
      <c r="AI64" s="247">
        <f t="shared" ca="1" si="6"/>
        <v>672426</v>
      </c>
      <c r="AJ64" s="244">
        <f ca="1">'7.0 önkormányzat össz'!L64</f>
        <v>672426</v>
      </c>
      <c r="AK64" s="244">
        <f>'7.0 önkormányzat össz'!M64</f>
        <v>0</v>
      </c>
      <c r="AL64" s="247">
        <f t="shared" ca="1" si="7"/>
        <v>672426</v>
      </c>
      <c r="AM64" s="244">
        <f t="shared" si="25"/>
        <v>0</v>
      </c>
      <c r="AN64" s="244">
        <f t="shared" si="26"/>
        <v>0</v>
      </c>
      <c r="AO64" s="245">
        <f t="shared" si="27"/>
        <v>0</v>
      </c>
      <c r="AP64" s="244">
        <f t="shared" si="28"/>
        <v>672426</v>
      </c>
      <c r="AQ64" s="244">
        <f t="shared" si="29"/>
        <v>0</v>
      </c>
      <c r="AR64" s="245">
        <f t="shared" si="30"/>
        <v>672426</v>
      </c>
      <c r="AS64" s="329">
        <f t="shared" ca="1" si="31"/>
        <v>700833</v>
      </c>
      <c r="AT64" s="329">
        <f t="shared" si="32"/>
        <v>0</v>
      </c>
      <c r="AU64" s="253">
        <f t="shared" ca="1" si="33"/>
        <v>700833</v>
      </c>
      <c r="AV64" s="329">
        <f t="shared" ca="1" si="34"/>
        <v>672426</v>
      </c>
      <c r="AW64" s="329">
        <f t="shared" si="35"/>
        <v>0</v>
      </c>
      <c r="AX64" s="647">
        <f t="shared" ca="1" si="36"/>
        <v>672426</v>
      </c>
    </row>
    <row r="65" spans="1:53" ht="15.75" thickBot="1" x14ac:dyDescent="0.3">
      <c r="A65" s="27" t="s">
        <v>128</v>
      </c>
      <c r="B65" s="62" t="s">
        <v>129</v>
      </c>
      <c r="C65" s="246">
        <f>'5.0 hivatal'!C65</f>
        <v>0</v>
      </c>
      <c r="D65" s="246">
        <f>'5.0 hivatal'!D65</f>
        <v>0</v>
      </c>
      <c r="E65" s="247">
        <f t="shared" si="24"/>
        <v>0</v>
      </c>
      <c r="F65" s="246">
        <f>'5.0 hivatal'!F65</f>
        <v>0</v>
      </c>
      <c r="G65" s="246">
        <f>'5.0 hivatal'!G65</f>
        <v>0</v>
      </c>
      <c r="H65" s="247">
        <f t="shared" si="21"/>
        <v>0</v>
      </c>
      <c r="I65" s="246">
        <f>'5.0 hivatal'!I65</f>
        <v>0</v>
      </c>
      <c r="J65" s="246">
        <f>'5.0 hivatal'!J65</f>
        <v>0</v>
      </c>
      <c r="K65" s="247">
        <f t="shared" si="22"/>
        <v>0</v>
      </c>
      <c r="L65" s="246">
        <f>'5.0 hivatal'!L65</f>
        <v>0</v>
      </c>
      <c r="M65" s="246">
        <f>'5.0 hivatal'!M65</f>
        <v>0</v>
      </c>
      <c r="N65" s="247">
        <f t="shared" si="23"/>
        <v>0</v>
      </c>
      <c r="O65" s="244">
        <f>'6.0 hksk'!C65</f>
        <v>0</v>
      </c>
      <c r="P65" s="244">
        <f>'6.0 hksk'!D65</f>
        <v>0</v>
      </c>
      <c r="Q65" s="247">
        <f t="shared" si="0"/>
        <v>0</v>
      </c>
      <c r="R65" s="244">
        <f>'6.0 hksk'!F65</f>
        <v>0</v>
      </c>
      <c r="S65" s="244">
        <f>'6.0 hksk'!G65</f>
        <v>0</v>
      </c>
      <c r="T65" s="247">
        <f t="shared" si="1"/>
        <v>0</v>
      </c>
      <c r="U65" s="244">
        <f>'6.0 hksk'!I65</f>
        <v>0</v>
      </c>
      <c r="V65" s="244">
        <f>'6.0 hksk'!J65</f>
        <v>0</v>
      </c>
      <c r="W65" s="247">
        <f t="shared" si="2"/>
        <v>0</v>
      </c>
      <c r="X65" s="244">
        <f>'6.0 hksk'!L65</f>
        <v>0</v>
      </c>
      <c r="Y65" s="244">
        <f>'6.0 hksk'!M65</f>
        <v>0</v>
      </c>
      <c r="Z65" s="247">
        <f t="shared" si="3"/>
        <v>0</v>
      </c>
      <c r="AA65" s="244">
        <f>'7.0 önkormányzat össz'!C65</f>
        <v>0</v>
      </c>
      <c r="AB65" s="244">
        <f>'7.0 önkormányzat össz'!D65</f>
        <v>0</v>
      </c>
      <c r="AC65" s="247">
        <f t="shared" si="4"/>
        <v>0</v>
      </c>
      <c r="AD65" s="244">
        <f>'7.0 önkormányzat össz'!F65</f>
        <v>0</v>
      </c>
      <c r="AE65" s="244">
        <f>'7.0 önkormányzat össz'!G65</f>
        <v>0</v>
      </c>
      <c r="AF65" s="247">
        <f t="shared" si="5"/>
        <v>0</v>
      </c>
      <c r="AG65" s="244">
        <f ca="1">'7.0 önkormányzat össz'!I65</f>
        <v>0</v>
      </c>
      <c r="AH65" s="244">
        <f>'7.0 önkormányzat össz'!J65</f>
        <v>0</v>
      </c>
      <c r="AI65" s="247">
        <f t="shared" ca="1" si="6"/>
        <v>0</v>
      </c>
      <c r="AJ65" s="244">
        <f ca="1">'7.0 önkormányzat össz'!L65</f>
        <v>0</v>
      </c>
      <c r="AK65" s="244">
        <f>'7.0 önkormányzat össz'!M65</f>
        <v>0</v>
      </c>
      <c r="AL65" s="247">
        <f t="shared" ca="1" si="7"/>
        <v>0</v>
      </c>
      <c r="AM65" s="244">
        <f t="shared" si="25"/>
        <v>0</v>
      </c>
      <c r="AN65" s="244">
        <f t="shared" si="26"/>
        <v>0</v>
      </c>
      <c r="AO65" s="245">
        <f t="shared" si="27"/>
        <v>0</v>
      </c>
      <c r="AP65" s="244">
        <f t="shared" si="28"/>
        <v>0</v>
      </c>
      <c r="AQ65" s="244">
        <f t="shared" si="29"/>
        <v>0</v>
      </c>
      <c r="AR65" s="245">
        <f t="shared" si="30"/>
        <v>0</v>
      </c>
      <c r="AS65" s="329">
        <f t="shared" ca="1" si="31"/>
        <v>0</v>
      </c>
      <c r="AT65" s="329">
        <f t="shared" si="32"/>
        <v>0</v>
      </c>
      <c r="AU65" s="253">
        <f t="shared" ca="1" si="33"/>
        <v>0</v>
      </c>
      <c r="AV65" s="329">
        <f t="shared" ca="1" si="34"/>
        <v>0</v>
      </c>
      <c r="AW65" s="329">
        <f t="shared" si="35"/>
        <v>0</v>
      </c>
      <c r="AX65" s="647">
        <f t="shared" ca="1" si="36"/>
        <v>0</v>
      </c>
    </row>
    <row r="66" spans="1:53" ht="15.75" thickBot="1" x14ac:dyDescent="0.3">
      <c r="A66" s="28" t="s">
        <v>130</v>
      </c>
      <c r="B66" s="64" t="s">
        <v>131</v>
      </c>
      <c r="C66" s="248">
        <f>'5.0 hivatal'!C66</f>
        <v>0</v>
      </c>
      <c r="D66" s="248">
        <f>'5.0 hivatal'!D66</f>
        <v>0</v>
      </c>
      <c r="E66" s="249">
        <f t="shared" si="24"/>
        <v>0</v>
      </c>
      <c r="F66" s="248">
        <f>'5.0 hivatal'!F66</f>
        <v>0</v>
      </c>
      <c r="G66" s="248">
        <f>'5.0 hivatal'!G66</f>
        <v>0</v>
      </c>
      <c r="H66" s="249">
        <f t="shared" si="21"/>
        <v>0</v>
      </c>
      <c r="I66" s="248">
        <f>'5.0 hivatal'!I66</f>
        <v>0</v>
      </c>
      <c r="J66" s="248">
        <f>'5.0 hivatal'!J66</f>
        <v>0</v>
      </c>
      <c r="K66" s="249">
        <f t="shared" si="22"/>
        <v>0</v>
      </c>
      <c r="L66" s="248">
        <f>'5.0 hivatal'!L66</f>
        <v>0</v>
      </c>
      <c r="M66" s="248">
        <f>'5.0 hivatal'!M66</f>
        <v>0</v>
      </c>
      <c r="N66" s="249">
        <f t="shared" si="23"/>
        <v>0</v>
      </c>
      <c r="O66" s="248">
        <f>'6.0 hksk'!C66</f>
        <v>0</v>
      </c>
      <c r="P66" s="248">
        <f>'6.0 hksk'!D66</f>
        <v>0</v>
      </c>
      <c r="Q66" s="249">
        <f t="shared" si="0"/>
        <v>0</v>
      </c>
      <c r="R66" s="248">
        <f>'6.0 hksk'!F66</f>
        <v>0</v>
      </c>
      <c r="S66" s="248">
        <f>'6.0 hksk'!G66</f>
        <v>0</v>
      </c>
      <c r="T66" s="249">
        <f t="shared" si="1"/>
        <v>0</v>
      </c>
      <c r="U66" s="248">
        <f>'6.0 hksk'!I66</f>
        <v>0</v>
      </c>
      <c r="V66" s="248">
        <f>'6.0 hksk'!J66</f>
        <v>0</v>
      </c>
      <c r="W66" s="249">
        <f t="shared" si="2"/>
        <v>0</v>
      </c>
      <c r="X66" s="248">
        <f>'6.0 hksk'!L66</f>
        <v>0</v>
      </c>
      <c r="Y66" s="248">
        <f>'6.0 hksk'!M66</f>
        <v>0</v>
      </c>
      <c r="Z66" s="249">
        <f t="shared" si="3"/>
        <v>0</v>
      </c>
      <c r="AA66" s="248">
        <f>'7.0 önkormányzat össz'!C66</f>
        <v>0</v>
      </c>
      <c r="AB66" s="248">
        <f>'7.0 önkormányzat össz'!D66</f>
        <v>0</v>
      </c>
      <c r="AC66" s="249">
        <f t="shared" si="4"/>
        <v>0</v>
      </c>
      <c r="AD66" s="248">
        <f>'7.0 önkormányzat össz'!F66</f>
        <v>0</v>
      </c>
      <c r="AE66" s="248">
        <f>'7.0 önkormányzat össz'!G66</f>
        <v>0</v>
      </c>
      <c r="AF66" s="249">
        <f t="shared" si="5"/>
        <v>0</v>
      </c>
      <c r="AG66" s="248">
        <f ca="1">'7.0 önkormányzat össz'!I66</f>
        <v>0</v>
      </c>
      <c r="AH66" s="248">
        <f>'7.0 önkormányzat össz'!J66</f>
        <v>0</v>
      </c>
      <c r="AI66" s="249">
        <f t="shared" ca="1" si="6"/>
        <v>0</v>
      </c>
      <c r="AJ66" s="248">
        <f ca="1">'7.0 önkormányzat össz'!L66</f>
        <v>0</v>
      </c>
      <c r="AK66" s="248">
        <f>'7.0 önkormányzat össz'!M66</f>
        <v>0</v>
      </c>
      <c r="AL66" s="249">
        <f t="shared" ca="1" si="7"/>
        <v>0</v>
      </c>
      <c r="AM66" s="248">
        <f t="shared" si="25"/>
        <v>0</v>
      </c>
      <c r="AN66" s="248">
        <f t="shared" si="26"/>
        <v>0</v>
      </c>
      <c r="AO66" s="249">
        <f t="shared" si="27"/>
        <v>0</v>
      </c>
      <c r="AP66" s="248">
        <f t="shared" si="28"/>
        <v>0</v>
      </c>
      <c r="AQ66" s="248">
        <f t="shared" si="29"/>
        <v>0</v>
      </c>
      <c r="AR66" s="249">
        <f t="shared" si="30"/>
        <v>0</v>
      </c>
      <c r="AS66" s="329">
        <f t="shared" ca="1" si="31"/>
        <v>0</v>
      </c>
      <c r="AT66" s="329">
        <f t="shared" si="32"/>
        <v>0</v>
      </c>
      <c r="AU66" s="253">
        <f t="shared" ca="1" si="33"/>
        <v>0</v>
      </c>
      <c r="AV66" s="329">
        <f t="shared" ca="1" si="34"/>
        <v>0</v>
      </c>
      <c r="AW66" s="329">
        <f t="shared" si="35"/>
        <v>0</v>
      </c>
      <c r="AX66" s="647">
        <f t="shared" ca="1" si="36"/>
        <v>0</v>
      </c>
    </row>
    <row r="67" spans="1:53" ht="15.75" thickBot="1" x14ac:dyDescent="0.3">
      <c r="A67" s="26" t="s">
        <v>132</v>
      </c>
      <c r="B67" s="48" t="s">
        <v>133</v>
      </c>
      <c r="C67" s="244">
        <f>'5.0 hivatal'!C67</f>
        <v>0</v>
      </c>
      <c r="D67" s="244">
        <f>'5.0 hivatal'!D67</f>
        <v>0</v>
      </c>
      <c r="E67" s="245">
        <f t="shared" si="24"/>
        <v>0</v>
      </c>
      <c r="F67" s="244">
        <f>'5.0 hivatal'!F67</f>
        <v>0</v>
      </c>
      <c r="G67" s="244">
        <f>'5.0 hivatal'!G67</f>
        <v>0</v>
      </c>
      <c r="H67" s="245">
        <f t="shared" si="21"/>
        <v>0</v>
      </c>
      <c r="I67" s="244">
        <f>'5.0 hivatal'!I67</f>
        <v>0</v>
      </c>
      <c r="J67" s="244">
        <f>'5.0 hivatal'!J67</f>
        <v>0</v>
      </c>
      <c r="K67" s="245">
        <f t="shared" si="22"/>
        <v>0</v>
      </c>
      <c r="L67" s="244">
        <f>'5.0 hivatal'!L67</f>
        <v>0</v>
      </c>
      <c r="M67" s="244">
        <f>'5.0 hivatal'!M67</f>
        <v>0</v>
      </c>
      <c r="N67" s="245">
        <f t="shared" si="23"/>
        <v>0</v>
      </c>
      <c r="O67" s="244">
        <f>'6.0 hksk'!C67</f>
        <v>0</v>
      </c>
      <c r="P67" s="244">
        <f>'6.0 hksk'!D67</f>
        <v>0</v>
      </c>
      <c r="Q67" s="245">
        <f t="shared" si="0"/>
        <v>0</v>
      </c>
      <c r="R67" s="244">
        <f>'6.0 hksk'!F67</f>
        <v>0</v>
      </c>
      <c r="S67" s="244">
        <f>'6.0 hksk'!G67</f>
        <v>0</v>
      </c>
      <c r="T67" s="245">
        <f t="shared" si="1"/>
        <v>0</v>
      </c>
      <c r="U67" s="244">
        <f>'6.0 hksk'!I67</f>
        <v>100000</v>
      </c>
      <c r="V67" s="244">
        <f>'6.0 hksk'!J67</f>
        <v>0</v>
      </c>
      <c r="W67" s="245">
        <f t="shared" si="2"/>
        <v>100000</v>
      </c>
      <c r="X67" s="244">
        <f>'6.0 hksk'!L67</f>
        <v>100000</v>
      </c>
      <c r="Y67" s="244">
        <f>'6.0 hksk'!M67</f>
        <v>0</v>
      </c>
      <c r="Z67" s="245">
        <f t="shared" si="3"/>
        <v>100000</v>
      </c>
      <c r="AA67" s="244">
        <f>'7.0 önkormányzat össz'!C67</f>
        <v>0</v>
      </c>
      <c r="AB67" s="244">
        <f>'7.0 önkormányzat össz'!D67</f>
        <v>0</v>
      </c>
      <c r="AC67" s="245">
        <f t="shared" si="4"/>
        <v>0</v>
      </c>
      <c r="AD67" s="244">
        <f>'7.0 önkormányzat össz'!F67</f>
        <v>0</v>
      </c>
      <c r="AE67" s="244">
        <f>'7.0 önkormányzat össz'!G67</f>
        <v>0</v>
      </c>
      <c r="AF67" s="245">
        <f t="shared" si="5"/>
        <v>0</v>
      </c>
      <c r="AG67" s="244">
        <f ca="1">'7.0 önkormányzat össz'!I67</f>
        <v>0</v>
      </c>
      <c r="AH67" s="244">
        <f>'7.0 önkormányzat össz'!J67</f>
        <v>0</v>
      </c>
      <c r="AI67" s="245">
        <f t="shared" ca="1" si="6"/>
        <v>0</v>
      </c>
      <c r="AJ67" s="244">
        <f ca="1">'7.0 önkormányzat össz'!L67</f>
        <v>168730</v>
      </c>
      <c r="AK67" s="244">
        <f>'7.0 önkormányzat össz'!M67</f>
        <v>0</v>
      </c>
      <c r="AL67" s="245">
        <f t="shared" ca="1" si="7"/>
        <v>168730</v>
      </c>
      <c r="AM67" s="244">
        <f t="shared" si="25"/>
        <v>0</v>
      </c>
      <c r="AN67" s="244">
        <f t="shared" si="26"/>
        <v>0</v>
      </c>
      <c r="AO67" s="245">
        <f t="shared" si="27"/>
        <v>0</v>
      </c>
      <c r="AP67" s="244">
        <f t="shared" si="28"/>
        <v>0</v>
      </c>
      <c r="AQ67" s="244">
        <f t="shared" si="29"/>
        <v>0</v>
      </c>
      <c r="AR67" s="245">
        <f t="shared" si="30"/>
        <v>0</v>
      </c>
      <c r="AS67" s="329">
        <f t="shared" ca="1" si="31"/>
        <v>100000</v>
      </c>
      <c r="AT67" s="329">
        <f t="shared" si="32"/>
        <v>0</v>
      </c>
      <c r="AU67" s="253">
        <f t="shared" ca="1" si="33"/>
        <v>100000</v>
      </c>
      <c r="AV67" s="329">
        <f t="shared" ca="1" si="34"/>
        <v>268730</v>
      </c>
      <c r="AW67" s="329">
        <f t="shared" si="35"/>
        <v>0</v>
      </c>
      <c r="AX67" s="647">
        <f t="shared" ca="1" si="36"/>
        <v>268730</v>
      </c>
    </row>
    <row r="68" spans="1:53" ht="15.75" thickBot="1" x14ac:dyDescent="0.3">
      <c r="A68" s="27" t="s">
        <v>134</v>
      </c>
      <c r="B68" s="62" t="s">
        <v>135</v>
      </c>
      <c r="C68" s="246">
        <f>'5.0 hivatal'!C68</f>
        <v>0</v>
      </c>
      <c r="D68" s="246">
        <f>'5.0 hivatal'!D68</f>
        <v>0</v>
      </c>
      <c r="E68" s="247">
        <f t="shared" si="24"/>
        <v>0</v>
      </c>
      <c r="F68" s="246">
        <f>'5.0 hivatal'!F68</f>
        <v>0</v>
      </c>
      <c r="G68" s="246">
        <f>'5.0 hivatal'!G68</f>
        <v>0</v>
      </c>
      <c r="H68" s="247">
        <f t="shared" si="21"/>
        <v>0</v>
      </c>
      <c r="I68" s="246">
        <f>'5.0 hivatal'!I68</f>
        <v>0</v>
      </c>
      <c r="J68" s="246">
        <f>'5.0 hivatal'!J68</f>
        <v>0</v>
      </c>
      <c r="K68" s="247">
        <f t="shared" si="22"/>
        <v>0</v>
      </c>
      <c r="L68" s="246">
        <f>'5.0 hivatal'!L68</f>
        <v>0</v>
      </c>
      <c r="M68" s="246">
        <f>'5.0 hivatal'!M68</f>
        <v>0</v>
      </c>
      <c r="N68" s="247">
        <f t="shared" si="23"/>
        <v>0</v>
      </c>
      <c r="O68" s="244">
        <f>'6.0 hksk'!C68</f>
        <v>0</v>
      </c>
      <c r="P68" s="244">
        <f>'6.0 hksk'!D68</f>
        <v>0</v>
      </c>
      <c r="Q68" s="247">
        <f t="shared" si="0"/>
        <v>0</v>
      </c>
      <c r="R68" s="244">
        <f>'6.0 hksk'!F68</f>
        <v>0</v>
      </c>
      <c r="S68" s="244">
        <f>'6.0 hksk'!G68</f>
        <v>0</v>
      </c>
      <c r="T68" s="247">
        <f t="shared" si="1"/>
        <v>0</v>
      </c>
      <c r="U68" s="244">
        <f>'6.0 hksk'!I68</f>
        <v>0</v>
      </c>
      <c r="V68" s="244">
        <f>'6.0 hksk'!J68</f>
        <v>0</v>
      </c>
      <c r="W68" s="247">
        <f t="shared" si="2"/>
        <v>0</v>
      </c>
      <c r="X68" s="244">
        <f>'6.0 hksk'!L68</f>
        <v>0</v>
      </c>
      <c r="Y68" s="244">
        <f>'6.0 hksk'!M68</f>
        <v>0</v>
      </c>
      <c r="Z68" s="247">
        <f t="shared" si="3"/>
        <v>0</v>
      </c>
      <c r="AA68" s="244">
        <f>'7.0 önkormányzat össz'!C68</f>
        <v>0</v>
      </c>
      <c r="AB68" s="244">
        <f>'7.0 önkormányzat össz'!D68</f>
        <v>0</v>
      </c>
      <c r="AC68" s="247">
        <f t="shared" si="4"/>
        <v>0</v>
      </c>
      <c r="AD68" s="244">
        <f>'7.0 önkormányzat össz'!F68</f>
        <v>0</v>
      </c>
      <c r="AE68" s="244">
        <f>'7.0 önkormányzat össz'!G68</f>
        <v>0</v>
      </c>
      <c r="AF68" s="247">
        <f t="shared" si="5"/>
        <v>0</v>
      </c>
      <c r="AG68" s="244">
        <f ca="1">'7.0 önkormányzat össz'!I68</f>
        <v>0</v>
      </c>
      <c r="AH68" s="244">
        <f>'7.0 önkormányzat össz'!J68</f>
        <v>0</v>
      </c>
      <c r="AI68" s="247">
        <f t="shared" ca="1" si="6"/>
        <v>0</v>
      </c>
      <c r="AJ68" s="244">
        <f ca="1">'7.0 önkormányzat össz'!L68</f>
        <v>0</v>
      </c>
      <c r="AK68" s="244">
        <f>'7.0 önkormányzat össz'!M68</f>
        <v>0</v>
      </c>
      <c r="AL68" s="247">
        <f t="shared" ca="1" si="7"/>
        <v>0</v>
      </c>
      <c r="AM68" s="244">
        <f t="shared" si="25"/>
        <v>0</v>
      </c>
      <c r="AN68" s="244">
        <f t="shared" si="26"/>
        <v>0</v>
      </c>
      <c r="AO68" s="245">
        <f t="shared" si="27"/>
        <v>0</v>
      </c>
      <c r="AP68" s="244">
        <f t="shared" si="28"/>
        <v>0</v>
      </c>
      <c r="AQ68" s="244">
        <f t="shared" si="29"/>
        <v>0</v>
      </c>
      <c r="AR68" s="245">
        <f t="shared" si="30"/>
        <v>0</v>
      </c>
      <c r="AS68" s="329">
        <f t="shared" ca="1" si="31"/>
        <v>0</v>
      </c>
      <c r="AT68" s="329">
        <f t="shared" si="32"/>
        <v>0</v>
      </c>
      <c r="AU68" s="253">
        <f t="shared" ca="1" si="33"/>
        <v>0</v>
      </c>
      <c r="AV68" s="329">
        <f t="shared" ca="1" si="34"/>
        <v>0</v>
      </c>
      <c r="AW68" s="329">
        <f t="shared" si="35"/>
        <v>0</v>
      </c>
      <c r="AX68" s="647">
        <f t="shared" ca="1" si="36"/>
        <v>0</v>
      </c>
    </row>
    <row r="69" spans="1:53" ht="15.75" thickBot="1" x14ac:dyDescent="0.3">
      <c r="A69" s="28" t="s">
        <v>136</v>
      </c>
      <c r="B69" s="64" t="s">
        <v>137</v>
      </c>
      <c r="C69" s="248">
        <f>'5.0 hivatal'!C69</f>
        <v>0</v>
      </c>
      <c r="D69" s="248">
        <f>'5.0 hivatal'!D69</f>
        <v>0</v>
      </c>
      <c r="E69" s="249">
        <f t="shared" si="24"/>
        <v>0</v>
      </c>
      <c r="F69" s="248">
        <f>'5.0 hivatal'!F69</f>
        <v>0</v>
      </c>
      <c r="G69" s="248">
        <f>'5.0 hivatal'!G69</f>
        <v>0</v>
      </c>
      <c r="H69" s="249">
        <f t="shared" si="21"/>
        <v>0</v>
      </c>
      <c r="I69" s="248">
        <f>'5.0 hivatal'!I69</f>
        <v>0</v>
      </c>
      <c r="J69" s="248">
        <f>'5.0 hivatal'!J69</f>
        <v>0</v>
      </c>
      <c r="K69" s="249">
        <f t="shared" si="22"/>
        <v>0</v>
      </c>
      <c r="L69" s="248">
        <f>'5.0 hivatal'!L69</f>
        <v>0</v>
      </c>
      <c r="M69" s="248">
        <f>'5.0 hivatal'!M69</f>
        <v>0</v>
      </c>
      <c r="N69" s="249">
        <f t="shared" si="23"/>
        <v>0</v>
      </c>
      <c r="O69" s="248">
        <f>'6.0 hksk'!C69</f>
        <v>0</v>
      </c>
      <c r="P69" s="248">
        <f>'6.0 hksk'!D69</f>
        <v>0</v>
      </c>
      <c r="Q69" s="249">
        <f t="shared" si="0"/>
        <v>0</v>
      </c>
      <c r="R69" s="248">
        <f>'6.0 hksk'!F69</f>
        <v>0</v>
      </c>
      <c r="S69" s="248">
        <f>'6.0 hksk'!G69</f>
        <v>0</v>
      </c>
      <c r="T69" s="249">
        <f t="shared" si="1"/>
        <v>0</v>
      </c>
      <c r="U69" s="248">
        <f>'6.0 hksk'!I69</f>
        <v>100000</v>
      </c>
      <c r="V69" s="248">
        <f>'6.0 hksk'!J69</f>
        <v>0</v>
      </c>
      <c r="W69" s="249">
        <f t="shared" si="2"/>
        <v>100000</v>
      </c>
      <c r="X69" s="248">
        <f>'6.0 hksk'!L69</f>
        <v>100000</v>
      </c>
      <c r="Y69" s="248">
        <f>'6.0 hksk'!M69</f>
        <v>0</v>
      </c>
      <c r="Z69" s="249">
        <f t="shared" si="3"/>
        <v>100000</v>
      </c>
      <c r="AA69" s="248">
        <f>'7.0 önkormányzat össz'!C69</f>
        <v>0</v>
      </c>
      <c r="AB69" s="248">
        <f>'7.0 önkormányzat össz'!D69</f>
        <v>0</v>
      </c>
      <c r="AC69" s="249">
        <f t="shared" si="4"/>
        <v>0</v>
      </c>
      <c r="AD69" s="248">
        <f>'7.0 önkormányzat össz'!F69</f>
        <v>0</v>
      </c>
      <c r="AE69" s="248">
        <f>'7.0 önkormányzat össz'!G69</f>
        <v>0</v>
      </c>
      <c r="AF69" s="249">
        <f t="shared" si="5"/>
        <v>0</v>
      </c>
      <c r="AG69" s="248">
        <f ca="1">'7.0 önkormányzat össz'!I69</f>
        <v>0</v>
      </c>
      <c r="AH69" s="248">
        <f>'7.0 önkormányzat össz'!J69</f>
        <v>0</v>
      </c>
      <c r="AI69" s="249">
        <f t="shared" ca="1" si="6"/>
        <v>0</v>
      </c>
      <c r="AJ69" s="248">
        <f ca="1">'7.0 önkormányzat össz'!L69</f>
        <v>168730</v>
      </c>
      <c r="AK69" s="248">
        <f>'7.0 önkormányzat össz'!M69</f>
        <v>0</v>
      </c>
      <c r="AL69" s="249">
        <f t="shared" ca="1" si="7"/>
        <v>168730</v>
      </c>
      <c r="AM69" s="248">
        <f t="shared" si="25"/>
        <v>0</v>
      </c>
      <c r="AN69" s="248">
        <f t="shared" si="26"/>
        <v>0</v>
      </c>
      <c r="AO69" s="249">
        <f t="shared" si="27"/>
        <v>0</v>
      </c>
      <c r="AP69" s="248">
        <f t="shared" si="28"/>
        <v>0</v>
      </c>
      <c r="AQ69" s="248">
        <f t="shared" si="29"/>
        <v>0</v>
      </c>
      <c r="AR69" s="249">
        <f t="shared" si="30"/>
        <v>0</v>
      </c>
      <c r="AS69" s="329">
        <f t="shared" ca="1" si="31"/>
        <v>100000</v>
      </c>
      <c r="AT69" s="329">
        <f t="shared" si="32"/>
        <v>0</v>
      </c>
      <c r="AU69" s="253">
        <f t="shared" ca="1" si="33"/>
        <v>100000</v>
      </c>
      <c r="AV69" s="329">
        <f t="shared" ca="1" si="34"/>
        <v>268730</v>
      </c>
      <c r="AW69" s="329">
        <f t="shared" si="35"/>
        <v>0</v>
      </c>
      <c r="AX69" s="647">
        <f t="shared" ca="1" si="36"/>
        <v>268730</v>
      </c>
    </row>
    <row r="70" spans="1:53" ht="15.75" thickBot="1" x14ac:dyDescent="0.3">
      <c r="A70" s="26" t="s">
        <v>138</v>
      </c>
      <c r="B70" s="48" t="s">
        <v>139</v>
      </c>
      <c r="C70" s="244">
        <f>'5.0 hivatal'!C70</f>
        <v>0</v>
      </c>
      <c r="D70" s="244">
        <f>'5.0 hivatal'!D70</f>
        <v>0</v>
      </c>
      <c r="E70" s="245">
        <f t="shared" si="24"/>
        <v>0</v>
      </c>
      <c r="F70" s="244">
        <f>'5.0 hivatal'!F70</f>
        <v>0</v>
      </c>
      <c r="G70" s="244">
        <f>'5.0 hivatal'!G70</f>
        <v>0</v>
      </c>
      <c r="H70" s="245">
        <f t="shared" si="21"/>
        <v>0</v>
      </c>
      <c r="I70" s="244">
        <f>'5.0 hivatal'!I70</f>
        <v>0</v>
      </c>
      <c r="J70" s="244">
        <f>'5.0 hivatal'!J70</f>
        <v>0</v>
      </c>
      <c r="K70" s="245">
        <f t="shared" si="22"/>
        <v>0</v>
      </c>
      <c r="L70" s="244">
        <f>'5.0 hivatal'!L70</f>
        <v>0</v>
      </c>
      <c r="M70" s="244">
        <f>'5.0 hivatal'!M70</f>
        <v>0</v>
      </c>
      <c r="N70" s="245">
        <f t="shared" si="23"/>
        <v>0</v>
      </c>
      <c r="O70" s="244">
        <f>'6.0 hksk'!C70</f>
        <v>0</v>
      </c>
      <c r="P70" s="244">
        <f>'6.0 hksk'!D70</f>
        <v>0</v>
      </c>
      <c r="Q70" s="245">
        <f t="shared" si="0"/>
        <v>0</v>
      </c>
      <c r="R70" s="244">
        <f>'6.0 hksk'!F70</f>
        <v>0</v>
      </c>
      <c r="S70" s="244">
        <f>'6.0 hksk'!G70</f>
        <v>0</v>
      </c>
      <c r="T70" s="245">
        <f t="shared" si="1"/>
        <v>0</v>
      </c>
      <c r="U70" s="244">
        <f>'6.0 hksk'!I70</f>
        <v>0</v>
      </c>
      <c r="V70" s="244">
        <f>'6.0 hksk'!J70</f>
        <v>0</v>
      </c>
      <c r="W70" s="245">
        <f t="shared" si="2"/>
        <v>0</v>
      </c>
      <c r="X70" s="244">
        <f>'6.0 hksk'!L70</f>
        <v>0</v>
      </c>
      <c r="Y70" s="244">
        <f>'6.0 hksk'!M70</f>
        <v>0</v>
      </c>
      <c r="Z70" s="245">
        <f t="shared" si="3"/>
        <v>0</v>
      </c>
      <c r="AA70" s="244">
        <f>'7.0 önkormányzat össz'!C70</f>
        <v>375000</v>
      </c>
      <c r="AB70" s="244">
        <f>'7.0 önkormányzat össz'!D70</f>
        <v>0</v>
      </c>
      <c r="AC70" s="245">
        <f t="shared" si="4"/>
        <v>375000</v>
      </c>
      <c r="AD70" s="244">
        <f>'7.0 önkormányzat össz'!F70</f>
        <v>375000</v>
      </c>
      <c r="AE70" s="244">
        <f>'7.0 önkormányzat össz'!G70</f>
        <v>0</v>
      </c>
      <c r="AF70" s="245">
        <f t="shared" si="5"/>
        <v>375000</v>
      </c>
      <c r="AG70" s="244">
        <f ca="1">'7.0 önkormányzat össz'!I70</f>
        <v>375000</v>
      </c>
      <c r="AH70" s="244">
        <f>'7.0 önkormányzat össz'!J70</f>
        <v>0</v>
      </c>
      <c r="AI70" s="245">
        <f t="shared" ca="1" si="6"/>
        <v>375000</v>
      </c>
      <c r="AJ70" s="244">
        <f ca="1">'7.0 önkormányzat össz'!L70</f>
        <v>406665</v>
      </c>
      <c r="AK70" s="244">
        <f>'7.0 önkormányzat össz'!M70</f>
        <v>0</v>
      </c>
      <c r="AL70" s="245">
        <f t="shared" ca="1" si="7"/>
        <v>406665</v>
      </c>
      <c r="AM70" s="244">
        <f t="shared" si="25"/>
        <v>375000</v>
      </c>
      <c r="AN70" s="244">
        <f t="shared" si="26"/>
        <v>0</v>
      </c>
      <c r="AO70" s="245">
        <f t="shared" si="27"/>
        <v>375000</v>
      </c>
      <c r="AP70" s="244">
        <f t="shared" si="28"/>
        <v>375000</v>
      </c>
      <c r="AQ70" s="244">
        <f t="shared" si="29"/>
        <v>0</v>
      </c>
      <c r="AR70" s="245">
        <f t="shared" si="30"/>
        <v>375000</v>
      </c>
      <c r="AS70" s="329">
        <f t="shared" ca="1" si="31"/>
        <v>375000</v>
      </c>
      <c r="AT70" s="329">
        <f t="shared" si="32"/>
        <v>0</v>
      </c>
      <c r="AU70" s="253">
        <f t="shared" ca="1" si="33"/>
        <v>375000</v>
      </c>
      <c r="AV70" s="329">
        <f t="shared" ca="1" si="34"/>
        <v>406665</v>
      </c>
      <c r="AW70" s="329">
        <f t="shared" si="35"/>
        <v>0</v>
      </c>
      <c r="AX70" s="647">
        <f t="shared" ca="1" si="36"/>
        <v>406665</v>
      </c>
    </row>
    <row r="71" spans="1:53" ht="15.75" thickBot="1" x14ac:dyDescent="0.3">
      <c r="A71" s="28"/>
      <c r="B71" s="64" t="s">
        <v>140</v>
      </c>
      <c r="C71" s="248">
        <f>'5.0 hivatal'!C71</f>
        <v>0</v>
      </c>
      <c r="D71" s="248">
        <f>'5.0 hivatal'!D71</f>
        <v>0</v>
      </c>
      <c r="E71" s="249">
        <f t="shared" si="24"/>
        <v>0</v>
      </c>
      <c r="F71" s="248">
        <f>'5.0 hivatal'!F71</f>
        <v>0</v>
      </c>
      <c r="G71" s="248">
        <f>'5.0 hivatal'!G71</f>
        <v>0</v>
      </c>
      <c r="H71" s="249">
        <f t="shared" si="21"/>
        <v>0</v>
      </c>
      <c r="I71" s="248">
        <f>'5.0 hivatal'!I71</f>
        <v>0</v>
      </c>
      <c r="J71" s="248">
        <f>'5.0 hivatal'!J71</f>
        <v>0</v>
      </c>
      <c r="K71" s="249">
        <f t="shared" si="22"/>
        <v>0</v>
      </c>
      <c r="L71" s="248">
        <f>'5.0 hivatal'!L71</f>
        <v>0</v>
      </c>
      <c r="M71" s="248">
        <f>'5.0 hivatal'!M71</f>
        <v>0</v>
      </c>
      <c r="N71" s="249">
        <f t="shared" si="23"/>
        <v>0</v>
      </c>
      <c r="O71" s="248">
        <f>'6.0 hksk'!C71</f>
        <v>0</v>
      </c>
      <c r="P71" s="248">
        <f>'6.0 hksk'!D71</f>
        <v>0</v>
      </c>
      <c r="Q71" s="249">
        <f t="shared" si="0"/>
        <v>0</v>
      </c>
      <c r="R71" s="248">
        <f>'6.0 hksk'!F71</f>
        <v>0</v>
      </c>
      <c r="S71" s="248">
        <f>'6.0 hksk'!G71</f>
        <v>0</v>
      </c>
      <c r="T71" s="249">
        <f t="shared" si="1"/>
        <v>0</v>
      </c>
      <c r="U71" s="248">
        <f>'6.0 hksk'!I71</f>
        <v>0</v>
      </c>
      <c r="V71" s="248">
        <f>'6.0 hksk'!J71</f>
        <v>0</v>
      </c>
      <c r="W71" s="249">
        <f t="shared" si="2"/>
        <v>0</v>
      </c>
      <c r="X71" s="248">
        <f>'6.0 hksk'!L71</f>
        <v>0</v>
      </c>
      <c r="Y71" s="248">
        <f>'6.0 hksk'!M71</f>
        <v>0</v>
      </c>
      <c r="Z71" s="249">
        <f t="shared" si="3"/>
        <v>0</v>
      </c>
      <c r="AA71" s="248">
        <f>'7.0 önkormányzat össz'!C71</f>
        <v>375000</v>
      </c>
      <c r="AB71" s="248">
        <f>'7.0 önkormányzat össz'!D71</f>
        <v>0</v>
      </c>
      <c r="AC71" s="249">
        <f t="shared" si="4"/>
        <v>375000</v>
      </c>
      <c r="AD71" s="248">
        <f>'7.0 önkormányzat össz'!F71</f>
        <v>375000</v>
      </c>
      <c r="AE71" s="248">
        <f>'7.0 önkormányzat össz'!G71</f>
        <v>0</v>
      </c>
      <c r="AF71" s="249">
        <f t="shared" si="5"/>
        <v>375000</v>
      </c>
      <c r="AG71" s="248">
        <f ca="1">'7.0 önkormányzat össz'!I71</f>
        <v>375000</v>
      </c>
      <c r="AH71" s="248">
        <f>'7.0 önkormányzat össz'!J71</f>
        <v>0</v>
      </c>
      <c r="AI71" s="249">
        <f t="shared" ca="1" si="6"/>
        <v>375000</v>
      </c>
      <c r="AJ71" s="248">
        <f ca="1">'7.0 önkormányzat össz'!L71</f>
        <v>406665</v>
      </c>
      <c r="AK71" s="248">
        <f>'7.0 önkormányzat össz'!M71</f>
        <v>0</v>
      </c>
      <c r="AL71" s="249">
        <f t="shared" ca="1" si="7"/>
        <v>406665</v>
      </c>
      <c r="AM71" s="248">
        <f t="shared" si="25"/>
        <v>375000</v>
      </c>
      <c r="AN71" s="248">
        <f t="shared" si="26"/>
        <v>0</v>
      </c>
      <c r="AO71" s="249">
        <f t="shared" si="27"/>
        <v>375000</v>
      </c>
      <c r="AP71" s="248">
        <f t="shared" si="28"/>
        <v>375000</v>
      </c>
      <c r="AQ71" s="248">
        <f t="shared" si="29"/>
        <v>0</v>
      </c>
      <c r="AR71" s="249">
        <f t="shared" si="30"/>
        <v>375000</v>
      </c>
      <c r="AS71" s="329">
        <f t="shared" ca="1" si="31"/>
        <v>375000</v>
      </c>
      <c r="AT71" s="329">
        <f t="shared" si="32"/>
        <v>0</v>
      </c>
      <c r="AU71" s="253">
        <f t="shared" ca="1" si="33"/>
        <v>375000</v>
      </c>
      <c r="AV71" s="329">
        <f t="shared" ca="1" si="34"/>
        <v>406665</v>
      </c>
      <c r="AW71" s="329">
        <f t="shared" si="35"/>
        <v>0</v>
      </c>
      <c r="AX71" s="647">
        <f t="shared" ca="1" si="36"/>
        <v>406665</v>
      </c>
    </row>
    <row r="72" spans="1:53" s="179" customFormat="1" ht="15.75" thickBot="1" x14ac:dyDescent="0.3">
      <c r="A72" s="625"/>
      <c r="B72" s="180" t="s">
        <v>831</v>
      </c>
      <c r="C72" s="248">
        <f>'5.0 hivatal'!C72</f>
        <v>0</v>
      </c>
      <c r="D72" s="248">
        <f>'5.0 hivatal'!D72</f>
        <v>0</v>
      </c>
      <c r="E72" s="249">
        <f t="shared" ref="E72" si="37">SUM(C72:D72)</f>
        <v>0</v>
      </c>
      <c r="F72" s="248">
        <f>'5.0 hivatal'!F72</f>
        <v>0</v>
      </c>
      <c r="G72" s="248">
        <f>'5.0 hivatal'!G72</f>
        <v>0</v>
      </c>
      <c r="H72" s="249">
        <f t="shared" ref="H72" si="38">SUM(F72:G72)</f>
        <v>0</v>
      </c>
      <c r="I72" s="248">
        <f>'5.0 hivatal'!I72</f>
        <v>0</v>
      </c>
      <c r="J72" s="248">
        <f>'5.0 hivatal'!J72</f>
        <v>0</v>
      </c>
      <c r="K72" s="249">
        <f t="shared" si="22"/>
        <v>0</v>
      </c>
      <c r="L72" s="248">
        <f>'5.0 hivatal'!L72</f>
        <v>0</v>
      </c>
      <c r="M72" s="248">
        <f>'5.0 hivatal'!M72</f>
        <v>0</v>
      </c>
      <c r="N72" s="249">
        <f t="shared" si="23"/>
        <v>0</v>
      </c>
      <c r="O72" s="248">
        <f>'6.0 hksk'!C72</f>
        <v>0</v>
      </c>
      <c r="P72" s="248">
        <f>'6.0 hksk'!D72</f>
        <v>0</v>
      </c>
      <c r="Q72" s="249">
        <f t="shared" ref="Q72" si="39">SUM(O72:P72)</f>
        <v>0</v>
      </c>
      <c r="R72" s="248">
        <f>'6.0 hksk'!F72</f>
        <v>0</v>
      </c>
      <c r="S72" s="248">
        <f>'6.0 hksk'!G72</f>
        <v>0</v>
      </c>
      <c r="T72" s="249">
        <f t="shared" ref="T72" si="40">SUM(R72:S72)</f>
        <v>0</v>
      </c>
      <c r="U72" s="248">
        <f>'6.0 hksk'!I72</f>
        <v>0</v>
      </c>
      <c r="V72" s="248">
        <f>'6.0 hksk'!J72</f>
        <v>0</v>
      </c>
      <c r="W72" s="249">
        <f t="shared" ref="W72" si="41">SUM(U72:V72)</f>
        <v>0</v>
      </c>
      <c r="X72" s="248">
        <f>'6.0 hksk'!L72</f>
        <v>0</v>
      </c>
      <c r="Y72" s="248">
        <f>'6.0 hksk'!M72</f>
        <v>0</v>
      </c>
      <c r="Z72" s="249">
        <f t="shared" ref="Z72:Z81" si="42">SUM(X72:Y72)</f>
        <v>0</v>
      </c>
      <c r="AA72" s="248">
        <f>'7.0 önkormányzat össz'!C72</f>
        <v>0</v>
      </c>
      <c r="AB72" s="248">
        <f>'7.0 önkormányzat össz'!D72</f>
        <v>0</v>
      </c>
      <c r="AC72" s="249">
        <f t="shared" ref="AC72" si="43">SUM(AA72:AB72)</f>
        <v>0</v>
      </c>
      <c r="AD72" s="248">
        <f>'7.0 önkormányzat össz'!F72</f>
        <v>5122863</v>
      </c>
      <c r="AE72" s="248">
        <f>'7.0 önkormányzat össz'!G72</f>
        <v>0</v>
      </c>
      <c r="AF72" s="249">
        <f t="shared" ref="AF72" si="44">SUM(AD72:AE72)</f>
        <v>5122863</v>
      </c>
      <c r="AG72" s="248">
        <f ca="1">'7.0 önkormányzat össz'!I72</f>
        <v>5122863</v>
      </c>
      <c r="AH72" s="248">
        <f>'7.0 önkormányzat össz'!J72</f>
        <v>0</v>
      </c>
      <c r="AI72" s="249">
        <f t="shared" ref="AI72" ca="1" si="45">SUM(AG72:AH72)</f>
        <v>5122863</v>
      </c>
      <c r="AJ72" s="248">
        <f ca="1">'7.0 önkormányzat össz'!L72</f>
        <v>0</v>
      </c>
      <c r="AK72" s="248">
        <f>'7.0 önkormányzat össz'!M72</f>
        <v>0</v>
      </c>
      <c r="AL72" s="249">
        <f t="shared" ref="AL72:AL82" ca="1" si="46">SUM(AJ72:AK72)</f>
        <v>0</v>
      </c>
      <c r="AM72" s="248">
        <f t="shared" si="25"/>
        <v>0</v>
      </c>
      <c r="AN72" s="248">
        <f t="shared" si="26"/>
        <v>0</v>
      </c>
      <c r="AO72" s="249">
        <f t="shared" si="27"/>
        <v>0</v>
      </c>
      <c r="AP72" s="248">
        <f t="shared" si="28"/>
        <v>5122863</v>
      </c>
      <c r="AQ72" s="248">
        <f t="shared" si="29"/>
        <v>0</v>
      </c>
      <c r="AR72" s="249">
        <f t="shared" si="30"/>
        <v>5122863</v>
      </c>
      <c r="AS72" s="329">
        <f t="shared" ca="1" si="31"/>
        <v>5122863</v>
      </c>
      <c r="AT72" s="329">
        <f t="shared" si="32"/>
        <v>0</v>
      </c>
      <c r="AU72" s="253">
        <f t="shared" ca="1" si="33"/>
        <v>5122863</v>
      </c>
      <c r="AV72" s="329">
        <f t="shared" ca="1" si="34"/>
        <v>0</v>
      </c>
      <c r="AW72" s="329">
        <f t="shared" si="35"/>
        <v>0</v>
      </c>
      <c r="AX72" s="647">
        <f t="shared" ca="1" si="36"/>
        <v>0</v>
      </c>
    </row>
    <row r="73" spans="1:53" ht="15.75" thickBot="1" x14ac:dyDescent="0.3">
      <c r="A73" s="29" t="s">
        <v>141</v>
      </c>
      <c r="B73" s="47" t="s">
        <v>142</v>
      </c>
      <c r="C73" s="250">
        <f>'5.0 hivatal'!C73</f>
        <v>420000</v>
      </c>
      <c r="D73" s="250">
        <f>'5.0 hivatal'!D73</f>
        <v>0</v>
      </c>
      <c r="E73" s="251">
        <f t="shared" si="24"/>
        <v>420000</v>
      </c>
      <c r="F73" s="250">
        <f>'5.0 hivatal'!F73</f>
        <v>2718693</v>
      </c>
      <c r="G73" s="250">
        <f>'5.0 hivatal'!G73</f>
        <v>0</v>
      </c>
      <c r="H73" s="251">
        <f t="shared" si="21"/>
        <v>2718693</v>
      </c>
      <c r="I73" s="250">
        <f>'5.0 hivatal'!I73</f>
        <v>2767102</v>
      </c>
      <c r="J73" s="250">
        <f>'5.0 hivatal'!J73</f>
        <v>0</v>
      </c>
      <c r="K73" s="251">
        <f t="shared" si="22"/>
        <v>2767102</v>
      </c>
      <c r="L73" s="250">
        <f>'5.0 hivatal'!L73</f>
        <v>6657091</v>
      </c>
      <c r="M73" s="250">
        <f>'5.0 hivatal'!M73</f>
        <v>0</v>
      </c>
      <c r="N73" s="251">
        <f t="shared" si="23"/>
        <v>6657091</v>
      </c>
      <c r="O73" s="250">
        <f>'6.0 hksk'!C73</f>
        <v>20867805</v>
      </c>
      <c r="P73" s="250">
        <f>'6.0 hksk'!D73</f>
        <v>0</v>
      </c>
      <c r="Q73" s="251">
        <f t="shared" si="0"/>
        <v>20867805</v>
      </c>
      <c r="R73" s="250">
        <f>'6.0 hksk'!F73</f>
        <v>25503556</v>
      </c>
      <c r="S73" s="250">
        <f>'6.0 hksk'!G73</f>
        <v>0</v>
      </c>
      <c r="T73" s="251">
        <f t="shared" si="1"/>
        <v>25503556</v>
      </c>
      <c r="U73" s="250">
        <f>'6.0 hksk'!I73</f>
        <v>26120198</v>
      </c>
      <c r="V73" s="250">
        <f>'6.0 hksk'!J73</f>
        <v>0</v>
      </c>
      <c r="W73" s="251">
        <f t="shared" ref="W73" si="47">SUM(U73:V73)</f>
        <v>26120198</v>
      </c>
      <c r="X73" s="250">
        <f>'6.0 hksk'!L73</f>
        <v>17179396</v>
      </c>
      <c r="Y73" s="250">
        <f>'6.0 hksk'!M73</f>
        <v>0</v>
      </c>
      <c r="Z73" s="251">
        <f t="shared" si="42"/>
        <v>17179396</v>
      </c>
      <c r="AA73" s="250">
        <f>'7.0 önkormányzat össz'!C73</f>
        <v>2384638827</v>
      </c>
      <c r="AB73" s="250">
        <f>'7.0 önkormányzat össz'!D73</f>
        <v>0</v>
      </c>
      <c r="AC73" s="251">
        <f t="shared" si="4"/>
        <v>2384638827</v>
      </c>
      <c r="AD73" s="250">
        <f>'7.0 önkormányzat össz'!F73</f>
        <v>2409025781</v>
      </c>
      <c r="AE73" s="250">
        <f>'7.0 önkormányzat össz'!G73</f>
        <v>0</v>
      </c>
      <c r="AF73" s="251">
        <f t="shared" si="5"/>
        <v>2409025781</v>
      </c>
      <c r="AG73" s="250">
        <f ca="1">'7.0 önkormányzat össz'!I73</f>
        <v>2456265545</v>
      </c>
      <c r="AH73" s="250">
        <f>'7.0 önkormányzat össz'!J73</f>
        <v>0</v>
      </c>
      <c r="AI73" s="251">
        <f t="shared" ref="AI73" ca="1" si="48">SUM(AG73:AH73)</f>
        <v>2456265545</v>
      </c>
      <c r="AJ73" s="250">
        <f ca="1">'7.0 önkormányzat össz'!L73</f>
        <v>2373915346</v>
      </c>
      <c r="AK73" s="250">
        <f>'7.0 önkormányzat össz'!M73</f>
        <v>0</v>
      </c>
      <c r="AL73" s="251">
        <f t="shared" ca="1" si="46"/>
        <v>2373915346</v>
      </c>
      <c r="AM73" s="250">
        <f t="shared" ref="AM73:AM83" si="49">C73+O73+AA73</f>
        <v>2405926632</v>
      </c>
      <c r="AN73" s="250">
        <f t="shared" ref="AN73:AN83" si="50">D73+P73+AB73</f>
        <v>0</v>
      </c>
      <c r="AO73" s="251">
        <f t="shared" ref="AO73:AO83" si="51">E73+Q73+AC73</f>
        <v>2405926632</v>
      </c>
      <c r="AP73" s="250">
        <f t="shared" ref="AP73:AP83" si="52">F73+R73+AD73</f>
        <v>2437248030</v>
      </c>
      <c r="AQ73" s="250">
        <f t="shared" ref="AQ73:AQ83" si="53">G73+S73+AE73</f>
        <v>0</v>
      </c>
      <c r="AR73" s="251">
        <f t="shared" ref="AR73:AR83" si="54">H73+T73+AF73</f>
        <v>2437248030</v>
      </c>
      <c r="AS73" s="329">
        <f t="shared" ref="AS73:AS83" ca="1" si="55">I73+U73+AG73</f>
        <v>2485152845</v>
      </c>
      <c r="AT73" s="329">
        <f t="shared" ref="AT73:AT83" si="56">J73+V73+AH73</f>
        <v>0</v>
      </c>
      <c r="AU73" s="253">
        <f t="shared" ref="AU73:AU83" ca="1" si="57">K73+W73+AI73</f>
        <v>2485152845</v>
      </c>
      <c r="AV73" s="329">
        <f t="shared" ref="AV73:AV83" ca="1" si="58">L73+X73+AJ73</f>
        <v>2397751833</v>
      </c>
      <c r="AW73" s="329">
        <f t="shared" ref="AW73:AW83" si="59">M73+Y73+AK73</f>
        <v>0</v>
      </c>
      <c r="AX73" s="647">
        <f t="shared" ref="AX73:AX83" ca="1" si="60">N73+Z73+AL73</f>
        <v>2397751833</v>
      </c>
      <c r="BA73" s="148"/>
    </row>
    <row r="74" spans="1:53" ht="15.75" thickBot="1" x14ac:dyDescent="0.3">
      <c r="A74" s="30" t="s">
        <v>143</v>
      </c>
      <c r="B74" s="68" t="s">
        <v>144</v>
      </c>
      <c r="C74" s="244">
        <f>'5.0 hivatal'!C74</f>
        <v>195476714</v>
      </c>
      <c r="D74" s="244">
        <f>'5.0 hivatal'!D74</f>
        <v>0</v>
      </c>
      <c r="E74" s="245">
        <f t="shared" ref="E74:E81" si="61">SUM(C74:D74)</f>
        <v>195476714</v>
      </c>
      <c r="F74" s="244">
        <f>'5.0 hivatal'!F74</f>
        <v>195840961</v>
      </c>
      <c r="G74" s="244">
        <f>'5.0 hivatal'!G74</f>
        <v>0</v>
      </c>
      <c r="H74" s="245">
        <f t="shared" ref="H74:H81" si="62">SUM(F74:G74)</f>
        <v>195840961</v>
      </c>
      <c r="I74" s="244">
        <f>'5.0 hivatal'!I74</f>
        <v>195792552</v>
      </c>
      <c r="J74" s="244">
        <f>'5.0 hivatal'!J74</f>
        <v>0</v>
      </c>
      <c r="K74" s="245">
        <f t="shared" ref="K74:K81" si="63">SUM(I74:J74)</f>
        <v>195792552</v>
      </c>
      <c r="L74" s="244">
        <f>'5.0 hivatal'!L74</f>
        <v>164907387</v>
      </c>
      <c r="M74" s="244">
        <f>'5.0 hivatal'!M74</f>
        <v>0</v>
      </c>
      <c r="N74" s="245">
        <f t="shared" ref="N74:N81" si="64">SUM(L74:M74)</f>
        <v>164907387</v>
      </c>
      <c r="O74" s="244">
        <f>'6.0 hksk'!C74</f>
        <v>82730822</v>
      </c>
      <c r="P74" s="244">
        <f>'6.0 hksk'!D74</f>
        <v>0</v>
      </c>
      <c r="Q74" s="245">
        <f t="shared" ref="Q74:Q85" si="65">SUM(O74:P74)</f>
        <v>82730822</v>
      </c>
      <c r="R74" s="244">
        <f>'6.0 hksk'!F74</f>
        <v>95076841</v>
      </c>
      <c r="S74" s="244">
        <f>'6.0 hksk'!G74</f>
        <v>0</v>
      </c>
      <c r="T74" s="245">
        <f t="shared" ref="T74:T81" si="66">SUM(R74:S74)</f>
        <v>95076841</v>
      </c>
      <c r="U74" s="244">
        <f>'6.0 hksk'!I74</f>
        <v>96907041</v>
      </c>
      <c r="V74" s="244">
        <f>'6.0 hksk'!J74</f>
        <v>0</v>
      </c>
      <c r="W74" s="245">
        <f t="shared" ref="W74:W81" si="67">SUM(U74:V74)</f>
        <v>96907041</v>
      </c>
      <c r="X74" s="244">
        <f>'6.0 hksk'!L74</f>
        <v>106432643</v>
      </c>
      <c r="Y74" s="244">
        <f>'6.0 hksk'!M74</f>
        <v>0</v>
      </c>
      <c r="Z74" s="245">
        <f t="shared" si="42"/>
        <v>106432643</v>
      </c>
      <c r="AA74" s="244">
        <f>'7.0 önkormányzat össz'!C74</f>
        <v>2469475370</v>
      </c>
      <c r="AB74" s="244">
        <f>'7.0 önkormányzat össz'!D74</f>
        <v>0</v>
      </c>
      <c r="AC74" s="245">
        <f t="shared" ref="AC74:AC85" si="68">SUM(AA74:AB74)</f>
        <v>2469475370</v>
      </c>
      <c r="AD74" s="244">
        <f>'7.0 önkormányzat össz'!F74</f>
        <v>2473017443</v>
      </c>
      <c r="AE74" s="244">
        <f>'7.0 önkormányzat össz'!G74</f>
        <v>0</v>
      </c>
      <c r="AF74" s="245">
        <f t="shared" ref="AF74:AF81" si="69">SUM(AD74:AE74)</f>
        <v>2473017443</v>
      </c>
      <c r="AG74" s="244">
        <f ca="1">'7.0 önkormányzat össz'!I74</f>
        <v>2473017443</v>
      </c>
      <c r="AH74" s="244">
        <f>'7.0 önkormányzat össz'!J74</f>
        <v>0</v>
      </c>
      <c r="AI74" s="245">
        <f t="shared" ref="AI74:AI81" ca="1" si="70">SUM(AG74:AH74)</f>
        <v>2473017443</v>
      </c>
      <c r="AJ74" s="244">
        <f ca="1">'7.0 önkormányzat össz'!L74</f>
        <v>2492086160</v>
      </c>
      <c r="AK74" s="244">
        <f>'7.0 önkormányzat össz'!M74</f>
        <v>0</v>
      </c>
      <c r="AL74" s="245">
        <f t="shared" ca="1" si="46"/>
        <v>2492086160</v>
      </c>
      <c r="AM74" s="244">
        <f t="shared" si="49"/>
        <v>2747682906</v>
      </c>
      <c r="AN74" s="244">
        <f t="shared" si="50"/>
        <v>0</v>
      </c>
      <c r="AO74" s="245">
        <f t="shared" si="51"/>
        <v>2747682906</v>
      </c>
      <c r="AP74" s="244">
        <f t="shared" si="52"/>
        <v>2763935245</v>
      </c>
      <c r="AQ74" s="244">
        <f t="shared" si="53"/>
        <v>0</v>
      </c>
      <c r="AR74" s="245">
        <f t="shared" si="54"/>
        <v>2763935245</v>
      </c>
      <c r="AS74" s="329">
        <f t="shared" ca="1" si="55"/>
        <v>2765717036</v>
      </c>
      <c r="AT74" s="329">
        <f t="shared" si="56"/>
        <v>0</v>
      </c>
      <c r="AU74" s="253">
        <f t="shared" ca="1" si="57"/>
        <v>2765717036</v>
      </c>
      <c r="AV74" s="329">
        <f t="shared" ca="1" si="58"/>
        <v>2763426190</v>
      </c>
      <c r="AW74" s="329">
        <f t="shared" si="59"/>
        <v>0</v>
      </c>
      <c r="AX74" s="647">
        <f t="shared" ca="1" si="60"/>
        <v>2763426190</v>
      </c>
    </row>
    <row r="75" spans="1:53" ht="15.75" thickBot="1" x14ac:dyDescent="0.3">
      <c r="A75" s="27" t="s">
        <v>145</v>
      </c>
      <c r="B75" s="62" t="s">
        <v>146</v>
      </c>
      <c r="C75" s="246">
        <f>'5.0 hivatal'!C75</f>
        <v>195476714</v>
      </c>
      <c r="D75" s="246">
        <f>'5.0 hivatal'!D75</f>
        <v>0</v>
      </c>
      <c r="E75" s="247">
        <f t="shared" si="61"/>
        <v>195476714</v>
      </c>
      <c r="F75" s="246">
        <f>'5.0 hivatal'!F75</f>
        <v>195840961</v>
      </c>
      <c r="G75" s="246">
        <f>'5.0 hivatal'!G75</f>
        <v>0</v>
      </c>
      <c r="H75" s="247">
        <f t="shared" si="62"/>
        <v>195840961</v>
      </c>
      <c r="I75" s="246">
        <f>'5.0 hivatal'!I75</f>
        <v>195792552</v>
      </c>
      <c r="J75" s="246">
        <f>'5.0 hivatal'!J75</f>
        <v>0</v>
      </c>
      <c r="K75" s="247">
        <f t="shared" si="63"/>
        <v>195792552</v>
      </c>
      <c r="L75" s="246">
        <f>'5.0 hivatal'!L75</f>
        <v>164907387</v>
      </c>
      <c r="M75" s="246">
        <f>'5.0 hivatal'!M75</f>
        <v>0</v>
      </c>
      <c r="N75" s="247">
        <f t="shared" si="64"/>
        <v>164907387</v>
      </c>
      <c r="O75" s="244">
        <f>'6.0 hksk'!C75</f>
        <v>82730822</v>
      </c>
      <c r="P75" s="244">
        <f>'6.0 hksk'!D75</f>
        <v>0</v>
      </c>
      <c r="Q75" s="247">
        <f t="shared" si="65"/>
        <v>82730822</v>
      </c>
      <c r="R75" s="244">
        <f>'6.0 hksk'!F75</f>
        <v>95076841</v>
      </c>
      <c r="S75" s="244">
        <f>'6.0 hksk'!G75</f>
        <v>0</v>
      </c>
      <c r="T75" s="247">
        <f t="shared" si="66"/>
        <v>95076841</v>
      </c>
      <c r="U75" s="244">
        <f>'6.0 hksk'!I75</f>
        <v>96907041</v>
      </c>
      <c r="V75" s="244">
        <f>'6.0 hksk'!J75</f>
        <v>0</v>
      </c>
      <c r="W75" s="247">
        <f t="shared" si="67"/>
        <v>96907041</v>
      </c>
      <c r="X75" s="244">
        <f>'6.0 hksk'!L75</f>
        <v>106432643</v>
      </c>
      <c r="Y75" s="244">
        <f>'6.0 hksk'!M75</f>
        <v>0</v>
      </c>
      <c r="Z75" s="247">
        <f t="shared" si="42"/>
        <v>106432643</v>
      </c>
      <c r="AA75" s="244">
        <f>'7.0 önkormányzat össz'!C75</f>
        <v>2469475370</v>
      </c>
      <c r="AB75" s="244">
        <f>'7.0 önkormányzat össz'!D75</f>
        <v>0</v>
      </c>
      <c r="AC75" s="247">
        <f t="shared" si="68"/>
        <v>2469475370</v>
      </c>
      <c r="AD75" s="244">
        <f>'7.0 önkormányzat össz'!F75</f>
        <v>2473017443</v>
      </c>
      <c r="AE75" s="244">
        <f>'7.0 önkormányzat össz'!G75</f>
        <v>0</v>
      </c>
      <c r="AF75" s="247">
        <f t="shared" si="69"/>
        <v>2473017443</v>
      </c>
      <c r="AG75" s="244">
        <f ca="1">'7.0 önkormányzat össz'!I75</f>
        <v>2473017443</v>
      </c>
      <c r="AH75" s="244">
        <f>'7.0 önkormányzat össz'!J75</f>
        <v>0</v>
      </c>
      <c r="AI75" s="247">
        <f t="shared" ca="1" si="70"/>
        <v>2473017443</v>
      </c>
      <c r="AJ75" s="244">
        <f ca="1">'7.0 önkormányzat össz'!L75</f>
        <v>2492086160</v>
      </c>
      <c r="AK75" s="244">
        <f>'7.0 önkormányzat össz'!M75</f>
        <v>0</v>
      </c>
      <c r="AL75" s="247">
        <f t="shared" ca="1" si="46"/>
        <v>2492086160</v>
      </c>
      <c r="AM75" s="244">
        <f t="shared" si="49"/>
        <v>2747682906</v>
      </c>
      <c r="AN75" s="244">
        <f t="shared" si="50"/>
        <v>0</v>
      </c>
      <c r="AO75" s="245">
        <f t="shared" si="51"/>
        <v>2747682906</v>
      </c>
      <c r="AP75" s="244">
        <f t="shared" si="52"/>
        <v>2763935245</v>
      </c>
      <c r="AQ75" s="244">
        <f t="shared" si="53"/>
        <v>0</v>
      </c>
      <c r="AR75" s="245">
        <f t="shared" si="54"/>
        <v>2763935245</v>
      </c>
      <c r="AS75" s="329">
        <f t="shared" ca="1" si="55"/>
        <v>2765717036</v>
      </c>
      <c r="AT75" s="329">
        <f t="shared" si="56"/>
        <v>0</v>
      </c>
      <c r="AU75" s="253">
        <f t="shared" ca="1" si="57"/>
        <v>2765717036</v>
      </c>
      <c r="AV75" s="329">
        <f t="shared" ca="1" si="58"/>
        <v>2763426190</v>
      </c>
      <c r="AW75" s="329">
        <f t="shared" si="59"/>
        <v>0</v>
      </c>
      <c r="AX75" s="647">
        <f t="shared" ca="1" si="60"/>
        <v>2763426190</v>
      </c>
    </row>
    <row r="76" spans="1:53" ht="15.75" thickBot="1" x14ac:dyDescent="0.3">
      <c r="A76" s="27" t="s">
        <v>147</v>
      </c>
      <c r="B76" s="62" t="s">
        <v>148</v>
      </c>
      <c r="C76" s="246">
        <f>'5.0 hivatal'!C76</f>
        <v>0</v>
      </c>
      <c r="D76" s="246">
        <f>'5.0 hivatal'!D76</f>
        <v>0</v>
      </c>
      <c r="E76" s="247">
        <f t="shared" si="61"/>
        <v>0</v>
      </c>
      <c r="F76" s="246">
        <f>'5.0 hivatal'!F76</f>
        <v>0</v>
      </c>
      <c r="G76" s="246">
        <f>'5.0 hivatal'!G76</f>
        <v>0</v>
      </c>
      <c r="H76" s="247">
        <f t="shared" si="62"/>
        <v>0</v>
      </c>
      <c r="I76" s="246">
        <f>'5.0 hivatal'!I76</f>
        <v>0</v>
      </c>
      <c r="J76" s="246">
        <f>'5.0 hivatal'!J76</f>
        <v>0</v>
      </c>
      <c r="K76" s="247">
        <f t="shared" si="63"/>
        <v>0</v>
      </c>
      <c r="L76" s="246">
        <f>'5.0 hivatal'!L76</f>
        <v>0</v>
      </c>
      <c r="M76" s="246">
        <f>'5.0 hivatal'!M76</f>
        <v>0</v>
      </c>
      <c r="N76" s="247">
        <f t="shared" si="64"/>
        <v>0</v>
      </c>
      <c r="O76" s="244">
        <f>'6.0 hksk'!C76</f>
        <v>0</v>
      </c>
      <c r="P76" s="244">
        <f>'6.0 hksk'!D76</f>
        <v>0</v>
      </c>
      <c r="Q76" s="247">
        <f t="shared" si="65"/>
        <v>0</v>
      </c>
      <c r="R76" s="244">
        <f>'6.0 hksk'!F76</f>
        <v>0</v>
      </c>
      <c r="S76" s="244">
        <f>'6.0 hksk'!G76</f>
        <v>0</v>
      </c>
      <c r="T76" s="247">
        <f t="shared" si="66"/>
        <v>0</v>
      </c>
      <c r="U76" s="244">
        <f>'6.0 hksk'!I76</f>
        <v>0</v>
      </c>
      <c r="V76" s="244">
        <f>'6.0 hksk'!J76</f>
        <v>0</v>
      </c>
      <c r="W76" s="247">
        <f t="shared" si="67"/>
        <v>0</v>
      </c>
      <c r="X76" s="244">
        <f>'6.0 hksk'!L76</f>
        <v>0</v>
      </c>
      <c r="Y76" s="244">
        <f>'6.0 hksk'!M76</f>
        <v>0</v>
      </c>
      <c r="Z76" s="247">
        <f t="shared" si="42"/>
        <v>0</v>
      </c>
      <c r="AA76" s="244">
        <f>'7.0 önkormányzat össz'!C76</f>
        <v>0</v>
      </c>
      <c r="AB76" s="244">
        <f>'7.0 önkormányzat össz'!D76</f>
        <v>0</v>
      </c>
      <c r="AC76" s="247">
        <f t="shared" si="68"/>
        <v>0</v>
      </c>
      <c r="AD76" s="244">
        <f>'7.0 önkormányzat össz'!F76</f>
        <v>0</v>
      </c>
      <c r="AE76" s="244">
        <f>'7.0 önkormányzat össz'!G76</f>
        <v>0</v>
      </c>
      <c r="AF76" s="247">
        <f t="shared" si="69"/>
        <v>0</v>
      </c>
      <c r="AG76" s="244">
        <f ca="1">'7.0 önkormányzat össz'!I76</f>
        <v>0</v>
      </c>
      <c r="AH76" s="244">
        <f>'7.0 önkormányzat össz'!J76</f>
        <v>0</v>
      </c>
      <c r="AI76" s="247">
        <f t="shared" ca="1" si="70"/>
        <v>0</v>
      </c>
      <c r="AJ76" s="244">
        <f ca="1">'7.0 önkormányzat össz'!L76</f>
        <v>0</v>
      </c>
      <c r="AK76" s="244">
        <f>'7.0 önkormányzat össz'!M76</f>
        <v>0</v>
      </c>
      <c r="AL76" s="247">
        <f t="shared" ca="1" si="46"/>
        <v>0</v>
      </c>
      <c r="AM76" s="244">
        <f t="shared" si="49"/>
        <v>0</v>
      </c>
      <c r="AN76" s="244">
        <f t="shared" si="50"/>
        <v>0</v>
      </c>
      <c r="AO76" s="245">
        <f t="shared" si="51"/>
        <v>0</v>
      </c>
      <c r="AP76" s="244">
        <f t="shared" si="52"/>
        <v>0</v>
      </c>
      <c r="AQ76" s="244">
        <f t="shared" si="53"/>
        <v>0</v>
      </c>
      <c r="AR76" s="245">
        <f t="shared" si="54"/>
        <v>0</v>
      </c>
      <c r="AS76" s="329">
        <f t="shared" ca="1" si="55"/>
        <v>0</v>
      </c>
      <c r="AT76" s="329">
        <f t="shared" si="56"/>
        <v>0</v>
      </c>
      <c r="AU76" s="253">
        <f t="shared" ca="1" si="57"/>
        <v>0</v>
      </c>
      <c r="AV76" s="329">
        <f t="shared" ca="1" si="58"/>
        <v>0</v>
      </c>
      <c r="AW76" s="329">
        <f t="shared" si="59"/>
        <v>0</v>
      </c>
      <c r="AX76" s="647">
        <f t="shared" ca="1" si="60"/>
        <v>0</v>
      </c>
    </row>
    <row r="77" spans="1:53" ht="15.75" thickBot="1" x14ac:dyDescent="0.3">
      <c r="A77" s="27" t="s">
        <v>149</v>
      </c>
      <c r="B77" s="62" t="s">
        <v>150</v>
      </c>
      <c r="C77" s="246">
        <f>'5.0 hivatal'!C77</f>
        <v>0</v>
      </c>
      <c r="D77" s="246">
        <f>'5.0 hivatal'!D77</f>
        <v>0</v>
      </c>
      <c r="E77" s="247">
        <f t="shared" si="61"/>
        <v>0</v>
      </c>
      <c r="F77" s="246">
        <f>'5.0 hivatal'!F77</f>
        <v>0</v>
      </c>
      <c r="G77" s="246">
        <f>'5.0 hivatal'!G77</f>
        <v>0</v>
      </c>
      <c r="H77" s="247">
        <f t="shared" si="62"/>
        <v>0</v>
      </c>
      <c r="I77" s="246">
        <f>'5.0 hivatal'!I77</f>
        <v>0</v>
      </c>
      <c r="J77" s="246">
        <f>'5.0 hivatal'!J77</f>
        <v>0</v>
      </c>
      <c r="K77" s="247">
        <f t="shared" si="63"/>
        <v>0</v>
      </c>
      <c r="L77" s="246">
        <f>'5.0 hivatal'!L77</f>
        <v>0</v>
      </c>
      <c r="M77" s="246">
        <f>'5.0 hivatal'!M77</f>
        <v>0</v>
      </c>
      <c r="N77" s="247">
        <f t="shared" si="64"/>
        <v>0</v>
      </c>
      <c r="O77" s="244">
        <f>'6.0 hksk'!C77</f>
        <v>0</v>
      </c>
      <c r="P77" s="244">
        <f>'6.0 hksk'!D77</f>
        <v>0</v>
      </c>
      <c r="Q77" s="247">
        <f t="shared" si="65"/>
        <v>0</v>
      </c>
      <c r="R77" s="244">
        <f>'6.0 hksk'!F77</f>
        <v>0</v>
      </c>
      <c r="S77" s="244">
        <f>'6.0 hksk'!G77</f>
        <v>0</v>
      </c>
      <c r="T77" s="247">
        <f t="shared" si="66"/>
        <v>0</v>
      </c>
      <c r="U77" s="244">
        <f>'6.0 hksk'!I77</f>
        <v>0</v>
      </c>
      <c r="V77" s="244">
        <f>'6.0 hksk'!J77</f>
        <v>0</v>
      </c>
      <c r="W77" s="247">
        <f t="shared" si="67"/>
        <v>0</v>
      </c>
      <c r="X77" s="244">
        <f>'6.0 hksk'!L77</f>
        <v>0</v>
      </c>
      <c r="Y77" s="244">
        <f>'6.0 hksk'!M77</f>
        <v>0</v>
      </c>
      <c r="Z77" s="247">
        <f t="shared" si="42"/>
        <v>0</v>
      </c>
      <c r="AA77" s="244">
        <f>'7.0 önkormányzat össz'!C77</f>
        <v>0</v>
      </c>
      <c r="AB77" s="244">
        <f>'7.0 önkormányzat össz'!D77</f>
        <v>0</v>
      </c>
      <c r="AC77" s="247">
        <f t="shared" si="68"/>
        <v>0</v>
      </c>
      <c r="AD77" s="244">
        <f>'7.0 önkormányzat össz'!F77</f>
        <v>0</v>
      </c>
      <c r="AE77" s="244">
        <f>'7.0 önkormányzat össz'!G77</f>
        <v>0</v>
      </c>
      <c r="AF77" s="247">
        <f t="shared" si="69"/>
        <v>0</v>
      </c>
      <c r="AG77" s="244">
        <f ca="1">'7.0 önkormányzat össz'!I77</f>
        <v>0</v>
      </c>
      <c r="AH77" s="244">
        <f>'7.0 önkormányzat össz'!J77</f>
        <v>0</v>
      </c>
      <c r="AI77" s="247">
        <f t="shared" ca="1" si="70"/>
        <v>0</v>
      </c>
      <c r="AJ77" s="244">
        <f ca="1">'7.0 önkormányzat össz'!L77</f>
        <v>0</v>
      </c>
      <c r="AK77" s="244">
        <f>'7.0 önkormányzat össz'!M77</f>
        <v>0</v>
      </c>
      <c r="AL77" s="247">
        <f t="shared" ca="1" si="46"/>
        <v>0</v>
      </c>
      <c r="AM77" s="244">
        <f t="shared" si="49"/>
        <v>0</v>
      </c>
      <c r="AN77" s="244">
        <f t="shared" si="50"/>
        <v>0</v>
      </c>
      <c r="AO77" s="245">
        <f t="shared" si="51"/>
        <v>0</v>
      </c>
      <c r="AP77" s="244">
        <f t="shared" si="52"/>
        <v>0</v>
      </c>
      <c r="AQ77" s="244">
        <f t="shared" si="53"/>
        <v>0</v>
      </c>
      <c r="AR77" s="245">
        <f t="shared" si="54"/>
        <v>0</v>
      </c>
      <c r="AS77" s="329">
        <f t="shared" ca="1" si="55"/>
        <v>0</v>
      </c>
      <c r="AT77" s="329">
        <f t="shared" si="56"/>
        <v>0</v>
      </c>
      <c r="AU77" s="253">
        <f t="shared" ca="1" si="57"/>
        <v>0</v>
      </c>
      <c r="AV77" s="329">
        <f t="shared" ca="1" si="58"/>
        <v>0</v>
      </c>
      <c r="AW77" s="329">
        <f t="shared" si="59"/>
        <v>0</v>
      </c>
      <c r="AX77" s="647">
        <f t="shared" ca="1" si="60"/>
        <v>0</v>
      </c>
    </row>
    <row r="78" spans="1:53" ht="15.75" thickBot="1" x14ac:dyDescent="0.3">
      <c r="A78" s="27" t="s">
        <v>151</v>
      </c>
      <c r="B78" s="62" t="s">
        <v>152</v>
      </c>
      <c r="C78" s="246">
        <f>'5.0 hivatal'!C78</f>
        <v>0</v>
      </c>
      <c r="D78" s="246">
        <f>'5.0 hivatal'!D78</f>
        <v>0</v>
      </c>
      <c r="E78" s="247">
        <f t="shared" si="61"/>
        <v>0</v>
      </c>
      <c r="F78" s="246">
        <f>'5.0 hivatal'!F78</f>
        <v>0</v>
      </c>
      <c r="G78" s="246">
        <f>'5.0 hivatal'!G78</f>
        <v>0</v>
      </c>
      <c r="H78" s="247">
        <f t="shared" si="62"/>
        <v>0</v>
      </c>
      <c r="I78" s="246">
        <f>'5.0 hivatal'!I78</f>
        <v>0</v>
      </c>
      <c r="J78" s="246">
        <f>'5.0 hivatal'!J78</f>
        <v>0</v>
      </c>
      <c r="K78" s="247">
        <f t="shared" si="63"/>
        <v>0</v>
      </c>
      <c r="L78" s="246">
        <f>'5.0 hivatal'!L78</f>
        <v>0</v>
      </c>
      <c r="M78" s="246">
        <f>'5.0 hivatal'!M78</f>
        <v>0</v>
      </c>
      <c r="N78" s="247">
        <f t="shared" si="64"/>
        <v>0</v>
      </c>
      <c r="O78" s="244">
        <f>'6.0 hksk'!C78</f>
        <v>0</v>
      </c>
      <c r="P78" s="244">
        <f>'6.0 hksk'!D78</f>
        <v>0</v>
      </c>
      <c r="Q78" s="247">
        <f t="shared" si="65"/>
        <v>0</v>
      </c>
      <c r="R78" s="244">
        <f>'6.0 hksk'!F78</f>
        <v>0</v>
      </c>
      <c r="S78" s="244">
        <f>'6.0 hksk'!G78</f>
        <v>0</v>
      </c>
      <c r="T78" s="247">
        <f t="shared" si="66"/>
        <v>0</v>
      </c>
      <c r="U78" s="244">
        <f>'6.0 hksk'!I78</f>
        <v>0</v>
      </c>
      <c r="V78" s="244">
        <f>'6.0 hksk'!J78</f>
        <v>0</v>
      </c>
      <c r="W78" s="247">
        <f t="shared" si="67"/>
        <v>0</v>
      </c>
      <c r="X78" s="244">
        <f>'6.0 hksk'!L78</f>
        <v>0</v>
      </c>
      <c r="Y78" s="244">
        <f>'6.0 hksk'!M78</f>
        <v>0</v>
      </c>
      <c r="Z78" s="247">
        <f t="shared" si="42"/>
        <v>0</v>
      </c>
      <c r="AA78" s="244">
        <f>'7.0 önkormányzat össz'!C78</f>
        <v>0</v>
      </c>
      <c r="AB78" s="244">
        <f>'7.0 önkormányzat össz'!D78</f>
        <v>0</v>
      </c>
      <c r="AC78" s="247">
        <f t="shared" si="68"/>
        <v>0</v>
      </c>
      <c r="AD78" s="244">
        <f>'7.0 önkormányzat össz'!F78</f>
        <v>0</v>
      </c>
      <c r="AE78" s="244">
        <f>'7.0 önkormányzat össz'!G78</f>
        <v>0</v>
      </c>
      <c r="AF78" s="247">
        <f t="shared" si="69"/>
        <v>0</v>
      </c>
      <c r="AG78" s="244">
        <f ca="1">'7.0 önkormányzat össz'!I78</f>
        <v>0</v>
      </c>
      <c r="AH78" s="244">
        <f>'7.0 önkormányzat össz'!J78</f>
        <v>0</v>
      </c>
      <c r="AI78" s="247">
        <f t="shared" ca="1" si="70"/>
        <v>0</v>
      </c>
      <c r="AJ78" s="244">
        <f ca="1">'7.0 önkormányzat össz'!L78</f>
        <v>0</v>
      </c>
      <c r="AK78" s="244">
        <f>'7.0 önkormányzat össz'!M78</f>
        <v>0</v>
      </c>
      <c r="AL78" s="247">
        <f t="shared" ca="1" si="46"/>
        <v>0</v>
      </c>
      <c r="AM78" s="244">
        <f t="shared" si="49"/>
        <v>0</v>
      </c>
      <c r="AN78" s="244">
        <f t="shared" si="50"/>
        <v>0</v>
      </c>
      <c r="AO78" s="245">
        <f t="shared" si="51"/>
        <v>0</v>
      </c>
      <c r="AP78" s="244">
        <f t="shared" si="52"/>
        <v>0</v>
      </c>
      <c r="AQ78" s="244">
        <f t="shared" si="53"/>
        <v>0</v>
      </c>
      <c r="AR78" s="245">
        <f t="shared" si="54"/>
        <v>0</v>
      </c>
      <c r="AS78" s="329">
        <f t="shared" ca="1" si="55"/>
        <v>0</v>
      </c>
      <c r="AT78" s="329">
        <f t="shared" si="56"/>
        <v>0</v>
      </c>
      <c r="AU78" s="253">
        <f t="shared" ca="1" si="57"/>
        <v>0</v>
      </c>
      <c r="AV78" s="329">
        <f t="shared" ca="1" si="58"/>
        <v>0</v>
      </c>
      <c r="AW78" s="329">
        <f t="shared" si="59"/>
        <v>0</v>
      </c>
      <c r="AX78" s="647">
        <f t="shared" ca="1" si="60"/>
        <v>0</v>
      </c>
    </row>
    <row r="79" spans="1:53" ht="15.75" thickBot="1" x14ac:dyDescent="0.3">
      <c r="A79" s="27" t="s">
        <v>153</v>
      </c>
      <c r="B79" s="62" t="s">
        <v>154</v>
      </c>
      <c r="C79" s="246">
        <f>'5.0 hivatal'!C79</f>
        <v>0</v>
      </c>
      <c r="D79" s="246">
        <f>'5.0 hivatal'!D79</f>
        <v>0</v>
      </c>
      <c r="E79" s="247">
        <f t="shared" si="61"/>
        <v>0</v>
      </c>
      <c r="F79" s="246">
        <f>'5.0 hivatal'!F79</f>
        <v>456891</v>
      </c>
      <c r="G79" s="246">
        <f>'5.0 hivatal'!G79</f>
        <v>0</v>
      </c>
      <c r="H79" s="247">
        <f t="shared" si="62"/>
        <v>456891</v>
      </c>
      <c r="I79" s="246">
        <f>'5.0 hivatal'!I79</f>
        <v>456891</v>
      </c>
      <c r="J79" s="246">
        <f>'5.0 hivatal'!J79</f>
        <v>0</v>
      </c>
      <c r="K79" s="247">
        <f t="shared" si="63"/>
        <v>456891</v>
      </c>
      <c r="L79" s="246">
        <f>'5.0 hivatal'!L79</f>
        <v>456891</v>
      </c>
      <c r="M79" s="246">
        <f>'5.0 hivatal'!M79</f>
        <v>0</v>
      </c>
      <c r="N79" s="247">
        <f t="shared" si="64"/>
        <v>456891</v>
      </c>
      <c r="O79" s="244">
        <f>'6.0 hksk'!C79</f>
        <v>0</v>
      </c>
      <c r="P79" s="244">
        <f>'6.0 hksk'!D79</f>
        <v>0</v>
      </c>
      <c r="Q79" s="247">
        <f t="shared" si="65"/>
        <v>0</v>
      </c>
      <c r="R79" s="244">
        <f>'6.0 hksk'!F79</f>
        <v>2806205</v>
      </c>
      <c r="S79" s="244">
        <f>'6.0 hksk'!G79</f>
        <v>0</v>
      </c>
      <c r="T79" s="247">
        <f t="shared" si="66"/>
        <v>2806205</v>
      </c>
      <c r="U79" s="244">
        <f>'6.0 hksk'!I79</f>
        <v>2806205</v>
      </c>
      <c r="V79" s="244">
        <f>'6.0 hksk'!J79</f>
        <v>0</v>
      </c>
      <c r="W79" s="247">
        <f t="shared" si="67"/>
        <v>2806205</v>
      </c>
      <c r="X79" s="244">
        <f>'6.0 hksk'!L79</f>
        <v>2806205</v>
      </c>
      <c r="Y79" s="244">
        <f>'6.0 hksk'!M79</f>
        <v>0</v>
      </c>
      <c r="Z79" s="247">
        <f t="shared" si="42"/>
        <v>2806205</v>
      </c>
      <c r="AA79" s="244">
        <f>'7.0 önkormányzat össz'!C79</f>
        <v>2469475370</v>
      </c>
      <c r="AB79" s="244">
        <f>'7.0 önkormányzat össz'!D79</f>
        <v>0</v>
      </c>
      <c r="AC79" s="247">
        <f t="shared" si="68"/>
        <v>2469475370</v>
      </c>
      <c r="AD79" s="244">
        <f>'7.0 önkormányzat össz'!F79</f>
        <v>2473017443</v>
      </c>
      <c r="AE79" s="244">
        <f>'7.0 önkormányzat össz'!G79</f>
        <v>0</v>
      </c>
      <c r="AF79" s="247">
        <f t="shared" si="69"/>
        <v>2473017443</v>
      </c>
      <c r="AG79" s="244">
        <f ca="1">'7.0 önkormányzat össz'!I79</f>
        <v>2473017443</v>
      </c>
      <c r="AH79" s="244">
        <f>'7.0 önkormányzat össz'!J79</f>
        <v>0</v>
      </c>
      <c r="AI79" s="247">
        <f t="shared" ca="1" si="70"/>
        <v>2473017443</v>
      </c>
      <c r="AJ79" s="244">
        <f ca="1">'7.0 önkormányzat össz'!L79</f>
        <v>2473017443</v>
      </c>
      <c r="AK79" s="244">
        <f>'7.0 önkormányzat össz'!M79</f>
        <v>0</v>
      </c>
      <c r="AL79" s="247">
        <f t="shared" ca="1" si="46"/>
        <v>2473017443</v>
      </c>
      <c r="AM79" s="244">
        <f t="shared" si="49"/>
        <v>2469475370</v>
      </c>
      <c r="AN79" s="244">
        <f t="shared" si="50"/>
        <v>0</v>
      </c>
      <c r="AO79" s="245">
        <f t="shared" si="51"/>
        <v>2469475370</v>
      </c>
      <c r="AP79" s="244">
        <f t="shared" si="52"/>
        <v>2476280539</v>
      </c>
      <c r="AQ79" s="244">
        <f t="shared" si="53"/>
        <v>0</v>
      </c>
      <c r="AR79" s="245">
        <f t="shared" si="54"/>
        <v>2476280539</v>
      </c>
      <c r="AS79" s="329">
        <f t="shared" ca="1" si="55"/>
        <v>2476280539</v>
      </c>
      <c r="AT79" s="329">
        <f t="shared" si="56"/>
        <v>0</v>
      </c>
      <c r="AU79" s="253">
        <f t="shared" ca="1" si="57"/>
        <v>2476280539</v>
      </c>
      <c r="AV79" s="329">
        <f t="shared" ca="1" si="58"/>
        <v>2476280539</v>
      </c>
      <c r="AW79" s="329">
        <f t="shared" si="59"/>
        <v>0</v>
      </c>
      <c r="AX79" s="647">
        <f t="shared" ca="1" si="60"/>
        <v>2476280539</v>
      </c>
    </row>
    <row r="80" spans="1:53" ht="15.75" thickBot="1" x14ac:dyDescent="0.3">
      <c r="A80" s="27"/>
      <c r="B80" s="62" t="s">
        <v>29</v>
      </c>
      <c r="C80" s="246">
        <f>'5.0 hivatal'!C80</f>
        <v>0</v>
      </c>
      <c r="D80" s="246">
        <f>'5.0 hivatal'!D80</f>
        <v>0</v>
      </c>
      <c r="E80" s="247">
        <f t="shared" si="61"/>
        <v>0</v>
      </c>
      <c r="F80" s="246">
        <f>'5.0 hivatal'!F80</f>
        <v>456891</v>
      </c>
      <c r="G80" s="246">
        <f>'5.0 hivatal'!G80</f>
        <v>0</v>
      </c>
      <c r="H80" s="247">
        <f t="shared" si="62"/>
        <v>456891</v>
      </c>
      <c r="I80" s="246">
        <f>'5.0 hivatal'!I80</f>
        <v>456891</v>
      </c>
      <c r="J80" s="246">
        <f>'5.0 hivatal'!J80</f>
        <v>0</v>
      </c>
      <c r="K80" s="247">
        <f t="shared" si="63"/>
        <v>456891</v>
      </c>
      <c r="L80" s="246">
        <f>'5.0 hivatal'!L80</f>
        <v>456891</v>
      </c>
      <c r="M80" s="246">
        <f>'5.0 hivatal'!M80</f>
        <v>0</v>
      </c>
      <c r="N80" s="247">
        <f t="shared" si="64"/>
        <v>456891</v>
      </c>
      <c r="O80" s="244">
        <f>'6.0 hksk'!C80</f>
        <v>0</v>
      </c>
      <c r="P80" s="244">
        <f>'6.0 hksk'!D80</f>
        <v>0</v>
      </c>
      <c r="Q80" s="247">
        <f t="shared" si="65"/>
        <v>0</v>
      </c>
      <c r="R80" s="244">
        <f>'6.0 hksk'!F80</f>
        <v>2806205</v>
      </c>
      <c r="S80" s="244">
        <f>'6.0 hksk'!G80</f>
        <v>0</v>
      </c>
      <c r="T80" s="247">
        <f t="shared" si="66"/>
        <v>2806205</v>
      </c>
      <c r="U80" s="244">
        <f>'6.0 hksk'!I80</f>
        <v>2806205</v>
      </c>
      <c r="V80" s="244">
        <f>'6.0 hksk'!J80</f>
        <v>0</v>
      </c>
      <c r="W80" s="247">
        <f t="shared" si="67"/>
        <v>2806205</v>
      </c>
      <c r="X80" s="244">
        <f>'6.0 hksk'!L80</f>
        <v>2806205</v>
      </c>
      <c r="Y80" s="244">
        <f>'6.0 hksk'!M80</f>
        <v>0</v>
      </c>
      <c r="Z80" s="247">
        <f t="shared" si="42"/>
        <v>2806205</v>
      </c>
      <c r="AA80" s="244">
        <f>'7.0 önkormányzat össz'!C80</f>
        <v>488571724</v>
      </c>
      <c r="AB80" s="244">
        <f>'7.0 önkormányzat össz'!D80</f>
        <v>0</v>
      </c>
      <c r="AC80" s="247">
        <f t="shared" si="68"/>
        <v>488571724</v>
      </c>
      <c r="AD80" s="244">
        <f>'7.0 önkormányzat össz'!F80</f>
        <v>492113797</v>
      </c>
      <c r="AE80" s="244">
        <f>'7.0 önkormányzat össz'!G80</f>
        <v>0</v>
      </c>
      <c r="AF80" s="247">
        <f t="shared" si="69"/>
        <v>492113797</v>
      </c>
      <c r="AG80" s="244">
        <f ca="1">'7.0 önkormányzat össz'!I80</f>
        <v>492113797</v>
      </c>
      <c r="AH80" s="244">
        <f>'7.0 önkormányzat össz'!J80</f>
        <v>0</v>
      </c>
      <c r="AI80" s="247">
        <f t="shared" ca="1" si="70"/>
        <v>492113797</v>
      </c>
      <c r="AJ80" s="244">
        <f ca="1">'7.0 önkormányzat össz'!L80</f>
        <v>492113797</v>
      </c>
      <c r="AK80" s="244">
        <f>'7.0 önkormányzat össz'!M80</f>
        <v>0</v>
      </c>
      <c r="AL80" s="247">
        <f t="shared" ca="1" si="46"/>
        <v>492113797</v>
      </c>
      <c r="AM80" s="244">
        <f t="shared" si="49"/>
        <v>488571724</v>
      </c>
      <c r="AN80" s="244">
        <f t="shared" si="50"/>
        <v>0</v>
      </c>
      <c r="AO80" s="245">
        <f t="shared" si="51"/>
        <v>488571724</v>
      </c>
      <c r="AP80" s="244">
        <f t="shared" si="52"/>
        <v>495376893</v>
      </c>
      <c r="AQ80" s="244">
        <f t="shared" si="53"/>
        <v>0</v>
      </c>
      <c r="AR80" s="245">
        <f t="shared" si="54"/>
        <v>495376893</v>
      </c>
      <c r="AS80" s="329">
        <f t="shared" ca="1" si="55"/>
        <v>495376893</v>
      </c>
      <c r="AT80" s="329">
        <f t="shared" si="56"/>
        <v>0</v>
      </c>
      <c r="AU80" s="253">
        <f t="shared" ca="1" si="57"/>
        <v>495376893</v>
      </c>
      <c r="AV80" s="329">
        <f t="shared" ca="1" si="58"/>
        <v>495376893</v>
      </c>
      <c r="AW80" s="329">
        <f t="shared" si="59"/>
        <v>0</v>
      </c>
      <c r="AX80" s="647">
        <f t="shared" ca="1" si="60"/>
        <v>495376893</v>
      </c>
    </row>
    <row r="81" spans="1:50" ht="15.75" thickBot="1" x14ac:dyDescent="0.3">
      <c r="A81" s="27"/>
      <c r="B81" s="62" t="s">
        <v>30</v>
      </c>
      <c r="C81" s="246">
        <f>'5.0 hivatal'!C81</f>
        <v>0</v>
      </c>
      <c r="D81" s="246">
        <f>'5.0 hivatal'!D81</f>
        <v>0</v>
      </c>
      <c r="E81" s="247">
        <f t="shared" si="61"/>
        <v>0</v>
      </c>
      <c r="F81" s="246">
        <f>'5.0 hivatal'!F81</f>
        <v>0</v>
      </c>
      <c r="G81" s="246">
        <f>'5.0 hivatal'!G81</f>
        <v>0</v>
      </c>
      <c r="H81" s="247">
        <f t="shared" si="62"/>
        <v>0</v>
      </c>
      <c r="I81" s="246">
        <f>'5.0 hivatal'!I81</f>
        <v>0</v>
      </c>
      <c r="J81" s="246">
        <f>'5.0 hivatal'!J81</f>
        <v>0</v>
      </c>
      <c r="K81" s="247">
        <f t="shared" si="63"/>
        <v>0</v>
      </c>
      <c r="L81" s="246">
        <f>'5.0 hivatal'!L81</f>
        <v>0</v>
      </c>
      <c r="M81" s="246">
        <f>'5.0 hivatal'!M81</f>
        <v>0</v>
      </c>
      <c r="N81" s="247">
        <f t="shared" si="64"/>
        <v>0</v>
      </c>
      <c r="O81" s="244">
        <f>'6.0 hksk'!C81</f>
        <v>0</v>
      </c>
      <c r="P81" s="244">
        <f>'6.0 hksk'!D81</f>
        <v>0</v>
      </c>
      <c r="Q81" s="247">
        <f t="shared" si="65"/>
        <v>0</v>
      </c>
      <c r="R81" s="244">
        <f>'6.0 hksk'!F81</f>
        <v>0</v>
      </c>
      <c r="S81" s="244">
        <f>'6.0 hksk'!G81</f>
        <v>0</v>
      </c>
      <c r="T81" s="247">
        <f t="shared" si="66"/>
        <v>0</v>
      </c>
      <c r="U81" s="244">
        <f>'6.0 hksk'!I81</f>
        <v>0</v>
      </c>
      <c r="V81" s="244">
        <f>'6.0 hksk'!J81</f>
        <v>0</v>
      </c>
      <c r="W81" s="247">
        <f t="shared" si="67"/>
        <v>0</v>
      </c>
      <c r="X81" s="244">
        <f>'6.0 hksk'!L81</f>
        <v>0</v>
      </c>
      <c r="Y81" s="244">
        <f>'6.0 hksk'!M81</f>
        <v>0</v>
      </c>
      <c r="Z81" s="247">
        <f t="shared" si="42"/>
        <v>0</v>
      </c>
      <c r="AA81" s="244">
        <f>'7.0 önkormányzat össz'!C81</f>
        <v>1980903646</v>
      </c>
      <c r="AB81" s="244">
        <f>'7.0 önkormányzat össz'!D81</f>
        <v>0</v>
      </c>
      <c r="AC81" s="247">
        <f t="shared" si="68"/>
        <v>1980903646</v>
      </c>
      <c r="AD81" s="244">
        <f>'7.0 önkormányzat össz'!F81</f>
        <v>1980903646</v>
      </c>
      <c r="AE81" s="244">
        <f>'7.0 önkormányzat össz'!G81</f>
        <v>0</v>
      </c>
      <c r="AF81" s="247">
        <f t="shared" si="69"/>
        <v>1980903646</v>
      </c>
      <c r="AG81" s="244">
        <f ca="1">'7.0 önkormányzat össz'!I81</f>
        <v>1980903646</v>
      </c>
      <c r="AH81" s="244">
        <f>'7.0 önkormányzat össz'!J81</f>
        <v>0</v>
      </c>
      <c r="AI81" s="247">
        <f t="shared" ca="1" si="70"/>
        <v>1980903646</v>
      </c>
      <c r="AJ81" s="244">
        <f ca="1">'7.0 önkormányzat össz'!L81</f>
        <v>1980903646</v>
      </c>
      <c r="AK81" s="244">
        <f>'7.0 önkormányzat össz'!M81</f>
        <v>0</v>
      </c>
      <c r="AL81" s="247">
        <f t="shared" ca="1" si="46"/>
        <v>1980903646</v>
      </c>
      <c r="AM81" s="244">
        <f t="shared" si="49"/>
        <v>1980903646</v>
      </c>
      <c r="AN81" s="244">
        <f t="shared" si="50"/>
        <v>0</v>
      </c>
      <c r="AO81" s="245">
        <f t="shared" si="51"/>
        <v>1980903646</v>
      </c>
      <c r="AP81" s="244">
        <f t="shared" si="52"/>
        <v>1980903646</v>
      </c>
      <c r="AQ81" s="244">
        <f t="shared" si="53"/>
        <v>0</v>
      </c>
      <c r="AR81" s="245">
        <f t="shared" si="54"/>
        <v>1980903646</v>
      </c>
      <c r="AS81" s="329">
        <f t="shared" ca="1" si="55"/>
        <v>1980903646</v>
      </c>
      <c r="AT81" s="329">
        <f t="shared" si="56"/>
        <v>0</v>
      </c>
      <c r="AU81" s="253">
        <f t="shared" ca="1" si="57"/>
        <v>1980903646</v>
      </c>
      <c r="AV81" s="329">
        <f t="shared" ca="1" si="58"/>
        <v>1980903646</v>
      </c>
      <c r="AW81" s="329">
        <f t="shared" si="59"/>
        <v>0</v>
      </c>
      <c r="AX81" s="647">
        <f t="shared" ca="1" si="60"/>
        <v>1980903646</v>
      </c>
    </row>
    <row r="82" spans="1:50" s="179" customFormat="1" ht="15.75" thickBot="1" x14ac:dyDescent="0.3">
      <c r="A82" s="184" t="s">
        <v>543</v>
      </c>
      <c r="B82" s="180" t="s">
        <v>337</v>
      </c>
      <c r="C82" s="246">
        <f>'5.0 hivatal'!C82</f>
        <v>0</v>
      </c>
      <c r="D82" s="246">
        <f>'5.0 hivatal'!D82</f>
        <v>0</v>
      </c>
      <c r="E82" s="247"/>
      <c r="F82" s="246">
        <f>'5.0 hivatal'!F82</f>
        <v>0</v>
      </c>
      <c r="G82" s="246">
        <f>'5.0 hivatal'!G82</f>
        <v>0</v>
      </c>
      <c r="H82" s="247"/>
      <c r="I82" s="246">
        <f>'5.0 hivatal'!I82</f>
        <v>0</v>
      </c>
      <c r="J82" s="246">
        <f>'5.0 hivatal'!J82</f>
        <v>0</v>
      </c>
      <c r="K82" s="247"/>
      <c r="L82" s="246">
        <f>'5.0 hivatal'!L82</f>
        <v>0</v>
      </c>
      <c r="M82" s="246">
        <f>'5.0 hivatal'!M82</f>
        <v>0</v>
      </c>
      <c r="N82" s="247"/>
      <c r="O82" s="244">
        <f>'6.0 hksk'!C82</f>
        <v>0</v>
      </c>
      <c r="P82" s="244">
        <f>'6.0 hksk'!D82</f>
        <v>0</v>
      </c>
      <c r="Q82" s="314"/>
      <c r="R82" s="244">
        <f>'6.0 hksk'!F82</f>
        <v>0</v>
      </c>
      <c r="S82" s="244">
        <f>'6.0 hksk'!G82</f>
        <v>0</v>
      </c>
      <c r="T82" s="314"/>
      <c r="U82" s="244">
        <f>'6.0 hksk'!I82</f>
        <v>0</v>
      </c>
      <c r="V82" s="244">
        <f>'6.0 hksk'!J82</f>
        <v>0</v>
      </c>
      <c r="W82" s="314"/>
      <c r="X82" s="244">
        <f>'6.0 hksk'!L82</f>
        <v>0</v>
      </c>
      <c r="Y82" s="244">
        <f>'6.0 hksk'!M82</f>
        <v>0</v>
      </c>
      <c r="Z82" s="314"/>
      <c r="AA82" s="244">
        <f>'7.0 önkormányzat össz'!C82</f>
        <v>0</v>
      </c>
      <c r="AB82" s="244">
        <f>'7.0 önkormányzat össz'!D82</f>
        <v>0</v>
      </c>
      <c r="AC82" s="314"/>
      <c r="AD82" s="244">
        <f>'7.0 önkormányzat össz'!F82</f>
        <v>0</v>
      </c>
      <c r="AE82" s="244">
        <f>'7.0 önkormányzat össz'!G82</f>
        <v>0</v>
      </c>
      <c r="AF82" s="314"/>
      <c r="AG82" s="244">
        <f ca="1">'7.0 önkormányzat össz'!I82</f>
        <v>0</v>
      </c>
      <c r="AH82" s="244">
        <f>'7.0 önkormányzat össz'!J82</f>
        <v>0</v>
      </c>
      <c r="AI82" s="314"/>
      <c r="AJ82" s="244">
        <f ca="1">'7.0 önkormányzat össz'!L82</f>
        <v>19068717</v>
      </c>
      <c r="AK82" s="244">
        <f>'7.0 önkormányzat össz'!M82</f>
        <v>0</v>
      </c>
      <c r="AL82" s="247">
        <f t="shared" ca="1" si="46"/>
        <v>19068717</v>
      </c>
      <c r="AM82" s="244">
        <f t="shared" si="49"/>
        <v>0</v>
      </c>
      <c r="AN82" s="244">
        <f t="shared" si="50"/>
        <v>0</v>
      </c>
      <c r="AO82" s="245">
        <f t="shared" si="51"/>
        <v>0</v>
      </c>
      <c r="AP82" s="244">
        <f t="shared" si="52"/>
        <v>0</v>
      </c>
      <c r="AQ82" s="244">
        <f t="shared" si="53"/>
        <v>0</v>
      </c>
      <c r="AR82" s="245">
        <f t="shared" si="54"/>
        <v>0</v>
      </c>
      <c r="AS82" s="329">
        <f t="shared" ca="1" si="55"/>
        <v>0</v>
      </c>
      <c r="AT82" s="329">
        <f t="shared" si="56"/>
        <v>0</v>
      </c>
      <c r="AU82" s="253">
        <f t="shared" si="57"/>
        <v>0</v>
      </c>
      <c r="AV82" s="329">
        <f t="shared" ca="1" si="58"/>
        <v>19068717</v>
      </c>
      <c r="AW82" s="329">
        <f t="shared" si="59"/>
        <v>0</v>
      </c>
      <c r="AX82" s="647">
        <f ca="1">N82+Z82+AL82</f>
        <v>19068717</v>
      </c>
    </row>
    <row r="83" spans="1:50" ht="15.75" thickBot="1" x14ac:dyDescent="0.3">
      <c r="A83" s="27" t="s">
        <v>155</v>
      </c>
      <c r="B83" s="62" t="s">
        <v>156</v>
      </c>
      <c r="C83" s="246">
        <f>'5.0 hivatal'!C83</f>
        <v>195476714</v>
      </c>
      <c r="D83" s="246">
        <f>'5.0 hivatal'!D83</f>
        <v>0</v>
      </c>
      <c r="E83" s="247">
        <f>SUM(C83:D83)</f>
        <v>195476714</v>
      </c>
      <c r="F83" s="246">
        <f>'5.0 hivatal'!F83</f>
        <v>195384070</v>
      </c>
      <c r="G83" s="246">
        <f>'5.0 hivatal'!G83</f>
        <v>0</v>
      </c>
      <c r="H83" s="247">
        <f>SUM(F83:G83)</f>
        <v>195384070</v>
      </c>
      <c r="I83" s="246">
        <f>'5.0 hivatal'!I83</f>
        <v>195335661</v>
      </c>
      <c r="J83" s="246">
        <f>'5.0 hivatal'!J83</f>
        <v>0</v>
      </c>
      <c r="K83" s="247">
        <f>SUM(I83:J83)</f>
        <v>195335661</v>
      </c>
      <c r="L83" s="246">
        <f>'5.0 hivatal'!L83</f>
        <v>164450496</v>
      </c>
      <c r="M83" s="246">
        <f>'5.0 hivatal'!M83</f>
        <v>0</v>
      </c>
      <c r="N83" s="247">
        <f>SUM(L83:M83)</f>
        <v>164450496</v>
      </c>
      <c r="O83" s="244">
        <f>'6.0 hksk'!C83</f>
        <v>82730822</v>
      </c>
      <c r="P83" s="244">
        <f>'6.0 hksk'!D83</f>
        <v>0</v>
      </c>
      <c r="Q83" s="247">
        <f t="shared" si="65"/>
        <v>82730822</v>
      </c>
      <c r="R83" s="244">
        <f>'6.0 hksk'!F83</f>
        <v>92270636</v>
      </c>
      <c r="S83" s="244">
        <f>'6.0 hksk'!G83</f>
        <v>0</v>
      </c>
      <c r="T83" s="247">
        <f t="shared" ref="T83:T85" si="71">SUM(R83:S83)</f>
        <v>92270636</v>
      </c>
      <c r="U83" s="244">
        <f>'6.0 hksk'!I83</f>
        <v>94100836</v>
      </c>
      <c r="V83" s="244">
        <f>'6.0 hksk'!J83</f>
        <v>0</v>
      </c>
      <c r="W83" s="247">
        <f t="shared" ref="W83:W85" si="72">SUM(U83:V83)</f>
        <v>94100836</v>
      </c>
      <c r="X83" s="244">
        <f>'6.0 hksk'!L83</f>
        <v>103626438</v>
      </c>
      <c r="Y83" s="244">
        <f>'6.0 hksk'!M83</f>
        <v>0</v>
      </c>
      <c r="Z83" s="247">
        <f t="shared" ref="Z83:Z85" si="73">SUM(X83:Y83)</f>
        <v>103626438</v>
      </c>
      <c r="AA83" s="244">
        <f>'7.0 önkormányzat össz'!C83</f>
        <v>0</v>
      </c>
      <c r="AB83" s="244">
        <f>'7.0 önkormányzat össz'!D83</f>
        <v>0</v>
      </c>
      <c r="AC83" s="247">
        <f t="shared" si="68"/>
        <v>0</v>
      </c>
      <c r="AD83" s="244">
        <f>'7.0 önkormányzat össz'!F83</f>
        <v>0</v>
      </c>
      <c r="AE83" s="244">
        <f>'7.0 önkormányzat össz'!G83</f>
        <v>0</v>
      </c>
      <c r="AF83" s="247">
        <f t="shared" ref="AF83:AF85" si="74">SUM(AD83:AE83)</f>
        <v>0</v>
      </c>
      <c r="AG83" s="244">
        <f ca="1">'7.0 önkormányzat össz'!I83</f>
        <v>0</v>
      </c>
      <c r="AH83" s="244">
        <f>'7.0 önkormányzat össz'!J83</f>
        <v>0</v>
      </c>
      <c r="AI83" s="247">
        <f t="shared" ref="AI83:AI85" ca="1" si="75">SUM(AG83:AH83)</f>
        <v>0</v>
      </c>
      <c r="AJ83" s="244">
        <f ca="1">'7.0 önkormányzat össz'!L83</f>
        <v>0</v>
      </c>
      <c r="AK83" s="244">
        <f>'7.0 önkormányzat össz'!M83</f>
        <v>0</v>
      </c>
      <c r="AL83" s="247">
        <f t="shared" ref="AL83:AL85" ca="1" si="76">SUM(AJ83:AK83)</f>
        <v>0</v>
      </c>
      <c r="AM83" s="244">
        <f t="shared" si="49"/>
        <v>278207536</v>
      </c>
      <c r="AN83" s="244">
        <f t="shared" si="50"/>
        <v>0</v>
      </c>
      <c r="AO83" s="389">
        <f t="shared" si="51"/>
        <v>278207536</v>
      </c>
      <c r="AP83" s="244">
        <f t="shared" si="52"/>
        <v>287654706</v>
      </c>
      <c r="AQ83" s="244">
        <f t="shared" si="53"/>
        <v>0</v>
      </c>
      <c r="AR83" s="389">
        <f t="shared" si="54"/>
        <v>287654706</v>
      </c>
      <c r="AS83" s="672">
        <f t="shared" ca="1" si="55"/>
        <v>289436497</v>
      </c>
      <c r="AT83" s="329">
        <f t="shared" si="56"/>
        <v>0</v>
      </c>
      <c r="AU83" s="253">
        <f t="shared" ca="1" si="57"/>
        <v>289436497</v>
      </c>
      <c r="AV83" s="672">
        <f t="shared" ca="1" si="58"/>
        <v>268076934</v>
      </c>
      <c r="AW83" s="329">
        <f t="shared" si="59"/>
        <v>0</v>
      </c>
      <c r="AX83" s="647">
        <f t="shared" ca="1" si="60"/>
        <v>268076934</v>
      </c>
    </row>
    <row r="84" spans="1:50" ht="15.75" thickBot="1" x14ac:dyDescent="0.3">
      <c r="A84" s="28" t="s">
        <v>157</v>
      </c>
      <c r="B84" s="64" t="s">
        <v>158</v>
      </c>
      <c r="C84" s="248">
        <f>'5.0 hivatal'!C84</f>
        <v>0</v>
      </c>
      <c r="D84" s="248">
        <f>'5.0 hivatal'!D84</f>
        <v>0</v>
      </c>
      <c r="E84" s="249">
        <f>SUM(C84:D84)</f>
        <v>0</v>
      </c>
      <c r="F84" s="248">
        <f>'5.0 hivatal'!F84</f>
        <v>0</v>
      </c>
      <c r="G84" s="248">
        <f>'5.0 hivatal'!G84</f>
        <v>0</v>
      </c>
      <c r="H84" s="249">
        <f>SUM(F84:G84)</f>
        <v>0</v>
      </c>
      <c r="I84" s="248">
        <f>'5.0 hivatal'!I84</f>
        <v>0</v>
      </c>
      <c r="J84" s="248">
        <f>'5.0 hivatal'!J84</f>
        <v>0</v>
      </c>
      <c r="K84" s="249">
        <f>SUM(I84:J84)</f>
        <v>0</v>
      </c>
      <c r="L84" s="248">
        <f>'5.0 hivatal'!L84</f>
        <v>0</v>
      </c>
      <c r="M84" s="248">
        <f>'5.0 hivatal'!M84</f>
        <v>0</v>
      </c>
      <c r="N84" s="249">
        <f>SUM(L84:M84)</f>
        <v>0</v>
      </c>
      <c r="O84" s="248">
        <f>'6.0 hksk'!C84</f>
        <v>0</v>
      </c>
      <c r="P84" s="248">
        <f>'6.0 hksk'!D84</f>
        <v>0</v>
      </c>
      <c r="Q84" s="249">
        <f t="shared" si="65"/>
        <v>0</v>
      </c>
      <c r="R84" s="248">
        <f>'6.0 hksk'!F84</f>
        <v>0</v>
      </c>
      <c r="S84" s="248">
        <f>'6.0 hksk'!G84</f>
        <v>0</v>
      </c>
      <c r="T84" s="249">
        <f t="shared" si="71"/>
        <v>0</v>
      </c>
      <c r="U84" s="248">
        <f>'6.0 hksk'!I84</f>
        <v>0</v>
      </c>
      <c r="V84" s="248">
        <f>'6.0 hksk'!J84</f>
        <v>0</v>
      </c>
      <c r="W84" s="249">
        <f t="shared" si="72"/>
        <v>0</v>
      </c>
      <c r="X84" s="248">
        <f>'6.0 hksk'!L84</f>
        <v>0</v>
      </c>
      <c r="Y84" s="248">
        <f>'6.0 hksk'!M84</f>
        <v>0</v>
      </c>
      <c r="Z84" s="249">
        <f t="shared" si="73"/>
        <v>0</v>
      </c>
      <c r="AA84" s="248">
        <f>'7.0 önkormányzat össz'!C84</f>
        <v>0</v>
      </c>
      <c r="AB84" s="248">
        <f>'7.0 önkormányzat össz'!D84</f>
        <v>0</v>
      </c>
      <c r="AC84" s="249">
        <f t="shared" si="68"/>
        <v>0</v>
      </c>
      <c r="AD84" s="248">
        <f>'7.0 önkormányzat össz'!F84</f>
        <v>0</v>
      </c>
      <c r="AE84" s="248">
        <f>'7.0 önkormányzat össz'!G84</f>
        <v>0</v>
      </c>
      <c r="AF84" s="249">
        <f t="shared" si="74"/>
        <v>0</v>
      </c>
      <c r="AG84" s="248">
        <f ca="1">'7.0 önkormányzat össz'!I84</f>
        <v>0</v>
      </c>
      <c r="AH84" s="248">
        <f>'7.0 önkormányzat össz'!J84</f>
        <v>0</v>
      </c>
      <c r="AI84" s="249">
        <f t="shared" ca="1" si="75"/>
        <v>0</v>
      </c>
      <c r="AJ84" s="248">
        <f ca="1">'7.0 önkormányzat össz'!L84</f>
        <v>0</v>
      </c>
      <c r="AK84" s="248">
        <f>'7.0 önkormányzat össz'!M84</f>
        <v>0</v>
      </c>
      <c r="AL84" s="249">
        <f t="shared" ca="1" si="76"/>
        <v>0</v>
      </c>
      <c r="AM84" s="248">
        <f>AM83</f>
        <v>278207536</v>
      </c>
      <c r="AN84" s="248">
        <f>D84+P84+AB84</f>
        <v>0</v>
      </c>
      <c r="AO84" s="249">
        <f>AO83</f>
        <v>278207536</v>
      </c>
      <c r="AP84" s="248">
        <f>AP83</f>
        <v>287654706</v>
      </c>
      <c r="AQ84" s="248">
        <f>G84+S84+AE84</f>
        <v>0</v>
      </c>
      <c r="AR84" s="249">
        <f>AR83</f>
        <v>287654706</v>
      </c>
      <c r="AS84" s="329">
        <f t="shared" ref="AS84:AX85" ca="1" si="77">I84+U84+AG84</f>
        <v>0</v>
      </c>
      <c r="AT84" s="329">
        <f t="shared" si="77"/>
        <v>0</v>
      </c>
      <c r="AU84" s="253">
        <f t="shared" ca="1" si="77"/>
        <v>0</v>
      </c>
      <c r="AV84" s="329">
        <f t="shared" ca="1" si="77"/>
        <v>0</v>
      </c>
      <c r="AW84" s="329">
        <f t="shared" si="77"/>
        <v>0</v>
      </c>
      <c r="AX84" s="647">
        <f t="shared" ca="1" si="77"/>
        <v>0</v>
      </c>
    </row>
    <row r="85" spans="1:50" ht="15.75" thickBot="1" x14ac:dyDescent="0.3">
      <c r="A85" s="29" t="s">
        <v>264</v>
      </c>
      <c r="B85" s="47" t="s">
        <v>159</v>
      </c>
      <c r="C85" s="254">
        <f>'5.0 hivatal'!C85</f>
        <v>195896714</v>
      </c>
      <c r="D85" s="254">
        <f>'5.0 hivatal'!D85</f>
        <v>0</v>
      </c>
      <c r="E85" s="255">
        <f>SUM(C85:D85)</f>
        <v>195896714</v>
      </c>
      <c r="F85" s="254">
        <f>'5.0 hivatal'!F85</f>
        <v>198559654</v>
      </c>
      <c r="G85" s="254">
        <f>'5.0 hivatal'!G85</f>
        <v>0</v>
      </c>
      <c r="H85" s="255">
        <f>SUM(F85:G85)</f>
        <v>198559654</v>
      </c>
      <c r="I85" s="254">
        <f>'5.0 hivatal'!I85</f>
        <v>198559654</v>
      </c>
      <c r="J85" s="254">
        <f>'5.0 hivatal'!J85</f>
        <v>0</v>
      </c>
      <c r="K85" s="255">
        <f>SUM(I85:J85)</f>
        <v>198559654</v>
      </c>
      <c r="L85" s="254">
        <f>'5.0 hivatal'!L85</f>
        <v>171564478</v>
      </c>
      <c r="M85" s="254">
        <f>'5.0 hivatal'!M85</f>
        <v>0</v>
      </c>
      <c r="N85" s="255">
        <f>SUM(L85:M85)</f>
        <v>171564478</v>
      </c>
      <c r="O85" s="254">
        <f>'6.0 hksk'!C85</f>
        <v>103598627</v>
      </c>
      <c r="P85" s="254">
        <f>'6.0 hksk'!D85</f>
        <v>0</v>
      </c>
      <c r="Q85" s="255">
        <f t="shared" si="65"/>
        <v>103598627</v>
      </c>
      <c r="R85" s="254">
        <f>'6.0 hksk'!F85</f>
        <v>120580397</v>
      </c>
      <c r="S85" s="254">
        <f>'6.0 hksk'!G85</f>
        <v>0</v>
      </c>
      <c r="T85" s="255">
        <f t="shared" si="71"/>
        <v>120580397</v>
      </c>
      <c r="U85" s="254">
        <f>'6.0 hksk'!I85</f>
        <v>123027239</v>
      </c>
      <c r="V85" s="254">
        <f>'6.0 hksk'!J85</f>
        <v>0</v>
      </c>
      <c r="W85" s="255">
        <f t="shared" si="72"/>
        <v>123027239</v>
      </c>
      <c r="X85" s="254">
        <f>'6.0 hksk'!L85</f>
        <v>123612039</v>
      </c>
      <c r="Y85" s="254">
        <f>'6.0 hksk'!M85</f>
        <v>0</v>
      </c>
      <c r="Z85" s="255">
        <f t="shared" si="73"/>
        <v>123612039</v>
      </c>
      <c r="AA85" s="254">
        <f>'7.0 önkormányzat össz'!C85</f>
        <v>4854114197</v>
      </c>
      <c r="AB85" s="254">
        <f>'7.0 önkormányzat össz'!D85</f>
        <v>0</v>
      </c>
      <c r="AC85" s="255">
        <f t="shared" si="68"/>
        <v>4854114197</v>
      </c>
      <c r="AD85" s="254">
        <f>'7.0 önkormányzat össz'!F85</f>
        <v>4882043224</v>
      </c>
      <c r="AE85" s="254">
        <f>'7.0 önkormányzat össz'!G85</f>
        <v>0</v>
      </c>
      <c r="AF85" s="255">
        <f t="shared" si="74"/>
        <v>4882043224</v>
      </c>
      <c r="AG85" s="254">
        <f ca="1">'7.0 önkormányzat össz'!I85</f>
        <v>4929282988</v>
      </c>
      <c r="AH85" s="254">
        <f>'7.0 önkormányzat össz'!J85</f>
        <v>0</v>
      </c>
      <c r="AI85" s="255">
        <f t="shared" ca="1" si="75"/>
        <v>4929282988</v>
      </c>
      <c r="AJ85" s="254">
        <f ca="1">'7.0 önkormányzat össz'!L85</f>
        <v>4866001506</v>
      </c>
      <c r="AK85" s="254">
        <f>'7.0 önkormányzat össz'!M85</f>
        <v>0</v>
      </c>
      <c r="AL85" s="255">
        <f t="shared" ca="1" si="76"/>
        <v>4866001506</v>
      </c>
      <c r="AM85" s="254">
        <f>C85+O85+AA85-AM84</f>
        <v>4875402002</v>
      </c>
      <c r="AN85" s="254">
        <f>D85+P85+AB85</f>
        <v>0</v>
      </c>
      <c r="AO85" s="255">
        <f>E85+Q85+AC85-AO84</f>
        <v>4875402002</v>
      </c>
      <c r="AP85" s="254">
        <f>F85+R85+AD85-AP84</f>
        <v>4913528569</v>
      </c>
      <c r="AQ85" s="254">
        <f>G85+S85+AE85</f>
        <v>0</v>
      </c>
      <c r="AR85" s="255">
        <f>H85+T85+AF85-AR84</f>
        <v>4913528569</v>
      </c>
      <c r="AS85" s="329">
        <f t="shared" ca="1" si="77"/>
        <v>5250869881</v>
      </c>
      <c r="AT85" s="329">
        <f t="shared" si="77"/>
        <v>0</v>
      </c>
      <c r="AU85" s="253">
        <f t="shared" ca="1" si="77"/>
        <v>5250869881</v>
      </c>
      <c r="AV85" s="329">
        <f t="shared" ca="1" si="77"/>
        <v>5161178023</v>
      </c>
      <c r="AW85" s="329">
        <f t="shared" si="77"/>
        <v>0</v>
      </c>
      <c r="AX85" s="647">
        <f t="shared" ca="1" si="77"/>
        <v>5161178023</v>
      </c>
    </row>
    <row r="86" spans="1:50" x14ac:dyDescent="0.25">
      <c r="A86" s="31"/>
      <c r="B86" s="32"/>
      <c r="AX86" s="646"/>
    </row>
    <row r="87" spans="1:50" ht="15.75" thickBot="1" x14ac:dyDescent="0.3">
      <c r="A87" s="42"/>
      <c r="B87" s="4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863"/>
    </row>
    <row r="88" spans="1:50" ht="15.75" thickBot="1" x14ac:dyDescent="0.3">
      <c r="A88" s="33" t="s">
        <v>160</v>
      </c>
      <c r="B88" s="24" t="s">
        <v>34</v>
      </c>
      <c r="C88" s="329">
        <f>'5.0 hivatal'!C88</f>
        <v>135403431</v>
      </c>
      <c r="D88" s="329">
        <f>'5.0 hivatal'!D88</f>
        <v>0</v>
      </c>
      <c r="E88" s="253">
        <f>SUM(C88:D88)</f>
        <v>135403431</v>
      </c>
      <c r="F88" s="329">
        <f>'5.0 hivatal'!F88</f>
        <v>137154844</v>
      </c>
      <c r="G88" s="329">
        <f>'5.0 hivatal'!G88</f>
        <v>0</v>
      </c>
      <c r="H88" s="253">
        <f>SUM(F88:G88)</f>
        <v>137154844</v>
      </c>
      <c r="I88" s="329">
        <f>'5.0 hivatal'!I88</f>
        <v>137203869</v>
      </c>
      <c r="J88" s="329">
        <f>'5.0 hivatal'!J88</f>
        <v>0</v>
      </c>
      <c r="K88" s="253">
        <f>SUM(I88:J88)</f>
        <v>137203869</v>
      </c>
      <c r="L88" s="329">
        <f>'5.0 hivatal'!L88</f>
        <v>121071007</v>
      </c>
      <c r="M88" s="329">
        <f>'5.0 hivatal'!M88</f>
        <v>0</v>
      </c>
      <c r="N88" s="253">
        <f>SUM(L88:M88)</f>
        <v>121071007</v>
      </c>
      <c r="O88" s="329">
        <f>'6.0 hksk'!C88</f>
        <v>38870700</v>
      </c>
      <c r="P88" s="329">
        <f>'6.0 hksk'!D88</f>
        <v>0</v>
      </c>
      <c r="Q88" s="253">
        <f t="shared" ref="Q88:Q151" si="78">SUM(O88:P88)</f>
        <v>38870700</v>
      </c>
      <c r="R88" s="329">
        <f>'6.0 hksk'!F88</f>
        <v>40181390</v>
      </c>
      <c r="S88" s="329">
        <f>'6.0 hksk'!G88</f>
        <v>0</v>
      </c>
      <c r="T88" s="253">
        <f t="shared" ref="T88:T91" si="79">SUM(R88:S88)</f>
        <v>40181390</v>
      </c>
      <c r="U88" s="329">
        <f>'6.0 hksk'!I88</f>
        <v>41941390</v>
      </c>
      <c r="V88" s="329">
        <f>'6.0 hksk'!J88</f>
        <v>0</v>
      </c>
      <c r="W88" s="253">
        <f t="shared" ref="W88:W145" si="80">SUM(U88:V88)</f>
        <v>41941390</v>
      </c>
      <c r="X88" s="329">
        <f>'6.0 hksk'!L88</f>
        <v>41775486</v>
      </c>
      <c r="Y88" s="329">
        <f>'6.0 hksk'!M88</f>
        <v>0</v>
      </c>
      <c r="Z88" s="253">
        <f t="shared" ref="Z88:Z145" si="81">SUM(X88:Y88)</f>
        <v>41775486</v>
      </c>
      <c r="AA88" s="329">
        <f>'7.0 önkormányzat össz'!C88</f>
        <v>190329921</v>
      </c>
      <c r="AB88" s="329">
        <f>'7.0 önkormányzat össz'!D88</f>
        <v>0</v>
      </c>
      <c r="AC88" s="253">
        <f t="shared" ref="AC88:AC151" si="82">SUM(AA88:AB88)</f>
        <v>190329921</v>
      </c>
      <c r="AD88" s="329">
        <f>'7.0 önkormányzat össz'!F88</f>
        <v>191595878</v>
      </c>
      <c r="AE88" s="329">
        <f>'7.0 önkormányzat össz'!G88</f>
        <v>0</v>
      </c>
      <c r="AF88" s="253">
        <f>SUM(AD88:AE88)</f>
        <v>191595878</v>
      </c>
      <c r="AG88" s="329">
        <f ca="1">'7.0 önkormányzat össz'!I88</f>
        <v>200257109</v>
      </c>
      <c r="AH88" s="329">
        <f>'7.0 önkormányzat össz'!J88</f>
        <v>6750</v>
      </c>
      <c r="AI88" s="253">
        <f ca="1">SUM(AG88:AH88)</f>
        <v>200263859</v>
      </c>
      <c r="AJ88" s="329">
        <f ca="1">'7.0 önkormányzat össz'!L88</f>
        <v>198937691</v>
      </c>
      <c r="AK88" s="329">
        <f>'7.0 önkormányzat össz'!M88</f>
        <v>6750</v>
      </c>
      <c r="AL88" s="253">
        <f ca="1">SUM(AJ88:AK88)</f>
        <v>198944441</v>
      </c>
      <c r="AM88" s="329">
        <f t="shared" ref="AM88:AM119" si="83">C88+O88+AA88</f>
        <v>364604052</v>
      </c>
      <c r="AN88" s="329">
        <f t="shared" ref="AN88:AN119" si="84">D88+P88+AB88</f>
        <v>0</v>
      </c>
      <c r="AO88" s="253">
        <f t="shared" ref="AO88:AO119" si="85">E88+Q88+AC88</f>
        <v>364604052</v>
      </c>
      <c r="AP88" s="329">
        <f t="shared" ref="AP88:AP119" si="86">F88+R88+AD88</f>
        <v>368932112</v>
      </c>
      <c r="AQ88" s="329">
        <f t="shared" ref="AQ88:AQ119" si="87">G88+S88+AE88</f>
        <v>0</v>
      </c>
      <c r="AR88" s="253">
        <f t="shared" ref="AR88:AR119" si="88">H88+T88+AF88</f>
        <v>368932112</v>
      </c>
      <c r="AS88" s="329">
        <f t="shared" ref="AS88:AS119" ca="1" si="89">I88+U88+AG88</f>
        <v>379402368</v>
      </c>
      <c r="AT88" s="329">
        <f t="shared" ref="AT88:AT119" si="90">J88+V88+AH88</f>
        <v>6750</v>
      </c>
      <c r="AU88" s="253">
        <f t="shared" ref="AU88:AU119" ca="1" si="91">K88+W88+AI88</f>
        <v>379409118</v>
      </c>
      <c r="AV88" s="329">
        <f t="shared" ref="AV88:AV119" ca="1" si="92">L88+X88+AJ88</f>
        <v>361784184</v>
      </c>
      <c r="AW88" s="329">
        <f t="shared" ref="AW88:AW119" si="93">M88+Y88+AK88</f>
        <v>6750</v>
      </c>
      <c r="AX88" s="647">
        <f t="shared" ref="AX88:AX119" ca="1" si="94">N88+Z88+AL88</f>
        <v>361790934</v>
      </c>
    </row>
    <row r="89" spans="1:50" ht="15.75" thickBot="1" x14ac:dyDescent="0.3">
      <c r="A89" s="34" t="s">
        <v>161</v>
      </c>
      <c r="B89" s="35" t="s">
        <v>162</v>
      </c>
      <c r="C89" s="246">
        <f>'5.0 hivatal'!C89</f>
        <v>134303431</v>
      </c>
      <c r="D89" s="246">
        <f>'5.0 hivatal'!D89</f>
        <v>0</v>
      </c>
      <c r="E89" s="247">
        <f>SUM(C89:D89)</f>
        <v>134303431</v>
      </c>
      <c r="F89" s="246">
        <f>'5.0 hivatal'!F89</f>
        <v>134786431</v>
      </c>
      <c r="G89" s="246">
        <f>'5.0 hivatal'!G89</f>
        <v>0</v>
      </c>
      <c r="H89" s="247">
        <f>SUM(F89:G89)</f>
        <v>134786431</v>
      </c>
      <c r="I89" s="246">
        <f>'5.0 hivatal'!I89</f>
        <v>133026998</v>
      </c>
      <c r="J89" s="246">
        <f>'5.0 hivatal'!J89</f>
        <v>0</v>
      </c>
      <c r="K89" s="247">
        <f>SUM(I89:J89)</f>
        <v>133026998</v>
      </c>
      <c r="L89" s="246">
        <f>'5.0 hivatal'!L89</f>
        <v>117727654</v>
      </c>
      <c r="M89" s="246">
        <f>'5.0 hivatal'!M89</f>
        <v>0</v>
      </c>
      <c r="N89" s="247">
        <f>SUM(L89:M89)</f>
        <v>117727654</v>
      </c>
      <c r="O89" s="244">
        <f>'6.0 hksk'!C89</f>
        <v>36970700</v>
      </c>
      <c r="P89" s="244">
        <f>'6.0 hksk'!D89</f>
        <v>0</v>
      </c>
      <c r="Q89" s="247">
        <f t="shared" si="78"/>
        <v>36970700</v>
      </c>
      <c r="R89" s="244">
        <f>'6.0 hksk'!F89</f>
        <v>36781390</v>
      </c>
      <c r="S89" s="244">
        <f>'6.0 hksk'!G89</f>
        <v>0</v>
      </c>
      <c r="T89" s="247">
        <f t="shared" si="79"/>
        <v>36781390</v>
      </c>
      <c r="U89" s="244">
        <f>'6.0 hksk'!I89</f>
        <v>38291390</v>
      </c>
      <c r="V89" s="244">
        <f>'6.0 hksk'!J89</f>
        <v>0</v>
      </c>
      <c r="W89" s="247">
        <f t="shared" si="80"/>
        <v>38291390</v>
      </c>
      <c r="X89" s="244">
        <f>'6.0 hksk'!L89</f>
        <v>38127751</v>
      </c>
      <c r="Y89" s="244">
        <f>'6.0 hksk'!M89</f>
        <v>0</v>
      </c>
      <c r="Z89" s="247">
        <f t="shared" si="81"/>
        <v>38127751</v>
      </c>
      <c r="AA89" s="244">
        <f>'7.0 önkormányzat össz'!C89</f>
        <v>148831192</v>
      </c>
      <c r="AB89" s="244">
        <f>'7.0 önkormányzat össz'!D89</f>
        <v>0</v>
      </c>
      <c r="AC89" s="247">
        <f t="shared" si="82"/>
        <v>148831192</v>
      </c>
      <c r="AD89" s="244">
        <f>'7.0 önkormányzat össz'!F89</f>
        <v>151709599</v>
      </c>
      <c r="AE89" s="244">
        <f>'7.0 önkormányzat össz'!G89</f>
        <v>0</v>
      </c>
      <c r="AF89" s="247">
        <f t="shared" ref="AF89" si="95">SUM(AD89:AE89)</f>
        <v>151709599</v>
      </c>
      <c r="AG89" s="244">
        <f ca="1">'7.0 önkormányzat össz'!I89</f>
        <v>155016388</v>
      </c>
      <c r="AH89" s="244">
        <f>'7.0 önkormányzat össz'!J89</f>
        <v>0</v>
      </c>
      <c r="AI89" s="247">
        <f t="shared" ref="AI89" ca="1" si="96">SUM(AG89:AH89)</f>
        <v>155016388</v>
      </c>
      <c r="AJ89" s="244">
        <f ca="1">'7.0 önkormányzat össz'!L89</f>
        <v>153992754</v>
      </c>
      <c r="AK89" s="244">
        <f>'7.0 önkormányzat össz'!M89</f>
        <v>0</v>
      </c>
      <c r="AL89" s="247">
        <f t="shared" ref="AL89" ca="1" si="97">SUM(AJ89:AK89)</f>
        <v>153992754</v>
      </c>
      <c r="AM89" s="244">
        <f t="shared" si="83"/>
        <v>320105323</v>
      </c>
      <c r="AN89" s="244">
        <f t="shared" si="84"/>
        <v>0</v>
      </c>
      <c r="AO89" s="245">
        <f t="shared" si="85"/>
        <v>320105323</v>
      </c>
      <c r="AP89" s="244">
        <f t="shared" si="86"/>
        <v>323277420</v>
      </c>
      <c r="AQ89" s="244">
        <f t="shared" si="87"/>
        <v>0</v>
      </c>
      <c r="AR89" s="245">
        <f t="shared" si="88"/>
        <v>323277420</v>
      </c>
      <c r="AS89" s="329">
        <f t="shared" ca="1" si="89"/>
        <v>326334776</v>
      </c>
      <c r="AT89" s="329">
        <f t="shared" si="90"/>
        <v>0</v>
      </c>
      <c r="AU89" s="253">
        <f t="shared" ca="1" si="91"/>
        <v>326334776</v>
      </c>
      <c r="AV89" s="329">
        <f t="shared" ca="1" si="92"/>
        <v>309848159</v>
      </c>
      <c r="AW89" s="329">
        <f t="shared" si="93"/>
        <v>0</v>
      </c>
      <c r="AX89" s="647">
        <f t="shared" ca="1" si="94"/>
        <v>309848159</v>
      </c>
    </row>
    <row r="90" spans="1:50" ht="15.75" thickBot="1" x14ac:dyDescent="0.3">
      <c r="A90" s="34" t="s">
        <v>163</v>
      </c>
      <c r="B90" s="35" t="s">
        <v>164</v>
      </c>
      <c r="C90" s="246">
        <f>'5.0 hivatal'!C90</f>
        <v>102822221</v>
      </c>
      <c r="D90" s="246">
        <f>'5.0 hivatal'!D90</f>
        <v>0</v>
      </c>
      <c r="E90" s="247">
        <f>SUM(C90:D90)</f>
        <v>102822221</v>
      </c>
      <c r="F90" s="246">
        <f>'5.0 hivatal'!F90</f>
        <v>102822221</v>
      </c>
      <c r="G90" s="246">
        <f>'5.0 hivatal'!G90</f>
        <v>0</v>
      </c>
      <c r="H90" s="247">
        <f>SUM(F90:G90)</f>
        <v>102822221</v>
      </c>
      <c r="I90" s="246">
        <f>'5.0 hivatal'!I90</f>
        <v>101062788</v>
      </c>
      <c r="J90" s="246">
        <f>'5.0 hivatal'!J90</f>
        <v>0</v>
      </c>
      <c r="K90" s="247">
        <f>SUM(I90:J90)</f>
        <v>101062788</v>
      </c>
      <c r="L90" s="246">
        <f>'5.0 hivatal'!L90</f>
        <v>94885026</v>
      </c>
      <c r="M90" s="246">
        <f>'5.0 hivatal'!M90</f>
        <v>0</v>
      </c>
      <c r="N90" s="247">
        <f>SUM(L90:M90)</f>
        <v>94885026</v>
      </c>
      <c r="O90" s="244">
        <f>'6.0 hksk'!C90</f>
        <v>29758700</v>
      </c>
      <c r="P90" s="244">
        <f>'6.0 hksk'!D90</f>
        <v>0</v>
      </c>
      <c r="Q90" s="247">
        <f t="shared" si="78"/>
        <v>29758700</v>
      </c>
      <c r="R90" s="244">
        <f>'6.0 hksk'!F90</f>
        <v>29758700</v>
      </c>
      <c r="S90" s="244">
        <f>'6.0 hksk'!G90</f>
        <v>0</v>
      </c>
      <c r="T90" s="247">
        <f t="shared" si="79"/>
        <v>29758700</v>
      </c>
      <c r="U90" s="244">
        <f>'6.0 hksk'!I90</f>
        <v>29882630</v>
      </c>
      <c r="V90" s="244">
        <f>'6.0 hksk'!J90</f>
        <v>0</v>
      </c>
      <c r="W90" s="247">
        <f t="shared" si="80"/>
        <v>29882630</v>
      </c>
      <c r="X90" s="244">
        <f>'6.0 hksk'!L90</f>
        <v>29857685</v>
      </c>
      <c r="Y90" s="244">
        <f>'6.0 hksk'!M90</f>
        <v>0</v>
      </c>
      <c r="Z90" s="247">
        <f t="shared" si="81"/>
        <v>29857685</v>
      </c>
      <c r="AA90" s="244">
        <f>'7.0 önkormányzat össz'!C90</f>
        <v>133530562</v>
      </c>
      <c r="AB90" s="244">
        <f>'7.0 önkormányzat össz'!D90</f>
        <v>0</v>
      </c>
      <c r="AC90" s="247">
        <f t="shared" si="82"/>
        <v>133530562</v>
      </c>
      <c r="AD90" s="244">
        <f>'7.0 önkormányzat össz'!F90</f>
        <v>133642969</v>
      </c>
      <c r="AE90" s="244">
        <f>'7.0 önkormányzat össz'!G90</f>
        <v>0</v>
      </c>
      <c r="AF90" s="247">
        <f>SUM(AD90:AE90)</f>
        <v>133642969</v>
      </c>
      <c r="AG90" s="244">
        <f ca="1">'7.0 önkormányzat össz'!I90</f>
        <v>134255835</v>
      </c>
      <c r="AH90" s="244">
        <f>'7.0 önkormányzat össz'!J90</f>
        <v>0</v>
      </c>
      <c r="AI90" s="247">
        <f ca="1">SUM(AG90:AH90)</f>
        <v>134255835</v>
      </c>
      <c r="AJ90" s="244">
        <f ca="1">'7.0 önkormányzat össz'!L90</f>
        <v>134255621</v>
      </c>
      <c r="AK90" s="244">
        <f>'7.0 önkormányzat össz'!M90</f>
        <v>0</v>
      </c>
      <c r="AL90" s="247">
        <f ca="1">SUM(AJ90:AK90)</f>
        <v>134255621</v>
      </c>
      <c r="AM90" s="244">
        <f t="shared" si="83"/>
        <v>266111483</v>
      </c>
      <c r="AN90" s="244">
        <f t="shared" si="84"/>
        <v>0</v>
      </c>
      <c r="AO90" s="245">
        <f t="shared" si="85"/>
        <v>266111483</v>
      </c>
      <c r="AP90" s="244">
        <f t="shared" si="86"/>
        <v>266223890</v>
      </c>
      <c r="AQ90" s="244">
        <f t="shared" si="87"/>
        <v>0</v>
      </c>
      <c r="AR90" s="245">
        <f t="shared" si="88"/>
        <v>266223890</v>
      </c>
      <c r="AS90" s="329">
        <f t="shared" ca="1" si="89"/>
        <v>265201253</v>
      </c>
      <c r="AT90" s="329">
        <f t="shared" si="90"/>
        <v>0</v>
      </c>
      <c r="AU90" s="253">
        <f t="shared" ca="1" si="91"/>
        <v>265201253</v>
      </c>
      <c r="AV90" s="329">
        <f t="shared" ca="1" si="92"/>
        <v>258998332</v>
      </c>
      <c r="AW90" s="329">
        <f t="shared" si="93"/>
        <v>0</v>
      </c>
      <c r="AX90" s="253">
        <f t="shared" ca="1" si="94"/>
        <v>258998332</v>
      </c>
    </row>
    <row r="91" spans="1:50" s="179" customFormat="1" ht="15.75" thickBot="1" x14ac:dyDescent="0.3">
      <c r="A91" s="190" t="s">
        <v>533</v>
      </c>
      <c r="B91" s="180" t="s">
        <v>534</v>
      </c>
      <c r="C91" s="246">
        <f>'5.0 hivatal'!C91</f>
        <v>5566000</v>
      </c>
      <c r="D91" s="246">
        <f>'5.0 hivatal'!D91</f>
        <v>0</v>
      </c>
      <c r="E91" s="247"/>
      <c r="F91" s="246">
        <f>'5.0 hivatal'!F91</f>
        <v>5566000</v>
      </c>
      <c r="G91" s="246">
        <f>'5.0 hivatal'!G91</f>
        <v>0</v>
      </c>
      <c r="H91" s="247">
        <f>SUM(F91:G91)</f>
        <v>5566000</v>
      </c>
      <c r="I91" s="246">
        <f>'5.0 hivatal'!I91</f>
        <v>5566000</v>
      </c>
      <c r="J91" s="246">
        <f>'5.0 hivatal'!J91</f>
        <v>0</v>
      </c>
      <c r="K91" s="247">
        <f>SUM(I91:J91)</f>
        <v>5566000</v>
      </c>
      <c r="L91" s="246">
        <f>'5.0 hivatal'!L91</f>
        <v>3621684</v>
      </c>
      <c r="M91" s="246">
        <f>'5.0 hivatal'!M91</f>
        <v>0</v>
      </c>
      <c r="N91" s="247">
        <f>SUM(L91:M91)</f>
        <v>3621684</v>
      </c>
      <c r="O91" s="244">
        <f>'6.0 hksk'!C91</f>
        <v>2228000</v>
      </c>
      <c r="P91" s="244">
        <f>'6.0 hksk'!D91</f>
        <v>0</v>
      </c>
      <c r="Q91" s="331"/>
      <c r="R91" s="244">
        <f>'6.0 hksk'!F91</f>
        <v>2228000</v>
      </c>
      <c r="S91" s="244">
        <f>'6.0 hksk'!G91</f>
        <v>0</v>
      </c>
      <c r="T91" s="247">
        <f t="shared" si="79"/>
        <v>2228000</v>
      </c>
      <c r="U91" s="244">
        <f>'6.0 hksk'!I91</f>
        <v>2228000</v>
      </c>
      <c r="V91" s="244">
        <f>'6.0 hksk'!J91</f>
        <v>0</v>
      </c>
      <c r="W91" s="247">
        <f t="shared" si="80"/>
        <v>2228000</v>
      </c>
      <c r="X91" s="244">
        <f>'6.0 hksk'!L91</f>
        <v>2136472</v>
      </c>
      <c r="Y91" s="244">
        <f>'6.0 hksk'!M91</f>
        <v>0</v>
      </c>
      <c r="Z91" s="247">
        <f t="shared" si="81"/>
        <v>2136472</v>
      </c>
      <c r="AA91" s="244">
        <f>'7.0 önkormányzat össz'!C91</f>
        <v>4191000</v>
      </c>
      <c r="AB91" s="244">
        <f>'7.0 önkormányzat össz'!D91</f>
        <v>0</v>
      </c>
      <c r="AC91" s="331"/>
      <c r="AD91" s="244">
        <f>'7.0 önkormányzat össz'!F91</f>
        <v>4191000</v>
      </c>
      <c r="AE91" s="244">
        <f>'7.0 önkormányzat össz'!G91</f>
        <v>0</v>
      </c>
      <c r="AF91" s="247">
        <f>SUM(AD91:AE91)</f>
        <v>4191000</v>
      </c>
      <c r="AG91" s="244">
        <f ca="1">'7.0 önkormányzat össz'!I91</f>
        <v>4191000</v>
      </c>
      <c r="AH91" s="244">
        <f>'7.0 önkormányzat össz'!J91</f>
        <v>0</v>
      </c>
      <c r="AI91" s="247">
        <f ca="1">SUM(AG91:AH91)</f>
        <v>4191000</v>
      </c>
      <c r="AJ91" s="244">
        <f ca="1">'7.0 önkormányzat össz'!L91</f>
        <v>4130815</v>
      </c>
      <c r="AK91" s="244">
        <f>'7.0 önkormányzat össz'!M91</f>
        <v>0</v>
      </c>
      <c r="AL91" s="247">
        <f ca="1">SUM(AJ91:AK91)</f>
        <v>4130815</v>
      </c>
      <c r="AM91" s="244">
        <f t="shared" si="83"/>
        <v>11985000</v>
      </c>
      <c r="AN91" s="244">
        <f t="shared" si="84"/>
        <v>0</v>
      </c>
      <c r="AO91" s="245">
        <f t="shared" si="85"/>
        <v>0</v>
      </c>
      <c r="AP91" s="244">
        <f t="shared" si="86"/>
        <v>11985000</v>
      </c>
      <c r="AQ91" s="244">
        <f t="shared" si="87"/>
        <v>0</v>
      </c>
      <c r="AR91" s="245">
        <f t="shared" si="88"/>
        <v>11985000</v>
      </c>
      <c r="AS91" s="329">
        <f t="shared" ca="1" si="89"/>
        <v>11985000</v>
      </c>
      <c r="AT91" s="329">
        <f t="shared" si="90"/>
        <v>0</v>
      </c>
      <c r="AU91" s="253">
        <f t="shared" ca="1" si="91"/>
        <v>11985000</v>
      </c>
      <c r="AV91" s="329">
        <f t="shared" ca="1" si="92"/>
        <v>9888971</v>
      </c>
      <c r="AW91" s="329">
        <f t="shared" si="93"/>
        <v>0</v>
      </c>
      <c r="AX91" s="253">
        <f t="shared" ca="1" si="94"/>
        <v>9888971</v>
      </c>
    </row>
    <row r="92" spans="1:50" ht="15.75" thickBot="1" x14ac:dyDescent="0.3">
      <c r="A92" s="34" t="s">
        <v>165</v>
      </c>
      <c r="B92" s="35" t="s">
        <v>166</v>
      </c>
      <c r="C92" s="246">
        <f>'5.0 hivatal'!C92</f>
        <v>13970000</v>
      </c>
      <c r="D92" s="246">
        <f>'5.0 hivatal'!D92</f>
        <v>0</v>
      </c>
      <c r="E92" s="247">
        <f t="shared" ref="E92:E123" si="98">SUM(C92:D92)</f>
        <v>13970000</v>
      </c>
      <c r="F92" s="246">
        <f>'5.0 hivatal'!F92</f>
        <v>14453000</v>
      </c>
      <c r="G92" s="246">
        <f>'5.0 hivatal'!G92</f>
        <v>0</v>
      </c>
      <c r="H92" s="247">
        <f t="shared" ref="H92:H145" si="99">SUM(F92:G92)</f>
        <v>14453000</v>
      </c>
      <c r="I92" s="246">
        <f>'5.0 hivatal'!I92</f>
        <v>14453000</v>
      </c>
      <c r="J92" s="246">
        <f>'5.0 hivatal'!J92</f>
        <v>0</v>
      </c>
      <c r="K92" s="247">
        <f t="shared" ref="K92:K145" si="100">SUM(I92:J92)</f>
        <v>14453000</v>
      </c>
      <c r="L92" s="246">
        <f>'5.0 hivatal'!L92</f>
        <v>9652650</v>
      </c>
      <c r="M92" s="246">
        <f>'5.0 hivatal'!M92</f>
        <v>0</v>
      </c>
      <c r="N92" s="247">
        <f t="shared" ref="N92:N145" si="101">SUM(L92:M92)</f>
        <v>9652650</v>
      </c>
      <c r="O92" s="244">
        <f>'6.0 hksk'!C92</f>
        <v>0</v>
      </c>
      <c r="P92" s="244">
        <f>'6.0 hksk'!D92</f>
        <v>0</v>
      </c>
      <c r="Q92" s="247">
        <f t="shared" si="78"/>
        <v>0</v>
      </c>
      <c r="R92" s="244">
        <f>'6.0 hksk'!F92</f>
        <v>0</v>
      </c>
      <c r="S92" s="244">
        <f>'6.0 hksk'!G92</f>
        <v>0</v>
      </c>
      <c r="T92" s="247">
        <f t="shared" ref="T92:T145" si="102">SUM(R92:S92)</f>
        <v>0</v>
      </c>
      <c r="U92" s="244">
        <f>'6.0 hksk'!I92</f>
        <v>0</v>
      </c>
      <c r="V92" s="244">
        <f>'6.0 hksk'!J92</f>
        <v>0</v>
      </c>
      <c r="W92" s="247">
        <f t="shared" si="80"/>
        <v>0</v>
      </c>
      <c r="X92" s="244">
        <f>'6.0 hksk'!L92</f>
        <v>0</v>
      </c>
      <c r="Y92" s="244">
        <f>'6.0 hksk'!M92</f>
        <v>0</v>
      </c>
      <c r="Z92" s="247">
        <f t="shared" si="81"/>
        <v>0</v>
      </c>
      <c r="AA92" s="244">
        <f>'7.0 önkormányzat össz'!C92</f>
        <v>500000</v>
      </c>
      <c r="AB92" s="244">
        <f>'7.0 önkormányzat össz'!D92</f>
        <v>0</v>
      </c>
      <c r="AC92" s="247">
        <f t="shared" si="82"/>
        <v>500000</v>
      </c>
      <c r="AD92" s="244">
        <f>'7.0 önkormányzat össz'!F92</f>
        <v>500000</v>
      </c>
      <c r="AE92" s="244">
        <f>'7.0 önkormányzat össz'!G92</f>
        <v>0</v>
      </c>
      <c r="AF92" s="247">
        <f>SUM(AD92:AE92)</f>
        <v>500000</v>
      </c>
      <c r="AG92" s="244">
        <f ca="1">'7.0 önkormányzat össz'!I92</f>
        <v>500000</v>
      </c>
      <c r="AH92" s="244">
        <f>'7.0 önkormányzat össz'!J92</f>
        <v>0</v>
      </c>
      <c r="AI92" s="247">
        <f ca="1">SUM(AG92:AH92)</f>
        <v>500000</v>
      </c>
      <c r="AJ92" s="244">
        <f ca="1">'7.0 önkormányzat össz'!L92</f>
        <v>0</v>
      </c>
      <c r="AK92" s="244">
        <f>'7.0 önkormányzat össz'!M92</f>
        <v>0</v>
      </c>
      <c r="AL92" s="247">
        <f ca="1">SUM(AJ92:AK92)</f>
        <v>0</v>
      </c>
      <c r="AM92" s="244">
        <f t="shared" si="83"/>
        <v>14470000</v>
      </c>
      <c r="AN92" s="244">
        <f t="shared" si="84"/>
        <v>0</v>
      </c>
      <c r="AO92" s="245">
        <f t="shared" si="85"/>
        <v>14470000</v>
      </c>
      <c r="AP92" s="244">
        <f t="shared" si="86"/>
        <v>14953000</v>
      </c>
      <c r="AQ92" s="244">
        <f t="shared" si="87"/>
        <v>0</v>
      </c>
      <c r="AR92" s="245">
        <f t="shared" si="88"/>
        <v>14953000</v>
      </c>
      <c r="AS92" s="329">
        <f t="shared" ca="1" si="89"/>
        <v>14953000</v>
      </c>
      <c r="AT92" s="329">
        <f t="shared" si="90"/>
        <v>0</v>
      </c>
      <c r="AU92" s="253">
        <f t="shared" ca="1" si="91"/>
        <v>14953000</v>
      </c>
      <c r="AV92" s="329">
        <f t="shared" ca="1" si="92"/>
        <v>9652650</v>
      </c>
      <c r="AW92" s="329">
        <f t="shared" si="93"/>
        <v>0</v>
      </c>
      <c r="AX92" s="253">
        <f t="shared" ca="1" si="94"/>
        <v>9652650</v>
      </c>
    </row>
    <row r="93" spans="1:50" ht="15.75" thickBot="1" x14ac:dyDescent="0.3">
      <c r="A93" s="34" t="s">
        <v>167</v>
      </c>
      <c r="B93" s="35" t="s">
        <v>168</v>
      </c>
      <c r="C93" s="246">
        <f>'5.0 hivatal'!C93</f>
        <v>400000</v>
      </c>
      <c r="D93" s="246">
        <f>'5.0 hivatal'!D93</f>
        <v>0</v>
      </c>
      <c r="E93" s="247">
        <f t="shared" si="98"/>
        <v>400000</v>
      </c>
      <c r="F93" s="246">
        <f>'5.0 hivatal'!F93</f>
        <v>400000</v>
      </c>
      <c r="G93" s="246">
        <f>'5.0 hivatal'!G93</f>
        <v>0</v>
      </c>
      <c r="H93" s="247">
        <f t="shared" si="99"/>
        <v>400000</v>
      </c>
      <c r="I93" s="246">
        <f>'5.0 hivatal'!I93</f>
        <v>400000</v>
      </c>
      <c r="J93" s="246">
        <f>'5.0 hivatal'!J93</f>
        <v>0</v>
      </c>
      <c r="K93" s="247">
        <f t="shared" si="100"/>
        <v>400000</v>
      </c>
      <c r="L93" s="246">
        <f>'5.0 hivatal'!L93</f>
        <v>178500</v>
      </c>
      <c r="M93" s="246">
        <f>'5.0 hivatal'!M93</f>
        <v>0</v>
      </c>
      <c r="N93" s="247">
        <f t="shared" si="101"/>
        <v>178500</v>
      </c>
      <c r="O93" s="244">
        <f>'6.0 hksk'!C93</f>
        <v>2930000</v>
      </c>
      <c r="P93" s="244">
        <f>'6.0 hksk'!D93</f>
        <v>0</v>
      </c>
      <c r="Q93" s="247">
        <f t="shared" si="78"/>
        <v>2930000</v>
      </c>
      <c r="R93" s="244">
        <f>'6.0 hksk'!F93</f>
        <v>2930000</v>
      </c>
      <c r="S93" s="244">
        <f>'6.0 hksk'!G93</f>
        <v>0</v>
      </c>
      <c r="T93" s="247">
        <f t="shared" si="102"/>
        <v>2930000</v>
      </c>
      <c r="U93" s="244">
        <f>'6.0 hksk'!I93</f>
        <v>3958032</v>
      </c>
      <c r="V93" s="244">
        <f>'6.0 hksk'!J93</f>
        <v>0</v>
      </c>
      <c r="W93" s="247">
        <f t="shared" si="80"/>
        <v>3958032</v>
      </c>
      <c r="X93" s="244">
        <f>'6.0 hksk'!L93</f>
        <v>3957962</v>
      </c>
      <c r="Y93" s="244">
        <f>'6.0 hksk'!M93</f>
        <v>0</v>
      </c>
      <c r="Z93" s="247">
        <f t="shared" si="81"/>
        <v>3957962</v>
      </c>
      <c r="AA93" s="244">
        <f>'7.0 önkormányzat össz'!C93</f>
        <v>2750000</v>
      </c>
      <c r="AB93" s="244">
        <f>'7.0 önkormányzat össz'!D93</f>
        <v>0</v>
      </c>
      <c r="AC93" s="247">
        <f t="shared" si="82"/>
        <v>2750000</v>
      </c>
      <c r="AD93" s="244">
        <f>'7.0 önkormányzat össz'!F93</f>
        <v>2750000</v>
      </c>
      <c r="AE93" s="244">
        <f>'7.0 önkormányzat össz'!G93</f>
        <v>0</v>
      </c>
      <c r="AF93" s="247">
        <f t="shared" ref="AF93:AF151" si="103">SUM(AD93:AE93)</f>
        <v>2750000</v>
      </c>
      <c r="AG93" s="244">
        <f ca="1">'7.0 önkormányzat össz'!I93</f>
        <v>3812781</v>
      </c>
      <c r="AH93" s="244">
        <f>'7.0 önkormányzat össz'!J93</f>
        <v>0</v>
      </c>
      <c r="AI93" s="247">
        <f t="shared" ref="AI93:AI151" ca="1" si="104">SUM(AG93:AH93)</f>
        <v>3812781</v>
      </c>
      <c r="AJ93" s="244">
        <f ca="1">'7.0 önkormányzat össz'!L93</f>
        <v>3812781</v>
      </c>
      <c r="AK93" s="244">
        <f>'7.0 önkormányzat össz'!M93</f>
        <v>0</v>
      </c>
      <c r="AL93" s="247">
        <f t="shared" ref="AL93:AL151" ca="1" si="105">SUM(AJ93:AK93)</f>
        <v>3812781</v>
      </c>
      <c r="AM93" s="244">
        <f t="shared" si="83"/>
        <v>6080000</v>
      </c>
      <c r="AN93" s="244">
        <f t="shared" si="84"/>
        <v>0</v>
      </c>
      <c r="AO93" s="245">
        <f t="shared" si="85"/>
        <v>6080000</v>
      </c>
      <c r="AP93" s="244">
        <f t="shared" si="86"/>
        <v>6080000</v>
      </c>
      <c r="AQ93" s="244">
        <f t="shared" si="87"/>
        <v>0</v>
      </c>
      <c r="AR93" s="245">
        <f t="shared" si="88"/>
        <v>6080000</v>
      </c>
      <c r="AS93" s="329">
        <f t="shared" ca="1" si="89"/>
        <v>8170813</v>
      </c>
      <c r="AT93" s="329">
        <f t="shared" si="90"/>
        <v>0</v>
      </c>
      <c r="AU93" s="253">
        <f t="shared" ca="1" si="91"/>
        <v>8170813</v>
      </c>
      <c r="AV93" s="329">
        <f t="shared" ca="1" si="92"/>
        <v>7949243</v>
      </c>
      <c r="AW93" s="329">
        <f t="shared" si="93"/>
        <v>0</v>
      </c>
      <c r="AX93" s="253">
        <f t="shared" ca="1" si="94"/>
        <v>7949243</v>
      </c>
    </row>
    <row r="94" spans="1:50" ht="15.75" thickBot="1" x14ac:dyDescent="0.3">
      <c r="A94" s="34" t="s">
        <v>169</v>
      </c>
      <c r="B94" s="35" t="s">
        <v>170</v>
      </c>
      <c r="C94" s="246">
        <f>'5.0 hivatal'!C94</f>
        <v>0</v>
      </c>
      <c r="D94" s="246">
        <f>'5.0 hivatal'!D94</f>
        <v>0</v>
      </c>
      <c r="E94" s="247">
        <f t="shared" si="98"/>
        <v>0</v>
      </c>
      <c r="F94" s="246">
        <f>'5.0 hivatal'!F94</f>
        <v>0</v>
      </c>
      <c r="G94" s="246">
        <f>'5.0 hivatal'!G94</f>
        <v>0</v>
      </c>
      <c r="H94" s="247">
        <f t="shared" si="99"/>
        <v>0</v>
      </c>
      <c r="I94" s="246">
        <f>'5.0 hivatal'!I94</f>
        <v>0</v>
      </c>
      <c r="J94" s="246">
        <f>'5.0 hivatal'!J94</f>
        <v>0</v>
      </c>
      <c r="K94" s="247">
        <f t="shared" si="100"/>
        <v>0</v>
      </c>
      <c r="L94" s="246">
        <f>'5.0 hivatal'!L94</f>
        <v>0</v>
      </c>
      <c r="M94" s="246">
        <f>'5.0 hivatal'!M94</f>
        <v>0</v>
      </c>
      <c r="N94" s="247">
        <f t="shared" si="101"/>
        <v>0</v>
      </c>
      <c r="O94" s="244">
        <f>'6.0 hksk'!C94</f>
        <v>0</v>
      </c>
      <c r="P94" s="244">
        <f>'6.0 hksk'!D94</f>
        <v>0</v>
      </c>
      <c r="Q94" s="247">
        <f t="shared" si="78"/>
        <v>0</v>
      </c>
      <c r="R94" s="244">
        <f>'6.0 hksk'!F94</f>
        <v>0</v>
      </c>
      <c r="S94" s="244">
        <f>'6.0 hksk'!G94</f>
        <v>0</v>
      </c>
      <c r="T94" s="247">
        <f t="shared" si="102"/>
        <v>0</v>
      </c>
      <c r="U94" s="244">
        <f>'6.0 hksk'!I94</f>
        <v>0</v>
      </c>
      <c r="V94" s="244">
        <f>'6.0 hksk'!J94</f>
        <v>0</v>
      </c>
      <c r="W94" s="247">
        <f t="shared" si="80"/>
        <v>0</v>
      </c>
      <c r="X94" s="244">
        <f>'6.0 hksk'!L94</f>
        <v>0</v>
      </c>
      <c r="Y94" s="244">
        <f>'6.0 hksk'!M94</f>
        <v>0</v>
      </c>
      <c r="Z94" s="247">
        <f t="shared" si="81"/>
        <v>0</v>
      </c>
      <c r="AA94" s="244">
        <f>'7.0 önkormányzat össz'!C94</f>
        <v>0</v>
      </c>
      <c r="AB94" s="244">
        <f>'7.0 önkormányzat össz'!D94</f>
        <v>0</v>
      </c>
      <c r="AC94" s="247">
        <f t="shared" si="82"/>
        <v>0</v>
      </c>
      <c r="AD94" s="244">
        <f>'7.0 önkormányzat össz'!F94</f>
        <v>0</v>
      </c>
      <c r="AE94" s="244">
        <f>'7.0 önkormányzat össz'!G94</f>
        <v>0</v>
      </c>
      <c r="AF94" s="247">
        <f t="shared" si="103"/>
        <v>0</v>
      </c>
      <c r="AG94" s="244">
        <f ca="1">'7.0 önkormányzat össz'!I94</f>
        <v>0</v>
      </c>
      <c r="AH94" s="244">
        <f>'7.0 önkormányzat össz'!J94</f>
        <v>0</v>
      </c>
      <c r="AI94" s="247">
        <f t="shared" ca="1" si="104"/>
        <v>0</v>
      </c>
      <c r="AJ94" s="244">
        <f ca="1">'7.0 önkormányzat össz'!L94</f>
        <v>0</v>
      </c>
      <c r="AK94" s="244">
        <f>'7.0 önkormányzat össz'!M94</f>
        <v>0</v>
      </c>
      <c r="AL94" s="247">
        <f t="shared" ca="1" si="105"/>
        <v>0</v>
      </c>
      <c r="AM94" s="244">
        <f t="shared" si="83"/>
        <v>0</v>
      </c>
      <c r="AN94" s="244">
        <f t="shared" si="84"/>
        <v>0</v>
      </c>
      <c r="AO94" s="245">
        <f t="shared" si="85"/>
        <v>0</v>
      </c>
      <c r="AP94" s="244">
        <f t="shared" si="86"/>
        <v>0</v>
      </c>
      <c r="AQ94" s="244">
        <f t="shared" si="87"/>
        <v>0</v>
      </c>
      <c r="AR94" s="245">
        <f t="shared" si="88"/>
        <v>0</v>
      </c>
      <c r="AS94" s="329">
        <f t="shared" ca="1" si="89"/>
        <v>0</v>
      </c>
      <c r="AT94" s="329">
        <f t="shared" si="90"/>
        <v>0</v>
      </c>
      <c r="AU94" s="253">
        <f t="shared" ca="1" si="91"/>
        <v>0</v>
      </c>
      <c r="AV94" s="329">
        <f t="shared" ca="1" si="92"/>
        <v>0</v>
      </c>
      <c r="AW94" s="329">
        <f t="shared" si="93"/>
        <v>0</v>
      </c>
      <c r="AX94" s="253">
        <f t="shared" ca="1" si="94"/>
        <v>0</v>
      </c>
    </row>
    <row r="95" spans="1:50" ht="15.75" thickBot="1" x14ac:dyDescent="0.3">
      <c r="A95" s="34" t="s">
        <v>171</v>
      </c>
      <c r="B95" s="35" t="s">
        <v>172</v>
      </c>
      <c r="C95" s="246">
        <f>'5.0 hivatal'!C95</f>
        <v>0</v>
      </c>
      <c r="D95" s="246">
        <f>'5.0 hivatal'!D95</f>
        <v>0</v>
      </c>
      <c r="E95" s="247">
        <f t="shared" si="98"/>
        <v>0</v>
      </c>
      <c r="F95" s="246">
        <f>'5.0 hivatal'!F95</f>
        <v>0</v>
      </c>
      <c r="G95" s="246">
        <f>'5.0 hivatal'!G95</f>
        <v>0</v>
      </c>
      <c r="H95" s="247">
        <f t="shared" si="99"/>
        <v>0</v>
      </c>
      <c r="I95" s="246">
        <f>'5.0 hivatal'!I95</f>
        <v>0</v>
      </c>
      <c r="J95" s="246">
        <f>'5.0 hivatal'!J95</f>
        <v>0</v>
      </c>
      <c r="K95" s="247">
        <f t="shared" si="100"/>
        <v>0</v>
      </c>
      <c r="L95" s="246">
        <f>'5.0 hivatal'!L95</f>
        <v>0</v>
      </c>
      <c r="M95" s="246">
        <f>'5.0 hivatal'!M95</f>
        <v>0</v>
      </c>
      <c r="N95" s="247">
        <f t="shared" si="101"/>
        <v>0</v>
      </c>
      <c r="O95" s="244">
        <f>'6.0 hksk'!C95</f>
        <v>0</v>
      </c>
      <c r="P95" s="244">
        <f>'6.0 hksk'!D95</f>
        <v>0</v>
      </c>
      <c r="Q95" s="247">
        <f t="shared" si="78"/>
        <v>0</v>
      </c>
      <c r="R95" s="244">
        <f>'6.0 hksk'!F95</f>
        <v>0</v>
      </c>
      <c r="S95" s="244">
        <f>'6.0 hksk'!G95</f>
        <v>0</v>
      </c>
      <c r="T95" s="247">
        <f t="shared" si="102"/>
        <v>0</v>
      </c>
      <c r="U95" s="244">
        <f>'6.0 hksk'!I95</f>
        <v>0</v>
      </c>
      <c r="V95" s="244">
        <f>'6.0 hksk'!J95</f>
        <v>0</v>
      </c>
      <c r="W95" s="247">
        <f t="shared" si="80"/>
        <v>0</v>
      </c>
      <c r="X95" s="244">
        <f>'6.0 hksk'!L95</f>
        <v>0</v>
      </c>
      <c r="Y95" s="244">
        <f>'6.0 hksk'!M95</f>
        <v>0</v>
      </c>
      <c r="Z95" s="247">
        <f t="shared" si="81"/>
        <v>0</v>
      </c>
      <c r="AA95" s="244">
        <f>'7.0 önkormányzat össz'!C95</f>
        <v>0</v>
      </c>
      <c r="AB95" s="244">
        <f>'7.0 önkormányzat össz'!D95</f>
        <v>0</v>
      </c>
      <c r="AC95" s="247">
        <f t="shared" si="82"/>
        <v>0</v>
      </c>
      <c r="AD95" s="244">
        <f>'7.0 önkormányzat össz'!F95</f>
        <v>0</v>
      </c>
      <c r="AE95" s="244">
        <f>'7.0 önkormányzat össz'!G95</f>
        <v>0</v>
      </c>
      <c r="AF95" s="247">
        <f t="shared" si="103"/>
        <v>0</v>
      </c>
      <c r="AG95" s="244">
        <f ca="1">'7.0 önkormányzat össz'!I95</f>
        <v>0</v>
      </c>
      <c r="AH95" s="244">
        <f>'7.0 önkormányzat össz'!J95</f>
        <v>0</v>
      </c>
      <c r="AI95" s="247">
        <f t="shared" ca="1" si="104"/>
        <v>0</v>
      </c>
      <c r="AJ95" s="244">
        <f ca="1">'7.0 önkormányzat össz'!L95</f>
        <v>0</v>
      </c>
      <c r="AK95" s="244">
        <f>'7.0 önkormányzat össz'!M95</f>
        <v>0</v>
      </c>
      <c r="AL95" s="247">
        <f t="shared" ca="1" si="105"/>
        <v>0</v>
      </c>
      <c r="AM95" s="244">
        <f t="shared" si="83"/>
        <v>0</v>
      </c>
      <c r="AN95" s="244">
        <f t="shared" si="84"/>
        <v>0</v>
      </c>
      <c r="AO95" s="245">
        <f t="shared" si="85"/>
        <v>0</v>
      </c>
      <c r="AP95" s="244">
        <f t="shared" si="86"/>
        <v>0</v>
      </c>
      <c r="AQ95" s="244">
        <f t="shared" si="87"/>
        <v>0</v>
      </c>
      <c r="AR95" s="245">
        <f t="shared" si="88"/>
        <v>0</v>
      </c>
      <c r="AS95" s="329">
        <f t="shared" ca="1" si="89"/>
        <v>0</v>
      </c>
      <c r="AT95" s="329">
        <f t="shared" si="90"/>
        <v>0</v>
      </c>
      <c r="AU95" s="253">
        <f t="shared" ca="1" si="91"/>
        <v>0</v>
      </c>
      <c r="AV95" s="329">
        <f t="shared" ca="1" si="92"/>
        <v>0</v>
      </c>
      <c r="AW95" s="329">
        <f t="shared" si="93"/>
        <v>0</v>
      </c>
      <c r="AX95" s="253">
        <f t="shared" ca="1" si="94"/>
        <v>0</v>
      </c>
    </row>
    <row r="96" spans="1:50" ht="15.75" thickBot="1" x14ac:dyDescent="0.3">
      <c r="A96" s="34" t="s">
        <v>173</v>
      </c>
      <c r="B96" s="35" t="s">
        <v>174</v>
      </c>
      <c r="C96" s="246">
        <f>'5.0 hivatal'!C96</f>
        <v>4619000</v>
      </c>
      <c r="D96" s="246">
        <f>'5.0 hivatal'!D96</f>
        <v>0</v>
      </c>
      <c r="E96" s="247">
        <f t="shared" si="98"/>
        <v>4619000</v>
      </c>
      <c r="F96" s="246">
        <f>'5.0 hivatal'!F96</f>
        <v>4619000</v>
      </c>
      <c r="G96" s="246">
        <f>'5.0 hivatal'!G96</f>
        <v>0</v>
      </c>
      <c r="H96" s="247">
        <f t="shared" si="99"/>
        <v>4619000</v>
      </c>
      <c r="I96" s="246">
        <f>'5.0 hivatal'!I96</f>
        <v>4619000</v>
      </c>
      <c r="J96" s="246">
        <f>'5.0 hivatal'!J96</f>
        <v>0</v>
      </c>
      <c r="K96" s="247">
        <f t="shared" si="100"/>
        <v>4619000</v>
      </c>
      <c r="L96" s="246">
        <f>'5.0 hivatal'!L96</f>
        <v>4229569</v>
      </c>
      <c r="M96" s="246">
        <f>'5.0 hivatal'!M96</f>
        <v>0</v>
      </c>
      <c r="N96" s="247">
        <f t="shared" si="101"/>
        <v>4229569</v>
      </c>
      <c r="O96" s="244">
        <f>'6.0 hksk'!C96</f>
        <v>770000</v>
      </c>
      <c r="P96" s="244">
        <f>'6.0 hksk'!D96</f>
        <v>0</v>
      </c>
      <c r="Q96" s="247">
        <f t="shared" si="78"/>
        <v>770000</v>
      </c>
      <c r="R96" s="244">
        <f>'6.0 hksk'!F96</f>
        <v>770000</v>
      </c>
      <c r="S96" s="244">
        <f>'6.0 hksk'!G96</f>
        <v>0</v>
      </c>
      <c r="T96" s="247">
        <f t="shared" si="102"/>
        <v>770000</v>
      </c>
      <c r="U96" s="244">
        <f>'6.0 hksk'!I96</f>
        <v>857712</v>
      </c>
      <c r="V96" s="244">
        <f>'6.0 hksk'!J96</f>
        <v>0</v>
      </c>
      <c r="W96" s="247">
        <f t="shared" si="80"/>
        <v>857712</v>
      </c>
      <c r="X96" s="244">
        <f>'6.0 hksk'!L96</f>
        <v>828008</v>
      </c>
      <c r="Y96" s="244">
        <f>'6.0 hksk'!M96</f>
        <v>0</v>
      </c>
      <c r="Z96" s="247">
        <f t="shared" si="81"/>
        <v>828008</v>
      </c>
      <c r="AA96" s="244">
        <f>'7.0 önkormányzat össz'!C96</f>
        <v>2310000</v>
      </c>
      <c r="AB96" s="244">
        <f>'7.0 önkormányzat össz'!D96</f>
        <v>0</v>
      </c>
      <c r="AC96" s="247">
        <f t="shared" si="82"/>
        <v>2310000</v>
      </c>
      <c r="AD96" s="244">
        <f>'7.0 önkormányzat össz'!F96</f>
        <v>2310000</v>
      </c>
      <c r="AE96" s="244">
        <f>'7.0 önkormányzat össz'!G96</f>
        <v>0</v>
      </c>
      <c r="AF96" s="247">
        <f t="shared" si="103"/>
        <v>2310000</v>
      </c>
      <c r="AG96" s="244">
        <f ca="1">'7.0 önkormányzat össz'!I96</f>
        <v>2310000</v>
      </c>
      <c r="AH96" s="244">
        <f>'7.0 önkormányzat össz'!J96</f>
        <v>0</v>
      </c>
      <c r="AI96" s="247">
        <f t="shared" ca="1" si="104"/>
        <v>2310000</v>
      </c>
      <c r="AJ96" s="244">
        <f ca="1">'7.0 önkormányzat össz'!L96</f>
        <v>2181242</v>
      </c>
      <c r="AK96" s="244">
        <f>'7.0 önkormányzat össz'!M96</f>
        <v>0</v>
      </c>
      <c r="AL96" s="247">
        <f t="shared" ca="1" si="105"/>
        <v>2181242</v>
      </c>
      <c r="AM96" s="244">
        <f t="shared" si="83"/>
        <v>7699000</v>
      </c>
      <c r="AN96" s="244">
        <f t="shared" si="84"/>
        <v>0</v>
      </c>
      <c r="AO96" s="245">
        <f t="shared" si="85"/>
        <v>7699000</v>
      </c>
      <c r="AP96" s="244">
        <f t="shared" si="86"/>
        <v>7699000</v>
      </c>
      <c r="AQ96" s="244">
        <f t="shared" si="87"/>
        <v>0</v>
      </c>
      <c r="AR96" s="245">
        <f t="shared" si="88"/>
        <v>7699000</v>
      </c>
      <c r="AS96" s="329">
        <f t="shared" ca="1" si="89"/>
        <v>7786712</v>
      </c>
      <c r="AT96" s="329">
        <f t="shared" si="90"/>
        <v>0</v>
      </c>
      <c r="AU96" s="253">
        <f t="shared" ca="1" si="91"/>
        <v>7786712</v>
      </c>
      <c r="AV96" s="329">
        <f t="shared" ca="1" si="92"/>
        <v>7238819</v>
      </c>
      <c r="AW96" s="329">
        <f t="shared" si="93"/>
        <v>0</v>
      </c>
      <c r="AX96" s="253">
        <f t="shared" ca="1" si="94"/>
        <v>7238819</v>
      </c>
    </row>
    <row r="97" spans="1:50" ht="15.75" thickBot="1" x14ac:dyDescent="0.3">
      <c r="A97" s="34" t="s">
        <v>175</v>
      </c>
      <c r="B97" s="35" t="s">
        <v>176</v>
      </c>
      <c r="C97" s="246">
        <f>'5.0 hivatal'!C97</f>
        <v>1521210</v>
      </c>
      <c r="D97" s="246">
        <f>'5.0 hivatal'!D97</f>
        <v>0</v>
      </c>
      <c r="E97" s="247">
        <f t="shared" si="98"/>
        <v>1521210</v>
      </c>
      <c r="F97" s="246">
        <f>'5.0 hivatal'!F97</f>
        <v>1521210</v>
      </c>
      <c r="G97" s="246">
        <f>'5.0 hivatal'!G97</f>
        <v>0</v>
      </c>
      <c r="H97" s="247">
        <f t="shared" si="99"/>
        <v>1521210</v>
      </c>
      <c r="I97" s="246">
        <f>'5.0 hivatal'!I97</f>
        <v>1521210</v>
      </c>
      <c r="J97" s="246">
        <f>'5.0 hivatal'!J97</f>
        <v>0</v>
      </c>
      <c r="K97" s="247">
        <f t="shared" si="100"/>
        <v>1521210</v>
      </c>
      <c r="L97" s="246">
        <f>'5.0 hivatal'!L97</f>
        <v>1266670</v>
      </c>
      <c r="M97" s="246">
        <f>'5.0 hivatal'!M97</f>
        <v>0</v>
      </c>
      <c r="N97" s="247">
        <f t="shared" si="101"/>
        <v>1266670</v>
      </c>
      <c r="O97" s="244">
        <f>'6.0 hksk'!C97</f>
        <v>600000</v>
      </c>
      <c r="P97" s="244">
        <f>'6.0 hksk'!D97</f>
        <v>0</v>
      </c>
      <c r="Q97" s="247">
        <f t="shared" si="78"/>
        <v>600000</v>
      </c>
      <c r="R97" s="244">
        <f>'6.0 hksk'!F97</f>
        <v>410690</v>
      </c>
      <c r="S97" s="244">
        <f>'6.0 hksk'!G97</f>
        <v>0</v>
      </c>
      <c r="T97" s="247">
        <f t="shared" si="102"/>
        <v>410690</v>
      </c>
      <c r="U97" s="244">
        <f>'6.0 hksk'!I97</f>
        <v>322978</v>
      </c>
      <c r="V97" s="244">
        <f>'6.0 hksk'!J97</f>
        <v>0</v>
      </c>
      <c r="W97" s="247">
        <f t="shared" si="80"/>
        <v>322978</v>
      </c>
      <c r="X97" s="244">
        <f>'6.0 hksk'!L97</f>
        <v>311645</v>
      </c>
      <c r="Y97" s="244">
        <f>'6.0 hksk'!M97</f>
        <v>0</v>
      </c>
      <c r="Z97" s="247">
        <f t="shared" si="81"/>
        <v>311645</v>
      </c>
      <c r="AA97" s="244">
        <f>'7.0 önkormányzat össz'!C97</f>
        <v>1329630</v>
      </c>
      <c r="AB97" s="244">
        <f>'7.0 önkormányzat össz'!D97</f>
        <v>0</v>
      </c>
      <c r="AC97" s="247">
        <f t="shared" si="82"/>
        <v>1329630</v>
      </c>
      <c r="AD97" s="244">
        <f>'7.0 önkormányzat össz'!F97</f>
        <v>1329630</v>
      </c>
      <c r="AE97" s="244">
        <f>'7.0 önkormányzat össz'!G97</f>
        <v>0</v>
      </c>
      <c r="AF97" s="247">
        <f t="shared" si="103"/>
        <v>1329630</v>
      </c>
      <c r="AG97" s="244">
        <f ca="1">'7.0 önkormányzat össz'!I97</f>
        <v>1159630</v>
      </c>
      <c r="AH97" s="244">
        <f>'7.0 önkormányzat össz'!J97</f>
        <v>0</v>
      </c>
      <c r="AI97" s="247">
        <f t="shared" ca="1" si="104"/>
        <v>1159630</v>
      </c>
      <c r="AJ97" s="244">
        <f ca="1">'7.0 önkormányzat össz'!L97</f>
        <v>886680</v>
      </c>
      <c r="AK97" s="244">
        <f>'7.0 önkormányzat össz'!M97</f>
        <v>0</v>
      </c>
      <c r="AL97" s="247">
        <f t="shared" ca="1" si="105"/>
        <v>886680</v>
      </c>
      <c r="AM97" s="244">
        <f t="shared" si="83"/>
        <v>3450840</v>
      </c>
      <c r="AN97" s="244">
        <f t="shared" si="84"/>
        <v>0</v>
      </c>
      <c r="AO97" s="245">
        <f t="shared" si="85"/>
        <v>3450840</v>
      </c>
      <c r="AP97" s="244">
        <f t="shared" si="86"/>
        <v>3261530</v>
      </c>
      <c r="AQ97" s="244">
        <f t="shared" si="87"/>
        <v>0</v>
      </c>
      <c r="AR97" s="245">
        <f t="shared" si="88"/>
        <v>3261530</v>
      </c>
      <c r="AS97" s="329">
        <f t="shared" ca="1" si="89"/>
        <v>3003818</v>
      </c>
      <c r="AT97" s="329">
        <f t="shared" si="90"/>
        <v>0</v>
      </c>
      <c r="AU97" s="253">
        <f t="shared" ca="1" si="91"/>
        <v>3003818</v>
      </c>
      <c r="AV97" s="329">
        <f t="shared" ca="1" si="92"/>
        <v>2464995</v>
      </c>
      <c r="AW97" s="329">
        <f t="shared" si="93"/>
        <v>0</v>
      </c>
      <c r="AX97" s="253">
        <f t="shared" ca="1" si="94"/>
        <v>2464995</v>
      </c>
    </row>
    <row r="98" spans="1:50" ht="15.75" thickBot="1" x14ac:dyDescent="0.3">
      <c r="A98" s="34" t="s">
        <v>177</v>
      </c>
      <c r="B98" s="35" t="s">
        <v>178</v>
      </c>
      <c r="C98" s="246">
        <f>'5.0 hivatal'!C98</f>
        <v>300000</v>
      </c>
      <c r="D98" s="246">
        <f>'5.0 hivatal'!D98</f>
        <v>0</v>
      </c>
      <c r="E98" s="247">
        <f t="shared" si="98"/>
        <v>300000</v>
      </c>
      <c r="F98" s="246">
        <f>'5.0 hivatal'!F98</f>
        <v>300000</v>
      </c>
      <c r="G98" s="246">
        <f>'5.0 hivatal'!G98</f>
        <v>0</v>
      </c>
      <c r="H98" s="247">
        <f t="shared" si="99"/>
        <v>300000</v>
      </c>
      <c r="I98" s="246">
        <f>'5.0 hivatal'!I98</f>
        <v>300000</v>
      </c>
      <c r="J98" s="246">
        <f>'5.0 hivatal'!J98</f>
        <v>0</v>
      </c>
      <c r="K98" s="247">
        <f t="shared" si="100"/>
        <v>300000</v>
      </c>
      <c r="L98" s="246">
        <f>'5.0 hivatal'!L98</f>
        <v>0</v>
      </c>
      <c r="M98" s="246">
        <f>'5.0 hivatal'!M98</f>
        <v>0</v>
      </c>
      <c r="N98" s="247">
        <f t="shared" si="101"/>
        <v>0</v>
      </c>
      <c r="O98" s="244">
        <f>'6.0 hksk'!C98</f>
        <v>0</v>
      </c>
      <c r="P98" s="244">
        <f>'6.0 hksk'!D98</f>
        <v>0</v>
      </c>
      <c r="Q98" s="247">
        <f t="shared" si="78"/>
        <v>0</v>
      </c>
      <c r="R98" s="244">
        <f>'6.0 hksk'!F98</f>
        <v>0</v>
      </c>
      <c r="S98" s="244">
        <f>'6.0 hksk'!G98</f>
        <v>0</v>
      </c>
      <c r="T98" s="247">
        <f t="shared" si="102"/>
        <v>0</v>
      </c>
      <c r="U98" s="244">
        <f>'6.0 hksk'!I98</f>
        <v>0</v>
      </c>
      <c r="V98" s="244">
        <f>'6.0 hksk'!J98</f>
        <v>0</v>
      </c>
      <c r="W98" s="247">
        <f t="shared" si="80"/>
        <v>0</v>
      </c>
      <c r="X98" s="244">
        <f>'6.0 hksk'!L98</f>
        <v>0</v>
      </c>
      <c r="Y98" s="244">
        <f>'6.0 hksk'!M98</f>
        <v>0</v>
      </c>
      <c r="Z98" s="247">
        <f t="shared" si="81"/>
        <v>0</v>
      </c>
      <c r="AA98" s="244">
        <f>'7.0 önkormányzat össz'!C98</f>
        <v>60000</v>
      </c>
      <c r="AB98" s="244">
        <f>'7.0 önkormányzat össz'!D98</f>
        <v>0</v>
      </c>
      <c r="AC98" s="247">
        <f t="shared" si="82"/>
        <v>60000</v>
      </c>
      <c r="AD98" s="244">
        <f>'7.0 önkormányzat össz'!F98</f>
        <v>60000</v>
      </c>
      <c r="AE98" s="244">
        <f>'7.0 önkormányzat össz'!G98</f>
        <v>0</v>
      </c>
      <c r="AF98" s="247">
        <f t="shared" si="103"/>
        <v>60000</v>
      </c>
      <c r="AG98" s="244">
        <f ca="1">'7.0 önkormányzat össz'!I98</f>
        <v>60000</v>
      </c>
      <c r="AH98" s="244">
        <f>'7.0 önkormányzat össz'!J98</f>
        <v>0</v>
      </c>
      <c r="AI98" s="247">
        <f t="shared" ca="1" si="104"/>
        <v>60000</v>
      </c>
      <c r="AJ98" s="244">
        <f ca="1">'7.0 önkormányzat össz'!L98</f>
        <v>0</v>
      </c>
      <c r="AK98" s="244">
        <f>'7.0 önkormányzat össz'!M98</f>
        <v>0</v>
      </c>
      <c r="AL98" s="247">
        <f t="shared" ca="1" si="105"/>
        <v>0</v>
      </c>
      <c r="AM98" s="244">
        <f t="shared" si="83"/>
        <v>360000</v>
      </c>
      <c r="AN98" s="244">
        <f t="shared" si="84"/>
        <v>0</v>
      </c>
      <c r="AO98" s="245">
        <f t="shared" si="85"/>
        <v>360000</v>
      </c>
      <c r="AP98" s="244">
        <f t="shared" si="86"/>
        <v>360000</v>
      </c>
      <c r="AQ98" s="244">
        <f t="shared" si="87"/>
        <v>0</v>
      </c>
      <c r="AR98" s="245">
        <f t="shared" si="88"/>
        <v>360000</v>
      </c>
      <c r="AS98" s="329">
        <f t="shared" ca="1" si="89"/>
        <v>360000</v>
      </c>
      <c r="AT98" s="329">
        <f t="shared" si="90"/>
        <v>0</v>
      </c>
      <c r="AU98" s="253">
        <f t="shared" ca="1" si="91"/>
        <v>360000</v>
      </c>
      <c r="AV98" s="329">
        <f t="shared" ca="1" si="92"/>
        <v>0</v>
      </c>
      <c r="AW98" s="329">
        <f t="shared" si="93"/>
        <v>0</v>
      </c>
      <c r="AX98" s="253">
        <f t="shared" ca="1" si="94"/>
        <v>0</v>
      </c>
    </row>
    <row r="99" spans="1:50" ht="15.75" thickBot="1" x14ac:dyDescent="0.3">
      <c r="A99" s="34" t="s">
        <v>179</v>
      </c>
      <c r="B99" s="35" t="s">
        <v>180</v>
      </c>
      <c r="C99" s="246">
        <f>'5.0 hivatal'!C99</f>
        <v>0</v>
      </c>
      <c r="D99" s="246">
        <f>'5.0 hivatal'!D99</f>
        <v>0</v>
      </c>
      <c r="E99" s="247">
        <f t="shared" si="98"/>
        <v>0</v>
      </c>
      <c r="F99" s="246">
        <f>'5.0 hivatal'!F99</f>
        <v>0</v>
      </c>
      <c r="G99" s="246">
        <f>'5.0 hivatal'!G99</f>
        <v>0</v>
      </c>
      <c r="H99" s="247">
        <f t="shared" si="99"/>
        <v>0</v>
      </c>
      <c r="I99" s="246">
        <f>'5.0 hivatal'!I99</f>
        <v>0</v>
      </c>
      <c r="J99" s="246">
        <f>'5.0 hivatal'!J99</f>
        <v>0</v>
      </c>
      <c r="K99" s="247">
        <f t="shared" si="100"/>
        <v>0</v>
      </c>
      <c r="L99" s="246">
        <f>'5.0 hivatal'!L99</f>
        <v>0</v>
      </c>
      <c r="M99" s="246">
        <f>'5.0 hivatal'!M99</f>
        <v>0</v>
      </c>
      <c r="N99" s="247">
        <f t="shared" si="101"/>
        <v>0</v>
      </c>
      <c r="O99" s="244">
        <f>'6.0 hksk'!C99</f>
        <v>0</v>
      </c>
      <c r="P99" s="244">
        <f>'6.0 hksk'!D99</f>
        <v>0</v>
      </c>
      <c r="Q99" s="247">
        <f t="shared" si="78"/>
        <v>0</v>
      </c>
      <c r="R99" s="244">
        <f>'6.0 hksk'!F99</f>
        <v>0</v>
      </c>
      <c r="S99" s="244">
        <f>'6.0 hksk'!G99</f>
        <v>0</v>
      </c>
      <c r="T99" s="247">
        <f t="shared" si="102"/>
        <v>0</v>
      </c>
      <c r="U99" s="244">
        <f>'6.0 hksk'!I99</f>
        <v>0</v>
      </c>
      <c r="V99" s="244">
        <f>'6.0 hksk'!J99</f>
        <v>0</v>
      </c>
      <c r="W99" s="247">
        <f t="shared" si="80"/>
        <v>0</v>
      </c>
      <c r="X99" s="244">
        <f>'6.0 hksk'!L99</f>
        <v>0</v>
      </c>
      <c r="Y99" s="244">
        <f>'6.0 hksk'!M99</f>
        <v>0</v>
      </c>
      <c r="Z99" s="247">
        <f t="shared" si="81"/>
        <v>0</v>
      </c>
      <c r="AA99" s="244">
        <f>'7.0 önkormányzat össz'!C99</f>
        <v>0</v>
      </c>
      <c r="AB99" s="244">
        <f>'7.0 önkormányzat össz'!D99</f>
        <v>0</v>
      </c>
      <c r="AC99" s="247">
        <f t="shared" si="82"/>
        <v>0</v>
      </c>
      <c r="AD99" s="244">
        <f>'7.0 önkormányzat össz'!F99</f>
        <v>0</v>
      </c>
      <c r="AE99" s="244">
        <f>'7.0 önkormányzat össz'!G99</f>
        <v>0</v>
      </c>
      <c r="AF99" s="247">
        <f t="shared" si="103"/>
        <v>0</v>
      </c>
      <c r="AG99" s="244">
        <f ca="1">'7.0 önkormányzat össz'!I99</f>
        <v>0</v>
      </c>
      <c r="AH99" s="244">
        <f>'7.0 önkormányzat össz'!J99</f>
        <v>0</v>
      </c>
      <c r="AI99" s="247">
        <f t="shared" ca="1" si="104"/>
        <v>0</v>
      </c>
      <c r="AJ99" s="244">
        <f ca="1">'7.0 önkormányzat össz'!L99</f>
        <v>0</v>
      </c>
      <c r="AK99" s="244">
        <f>'7.0 önkormányzat össz'!M99</f>
        <v>0</v>
      </c>
      <c r="AL99" s="247">
        <f t="shared" ca="1" si="105"/>
        <v>0</v>
      </c>
      <c r="AM99" s="244">
        <f t="shared" si="83"/>
        <v>0</v>
      </c>
      <c r="AN99" s="244">
        <f t="shared" si="84"/>
        <v>0</v>
      </c>
      <c r="AO99" s="245">
        <f t="shared" si="85"/>
        <v>0</v>
      </c>
      <c r="AP99" s="244">
        <f t="shared" si="86"/>
        <v>0</v>
      </c>
      <c r="AQ99" s="244">
        <f t="shared" si="87"/>
        <v>0</v>
      </c>
      <c r="AR99" s="245">
        <f t="shared" si="88"/>
        <v>0</v>
      </c>
      <c r="AS99" s="329">
        <f t="shared" ca="1" si="89"/>
        <v>0</v>
      </c>
      <c r="AT99" s="329">
        <f t="shared" si="90"/>
        <v>0</v>
      </c>
      <c r="AU99" s="253">
        <f t="shared" ca="1" si="91"/>
        <v>0</v>
      </c>
      <c r="AV99" s="329">
        <f t="shared" ca="1" si="92"/>
        <v>0</v>
      </c>
      <c r="AW99" s="329">
        <f t="shared" si="93"/>
        <v>0</v>
      </c>
      <c r="AX99" s="253">
        <f t="shared" ca="1" si="94"/>
        <v>0</v>
      </c>
    </row>
    <row r="100" spans="1:50" ht="15.75" thickBot="1" x14ac:dyDescent="0.3">
      <c r="A100" s="34" t="s">
        <v>181</v>
      </c>
      <c r="B100" s="35" t="s">
        <v>182</v>
      </c>
      <c r="C100" s="246">
        <f>'5.0 hivatal'!C100</f>
        <v>5105000</v>
      </c>
      <c r="D100" s="246">
        <f>'5.0 hivatal'!D100</f>
        <v>0</v>
      </c>
      <c r="E100" s="247">
        <f t="shared" si="98"/>
        <v>5105000</v>
      </c>
      <c r="F100" s="246">
        <f>'5.0 hivatal'!F100</f>
        <v>5105000</v>
      </c>
      <c r="G100" s="246">
        <f>'5.0 hivatal'!G100</f>
        <v>0</v>
      </c>
      <c r="H100" s="247">
        <f t="shared" si="99"/>
        <v>5105000</v>
      </c>
      <c r="I100" s="246">
        <f>'5.0 hivatal'!I100</f>
        <v>5105000</v>
      </c>
      <c r="J100" s="246">
        <f>'5.0 hivatal'!J100</f>
        <v>0</v>
      </c>
      <c r="K100" s="247">
        <f t="shared" si="100"/>
        <v>5105000</v>
      </c>
      <c r="L100" s="246">
        <f>'5.0 hivatal'!L100</f>
        <v>3893555</v>
      </c>
      <c r="M100" s="246">
        <f>'5.0 hivatal'!M100</f>
        <v>0</v>
      </c>
      <c r="N100" s="247">
        <f t="shared" si="101"/>
        <v>3893555</v>
      </c>
      <c r="O100" s="244">
        <f>'6.0 hksk'!C100</f>
        <v>684000</v>
      </c>
      <c r="P100" s="244">
        <f>'6.0 hksk'!D100</f>
        <v>0</v>
      </c>
      <c r="Q100" s="247">
        <f t="shared" si="78"/>
        <v>684000</v>
      </c>
      <c r="R100" s="244">
        <f>'6.0 hksk'!F100</f>
        <v>684000</v>
      </c>
      <c r="S100" s="244">
        <f>'6.0 hksk'!G100</f>
        <v>0</v>
      </c>
      <c r="T100" s="247">
        <f t="shared" si="102"/>
        <v>684000</v>
      </c>
      <c r="U100" s="244">
        <f>'6.0 hksk'!I100</f>
        <v>1042038</v>
      </c>
      <c r="V100" s="244">
        <f>'6.0 hksk'!J100</f>
        <v>0</v>
      </c>
      <c r="W100" s="247">
        <f t="shared" si="80"/>
        <v>1042038</v>
      </c>
      <c r="X100" s="244">
        <f>'6.0 hksk'!L100</f>
        <v>1035979</v>
      </c>
      <c r="Y100" s="244">
        <f>'6.0 hksk'!M100</f>
        <v>0</v>
      </c>
      <c r="Z100" s="247">
        <f t="shared" si="81"/>
        <v>1035979</v>
      </c>
      <c r="AA100" s="244">
        <f>'7.0 önkormányzat össz'!C100</f>
        <v>4160000</v>
      </c>
      <c r="AB100" s="244">
        <f>'7.0 önkormányzat össz'!D100</f>
        <v>0</v>
      </c>
      <c r="AC100" s="247">
        <f t="shared" si="82"/>
        <v>4160000</v>
      </c>
      <c r="AD100" s="244">
        <f>'7.0 önkormányzat össz'!F100</f>
        <v>6926000</v>
      </c>
      <c r="AE100" s="244">
        <f>'7.0 önkormányzat össz'!G100</f>
        <v>0</v>
      </c>
      <c r="AF100" s="247">
        <f t="shared" si="103"/>
        <v>6926000</v>
      </c>
      <c r="AG100" s="244">
        <f ca="1">'7.0 önkormányzat össz'!I100</f>
        <v>8727142</v>
      </c>
      <c r="AH100" s="244">
        <f>'7.0 önkormányzat össz'!J100</f>
        <v>0</v>
      </c>
      <c r="AI100" s="247">
        <f t="shared" ca="1" si="104"/>
        <v>8727142</v>
      </c>
      <c r="AJ100" s="244">
        <f ca="1">'7.0 önkormányzat össz'!L100</f>
        <v>8725615</v>
      </c>
      <c r="AK100" s="244">
        <f>'7.0 önkormányzat össz'!M100</f>
        <v>0</v>
      </c>
      <c r="AL100" s="247">
        <f t="shared" ca="1" si="105"/>
        <v>8725615</v>
      </c>
      <c r="AM100" s="244">
        <f t="shared" si="83"/>
        <v>9949000</v>
      </c>
      <c r="AN100" s="244">
        <f t="shared" si="84"/>
        <v>0</v>
      </c>
      <c r="AO100" s="245">
        <f t="shared" si="85"/>
        <v>9949000</v>
      </c>
      <c r="AP100" s="244">
        <f t="shared" si="86"/>
        <v>12715000</v>
      </c>
      <c r="AQ100" s="244">
        <f t="shared" si="87"/>
        <v>0</v>
      </c>
      <c r="AR100" s="245">
        <f t="shared" si="88"/>
        <v>12715000</v>
      </c>
      <c r="AS100" s="329">
        <f t="shared" ca="1" si="89"/>
        <v>14874180</v>
      </c>
      <c r="AT100" s="329">
        <f t="shared" si="90"/>
        <v>0</v>
      </c>
      <c r="AU100" s="253">
        <f t="shared" ca="1" si="91"/>
        <v>14874180</v>
      </c>
      <c r="AV100" s="329">
        <f t="shared" ca="1" si="92"/>
        <v>13655149</v>
      </c>
      <c r="AW100" s="329">
        <f t="shared" si="93"/>
        <v>0</v>
      </c>
      <c r="AX100" s="253">
        <f t="shared" ca="1" si="94"/>
        <v>13655149</v>
      </c>
    </row>
    <row r="101" spans="1:50" ht="15.75" thickBot="1" x14ac:dyDescent="0.3">
      <c r="A101" s="34" t="s">
        <v>183</v>
      </c>
      <c r="B101" s="35" t="s">
        <v>184</v>
      </c>
      <c r="C101" s="246">
        <f>'5.0 hivatal'!C101</f>
        <v>1100000</v>
      </c>
      <c r="D101" s="246">
        <f>'5.0 hivatal'!D101</f>
        <v>0</v>
      </c>
      <c r="E101" s="247">
        <f t="shared" si="98"/>
        <v>1100000</v>
      </c>
      <c r="F101" s="246">
        <f>'5.0 hivatal'!F101</f>
        <v>2368413</v>
      </c>
      <c r="G101" s="246">
        <f>'5.0 hivatal'!G101</f>
        <v>0</v>
      </c>
      <c r="H101" s="247">
        <f t="shared" si="99"/>
        <v>2368413</v>
      </c>
      <c r="I101" s="246">
        <f>'5.0 hivatal'!I101</f>
        <v>4176871</v>
      </c>
      <c r="J101" s="246">
        <f>'5.0 hivatal'!J101</f>
        <v>0</v>
      </c>
      <c r="K101" s="247">
        <f t="shared" si="100"/>
        <v>4176871</v>
      </c>
      <c r="L101" s="246">
        <f>'5.0 hivatal'!L101</f>
        <v>3343353</v>
      </c>
      <c r="M101" s="246">
        <f>'5.0 hivatal'!M101</f>
        <v>0</v>
      </c>
      <c r="N101" s="247">
        <f t="shared" si="101"/>
        <v>3343353</v>
      </c>
      <c r="O101" s="244">
        <f>'6.0 hksk'!C101</f>
        <v>1900000</v>
      </c>
      <c r="P101" s="244">
        <f>'6.0 hksk'!D101</f>
        <v>0</v>
      </c>
      <c r="Q101" s="247">
        <f t="shared" si="78"/>
        <v>1900000</v>
      </c>
      <c r="R101" s="244">
        <f>'6.0 hksk'!F101</f>
        <v>3400000</v>
      </c>
      <c r="S101" s="244">
        <f>'6.0 hksk'!G101</f>
        <v>0</v>
      </c>
      <c r="T101" s="247">
        <f t="shared" si="102"/>
        <v>3400000</v>
      </c>
      <c r="U101" s="244">
        <f>'6.0 hksk'!I101</f>
        <v>3650000</v>
      </c>
      <c r="V101" s="244">
        <f>'6.0 hksk'!J101</f>
        <v>0</v>
      </c>
      <c r="W101" s="247">
        <f t="shared" si="80"/>
        <v>3650000</v>
      </c>
      <c r="X101" s="244">
        <f>'6.0 hksk'!L101</f>
        <v>3647735</v>
      </c>
      <c r="Y101" s="244">
        <f>'6.0 hksk'!M101</f>
        <v>0</v>
      </c>
      <c r="Z101" s="247">
        <f t="shared" si="81"/>
        <v>3647735</v>
      </c>
      <c r="AA101" s="244">
        <f>'7.0 önkormányzat össz'!C101</f>
        <v>41498729</v>
      </c>
      <c r="AB101" s="244">
        <f>'7.0 önkormányzat össz'!D101</f>
        <v>0</v>
      </c>
      <c r="AC101" s="247">
        <f t="shared" si="82"/>
        <v>41498729</v>
      </c>
      <c r="AD101" s="244">
        <f>'7.0 önkormányzat össz'!F101</f>
        <v>39886279</v>
      </c>
      <c r="AE101" s="244">
        <f>'7.0 önkormányzat össz'!G101</f>
        <v>0</v>
      </c>
      <c r="AF101" s="247">
        <f t="shared" si="103"/>
        <v>39886279</v>
      </c>
      <c r="AG101" s="244">
        <f ca="1">'7.0 önkormányzat össz'!I101</f>
        <v>45240721</v>
      </c>
      <c r="AH101" s="244">
        <f>'7.0 önkormányzat össz'!J101</f>
        <v>6750</v>
      </c>
      <c r="AI101" s="247">
        <f t="shared" ca="1" si="104"/>
        <v>45247471</v>
      </c>
      <c r="AJ101" s="244">
        <f ca="1">'7.0 önkormányzat össz'!L101</f>
        <v>44944937</v>
      </c>
      <c r="AK101" s="244">
        <f>'7.0 önkormányzat össz'!M101</f>
        <v>6750</v>
      </c>
      <c r="AL101" s="247">
        <f t="shared" ca="1" si="105"/>
        <v>44951687</v>
      </c>
      <c r="AM101" s="244">
        <f t="shared" si="83"/>
        <v>44498729</v>
      </c>
      <c r="AN101" s="244">
        <f t="shared" si="84"/>
        <v>0</v>
      </c>
      <c r="AO101" s="245">
        <f t="shared" si="85"/>
        <v>44498729</v>
      </c>
      <c r="AP101" s="244">
        <f t="shared" si="86"/>
        <v>45654692</v>
      </c>
      <c r="AQ101" s="244">
        <f t="shared" si="87"/>
        <v>0</v>
      </c>
      <c r="AR101" s="245">
        <f t="shared" si="88"/>
        <v>45654692</v>
      </c>
      <c r="AS101" s="329">
        <f t="shared" ca="1" si="89"/>
        <v>53067592</v>
      </c>
      <c r="AT101" s="329">
        <f t="shared" si="90"/>
        <v>6750</v>
      </c>
      <c r="AU101" s="253">
        <f t="shared" ca="1" si="91"/>
        <v>53074342</v>
      </c>
      <c r="AV101" s="329">
        <f t="shared" ca="1" si="92"/>
        <v>51936025</v>
      </c>
      <c r="AW101" s="329">
        <f t="shared" si="93"/>
        <v>6750</v>
      </c>
      <c r="AX101" s="253">
        <f t="shared" ca="1" si="94"/>
        <v>51942775</v>
      </c>
    </row>
    <row r="102" spans="1:50" ht="15.75" thickBot="1" x14ac:dyDescent="0.3">
      <c r="A102" s="34" t="s">
        <v>185</v>
      </c>
      <c r="B102" s="35" t="s">
        <v>186</v>
      </c>
      <c r="C102" s="246">
        <f>'5.0 hivatal'!C102</f>
        <v>0</v>
      </c>
      <c r="D102" s="246">
        <f>'5.0 hivatal'!D102</f>
        <v>0</v>
      </c>
      <c r="E102" s="247">
        <f t="shared" si="98"/>
        <v>0</v>
      </c>
      <c r="F102" s="246">
        <f>'5.0 hivatal'!F102</f>
        <v>0</v>
      </c>
      <c r="G102" s="246">
        <f>'5.0 hivatal'!G102</f>
        <v>0</v>
      </c>
      <c r="H102" s="247">
        <f t="shared" si="99"/>
        <v>0</v>
      </c>
      <c r="I102" s="246">
        <f>'5.0 hivatal'!I102</f>
        <v>0</v>
      </c>
      <c r="J102" s="246">
        <f>'5.0 hivatal'!J102</f>
        <v>0</v>
      </c>
      <c r="K102" s="247">
        <f t="shared" si="100"/>
        <v>0</v>
      </c>
      <c r="L102" s="246">
        <f>'5.0 hivatal'!L102</f>
        <v>0</v>
      </c>
      <c r="M102" s="246">
        <f>'5.0 hivatal'!M102</f>
        <v>0</v>
      </c>
      <c r="N102" s="247">
        <f t="shared" si="101"/>
        <v>0</v>
      </c>
      <c r="O102" s="244">
        <f>'6.0 hksk'!C102</f>
        <v>0</v>
      </c>
      <c r="P102" s="244">
        <f>'6.0 hksk'!D102</f>
        <v>0</v>
      </c>
      <c r="Q102" s="247">
        <f t="shared" si="78"/>
        <v>0</v>
      </c>
      <c r="R102" s="244">
        <f>'6.0 hksk'!F102</f>
        <v>0</v>
      </c>
      <c r="S102" s="244">
        <f>'6.0 hksk'!G102</f>
        <v>0</v>
      </c>
      <c r="T102" s="247">
        <f t="shared" si="102"/>
        <v>0</v>
      </c>
      <c r="U102" s="244">
        <f>'6.0 hksk'!I102</f>
        <v>0</v>
      </c>
      <c r="V102" s="244">
        <f>'6.0 hksk'!J102</f>
        <v>0</v>
      </c>
      <c r="W102" s="247">
        <f t="shared" si="80"/>
        <v>0</v>
      </c>
      <c r="X102" s="244">
        <f>'6.0 hksk'!L102</f>
        <v>0</v>
      </c>
      <c r="Y102" s="244">
        <f>'6.0 hksk'!M102</f>
        <v>0</v>
      </c>
      <c r="Z102" s="247">
        <f t="shared" si="81"/>
        <v>0</v>
      </c>
      <c r="AA102" s="244">
        <f>'7.0 önkormányzat össz'!C102</f>
        <v>19595680</v>
      </c>
      <c r="AB102" s="244">
        <f>'7.0 önkormányzat össz'!D102</f>
        <v>0</v>
      </c>
      <c r="AC102" s="247">
        <f t="shared" si="82"/>
        <v>19595680</v>
      </c>
      <c r="AD102" s="244">
        <f>'7.0 önkormányzat össz'!F102</f>
        <v>19595680</v>
      </c>
      <c r="AE102" s="244">
        <f>'7.0 önkormányzat össz'!G102</f>
        <v>0</v>
      </c>
      <c r="AF102" s="247">
        <f t="shared" si="103"/>
        <v>19595680</v>
      </c>
      <c r="AG102" s="244">
        <f ca="1">'7.0 önkormányzat össz'!I102</f>
        <v>19595680</v>
      </c>
      <c r="AH102" s="244">
        <f>'7.0 önkormányzat össz'!J102</f>
        <v>0</v>
      </c>
      <c r="AI102" s="247">
        <f t="shared" ca="1" si="104"/>
        <v>19595680</v>
      </c>
      <c r="AJ102" s="244">
        <f ca="1">'7.0 önkormányzat össz'!L102</f>
        <v>19353286</v>
      </c>
      <c r="AK102" s="244">
        <f>'7.0 önkormányzat össz'!M102</f>
        <v>0</v>
      </c>
      <c r="AL102" s="247">
        <f t="shared" ca="1" si="105"/>
        <v>19353286</v>
      </c>
      <c r="AM102" s="244">
        <f t="shared" si="83"/>
        <v>19595680</v>
      </c>
      <c r="AN102" s="244">
        <f t="shared" si="84"/>
        <v>0</v>
      </c>
      <c r="AO102" s="245">
        <f t="shared" si="85"/>
        <v>19595680</v>
      </c>
      <c r="AP102" s="244">
        <f t="shared" si="86"/>
        <v>19595680</v>
      </c>
      <c r="AQ102" s="244">
        <f t="shared" si="87"/>
        <v>0</v>
      </c>
      <c r="AR102" s="245">
        <f t="shared" si="88"/>
        <v>19595680</v>
      </c>
      <c r="AS102" s="329">
        <f t="shared" ca="1" si="89"/>
        <v>19595680</v>
      </c>
      <c r="AT102" s="329">
        <f t="shared" si="90"/>
        <v>0</v>
      </c>
      <c r="AU102" s="253">
        <f t="shared" ca="1" si="91"/>
        <v>19595680</v>
      </c>
      <c r="AV102" s="329">
        <f t="shared" ca="1" si="92"/>
        <v>19353286</v>
      </c>
      <c r="AW102" s="329">
        <f t="shared" si="93"/>
        <v>0</v>
      </c>
      <c r="AX102" s="253">
        <f t="shared" ca="1" si="94"/>
        <v>19353286</v>
      </c>
    </row>
    <row r="103" spans="1:50" ht="15.75" thickBot="1" x14ac:dyDescent="0.3">
      <c r="A103" s="34" t="s">
        <v>187</v>
      </c>
      <c r="B103" s="35" t="s">
        <v>188</v>
      </c>
      <c r="C103" s="246">
        <f>'5.0 hivatal'!C103</f>
        <v>900000</v>
      </c>
      <c r="D103" s="246">
        <f>'5.0 hivatal'!D103</f>
        <v>0</v>
      </c>
      <c r="E103" s="247">
        <f t="shared" si="98"/>
        <v>900000</v>
      </c>
      <c r="F103" s="246">
        <f>'5.0 hivatal'!F103</f>
        <v>900000</v>
      </c>
      <c r="G103" s="246">
        <f>'5.0 hivatal'!G103</f>
        <v>0</v>
      </c>
      <c r="H103" s="247">
        <f t="shared" si="99"/>
        <v>900000</v>
      </c>
      <c r="I103" s="246">
        <f>'5.0 hivatal'!I103</f>
        <v>800000</v>
      </c>
      <c r="J103" s="246">
        <f>'5.0 hivatal'!J103</f>
        <v>0</v>
      </c>
      <c r="K103" s="247">
        <f t="shared" si="100"/>
        <v>800000</v>
      </c>
      <c r="L103" s="246">
        <f>'5.0 hivatal'!L103</f>
        <v>0</v>
      </c>
      <c r="M103" s="246">
        <f>'5.0 hivatal'!M103</f>
        <v>0</v>
      </c>
      <c r="N103" s="247">
        <f t="shared" si="101"/>
        <v>0</v>
      </c>
      <c r="O103" s="244">
        <f>'6.0 hksk'!C103</f>
        <v>0</v>
      </c>
      <c r="P103" s="244">
        <f>'6.0 hksk'!D103</f>
        <v>0</v>
      </c>
      <c r="Q103" s="247">
        <f t="shared" si="78"/>
        <v>0</v>
      </c>
      <c r="R103" s="244">
        <f>'6.0 hksk'!F103</f>
        <v>0</v>
      </c>
      <c r="S103" s="244">
        <f>'6.0 hksk'!G103</f>
        <v>0</v>
      </c>
      <c r="T103" s="247">
        <f t="shared" si="102"/>
        <v>0</v>
      </c>
      <c r="U103" s="244">
        <f>'6.0 hksk'!I103</f>
        <v>0</v>
      </c>
      <c r="V103" s="244">
        <f>'6.0 hksk'!J103</f>
        <v>0</v>
      </c>
      <c r="W103" s="247">
        <f t="shared" si="80"/>
        <v>0</v>
      </c>
      <c r="X103" s="244">
        <f>'6.0 hksk'!L103</f>
        <v>0</v>
      </c>
      <c r="Y103" s="244">
        <f>'6.0 hksk'!M103</f>
        <v>0</v>
      </c>
      <c r="Z103" s="247">
        <f t="shared" si="81"/>
        <v>0</v>
      </c>
      <c r="AA103" s="244">
        <f>'7.0 önkormányzat össz'!C103</f>
        <v>16903049</v>
      </c>
      <c r="AB103" s="244">
        <f>'7.0 önkormányzat össz'!D103</f>
        <v>0</v>
      </c>
      <c r="AC103" s="247">
        <f t="shared" si="82"/>
        <v>16903049</v>
      </c>
      <c r="AD103" s="244">
        <f>'7.0 önkormányzat össz'!F103</f>
        <v>14267049</v>
      </c>
      <c r="AE103" s="244">
        <f>'7.0 önkormányzat össz'!G103</f>
        <v>0</v>
      </c>
      <c r="AF103" s="247">
        <f t="shared" si="103"/>
        <v>14267049</v>
      </c>
      <c r="AG103" s="244">
        <f ca="1">'7.0 önkormányzat össz'!I103</f>
        <v>16688241</v>
      </c>
      <c r="AH103" s="244">
        <f>'7.0 önkormányzat össz'!J103</f>
        <v>0</v>
      </c>
      <c r="AI103" s="247">
        <f t="shared" ca="1" si="104"/>
        <v>16688241</v>
      </c>
      <c r="AJ103" s="244">
        <f ca="1">'7.0 önkormányzat össz'!L103</f>
        <v>16669201</v>
      </c>
      <c r="AK103" s="244">
        <f>'7.0 önkormányzat össz'!M103</f>
        <v>0</v>
      </c>
      <c r="AL103" s="247">
        <f t="shared" ca="1" si="105"/>
        <v>16669201</v>
      </c>
      <c r="AM103" s="244">
        <f t="shared" si="83"/>
        <v>17803049</v>
      </c>
      <c r="AN103" s="244">
        <f t="shared" si="84"/>
        <v>0</v>
      </c>
      <c r="AO103" s="245">
        <f t="shared" si="85"/>
        <v>17803049</v>
      </c>
      <c r="AP103" s="244">
        <f t="shared" si="86"/>
        <v>15167049</v>
      </c>
      <c r="AQ103" s="244">
        <f t="shared" si="87"/>
        <v>0</v>
      </c>
      <c r="AR103" s="245">
        <f t="shared" si="88"/>
        <v>15167049</v>
      </c>
      <c r="AS103" s="329">
        <f t="shared" ca="1" si="89"/>
        <v>17488241</v>
      </c>
      <c r="AT103" s="329">
        <f t="shared" si="90"/>
        <v>0</v>
      </c>
      <c r="AU103" s="253">
        <f t="shared" ca="1" si="91"/>
        <v>17488241</v>
      </c>
      <c r="AV103" s="329">
        <f t="shared" ca="1" si="92"/>
        <v>16669201</v>
      </c>
      <c r="AW103" s="329">
        <f t="shared" si="93"/>
        <v>0</v>
      </c>
      <c r="AX103" s="647">
        <f t="shared" ca="1" si="94"/>
        <v>16669201</v>
      </c>
    </row>
    <row r="104" spans="1:50" ht="15.75" thickBot="1" x14ac:dyDescent="0.3">
      <c r="A104" s="36" t="s">
        <v>189</v>
      </c>
      <c r="B104" s="37" t="s">
        <v>190</v>
      </c>
      <c r="C104" s="248">
        <f>'5.0 hivatal'!C104</f>
        <v>200000</v>
      </c>
      <c r="D104" s="248">
        <f>'5.0 hivatal'!D104</f>
        <v>0</v>
      </c>
      <c r="E104" s="249">
        <f t="shared" si="98"/>
        <v>200000</v>
      </c>
      <c r="F104" s="248">
        <f>'5.0 hivatal'!F104</f>
        <v>1468413</v>
      </c>
      <c r="G104" s="248">
        <f>'5.0 hivatal'!G104</f>
        <v>0</v>
      </c>
      <c r="H104" s="249">
        <f t="shared" si="99"/>
        <v>1468413</v>
      </c>
      <c r="I104" s="248">
        <f>'5.0 hivatal'!I104</f>
        <v>3376871</v>
      </c>
      <c r="J104" s="248">
        <f>'5.0 hivatal'!J104</f>
        <v>0</v>
      </c>
      <c r="K104" s="249">
        <f t="shared" si="100"/>
        <v>3376871</v>
      </c>
      <c r="L104" s="248">
        <f>'5.0 hivatal'!L104</f>
        <v>3343353</v>
      </c>
      <c r="M104" s="248">
        <f>'5.0 hivatal'!M104</f>
        <v>0</v>
      </c>
      <c r="N104" s="249">
        <f t="shared" si="101"/>
        <v>3343353</v>
      </c>
      <c r="O104" s="248">
        <f>'6.0 hksk'!C104</f>
        <v>1900000</v>
      </c>
      <c r="P104" s="248">
        <f>'6.0 hksk'!D104</f>
        <v>0</v>
      </c>
      <c r="Q104" s="249">
        <f t="shared" si="78"/>
        <v>1900000</v>
      </c>
      <c r="R104" s="248">
        <f>'6.0 hksk'!F104</f>
        <v>3400000</v>
      </c>
      <c r="S104" s="248">
        <f>'6.0 hksk'!G104</f>
        <v>0</v>
      </c>
      <c r="T104" s="249">
        <f t="shared" si="102"/>
        <v>3400000</v>
      </c>
      <c r="U104" s="248">
        <f>'6.0 hksk'!I104</f>
        <v>3650000</v>
      </c>
      <c r="V104" s="248">
        <f>'6.0 hksk'!J104</f>
        <v>0</v>
      </c>
      <c r="W104" s="249">
        <f t="shared" si="80"/>
        <v>3650000</v>
      </c>
      <c r="X104" s="248">
        <f>'6.0 hksk'!L104</f>
        <v>3650000</v>
      </c>
      <c r="Y104" s="248">
        <f>'6.0 hksk'!M104</f>
        <v>0</v>
      </c>
      <c r="Z104" s="249">
        <f t="shared" si="81"/>
        <v>3650000</v>
      </c>
      <c r="AA104" s="248">
        <f>'7.0 önkormányzat össz'!C104</f>
        <v>5000000</v>
      </c>
      <c r="AB104" s="248">
        <f>'7.0 önkormányzat össz'!D104</f>
        <v>0</v>
      </c>
      <c r="AC104" s="249">
        <f t="shared" si="82"/>
        <v>5000000</v>
      </c>
      <c r="AD104" s="248">
        <f>'7.0 önkormányzat össz'!F104</f>
        <v>6023550</v>
      </c>
      <c r="AE104" s="248">
        <f>'7.0 önkormányzat össz'!G104</f>
        <v>0</v>
      </c>
      <c r="AF104" s="249">
        <f t="shared" si="103"/>
        <v>6023550</v>
      </c>
      <c r="AG104" s="248">
        <f ca="1">'7.0 önkormányzat össz'!I104</f>
        <v>8956800</v>
      </c>
      <c r="AH104" s="248">
        <f>'7.0 önkormányzat össz'!J104</f>
        <v>6750</v>
      </c>
      <c r="AI104" s="249">
        <f t="shared" ca="1" si="104"/>
        <v>8963550</v>
      </c>
      <c r="AJ104" s="248">
        <f ca="1">'7.0 önkormányzat össz'!L104</f>
        <v>8922450</v>
      </c>
      <c r="AK104" s="248">
        <f>'7.0 önkormányzat össz'!M104</f>
        <v>6750</v>
      </c>
      <c r="AL104" s="249">
        <f t="shared" ca="1" si="105"/>
        <v>8929200</v>
      </c>
      <c r="AM104" s="248">
        <f t="shared" si="83"/>
        <v>7100000</v>
      </c>
      <c r="AN104" s="248">
        <f t="shared" si="84"/>
        <v>0</v>
      </c>
      <c r="AO104" s="249">
        <f t="shared" si="85"/>
        <v>7100000</v>
      </c>
      <c r="AP104" s="248">
        <f t="shared" si="86"/>
        <v>10891963</v>
      </c>
      <c r="AQ104" s="248">
        <f t="shared" si="87"/>
        <v>0</v>
      </c>
      <c r="AR104" s="249">
        <f t="shared" si="88"/>
        <v>10891963</v>
      </c>
      <c r="AS104" s="329">
        <f t="shared" ca="1" si="89"/>
        <v>15983671</v>
      </c>
      <c r="AT104" s="329">
        <f t="shared" si="90"/>
        <v>6750</v>
      </c>
      <c r="AU104" s="253">
        <f t="shared" ca="1" si="91"/>
        <v>15990421</v>
      </c>
      <c r="AV104" s="329">
        <f t="shared" ca="1" si="92"/>
        <v>15915803</v>
      </c>
      <c r="AW104" s="329">
        <f t="shared" si="93"/>
        <v>6750</v>
      </c>
      <c r="AX104" s="647">
        <f t="shared" ca="1" si="94"/>
        <v>15922553</v>
      </c>
    </row>
    <row r="105" spans="1:50" ht="15.75" thickBot="1" x14ac:dyDescent="0.3">
      <c r="A105" s="33" t="s">
        <v>191</v>
      </c>
      <c r="B105" s="24" t="s">
        <v>192</v>
      </c>
      <c r="C105" s="244">
        <f>'5.0 hivatal'!C105</f>
        <v>29174333</v>
      </c>
      <c r="D105" s="244">
        <f>'5.0 hivatal'!D105</f>
        <v>0</v>
      </c>
      <c r="E105" s="245">
        <f t="shared" si="98"/>
        <v>29174333</v>
      </c>
      <c r="F105" s="244">
        <f>'5.0 hivatal'!F105</f>
        <v>29540242</v>
      </c>
      <c r="G105" s="244">
        <f>'5.0 hivatal'!G105</f>
        <v>0</v>
      </c>
      <c r="H105" s="245">
        <f t="shared" si="99"/>
        <v>29540242</v>
      </c>
      <c r="I105" s="244">
        <f>'5.0 hivatal'!I105</f>
        <v>29540242</v>
      </c>
      <c r="J105" s="244">
        <f>'5.0 hivatal'!J105</f>
        <v>0</v>
      </c>
      <c r="K105" s="245">
        <f t="shared" si="100"/>
        <v>29540242</v>
      </c>
      <c r="L105" s="244">
        <f>'5.0 hivatal'!L105</f>
        <v>25269466</v>
      </c>
      <c r="M105" s="244">
        <f>'5.0 hivatal'!M105</f>
        <v>0</v>
      </c>
      <c r="N105" s="245">
        <f t="shared" si="101"/>
        <v>25269466</v>
      </c>
      <c r="O105" s="244">
        <f>'6.0 hksk'!C105</f>
        <v>7735597</v>
      </c>
      <c r="P105" s="244">
        <f>'6.0 hksk'!D105</f>
        <v>0</v>
      </c>
      <c r="Q105" s="245">
        <f t="shared" si="78"/>
        <v>7735597</v>
      </c>
      <c r="R105" s="244">
        <f>'6.0 hksk'!F105</f>
        <v>8644786</v>
      </c>
      <c r="S105" s="244">
        <f>'6.0 hksk'!G105</f>
        <v>0</v>
      </c>
      <c r="T105" s="245">
        <f t="shared" si="102"/>
        <v>8644786</v>
      </c>
      <c r="U105" s="244">
        <f>'6.0 hksk'!I105</f>
        <v>8994786</v>
      </c>
      <c r="V105" s="244">
        <f>'6.0 hksk'!J105</f>
        <v>0</v>
      </c>
      <c r="W105" s="245">
        <f t="shared" si="80"/>
        <v>8994786</v>
      </c>
      <c r="X105" s="244">
        <f>'6.0 hksk'!L105</f>
        <v>8960205</v>
      </c>
      <c r="Y105" s="244">
        <f>'6.0 hksk'!M105</f>
        <v>0</v>
      </c>
      <c r="Z105" s="245">
        <f t="shared" si="81"/>
        <v>8960205</v>
      </c>
      <c r="AA105" s="244">
        <f>'7.0 önkormányzat össz'!C105</f>
        <v>43295712</v>
      </c>
      <c r="AB105" s="244">
        <f>'7.0 önkormányzat össz'!D105</f>
        <v>0</v>
      </c>
      <c r="AC105" s="245">
        <f t="shared" si="82"/>
        <v>43295712</v>
      </c>
      <c r="AD105" s="244">
        <f>'7.0 önkormányzat össz'!F105</f>
        <v>43517255</v>
      </c>
      <c r="AE105" s="244">
        <f>'7.0 önkormányzat össz'!G105</f>
        <v>0</v>
      </c>
      <c r="AF105" s="245">
        <f t="shared" si="103"/>
        <v>43517255</v>
      </c>
      <c r="AG105" s="244">
        <f ca="1">'7.0 önkormányzat össz'!I105</f>
        <v>43053255</v>
      </c>
      <c r="AH105" s="244">
        <f>'7.0 önkormányzat össz'!J105</f>
        <v>0</v>
      </c>
      <c r="AI105" s="245">
        <f t="shared" ca="1" si="104"/>
        <v>43053255</v>
      </c>
      <c r="AJ105" s="244">
        <f ca="1">'7.0 önkormányzat össz'!L105</f>
        <v>42979826</v>
      </c>
      <c r="AK105" s="244">
        <f>'7.0 önkormányzat össz'!M105</f>
        <v>0</v>
      </c>
      <c r="AL105" s="245">
        <f t="shared" ca="1" si="105"/>
        <v>42979826</v>
      </c>
      <c r="AM105" s="244">
        <f t="shared" si="83"/>
        <v>80205642</v>
      </c>
      <c r="AN105" s="244">
        <f t="shared" si="84"/>
        <v>0</v>
      </c>
      <c r="AO105" s="245">
        <f t="shared" si="85"/>
        <v>80205642</v>
      </c>
      <c r="AP105" s="244">
        <f t="shared" si="86"/>
        <v>81702283</v>
      </c>
      <c r="AQ105" s="244">
        <f t="shared" si="87"/>
        <v>0</v>
      </c>
      <c r="AR105" s="245">
        <f t="shared" si="88"/>
        <v>81702283</v>
      </c>
      <c r="AS105" s="329">
        <f t="shared" ca="1" si="89"/>
        <v>81588283</v>
      </c>
      <c r="AT105" s="329">
        <f t="shared" si="90"/>
        <v>0</v>
      </c>
      <c r="AU105" s="253">
        <f t="shared" ca="1" si="91"/>
        <v>81588283</v>
      </c>
      <c r="AV105" s="329">
        <f t="shared" ca="1" si="92"/>
        <v>77209497</v>
      </c>
      <c r="AW105" s="329">
        <f t="shared" si="93"/>
        <v>0</v>
      </c>
      <c r="AX105" s="647">
        <f t="shared" ca="1" si="94"/>
        <v>77209497</v>
      </c>
    </row>
    <row r="106" spans="1:50" ht="15.75" thickBot="1" x14ac:dyDescent="0.3">
      <c r="A106" s="34"/>
      <c r="B106" s="35" t="s">
        <v>193</v>
      </c>
      <c r="C106" s="246">
        <f>'5.0 hivatal'!C106</f>
        <v>25169278</v>
      </c>
      <c r="D106" s="246">
        <f>'5.0 hivatal'!D106</f>
        <v>0</v>
      </c>
      <c r="E106" s="247">
        <f t="shared" si="98"/>
        <v>25169278</v>
      </c>
      <c r="F106" s="246">
        <f>'5.0 hivatal'!F106</f>
        <v>25535187</v>
      </c>
      <c r="G106" s="246">
        <f>'5.0 hivatal'!G106</f>
        <v>0</v>
      </c>
      <c r="H106" s="247">
        <f t="shared" si="99"/>
        <v>25535187</v>
      </c>
      <c r="I106" s="246">
        <f>'5.0 hivatal'!I106</f>
        <v>25535187</v>
      </c>
      <c r="J106" s="246">
        <f>'5.0 hivatal'!J106</f>
        <v>0</v>
      </c>
      <c r="K106" s="247">
        <f t="shared" si="100"/>
        <v>25535187</v>
      </c>
      <c r="L106" s="246">
        <f>'5.0 hivatal'!L106</f>
        <v>22261071</v>
      </c>
      <c r="M106" s="246">
        <f>'5.0 hivatal'!M106</f>
        <v>0</v>
      </c>
      <c r="N106" s="247">
        <f t="shared" si="101"/>
        <v>22261071</v>
      </c>
      <c r="O106" s="244">
        <f>'6.0 hksk'!C106</f>
        <v>7022137</v>
      </c>
      <c r="P106" s="244">
        <f>'6.0 hksk'!D106</f>
        <v>0</v>
      </c>
      <c r="Q106" s="247">
        <f t="shared" si="78"/>
        <v>7022137</v>
      </c>
      <c r="R106" s="244">
        <f>'6.0 hksk'!F106</f>
        <v>7439443</v>
      </c>
      <c r="S106" s="244">
        <f>'6.0 hksk'!G106</f>
        <v>0</v>
      </c>
      <c r="T106" s="247">
        <f t="shared" si="102"/>
        <v>7439443</v>
      </c>
      <c r="U106" s="244">
        <f>'6.0 hksk'!I106</f>
        <v>7789443</v>
      </c>
      <c r="V106" s="244">
        <f>'6.0 hksk'!J106</f>
        <v>0</v>
      </c>
      <c r="W106" s="247">
        <f t="shared" si="80"/>
        <v>7789443</v>
      </c>
      <c r="X106" s="244">
        <f>'6.0 hksk'!L106</f>
        <v>8009226</v>
      </c>
      <c r="Y106" s="244">
        <f>'6.0 hksk'!M106</f>
        <v>0</v>
      </c>
      <c r="Z106" s="247">
        <f t="shared" si="81"/>
        <v>8009226</v>
      </c>
      <c r="AA106" s="244">
        <f>'7.0 önkormányzat össz'!C106</f>
        <v>35008243</v>
      </c>
      <c r="AB106" s="244">
        <f>'7.0 önkormányzat össz'!D106</f>
        <v>0</v>
      </c>
      <c r="AC106" s="247">
        <f t="shared" si="82"/>
        <v>35008243</v>
      </c>
      <c r="AD106" s="244">
        <f>'7.0 önkormányzat össz'!F106</f>
        <v>35229786</v>
      </c>
      <c r="AE106" s="244">
        <f>'7.0 önkormányzat össz'!G106</f>
        <v>0</v>
      </c>
      <c r="AF106" s="247">
        <f t="shared" si="103"/>
        <v>35229786</v>
      </c>
      <c r="AG106" s="244">
        <f ca="1">'7.0 önkormányzat össz'!I106</f>
        <v>37891006</v>
      </c>
      <c r="AH106" s="244">
        <f>'7.0 önkormányzat össz'!J106</f>
        <v>0</v>
      </c>
      <c r="AI106" s="247">
        <f t="shared" ca="1" si="104"/>
        <v>37891006</v>
      </c>
      <c r="AJ106" s="244">
        <f ca="1">'7.0 önkormányzat össz'!L106</f>
        <v>37817577</v>
      </c>
      <c r="AK106" s="244">
        <f>'7.0 önkormányzat össz'!M106</f>
        <v>0</v>
      </c>
      <c r="AL106" s="247">
        <f t="shared" ca="1" si="105"/>
        <v>37817577</v>
      </c>
      <c r="AM106" s="244">
        <f t="shared" si="83"/>
        <v>67199658</v>
      </c>
      <c r="AN106" s="244">
        <f t="shared" si="84"/>
        <v>0</v>
      </c>
      <c r="AO106" s="245">
        <f t="shared" si="85"/>
        <v>67199658</v>
      </c>
      <c r="AP106" s="244">
        <f t="shared" si="86"/>
        <v>68204416</v>
      </c>
      <c r="AQ106" s="244">
        <f t="shared" si="87"/>
        <v>0</v>
      </c>
      <c r="AR106" s="245">
        <f t="shared" si="88"/>
        <v>68204416</v>
      </c>
      <c r="AS106" s="329">
        <f t="shared" ca="1" si="89"/>
        <v>71215636</v>
      </c>
      <c r="AT106" s="329">
        <f t="shared" si="90"/>
        <v>0</v>
      </c>
      <c r="AU106" s="253">
        <f t="shared" ca="1" si="91"/>
        <v>71215636</v>
      </c>
      <c r="AV106" s="329">
        <f t="shared" ca="1" si="92"/>
        <v>68087874</v>
      </c>
      <c r="AW106" s="329">
        <f t="shared" si="93"/>
        <v>0</v>
      </c>
      <c r="AX106" s="647">
        <f t="shared" ca="1" si="94"/>
        <v>68087874</v>
      </c>
    </row>
    <row r="107" spans="1:50" ht="15.75" thickBot="1" x14ac:dyDescent="0.3">
      <c r="A107" s="34"/>
      <c r="B107" s="35" t="s">
        <v>194</v>
      </c>
      <c r="C107" s="246">
        <f>'5.0 hivatal'!C107</f>
        <v>2011500</v>
      </c>
      <c r="D107" s="246">
        <f>'5.0 hivatal'!D107</f>
        <v>0</v>
      </c>
      <c r="E107" s="247">
        <f t="shared" si="98"/>
        <v>2011500</v>
      </c>
      <c r="F107" s="246">
        <f>'5.0 hivatal'!F107</f>
        <v>2011500</v>
      </c>
      <c r="G107" s="246">
        <f>'5.0 hivatal'!G107</f>
        <v>0</v>
      </c>
      <c r="H107" s="247">
        <f t="shared" si="99"/>
        <v>2011500</v>
      </c>
      <c r="I107" s="246">
        <f>'5.0 hivatal'!I107</f>
        <v>2011500</v>
      </c>
      <c r="J107" s="246">
        <f>'5.0 hivatal'!J107</f>
        <v>0</v>
      </c>
      <c r="K107" s="247">
        <f t="shared" si="100"/>
        <v>2011500</v>
      </c>
      <c r="L107" s="246">
        <f>'5.0 hivatal'!L107</f>
        <v>1904000</v>
      </c>
      <c r="M107" s="246">
        <f>'5.0 hivatal'!M107</f>
        <v>0</v>
      </c>
      <c r="N107" s="247">
        <f t="shared" si="101"/>
        <v>1904000</v>
      </c>
      <c r="O107" s="244">
        <f>'6.0 hksk'!C107</f>
        <v>0</v>
      </c>
      <c r="P107" s="244">
        <f>'6.0 hksk'!D107</f>
        <v>0</v>
      </c>
      <c r="Q107" s="247">
        <f t="shared" si="78"/>
        <v>0</v>
      </c>
      <c r="R107" s="244">
        <f>'6.0 hksk'!F107</f>
        <v>0</v>
      </c>
      <c r="S107" s="244">
        <f>'6.0 hksk'!G107</f>
        <v>0</v>
      </c>
      <c r="T107" s="247">
        <f t="shared" si="102"/>
        <v>0</v>
      </c>
      <c r="U107" s="244">
        <f>'6.0 hksk'!I107</f>
        <v>0</v>
      </c>
      <c r="V107" s="244">
        <f>'6.0 hksk'!J107</f>
        <v>0</v>
      </c>
      <c r="W107" s="247">
        <f t="shared" si="80"/>
        <v>0</v>
      </c>
      <c r="X107" s="244">
        <f>'6.0 hksk'!L107</f>
        <v>0</v>
      </c>
      <c r="Y107" s="244">
        <f>'6.0 hksk'!M107</f>
        <v>0</v>
      </c>
      <c r="Z107" s="247">
        <f t="shared" si="81"/>
        <v>0</v>
      </c>
      <c r="AA107" s="244">
        <f>'7.0 önkormányzat össz'!C107</f>
        <v>2413800</v>
      </c>
      <c r="AB107" s="244">
        <f>'7.0 önkormányzat össz'!D107</f>
        <v>0</v>
      </c>
      <c r="AC107" s="247">
        <f t="shared" si="82"/>
        <v>2413800</v>
      </c>
      <c r="AD107" s="244">
        <f>'7.0 önkormányzat össz'!F107</f>
        <v>2413800</v>
      </c>
      <c r="AE107" s="244">
        <f>'7.0 önkormányzat össz'!G107</f>
        <v>0</v>
      </c>
      <c r="AF107" s="247">
        <f t="shared" si="103"/>
        <v>2413800</v>
      </c>
      <c r="AG107" s="244">
        <f ca="1">'7.0 önkormányzat össz'!I107</f>
        <v>2355000</v>
      </c>
      <c r="AH107" s="244">
        <f>'7.0 önkormányzat össz'!J107</f>
        <v>0</v>
      </c>
      <c r="AI107" s="247">
        <f t="shared" ca="1" si="104"/>
        <v>2355000</v>
      </c>
      <c r="AJ107" s="244">
        <f ca="1">'7.0 önkormányzat össz'!L107</f>
        <v>2355000</v>
      </c>
      <c r="AK107" s="244">
        <f>'7.0 önkormányzat össz'!M107</f>
        <v>0</v>
      </c>
      <c r="AL107" s="247">
        <f t="shared" ca="1" si="105"/>
        <v>2355000</v>
      </c>
      <c r="AM107" s="244">
        <f t="shared" si="83"/>
        <v>4425300</v>
      </c>
      <c r="AN107" s="244">
        <f t="shared" si="84"/>
        <v>0</v>
      </c>
      <c r="AO107" s="245">
        <f t="shared" si="85"/>
        <v>4425300</v>
      </c>
      <c r="AP107" s="244">
        <f t="shared" si="86"/>
        <v>4425300</v>
      </c>
      <c r="AQ107" s="244">
        <f t="shared" si="87"/>
        <v>0</v>
      </c>
      <c r="AR107" s="245">
        <f t="shared" si="88"/>
        <v>4425300</v>
      </c>
      <c r="AS107" s="329">
        <f t="shared" ca="1" si="89"/>
        <v>4366500</v>
      </c>
      <c r="AT107" s="329">
        <f t="shared" si="90"/>
        <v>0</v>
      </c>
      <c r="AU107" s="253">
        <f t="shared" ca="1" si="91"/>
        <v>4366500</v>
      </c>
      <c r="AV107" s="329">
        <f t="shared" ca="1" si="92"/>
        <v>4259000</v>
      </c>
      <c r="AW107" s="329">
        <f t="shared" si="93"/>
        <v>0</v>
      </c>
      <c r="AX107" s="647">
        <f t="shared" ca="1" si="94"/>
        <v>4259000</v>
      </c>
    </row>
    <row r="108" spans="1:50" ht="15.75" thickBot="1" x14ac:dyDescent="0.3">
      <c r="A108" s="36"/>
      <c r="B108" s="37" t="s">
        <v>195</v>
      </c>
      <c r="C108" s="246">
        <f>'5.0 hivatal'!C108</f>
        <v>900705</v>
      </c>
      <c r="D108" s="246">
        <f>'5.0 hivatal'!D108</f>
        <v>0</v>
      </c>
      <c r="E108" s="247">
        <f t="shared" si="98"/>
        <v>900705</v>
      </c>
      <c r="F108" s="246">
        <f>'5.0 hivatal'!F108</f>
        <v>900705</v>
      </c>
      <c r="G108" s="246">
        <f>'5.0 hivatal'!G108</f>
        <v>0</v>
      </c>
      <c r="H108" s="247">
        <f t="shared" si="99"/>
        <v>900705</v>
      </c>
      <c r="I108" s="246">
        <f>'5.0 hivatal'!I108</f>
        <v>900705</v>
      </c>
      <c r="J108" s="246">
        <f>'5.0 hivatal'!J108</f>
        <v>0</v>
      </c>
      <c r="K108" s="247">
        <f t="shared" si="100"/>
        <v>900705</v>
      </c>
      <c r="L108" s="246">
        <f>'5.0 hivatal'!L108</f>
        <v>72296</v>
      </c>
      <c r="M108" s="246">
        <f>'5.0 hivatal'!M108</f>
        <v>0</v>
      </c>
      <c r="N108" s="247">
        <f t="shared" si="101"/>
        <v>72296</v>
      </c>
      <c r="O108" s="244">
        <f>'6.0 hksk'!C108</f>
        <v>403260</v>
      </c>
      <c r="P108" s="244">
        <f>'6.0 hksk'!D108</f>
        <v>0</v>
      </c>
      <c r="Q108" s="247">
        <f t="shared" si="78"/>
        <v>403260</v>
      </c>
      <c r="R108" s="244">
        <f>'6.0 hksk'!F108</f>
        <v>403260</v>
      </c>
      <c r="S108" s="244">
        <f>'6.0 hksk'!G108</f>
        <v>0</v>
      </c>
      <c r="T108" s="247">
        <f t="shared" si="102"/>
        <v>403260</v>
      </c>
      <c r="U108" s="244">
        <f>'6.0 hksk'!I108</f>
        <v>403260</v>
      </c>
      <c r="V108" s="244">
        <f>'6.0 hksk'!J108</f>
        <v>0</v>
      </c>
      <c r="W108" s="247">
        <f t="shared" si="80"/>
        <v>403260</v>
      </c>
      <c r="X108" s="244">
        <f>'6.0 hksk'!L108</f>
        <v>34397</v>
      </c>
      <c r="Y108" s="244">
        <f>'6.0 hksk'!M108</f>
        <v>0</v>
      </c>
      <c r="Z108" s="247">
        <f t="shared" si="81"/>
        <v>34397</v>
      </c>
      <c r="AA108" s="244">
        <f>'7.0 önkormányzat össz'!C108</f>
        <v>3319070</v>
      </c>
      <c r="AB108" s="244">
        <f>'7.0 önkormányzat össz'!D108</f>
        <v>0</v>
      </c>
      <c r="AC108" s="247">
        <f t="shared" si="82"/>
        <v>3319070</v>
      </c>
      <c r="AD108" s="244">
        <f>'7.0 önkormányzat össz'!F108</f>
        <v>3319070</v>
      </c>
      <c r="AE108" s="244">
        <f>'7.0 önkormányzat össz'!G108</f>
        <v>0</v>
      </c>
      <c r="AF108" s="247">
        <f t="shared" si="103"/>
        <v>3319070</v>
      </c>
      <c r="AG108" s="244">
        <f ca="1">'7.0 önkormányzat össz'!I108</f>
        <v>159560</v>
      </c>
      <c r="AH108" s="244">
        <f>'7.0 önkormányzat össz'!J108</f>
        <v>0</v>
      </c>
      <c r="AI108" s="247">
        <f t="shared" ca="1" si="104"/>
        <v>159560</v>
      </c>
      <c r="AJ108" s="244">
        <f ca="1">'7.0 önkormányzat össz'!L108</f>
        <v>159560</v>
      </c>
      <c r="AK108" s="244">
        <f>'7.0 önkormányzat össz'!M108</f>
        <v>0</v>
      </c>
      <c r="AL108" s="247">
        <f t="shared" ca="1" si="105"/>
        <v>159560</v>
      </c>
      <c r="AM108" s="244">
        <f t="shared" si="83"/>
        <v>4623035</v>
      </c>
      <c r="AN108" s="244">
        <f t="shared" si="84"/>
        <v>0</v>
      </c>
      <c r="AO108" s="245">
        <f t="shared" si="85"/>
        <v>4623035</v>
      </c>
      <c r="AP108" s="244">
        <f t="shared" si="86"/>
        <v>4623035</v>
      </c>
      <c r="AQ108" s="244">
        <f t="shared" si="87"/>
        <v>0</v>
      </c>
      <c r="AR108" s="245">
        <f t="shared" si="88"/>
        <v>4623035</v>
      </c>
      <c r="AS108" s="329">
        <f t="shared" ca="1" si="89"/>
        <v>1463525</v>
      </c>
      <c r="AT108" s="329">
        <f t="shared" si="90"/>
        <v>0</v>
      </c>
      <c r="AU108" s="253">
        <f t="shared" ca="1" si="91"/>
        <v>1463525</v>
      </c>
      <c r="AV108" s="329">
        <f t="shared" ca="1" si="92"/>
        <v>266253</v>
      </c>
      <c r="AW108" s="329">
        <f t="shared" si="93"/>
        <v>0</v>
      </c>
      <c r="AX108" s="647">
        <f t="shared" ca="1" si="94"/>
        <v>266253</v>
      </c>
    </row>
    <row r="109" spans="1:50" ht="15.75" thickBot="1" x14ac:dyDescent="0.3">
      <c r="A109" s="36"/>
      <c r="B109" s="37" t="s">
        <v>196</v>
      </c>
      <c r="C109" s="246">
        <f>'5.0 hivatal'!C109</f>
        <v>400000</v>
      </c>
      <c r="D109" s="246">
        <f>'5.0 hivatal'!D109</f>
        <v>0</v>
      </c>
      <c r="E109" s="247">
        <f t="shared" si="98"/>
        <v>400000</v>
      </c>
      <c r="F109" s="246">
        <f>'5.0 hivatal'!F109</f>
        <v>400000</v>
      </c>
      <c r="G109" s="246">
        <f>'5.0 hivatal'!G109</f>
        <v>0</v>
      </c>
      <c r="H109" s="247">
        <f t="shared" si="99"/>
        <v>400000</v>
      </c>
      <c r="I109" s="246">
        <f>'5.0 hivatal'!I109</f>
        <v>285804</v>
      </c>
      <c r="J109" s="246">
        <f>'5.0 hivatal'!J109</f>
        <v>0</v>
      </c>
      <c r="K109" s="247">
        <f t="shared" si="100"/>
        <v>285804</v>
      </c>
      <c r="L109" s="246">
        <f>'5.0 hivatal'!L109</f>
        <v>225053</v>
      </c>
      <c r="M109" s="246">
        <f>'5.0 hivatal'!M109</f>
        <v>0</v>
      </c>
      <c r="N109" s="247">
        <f t="shared" si="101"/>
        <v>225053</v>
      </c>
      <c r="O109" s="244">
        <f>'6.0 hksk'!C109</f>
        <v>0</v>
      </c>
      <c r="P109" s="244">
        <f>'6.0 hksk'!D109</f>
        <v>0</v>
      </c>
      <c r="Q109" s="247">
        <f t="shared" si="78"/>
        <v>0</v>
      </c>
      <c r="R109" s="244">
        <f>'6.0 hksk'!F109</f>
        <v>0</v>
      </c>
      <c r="S109" s="244">
        <f>'6.0 hksk'!G109</f>
        <v>0</v>
      </c>
      <c r="T109" s="247">
        <f t="shared" si="102"/>
        <v>0</v>
      </c>
      <c r="U109" s="244">
        <f>'6.0 hksk'!I109</f>
        <v>0</v>
      </c>
      <c r="V109" s="244">
        <f>'6.0 hksk'!J109</f>
        <v>0</v>
      </c>
      <c r="W109" s="247">
        <f t="shared" si="80"/>
        <v>0</v>
      </c>
      <c r="X109" s="244">
        <f>'6.0 hksk'!L109</f>
        <v>0</v>
      </c>
      <c r="Y109" s="244">
        <f>'6.0 hksk'!M109</f>
        <v>0</v>
      </c>
      <c r="Z109" s="247">
        <f t="shared" si="81"/>
        <v>0</v>
      </c>
      <c r="AA109" s="244">
        <f>'7.0 önkormányzat össz'!C109</f>
        <v>0</v>
      </c>
      <c r="AB109" s="244">
        <f>'7.0 önkormányzat össz'!D109</f>
        <v>0</v>
      </c>
      <c r="AC109" s="247">
        <f t="shared" si="82"/>
        <v>0</v>
      </c>
      <c r="AD109" s="244">
        <f>'7.0 önkormányzat össz'!F109</f>
        <v>0</v>
      </c>
      <c r="AE109" s="244">
        <f>'7.0 önkormányzat össz'!G109</f>
        <v>0</v>
      </c>
      <c r="AF109" s="247">
        <f t="shared" si="103"/>
        <v>0</v>
      </c>
      <c r="AG109" s="244">
        <f ca="1">'7.0 önkormányzat össz'!I109</f>
        <v>398875</v>
      </c>
      <c r="AH109" s="244">
        <f>'7.0 önkormányzat össz'!J109</f>
        <v>0</v>
      </c>
      <c r="AI109" s="247">
        <f t="shared" ca="1" si="104"/>
        <v>398875</v>
      </c>
      <c r="AJ109" s="244">
        <f ca="1">'7.0 önkormányzat össz'!L109</f>
        <v>398875</v>
      </c>
      <c r="AK109" s="244">
        <f>'7.0 önkormányzat össz'!M109</f>
        <v>0</v>
      </c>
      <c r="AL109" s="247">
        <f t="shared" ca="1" si="105"/>
        <v>398875</v>
      </c>
      <c r="AM109" s="244">
        <f t="shared" si="83"/>
        <v>400000</v>
      </c>
      <c r="AN109" s="244">
        <f t="shared" si="84"/>
        <v>0</v>
      </c>
      <c r="AO109" s="245">
        <f t="shared" si="85"/>
        <v>400000</v>
      </c>
      <c r="AP109" s="244">
        <f t="shared" si="86"/>
        <v>400000</v>
      </c>
      <c r="AQ109" s="244">
        <f t="shared" si="87"/>
        <v>0</v>
      </c>
      <c r="AR109" s="245">
        <f t="shared" si="88"/>
        <v>400000</v>
      </c>
      <c r="AS109" s="329">
        <f t="shared" ca="1" si="89"/>
        <v>684679</v>
      </c>
      <c r="AT109" s="329">
        <f t="shared" si="90"/>
        <v>0</v>
      </c>
      <c r="AU109" s="253">
        <f t="shared" ca="1" si="91"/>
        <v>684679</v>
      </c>
      <c r="AV109" s="329">
        <f t="shared" ca="1" si="92"/>
        <v>623928</v>
      </c>
      <c r="AW109" s="329">
        <f t="shared" si="93"/>
        <v>0</v>
      </c>
      <c r="AX109" s="647">
        <f t="shared" ca="1" si="94"/>
        <v>623928</v>
      </c>
    </row>
    <row r="110" spans="1:50" ht="15.75" thickBot="1" x14ac:dyDescent="0.3">
      <c r="A110" s="36"/>
      <c r="B110" s="37" t="s">
        <v>197</v>
      </c>
      <c r="C110" s="248">
        <f>'5.0 hivatal'!C110</f>
        <v>692850</v>
      </c>
      <c r="D110" s="248">
        <f>'5.0 hivatal'!D110</f>
        <v>0</v>
      </c>
      <c r="E110" s="249">
        <f t="shared" si="98"/>
        <v>692850</v>
      </c>
      <c r="F110" s="248">
        <f>'5.0 hivatal'!F110</f>
        <v>692850</v>
      </c>
      <c r="G110" s="248">
        <f>'5.0 hivatal'!G110</f>
        <v>0</v>
      </c>
      <c r="H110" s="249">
        <f t="shared" si="99"/>
        <v>692850</v>
      </c>
      <c r="I110" s="248">
        <f>'5.0 hivatal'!I110</f>
        <v>807046</v>
      </c>
      <c r="J110" s="248">
        <f>'5.0 hivatal'!J110</f>
        <v>0</v>
      </c>
      <c r="K110" s="249">
        <f t="shared" si="100"/>
        <v>807046</v>
      </c>
      <c r="L110" s="248">
        <f>'5.0 hivatal'!L110</f>
        <v>807046</v>
      </c>
      <c r="M110" s="248">
        <f>'5.0 hivatal'!M110</f>
        <v>0</v>
      </c>
      <c r="N110" s="249">
        <f t="shared" si="101"/>
        <v>807046</v>
      </c>
      <c r="O110" s="248">
        <f>'6.0 hksk'!C110</f>
        <v>310200</v>
      </c>
      <c r="P110" s="248">
        <f>'6.0 hksk'!D110</f>
        <v>0</v>
      </c>
      <c r="Q110" s="249">
        <f t="shared" si="78"/>
        <v>310200</v>
      </c>
      <c r="R110" s="248">
        <f>'6.0 hksk'!F110</f>
        <v>802083</v>
      </c>
      <c r="S110" s="248">
        <f>'6.0 hksk'!G110</f>
        <v>0</v>
      </c>
      <c r="T110" s="249">
        <f t="shared" si="102"/>
        <v>802083</v>
      </c>
      <c r="U110" s="248">
        <f>'6.0 hksk'!I110</f>
        <v>802083</v>
      </c>
      <c r="V110" s="248">
        <f>'6.0 hksk'!J110</f>
        <v>0</v>
      </c>
      <c r="W110" s="249">
        <f t="shared" si="80"/>
        <v>802083</v>
      </c>
      <c r="X110" s="248">
        <f>'6.0 hksk'!L110</f>
        <v>916582</v>
      </c>
      <c r="Y110" s="248">
        <f>'6.0 hksk'!M110</f>
        <v>0</v>
      </c>
      <c r="Z110" s="249">
        <f t="shared" si="81"/>
        <v>916582</v>
      </c>
      <c r="AA110" s="248">
        <f>'7.0 önkormányzat össz'!C110</f>
        <v>2554599</v>
      </c>
      <c r="AB110" s="248">
        <f>'7.0 önkormányzat össz'!D110</f>
        <v>0</v>
      </c>
      <c r="AC110" s="249">
        <f t="shared" si="82"/>
        <v>2554599</v>
      </c>
      <c r="AD110" s="248">
        <f>'7.0 önkormányzat össz'!F110</f>
        <v>2554599</v>
      </c>
      <c r="AE110" s="248">
        <f>'7.0 önkormányzat össz'!G110</f>
        <v>0</v>
      </c>
      <c r="AF110" s="249">
        <f t="shared" si="103"/>
        <v>2554599</v>
      </c>
      <c r="AG110" s="248">
        <f ca="1">'7.0 önkormányzat össz'!I110</f>
        <v>2248814</v>
      </c>
      <c r="AH110" s="248">
        <f>'7.0 önkormányzat össz'!J110</f>
        <v>0</v>
      </c>
      <c r="AI110" s="249">
        <f t="shared" ca="1" si="104"/>
        <v>2248814</v>
      </c>
      <c r="AJ110" s="248">
        <f ca="1">'7.0 önkormányzat össz'!L110</f>
        <v>2248814</v>
      </c>
      <c r="AK110" s="248">
        <f>'7.0 önkormányzat össz'!M110</f>
        <v>0</v>
      </c>
      <c r="AL110" s="249">
        <f t="shared" ca="1" si="105"/>
        <v>2248814</v>
      </c>
      <c r="AM110" s="248">
        <f t="shared" si="83"/>
        <v>3557649</v>
      </c>
      <c r="AN110" s="248">
        <f t="shared" si="84"/>
        <v>0</v>
      </c>
      <c r="AO110" s="249">
        <f t="shared" si="85"/>
        <v>3557649</v>
      </c>
      <c r="AP110" s="248">
        <f t="shared" si="86"/>
        <v>4049532</v>
      </c>
      <c r="AQ110" s="248">
        <f t="shared" si="87"/>
        <v>0</v>
      </c>
      <c r="AR110" s="249">
        <f t="shared" si="88"/>
        <v>4049532</v>
      </c>
      <c r="AS110" s="329">
        <f t="shared" ca="1" si="89"/>
        <v>3857943</v>
      </c>
      <c r="AT110" s="329">
        <f t="shared" si="90"/>
        <v>0</v>
      </c>
      <c r="AU110" s="253">
        <f t="shared" ca="1" si="91"/>
        <v>3857943</v>
      </c>
      <c r="AV110" s="329">
        <f t="shared" ca="1" si="92"/>
        <v>3972442</v>
      </c>
      <c r="AW110" s="329">
        <f t="shared" si="93"/>
        <v>0</v>
      </c>
      <c r="AX110" s="647">
        <f t="shared" ca="1" si="94"/>
        <v>3972442</v>
      </c>
    </row>
    <row r="111" spans="1:50" ht="15.75" thickBot="1" x14ac:dyDescent="0.3">
      <c r="A111" s="33" t="s">
        <v>198</v>
      </c>
      <c r="B111" s="24" t="s">
        <v>35</v>
      </c>
      <c r="C111" s="244">
        <f>'5.0 hivatal'!C111</f>
        <v>23318950</v>
      </c>
      <c r="D111" s="244">
        <f>'5.0 hivatal'!D111</f>
        <v>0</v>
      </c>
      <c r="E111" s="245">
        <f t="shared" si="98"/>
        <v>23318950</v>
      </c>
      <c r="F111" s="244">
        <f>'5.0 hivatal'!F111</f>
        <v>23864568</v>
      </c>
      <c r="G111" s="244">
        <f>'5.0 hivatal'!G111</f>
        <v>0</v>
      </c>
      <c r="H111" s="245">
        <f t="shared" si="99"/>
        <v>23864568</v>
      </c>
      <c r="I111" s="244">
        <f>'5.0 hivatal'!I111</f>
        <v>23815543</v>
      </c>
      <c r="J111" s="244">
        <f>'5.0 hivatal'!J111</f>
        <v>0</v>
      </c>
      <c r="K111" s="245">
        <f t="shared" si="100"/>
        <v>23815543</v>
      </c>
      <c r="L111" s="244">
        <f>'5.0 hivatal'!L111</f>
        <v>18965469</v>
      </c>
      <c r="M111" s="244">
        <f>'5.0 hivatal'!M111</f>
        <v>0</v>
      </c>
      <c r="N111" s="245">
        <f t="shared" si="101"/>
        <v>18965469</v>
      </c>
      <c r="O111" s="244">
        <f>'6.0 hksk'!C111</f>
        <v>44226830</v>
      </c>
      <c r="P111" s="244">
        <f>'6.0 hksk'!D111</f>
        <v>0</v>
      </c>
      <c r="Q111" s="245">
        <f t="shared" si="78"/>
        <v>44226830</v>
      </c>
      <c r="R111" s="244">
        <f>'6.0 hksk'!F111</f>
        <v>60386721</v>
      </c>
      <c r="S111" s="244">
        <f>'6.0 hksk'!G111</f>
        <v>0</v>
      </c>
      <c r="T111" s="245">
        <f t="shared" si="102"/>
        <v>60386721</v>
      </c>
      <c r="U111" s="244">
        <f>'6.0 hksk'!I111</f>
        <v>60618071</v>
      </c>
      <c r="V111" s="244">
        <f>'6.0 hksk'!J111</f>
        <v>0</v>
      </c>
      <c r="W111" s="245">
        <f t="shared" si="80"/>
        <v>60618071</v>
      </c>
      <c r="X111" s="244">
        <f>'6.0 hksk'!L111</f>
        <v>56968540</v>
      </c>
      <c r="Y111" s="244">
        <f>'6.0 hksk'!M111</f>
        <v>0</v>
      </c>
      <c r="Z111" s="245">
        <f t="shared" si="81"/>
        <v>56968540</v>
      </c>
      <c r="AA111" s="244">
        <f>'7.0 önkormányzat össz'!C111</f>
        <v>791605981</v>
      </c>
      <c r="AB111" s="244">
        <f>'7.0 önkormányzat össz'!D111</f>
        <v>1250000</v>
      </c>
      <c r="AC111" s="245">
        <f t="shared" si="82"/>
        <v>792855981</v>
      </c>
      <c r="AD111" s="244">
        <f>'7.0 önkormányzat össz'!F111</f>
        <v>762289536</v>
      </c>
      <c r="AE111" s="244">
        <f>'7.0 önkormányzat össz'!G111</f>
        <v>1250000</v>
      </c>
      <c r="AF111" s="245">
        <f t="shared" si="103"/>
        <v>763539536</v>
      </c>
      <c r="AG111" s="244">
        <f ca="1">'7.0 önkormányzat össz'!I111</f>
        <v>778500252</v>
      </c>
      <c r="AH111" s="244">
        <f>'7.0 önkormányzat össz'!J111</f>
        <v>1265000</v>
      </c>
      <c r="AI111" s="245">
        <f t="shared" ca="1" si="104"/>
        <v>779765252</v>
      </c>
      <c r="AJ111" s="244">
        <f ca="1">'7.0 önkormányzat össz'!L111</f>
        <v>530435557</v>
      </c>
      <c r="AK111" s="244">
        <f>'7.0 önkormányzat össz'!M111</f>
        <v>1227546</v>
      </c>
      <c r="AL111" s="245">
        <f t="shared" ca="1" si="105"/>
        <v>531663103</v>
      </c>
      <c r="AM111" s="244">
        <f t="shared" si="83"/>
        <v>859151761</v>
      </c>
      <c r="AN111" s="244">
        <f t="shared" si="84"/>
        <v>1250000</v>
      </c>
      <c r="AO111" s="245">
        <f t="shared" si="85"/>
        <v>860401761</v>
      </c>
      <c r="AP111" s="244">
        <f t="shared" si="86"/>
        <v>846540825</v>
      </c>
      <c r="AQ111" s="244">
        <f t="shared" si="87"/>
        <v>1250000</v>
      </c>
      <c r="AR111" s="245">
        <f t="shared" si="88"/>
        <v>847790825</v>
      </c>
      <c r="AS111" s="329">
        <f t="shared" ca="1" si="89"/>
        <v>862933866</v>
      </c>
      <c r="AT111" s="329">
        <f t="shared" si="90"/>
        <v>1265000</v>
      </c>
      <c r="AU111" s="253">
        <f t="shared" ca="1" si="91"/>
        <v>864198866</v>
      </c>
      <c r="AV111" s="329">
        <f t="shared" ca="1" si="92"/>
        <v>606369566</v>
      </c>
      <c r="AW111" s="329">
        <f t="shared" si="93"/>
        <v>1227546</v>
      </c>
      <c r="AX111" s="647">
        <f t="shared" ca="1" si="94"/>
        <v>607597112</v>
      </c>
    </row>
    <row r="112" spans="1:50" ht="15.75" thickBot="1" x14ac:dyDescent="0.3">
      <c r="A112" s="34" t="s">
        <v>199</v>
      </c>
      <c r="B112" s="35" t="s">
        <v>200</v>
      </c>
      <c r="C112" s="246">
        <f>'5.0 hivatal'!C112</f>
        <v>2885000</v>
      </c>
      <c r="D112" s="246">
        <f>'5.0 hivatal'!D112</f>
        <v>0</v>
      </c>
      <c r="E112" s="247">
        <f t="shared" si="98"/>
        <v>2885000</v>
      </c>
      <c r="F112" s="246">
        <f>'5.0 hivatal'!F112</f>
        <v>2853900</v>
      </c>
      <c r="G112" s="246">
        <f>'5.0 hivatal'!G112</f>
        <v>0</v>
      </c>
      <c r="H112" s="247">
        <f t="shared" si="99"/>
        <v>2853900</v>
      </c>
      <c r="I112" s="246">
        <f>'5.0 hivatal'!I112</f>
        <v>2848506</v>
      </c>
      <c r="J112" s="246">
        <f>'5.0 hivatal'!J112</f>
        <v>0</v>
      </c>
      <c r="K112" s="247">
        <f t="shared" si="100"/>
        <v>2848506</v>
      </c>
      <c r="L112" s="246">
        <f>'5.0 hivatal'!L112</f>
        <v>2400446</v>
      </c>
      <c r="M112" s="246">
        <f>'5.0 hivatal'!M112</f>
        <v>0</v>
      </c>
      <c r="N112" s="247">
        <f t="shared" si="101"/>
        <v>2400446</v>
      </c>
      <c r="O112" s="244">
        <f>'6.0 hksk'!C112</f>
        <v>6956220</v>
      </c>
      <c r="P112" s="244">
        <f>'6.0 hksk'!D112</f>
        <v>0</v>
      </c>
      <c r="Q112" s="247">
        <f t="shared" si="78"/>
        <v>6956220</v>
      </c>
      <c r="R112" s="244">
        <f>'6.0 hksk'!F112</f>
        <v>7087649</v>
      </c>
      <c r="S112" s="244">
        <f>'6.0 hksk'!G112</f>
        <v>0</v>
      </c>
      <c r="T112" s="247">
        <f t="shared" si="102"/>
        <v>7087649</v>
      </c>
      <c r="U112" s="244">
        <f>'6.0 hksk'!I112</f>
        <v>8352522</v>
      </c>
      <c r="V112" s="244">
        <f>'6.0 hksk'!J112</f>
        <v>0</v>
      </c>
      <c r="W112" s="247">
        <f t="shared" si="80"/>
        <v>8352522</v>
      </c>
      <c r="X112" s="244">
        <f>'6.0 hksk'!L112</f>
        <v>7710533</v>
      </c>
      <c r="Y112" s="244">
        <f>'6.0 hksk'!M112</f>
        <v>0</v>
      </c>
      <c r="Z112" s="247">
        <f t="shared" si="81"/>
        <v>7710533</v>
      </c>
      <c r="AA112" s="244">
        <f>'7.0 önkormányzat össz'!C112</f>
        <v>19479526</v>
      </c>
      <c r="AB112" s="244">
        <f>'7.0 önkormányzat össz'!D112</f>
        <v>0</v>
      </c>
      <c r="AC112" s="247">
        <f t="shared" si="82"/>
        <v>19479526</v>
      </c>
      <c r="AD112" s="244">
        <f>'7.0 önkormányzat össz'!F112</f>
        <v>21565652</v>
      </c>
      <c r="AE112" s="244">
        <f>'7.0 önkormányzat össz'!G112</f>
        <v>0</v>
      </c>
      <c r="AF112" s="247">
        <f t="shared" si="103"/>
        <v>21565652</v>
      </c>
      <c r="AG112" s="244">
        <f ca="1">'7.0 önkormányzat össz'!I112</f>
        <v>23500652</v>
      </c>
      <c r="AH112" s="244">
        <f>'7.0 önkormányzat össz'!J112</f>
        <v>15000</v>
      </c>
      <c r="AI112" s="247">
        <f t="shared" ca="1" si="104"/>
        <v>23515652</v>
      </c>
      <c r="AJ112" s="244">
        <f ca="1">'7.0 önkormányzat össz'!L112</f>
        <v>20911338</v>
      </c>
      <c r="AK112" s="244">
        <f>'7.0 önkormányzat össz'!M112</f>
        <v>14769</v>
      </c>
      <c r="AL112" s="247">
        <f t="shared" ca="1" si="105"/>
        <v>20926107</v>
      </c>
      <c r="AM112" s="244">
        <f t="shared" si="83"/>
        <v>29320746</v>
      </c>
      <c r="AN112" s="244">
        <f t="shared" si="84"/>
        <v>0</v>
      </c>
      <c r="AO112" s="245">
        <f t="shared" si="85"/>
        <v>29320746</v>
      </c>
      <c r="AP112" s="244">
        <f t="shared" si="86"/>
        <v>31507201</v>
      </c>
      <c r="AQ112" s="244">
        <f t="shared" si="87"/>
        <v>0</v>
      </c>
      <c r="AR112" s="245">
        <f t="shared" si="88"/>
        <v>31507201</v>
      </c>
      <c r="AS112" s="329">
        <f t="shared" ca="1" si="89"/>
        <v>34701680</v>
      </c>
      <c r="AT112" s="329">
        <f t="shared" si="90"/>
        <v>15000</v>
      </c>
      <c r="AU112" s="253">
        <f t="shared" ca="1" si="91"/>
        <v>34716680</v>
      </c>
      <c r="AV112" s="329">
        <f t="shared" ca="1" si="92"/>
        <v>31022317</v>
      </c>
      <c r="AW112" s="329">
        <f t="shared" si="93"/>
        <v>14769</v>
      </c>
      <c r="AX112" s="647">
        <f t="shared" ca="1" si="94"/>
        <v>31037086</v>
      </c>
    </row>
    <row r="113" spans="1:50" ht="15.75" thickBot="1" x14ac:dyDescent="0.3">
      <c r="A113" s="34" t="s">
        <v>201</v>
      </c>
      <c r="B113" s="35" t="s">
        <v>202</v>
      </c>
      <c r="C113" s="246">
        <f>'5.0 hivatal'!C113</f>
        <v>4000000</v>
      </c>
      <c r="D113" s="246">
        <f>'5.0 hivatal'!D113</f>
        <v>0</v>
      </c>
      <c r="E113" s="247">
        <f t="shared" si="98"/>
        <v>4000000</v>
      </c>
      <c r="F113" s="246">
        <f>'5.0 hivatal'!F113</f>
        <v>4000000</v>
      </c>
      <c r="G113" s="246">
        <f>'5.0 hivatal'!G113</f>
        <v>0</v>
      </c>
      <c r="H113" s="247">
        <f t="shared" si="99"/>
        <v>4000000</v>
      </c>
      <c r="I113" s="246">
        <f>'5.0 hivatal'!I113</f>
        <v>4000000</v>
      </c>
      <c r="J113" s="246">
        <f>'5.0 hivatal'!J113</f>
        <v>0</v>
      </c>
      <c r="K113" s="247">
        <f t="shared" si="100"/>
        <v>4000000</v>
      </c>
      <c r="L113" s="246">
        <f>'5.0 hivatal'!L113</f>
        <v>2348142</v>
      </c>
      <c r="M113" s="246">
        <f>'5.0 hivatal'!M113</f>
        <v>0</v>
      </c>
      <c r="N113" s="247">
        <f t="shared" si="101"/>
        <v>2348142</v>
      </c>
      <c r="O113" s="244">
        <f>'6.0 hksk'!C113</f>
        <v>1138000</v>
      </c>
      <c r="P113" s="244">
        <f>'6.0 hksk'!D113</f>
        <v>0</v>
      </c>
      <c r="Q113" s="247">
        <f t="shared" si="78"/>
        <v>1138000</v>
      </c>
      <c r="R113" s="244">
        <f>'6.0 hksk'!F113</f>
        <v>1138000</v>
      </c>
      <c r="S113" s="244">
        <f>'6.0 hksk'!G113</f>
        <v>0</v>
      </c>
      <c r="T113" s="247">
        <f t="shared" si="102"/>
        <v>1138000</v>
      </c>
      <c r="U113" s="244">
        <f>'6.0 hksk'!I113</f>
        <v>418000</v>
      </c>
      <c r="V113" s="244">
        <f>'6.0 hksk'!J113</f>
        <v>0</v>
      </c>
      <c r="W113" s="247">
        <f t="shared" si="80"/>
        <v>418000</v>
      </c>
      <c r="X113" s="244">
        <f>'6.0 hksk'!L113</f>
        <v>402178</v>
      </c>
      <c r="Y113" s="244">
        <f>'6.0 hksk'!M113</f>
        <v>0</v>
      </c>
      <c r="Z113" s="247">
        <f t="shared" si="81"/>
        <v>402178</v>
      </c>
      <c r="AA113" s="244">
        <f>'7.0 önkormányzat össz'!C113</f>
        <v>1735000</v>
      </c>
      <c r="AB113" s="244">
        <f>'7.0 önkormányzat össz'!D113</f>
        <v>0</v>
      </c>
      <c r="AC113" s="247">
        <f t="shared" si="82"/>
        <v>1735000</v>
      </c>
      <c r="AD113" s="244">
        <f>'7.0 önkormányzat össz'!F113</f>
        <v>1735000</v>
      </c>
      <c r="AE113" s="244">
        <f>'7.0 önkormányzat össz'!G113</f>
        <v>0</v>
      </c>
      <c r="AF113" s="247">
        <f t="shared" si="103"/>
        <v>1735000</v>
      </c>
      <c r="AG113" s="244">
        <f ca="1">'7.0 önkormányzat össz'!I113</f>
        <v>1855000</v>
      </c>
      <c r="AH113" s="244">
        <f>'7.0 önkormányzat össz'!J113</f>
        <v>0</v>
      </c>
      <c r="AI113" s="247">
        <f t="shared" ca="1" si="104"/>
        <v>1855000</v>
      </c>
      <c r="AJ113" s="244">
        <f ca="1">'7.0 önkormányzat össz'!L113</f>
        <v>1734952</v>
      </c>
      <c r="AK113" s="244">
        <f>'7.0 önkormányzat össz'!M113</f>
        <v>0</v>
      </c>
      <c r="AL113" s="247">
        <f t="shared" ca="1" si="105"/>
        <v>1734952</v>
      </c>
      <c r="AM113" s="244">
        <f t="shared" si="83"/>
        <v>6873000</v>
      </c>
      <c r="AN113" s="244">
        <f t="shared" si="84"/>
        <v>0</v>
      </c>
      <c r="AO113" s="245">
        <f t="shared" si="85"/>
        <v>6873000</v>
      </c>
      <c r="AP113" s="244">
        <f t="shared" si="86"/>
        <v>6873000</v>
      </c>
      <c r="AQ113" s="244">
        <f t="shared" si="87"/>
        <v>0</v>
      </c>
      <c r="AR113" s="245">
        <f t="shared" si="88"/>
        <v>6873000</v>
      </c>
      <c r="AS113" s="329">
        <f t="shared" ca="1" si="89"/>
        <v>6273000</v>
      </c>
      <c r="AT113" s="329">
        <f t="shared" si="90"/>
        <v>0</v>
      </c>
      <c r="AU113" s="253">
        <f t="shared" ca="1" si="91"/>
        <v>6273000</v>
      </c>
      <c r="AV113" s="329">
        <f t="shared" ca="1" si="92"/>
        <v>4485272</v>
      </c>
      <c r="AW113" s="329">
        <f t="shared" si="93"/>
        <v>0</v>
      </c>
      <c r="AX113" s="647">
        <f t="shared" ca="1" si="94"/>
        <v>4485272</v>
      </c>
    </row>
    <row r="114" spans="1:50" ht="15.75" thickBot="1" x14ac:dyDescent="0.3">
      <c r="A114" s="34" t="s">
        <v>203</v>
      </c>
      <c r="B114" s="35" t="s">
        <v>204</v>
      </c>
      <c r="C114" s="246">
        <f>'5.0 hivatal'!C114</f>
        <v>12500000</v>
      </c>
      <c r="D114" s="246">
        <f>'5.0 hivatal'!D114</f>
        <v>0</v>
      </c>
      <c r="E114" s="247">
        <f t="shared" si="98"/>
        <v>12500000</v>
      </c>
      <c r="F114" s="246">
        <f>'5.0 hivatal'!F114</f>
        <v>12956891</v>
      </c>
      <c r="G114" s="246">
        <f>'5.0 hivatal'!G114</f>
        <v>0</v>
      </c>
      <c r="H114" s="247">
        <f t="shared" si="99"/>
        <v>12956891</v>
      </c>
      <c r="I114" s="246">
        <f>'5.0 hivatal'!I114</f>
        <v>12913260</v>
      </c>
      <c r="J114" s="246">
        <f>'5.0 hivatal'!J114</f>
        <v>0</v>
      </c>
      <c r="K114" s="247">
        <f t="shared" si="100"/>
        <v>12913260</v>
      </c>
      <c r="L114" s="246">
        <f>'5.0 hivatal'!L114</f>
        <v>11612293</v>
      </c>
      <c r="M114" s="246">
        <f>'5.0 hivatal'!M114</f>
        <v>0</v>
      </c>
      <c r="N114" s="247">
        <f t="shared" si="101"/>
        <v>11612293</v>
      </c>
      <c r="O114" s="244">
        <f>'6.0 hksk'!C114</f>
        <v>27525205</v>
      </c>
      <c r="P114" s="244">
        <f>'6.0 hksk'!D114</f>
        <v>0</v>
      </c>
      <c r="Q114" s="247">
        <f t="shared" si="78"/>
        <v>27525205</v>
      </c>
      <c r="R114" s="244">
        <f>'6.0 hksk'!F114</f>
        <v>40248563</v>
      </c>
      <c r="S114" s="244">
        <f>'6.0 hksk'!G114</f>
        <v>0</v>
      </c>
      <c r="T114" s="247">
        <f t="shared" si="102"/>
        <v>40248563</v>
      </c>
      <c r="U114" s="244">
        <f>'6.0 hksk'!I114</f>
        <v>40318667</v>
      </c>
      <c r="V114" s="244">
        <f>'6.0 hksk'!J114</f>
        <v>0</v>
      </c>
      <c r="W114" s="247">
        <f t="shared" si="80"/>
        <v>40318667</v>
      </c>
      <c r="X114" s="244">
        <f>'6.0 hksk'!L114</f>
        <v>38327095</v>
      </c>
      <c r="Y114" s="244">
        <f>'6.0 hksk'!M114</f>
        <v>0</v>
      </c>
      <c r="Z114" s="247">
        <f t="shared" si="81"/>
        <v>38327095</v>
      </c>
      <c r="AA114" s="244">
        <f>'7.0 önkormányzat össz'!C114</f>
        <v>295778646</v>
      </c>
      <c r="AB114" s="244">
        <f>'7.0 önkormányzat össz'!D114</f>
        <v>1239370</v>
      </c>
      <c r="AC114" s="247">
        <f t="shared" si="82"/>
        <v>297018016</v>
      </c>
      <c r="AD114" s="244">
        <f>'7.0 önkormányzat össz'!F114</f>
        <v>315520391</v>
      </c>
      <c r="AE114" s="244">
        <f>'7.0 önkormányzat össz'!G114</f>
        <v>1239370</v>
      </c>
      <c r="AF114" s="247">
        <f t="shared" si="103"/>
        <v>316759761</v>
      </c>
      <c r="AG114" s="244">
        <f ca="1">'7.0 önkormányzat össz'!I114</f>
        <v>328075554</v>
      </c>
      <c r="AH114" s="244">
        <f>'7.0 önkormányzat össz'!J114</f>
        <v>1239370</v>
      </c>
      <c r="AI114" s="247">
        <f t="shared" ca="1" si="104"/>
        <v>329314924</v>
      </c>
      <c r="AJ114" s="244">
        <f ca="1">'7.0 önkormányzat össz'!L114</f>
        <v>228354730</v>
      </c>
      <c r="AK114" s="244">
        <f>'7.0 önkormányzat össz'!M114</f>
        <v>1207323</v>
      </c>
      <c r="AL114" s="247">
        <f t="shared" ca="1" si="105"/>
        <v>229562053</v>
      </c>
      <c r="AM114" s="244">
        <f t="shared" si="83"/>
        <v>335803851</v>
      </c>
      <c r="AN114" s="244">
        <f t="shared" si="84"/>
        <v>1239370</v>
      </c>
      <c r="AO114" s="245">
        <f t="shared" si="85"/>
        <v>337043221</v>
      </c>
      <c r="AP114" s="244">
        <f t="shared" si="86"/>
        <v>368725845</v>
      </c>
      <c r="AQ114" s="244">
        <f t="shared" si="87"/>
        <v>1239370</v>
      </c>
      <c r="AR114" s="245">
        <f t="shared" si="88"/>
        <v>369965215</v>
      </c>
      <c r="AS114" s="329">
        <f t="shared" ca="1" si="89"/>
        <v>381307481</v>
      </c>
      <c r="AT114" s="329">
        <f t="shared" si="90"/>
        <v>1239370</v>
      </c>
      <c r="AU114" s="253">
        <f t="shared" ca="1" si="91"/>
        <v>382546851</v>
      </c>
      <c r="AV114" s="329">
        <f t="shared" ca="1" si="92"/>
        <v>278294118</v>
      </c>
      <c r="AW114" s="329">
        <f t="shared" si="93"/>
        <v>1207323</v>
      </c>
      <c r="AX114" s="647">
        <f t="shared" ca="1" si="94"/>
        <v>279501441</v>
      </c>
    </row>
    <row r="115" spans="1:50" ht="15.75" thickBot="1" x14ac:dyDescent="0.3">
      <c r="A115" s="34" t="s">
        <v>205</v>
      </c>
      <c r="B115" s="35" t="s">
        <v>206</v>
      </c>
      <c r="C115" s="246">
        <f>'5.0 hivatal'!C115</f>
        <v>2900000</v>
      </c>
      <c r="D115" s="246">
        <f>'5.0 hivatal'!D115</f>
        <v>0</v>
      </c>
      <c r="E115" s="247">
        <f t="shared" si="98"/>
        <v>2900000</v>
      </c>
      <c r="F115" s="246">
        <f>'5.0 hivatal'!F115</f>
        <v>3356891</v>
      </c>
      <c r="G115" s="246">
        <f>'5.0 hivatal'!G115</f>
        <v>0</v>
      </c>
      <c r="H115" s="247">
        <f t="shared" si="99"/>
        <v>3356891</v>
      </c>
      <c r="I115" s="246">
        <f>'5.0 hivatal'!I115</f>
        <v>3427866</v>
      </c>
      <c r="J115" s="246">
        <f>'5.0 hivatal'!J115</f>
        <v>0</v>
      </c>
      <c r="K115" s="247">
        <f t="shared" si="100"/>
        <v>3427866</v>
      </c>
      <c r="L115" s="246">
        <f>'5.0 hivatal'!L115</f>
        <v>3036050</v>
      </c>
      <c r="M115" s="246">
        <f>'5.0 hivatal'!M115</f>
        <v>0</v>
      </c>
      <c r="N115" s="247">
        <f t="shared" si="101"/>
        <v>3036050</v>
      </c>
      <c r="O115" s="244">
        <f>'6.0 hksk'!C115</f>
        <v>10133000</v>
      </c>
      <c r="P115" s="244">
        <f>'6.0 hksk'!D115</f>
        <v>0</v>
      </c>
      <c r="Q115" s="247">
        <f t="shared" si="78"/>
        <v>10133000</v>
      </c>
      <c r="R115" s="244">
        <f>'6.0 hksk'!F115</f>
        <v>10133000</v>
      </c>
      <c r="S115" s="244">
        <f>'6.0 hksk'!G115</f>
        <v>0</v>
      </c>
      <c r="T115" s="247">
        <f t="shared" si="102"/>
        <v>10133000</v>
      </c>
      <c r="U115" s="244">
        <f>'6.0 hksk'!I115</f>
        <v>10260368</v>
      </c>
      <c r="V115" s="244">
        <f>'6.0 hksk'!J115</f>
        <v>0</v>
      </c>
      <c r="W115" s="247">
        <f t="shared" si="80"/>
        <v>10260368</v>
      </c>
      <c r="X115" s="244">
        <f>'6.0 hksk'!L115</f>
        <v>9139903</v>
      </c>
      <c r="Y115" s="244">
        <f>'6.0 hksk'!M115</f>
        <v>0</v>
      </c>
      <c r="Z115" s="247">
        <f t="shared" si="81"/>
        <v>9139903</v>
      </c>
      <c r="AA115" s="244">
        <f>'7.0 önkormányzat össz'!C115</f>
        <v>18978829</v>
      </c>
      <c r="AB115" s="244">
        <f>'7.0 önkormányzat össz'!D115</f>
        <v>0</v>
      </c>
      <c r="AC115" s="247">
        <f t="shared" si="82"/>
        <v>18978829</v>
      </c>
      <c r="AD115" s="244">
        <f>'7.0 önkormányzat össz'!F115</f>
        <v>18978829</v>
      </c>
      <c r="AE115" s="244">
        <f>'7.0 önkormányzat össz'!G115</f>
        <v>0</v>
      </c>
      <c r="AF115" s="247">
        <f t="shared" si="103"/>
        <v>18978829</v>
      </c>
      <c r="AG115" s="244">
        <f ca="1">'7.0 önkormányzat össz'!I115</f>
        <v>24791975</v>
      </c>
      <c r="AH115" s="244">
        <f>'7.0 önkormányzat össz'!J115</f>
        <v>0</v>
      </c>
      <c r="AI115" s="247">
        <f t="shared" ca="1" si="104"/>
        <v>24791975</v>
      </c>
      <c r="AJ115" s="244">
        <f ca="1">'7.0 önkormányzat össz'!L115</f>
        <v>19457145</v>
      </c>
      <c r="AK115" s="244">
        <f>'7.0 önkormányzat össz'!M115</f>
        <v>0</v>
      </c>
      <c r="AL115" s="247">
        <f t="shared" ca="1" si="105"/>
        <v>19457145</v>
      </c>
      <c r="AM115" s="244">
        <f t="shared" si="83"/>
        <v>32011829</v>
      </c>
      <c r="AN115" s="244">
        <f t="shared" si="84"/>
        <v>0</v>
      </c>
      <c r="AO115" s="245">
        <f t="shared" si="85"/>
        <v>32011829</v>
      </c>
      <c r="AP115" s="244">
        <f t="shared" si="86"/>
        <v>32468720</v>
      </c>
      <c r="AQ115" s="244">
        <f t="shared" si="87"/>
        <v>0</v>
      </c>
      <c r="AR115" s="245">
        <f t="shared" si="88"/>
        <v>32468720</v>
      </c>
      <c r="AS115" s="329">
        <f t="shared" ca="1" si="89"/>
        <v>38480209</v>
      </c>
      <c r="AT115" s="329">
        <f t="shared" si="90"/>
        <v>0</v>
      </c>
      <c r="AU115" s="253">
        <f t="shared" ca="1" si="91"/>
        <v>38480209</v>
      </c>
      <c r="AV115" s="329">
        <f t="shared" ca="1" si="92"/>
        <v>31633098</v>
      </c>
      <c r="AW115" s="329">
        <f t="shared" si="93"/>
        <v>0</v>
      </c>
      <c r="AX115" s="647">
        <f t="shared" ca="1" si="94"/>
        <v>31633098</v>
      </c>
    </row>
    <row r="116" spans="1:50" ht="15.75" thickBot="1" x14ac:dyDescent="0.3">
      <c r="A116" s="34" t="s">
        <v>207</v>
      </c>
      <c r="B116" s="35" t="s">
        <v>208</v>
      </c>
      <c r="C116" s="246">
        <f>'5.0 hivatal'!C116</f>
        <v>0</v>
      </c>
      <c r="D116" s="246">
        <f>'5.0 hivatal'!D116</f>
        <v>0</v>
      </c>
      <c r="E116" s="247">
        <f t="shared" si="98"/>
        <v>0</v>
      </c>
      <c r="F116" s="246">
        <f>'5.0 hivatal'!F116</f>
        <v>0</v>
      </c>
      <c r="G116" s="246">
        <f>'5.0 hivatal'!G116</f>
        <v>0</v>
      </c>
      <c r="H116" s="247">
        <f t="shared" si="99"/>
        <v>0</v>
      </c>
      <c r="I116" s="246">
        <f>'5.0 hivatal'!I116</f>
        <v>0</v>
      </c>
      <c r="J116" s="246">
        <f>'5.0 hivatal'!J116</f>
        <v>0</v>
      </c>
      <c r="K116" s="247">
        <f t="shared" si="100"/>
        <v>0</v>
      </c>
      <c r="L116" s="246">
        <f>'5.0 hivatal'!L116</f>
        <v>0</v>
      </c>
      <c r="M116" s="246">
        <f>'5.0 hivatal'!M116</f>
        <v>0</v>
      </c>
      <c r="N116" s="247">
        <f t="shared" si="101"/>
        <v>0</v>
      </c>
      <c r="O116" s="244">
        <f>'6.0 hksk'!C116</f>
        <v>0</v>
      </c>
      <c r="P116" s="244">
        <f>'6.0 hksk'!D116</f>
        <v>0</v>
      </c>
      <c r="Q116" s="247">
        <f t="shared" si="78"/>
        <v>0</v>
      </c>
      <c r="R116" s="244">
        <f>'6.0 hksk'!F116</f>
        <v>0</v>
      </c>
      <c r="S116" s="244">
        <f>'6.0 hksk'!G116</f>
        <v>0</v>
      </c>
      <c r="T116" s="247">
        <f t="shared" si="102"/>
        <v>0</v>
      </c>
      <c r="U116" s="244">
        <f>'6.0 hksk'!I116</f>
        <v>0</v>
      </c>
      <c r="V116" s="244">
        <f>'6.0 hksk'!J116</f>
        <v>0</v>
      </c>
      <c r="W116" s="247">
        <f t="shared" si="80"/>
        <v>0</v>
      </c>
      <c r="X116" s="244">
        <f>'6.0 hksk'!L116</f>
        <v>0</v>
      </c>
      <c r="Y116" s="244">
        <f>'6.0 hksk'!M116</f>
        <v>0</v>
      </c>
      <c r="Z116" s="247">
        <f t="shared" si="81"/>
        <v>0</v>
      </c>
      <c r="AA116" s="244">
        <f>'7.0 önkormányzat össz'!C116</f>
        <v>9270000</v>
      </c>
      <c r="AB116" s="244">
        <f>'7.0 önkormányzat össz'!D116</f>
        <v>0</v>
      </c>
      <c r="AC116" s="247">
        <f t="shared" si="82"/>
        <v>9270000</v>
      </c>
      <c r="AD116" s="244">
        <f>'7.0 önkormányzat össz'!F116</f>
        <v>14004000</v>
      </c>
      <c r="AE116" s="244">
        <f>'7.0 önkormányzat össz'!G116</f>
        <v>0</v>
      </c>
      <c r="AF116" s="247">
        <f t="shared" si="103"/>
        <v>14004000</v>
      </c>
      <c r="AG116" s="244">
        <f ca="1">'7.0 önkormányzat össz'!I116</f>
        <v>15304000</v>
      </c>
      <c r="AH116" s="244">
        <f>'7.0 önkormányzat össz'!J116</f>
        <v>0</v>
      </c>
      <c r="AI116" s="247">
        <f t="shared" ca="1" si="104"/>
        <v>15304000</v>
      </c>
      <c r="AJ116" s="244">
        <f ca="1">'7.0 önkormányzat össz'!L116</f>
        <v>13454698</v>
      </c>
      <c r="AK116" s="244">
        <f>'7.0 önkormányzat össz'!M116</f>
        <v>0</v>
      </c>
      <c r="AL116" s="247">
        <f t="shared" ca="1" si="105"/>
        <v>13454698</v>
      </c>
      <c r="AM116" s="244">
        <f t="shared" si="83"/>
        <v>9270000</v>
      </c>
      <c r="AN116" s="244">
        <f t="shared" si="84"/>
        <v>0</v>
      </c>
      <c r="AO116" s="245">
        <f t="shared" si="85"/>
        <v>9270000</v>
      </c>
      <c r="AP116" s="244">
        <f t="shared" si="86"/>
        <v>14004000</v>
      </c>
      <c r="AQ116" s="244">
        <f t="shared" si="87"/>
        <v>0</v>
      </c>
      <c r="AR116" s="245">
        <f t="shared" si="88"/>
        <v>14004000</v>
      </c>
      <c r="AS116" s="329">
        <f t="shared" ca="1" si="89"/>
        <v>15304000</v>
      </c>
      <c r="AT116" s="329">
        <f t="shared" si="90"/>
        <v>0</v>
      </c>
      <c r="AU116" s="253">
        <f t="shared" ca="1" si="91"/>
        <v>15304000</v>
      </c>
      <c r="AV116" s="329">
        <f t="shared" ca="1" si="92"/>
        <v>13454698</v>
      </c>
      <c r="AW116" s="329">
        <f t="shared" si="93"/>
        <v>0</v>
      </c>
      <c r="AX116" s="647">
        <f t="shared" ca="1" si="94"/>
        <v>13454698</v>
      </c>
    </row>
    <row r="117" spans="1:50" ht="15.75" thickBot="1" x14ac:dyDescent="0.3">
      <c r="A117" s="34" t="s">
        <v>209</v>
      </c>
      <c r="B117" s="35" t="s">
        <v>210</v>
      </c>
      <c r="C117" s="246">
        <f>'5.0 hivatal'!C117</f>
        <v>20000</v>
      </c>
      <c r="D117" s="246">
        <f>'5.0 hivatal'!D117</f>
        <v>0</v>
      </c>
      <c r="E117" s="247">
        <f t="shared" si="98"/>
        <v>20000</v>
      </c>
      <c r="F117" s="246">
        <f>'5.0 hivatal'!F117</f>
        <v>20000</v>
      </c>
      <c r="G117" s="246">
        <f>'5.0 hivatal'!G117</f>
        <v>0</v>
      </c>
      <c r="H117" s="247">
        <f t="shared" si="99"/>
        <v>20000</v>
      </c>
      <c r="I117" s="246">
        <f>'5.0 hivatal'!I117</f>
        <v>32394</v>
      </c>
      <c r="J117" s="246">
        <f>'5.0 hivatal'!J117</f>
        <v>0</v>
      </c>
      <c r="K117" s="247">
        <f t="shared" si="100"/>
        <v>32394</v>
      </c>
      <c r="L117" s="246">
        <f>'5.0 hivatal'!L117</f>
        <v>31890</v>
      </c>
      <c r="M117" s="246">
        <f>'5.0 hivatal'!M117</f>
        <v>0</v>
      </c>
      <c r="N117" s="247">
        <f t="shared" si="101"/>
        <v>31890</v>
      </c>
      <c r="O117" s="244">
        <f>'6.0 hksk'!C117</f>
        <v>60000</v>
      </c>
      <c r="P117" s="244">
        <f>'6.0 hksk'!D117</f>
        <v>0</v>
      </c>
      <c r="Q117" s="247">
        <f t="shared" si="78"/>
        <v>60000</v>
      </c>
      <c r="R117" s="244">
        <f>'6.0 hksk'!F117</f>
        <v>2659000</v>
      </c>
      <c r="S117" s="244">
        <f>'6.0 hksk'!G117</f>
        <v>0</v>
      </c>
      <c r="T117" s="247">
        <f t="shared" si="102"/>
        <v>2659000</v>
      </c>
      <c r="U117" s="244">
        <f>'6.0 hksk'!I117</f>
        <v>3115194</v>
      </c>
      <c r="V117" s="244">
        <f>'6.0 hksk'!J117</f>
        <v>0</v>
      </c>
      <c r="W117" s="247">
        <f t="shared" si="80"/>
        <v>3115194</v>
      </c>
      <c r="X117" s="244">
        <f>'6.0 hksk'!L117</f>
        <v>3115194</v>
      </c>
      <c r="Y117" s="244">
        <f>'6.0 hksk'!M117</f>
        <v>0</v>
      </c>
      <c r="Z117" s="247">
        <f t="shared" si="81"/>
        <v>3115194</v>
      </c>
      <c r="AA117" s="244">
        <f>'7.0 önkormányzat össz'!C117</f>
        <v>11360000</v>
      </c>
      <c r="AB117" s="244">
        <f>'7.0 önkormányzat össz'!D117</f>
        <v>0</v>
      </c>
      <c r="AC117" s="247">
        <f t="shared" si="82"/>
        <v>11360000</v>
      </c>
      <c r="AD117" s="244">
        <f>'7.0 önkormányzat össz'!F117</f>
        <v>11360000</v>
      </c>
      <c r="AE117" s="244">
        <f>'7.0 önkormányzat össz'!G117</f>
        <v>0</v>
      </c>
      <c r="AF117" s="247">
        <f t="shared" si="103"/>
        <v>11360000</v>
      </c>
      <c r="AG117" s="244">
        <f ca="1">'7.0 önkormányzat össz'!I117</f>
        <v>14392000</v>
      </c>
      <c r="AH117" s="244">
        <f>'7.0 önkormányzat össz'!J117</f>
        <v>0</v>
      </c>
      <c r="AI117" s="247">
        <f t="shared" ca="1" si="104"/>
        <v>14392000</v>
      </c>
      <c r="AJ117" s="244">
        <f ca="1">'7.0 önkormányzat össz'!L117</f>
        <v>13056675</v>
      </c>
      <c r="AK117" s="244">
        <f>'7.0 önkormányzat össz'!M117</f>
        <v>0</v>
      </c>
      <c r="AL117" s="247">
        <f t="shared" ca="1" si="105"/>
        <v>13056675</v>
      </c>
      <c r="AM117" s="244">
        <f t="shared" si="83"/>
        <v>11440000</v>
      </c>
      <c r="AN117" s="244">
        <f t="shared" si="84"/>
        <v>0</v>
      </c>
      <c r="AO117" s="245">
        <f t="shared" si="85"/>
        <v>11440000</v>
      </c>
      <c r="AP117" s="244">
        <f t="shared" si="86"/>
        <v>14039000</v>
      </c>
      <c r="AQ117" s="244">
        <f t="shared" si="87"/>
        <v>0</v>
      </c>
      <c r="AR117" s="245">
        <f t="shared" si="88"/>
        <v>14039000</v>
      </c>
      <c r="AS117" s="329">
        <f t="shared" ca="1" si="89"/>
        <v>17539588</v>
      </c>
      <c r="AT117" s="329">
        <f t="shared" si="90"/>
        <v>0</v>
      </c>
      <c r="AU117" s="253">
        <f t="shared" ca="1" si="91"/>
        <v>17539588</v>
      </c>
      <c r="AV117" s="329">
        <f t="shared" ca="1" si="92"/>
        <v>16203759</v>
      </c>
      <c r="AW117" s="329">
        <f t="shared" si="93"/>
        <v>0</v>
      </c>
      <c r="AX117" s="647">
        <f t="shared" ca="1" si="94"/>
        <v>16203759</v>
      </c>
    </row>
    <row r="118" spans="1:50" ht="15.75" thickBot="1" x14ac:dyDescent="0.3">
      <c r="A118" s="34" t="s">
        <v>211</v>
      </c>
      <c r="B118" s="35" t="s">
        <v>212</v>
      </c>
      <c r="C118" s="246">
        <f>'5.0 hivatal'!C118</f>
        <v>230000</v>
      </c>
      <c r="D118" s="246">
        <f>'5.0 hivatal'!D118</f>
        <v>0</v>
      </c>
      <c r="E118" s="247">
        <f t="shared" si="98"/>
        <v>230000</v>
      </c>
      <c r="F118" s="246">
        <f>'5.0 hivatal'!F118</f>
        <v>230000</v>
      </c>
      <c r="G118" s="246">
        <f>'5.0 hivatal'!G118</f>
        <v>0</v>
      </c>
      <c r="H118" s="247">
        <f t="shared" si="99"/>
        <v>230000</v>
      </c>
      <c r="I118" s="246">
        <f>'5.0 hivatal'!I118</f>
        <v>230000</v>
      </c>
      <c r="J118" s="246">
        <f>'5.0 hivatal'!J118</f>
        <v>0</v>
      </c>
      <c r="K118" s="247">
        <f t="shared" si="100"/>
        <v>230000</v>
      </c>
      <c r="L118" s="246">
        <f>'5.0 hivatal'!L118</f>
        <v>83720</v>
      </c>
      <c r="M118" s="246">
        <f>'5.0 hivatal'!M118</f>
        <v>0</v>
      </c>
      <c r="N118" s="247">
        <f t="shared" si="101"/>
        <v>83720</v>
      </c>
      <c r="O118" s="244">
        <f>'6.0 hksk'!C118</f>
        <v>2436205</v>
      </c>
      <c r="P118" s="244">
        <f>'6.0 hksk'!D118</f>
        <v>0</v>
      </c>
      <c r="Q118" s="247">
        <f t="shared" si="78"/>
        <v>2436205</v>
      </c>
      <c r="R118" s="244">
        <f>'6.0 hksk'!F118</f>
        <v>2436205</v>
      </c>
      <c r="S118" s="244">
        <f>'6.0 hksk'!G118</f>
        <v>0</v>
      </c>
      <c r="T118" s="247">
        <f t="shared" si="102"/>
        <v>2436205</v>
      </c>
      <c r="U118" s="244">
        <f>'6.0 hksk'!I118</f>
        <v>1848073</v>
      </c>
      <c r="V118" s="244">
        <f>'6.0 hksk'!J118</f>
        <v>0</v>
      </c>
      <c r="W118" s="247">
        <f t="shared" si="80"/>
        <v>1848073</v>
      </c>
      <c r="X118" s="244">
        <f>'6.0 hksk'!L118</f>
        <v>1820236</v>
      </c>
      <c r="Y118" s="244">
        <f>'6.0 hksk'!M118</f>
        <v>0</v>
      </c>
      <c r="Z118" s="247">
        <f t="shared" si="81"/>
        <v>1820236</v>
      </c>
      <c r="AA118" s="244">
        <f>'7.0 önkormányzat össz'!C118</f>
        <v>8663701</v>
      </c>
      <c r="AB118" s="244">
        <f>'7.0 önkormányzat össz'!D118</f>
        <v>0</v>
      </c>
      <c r="AC118" s="247">
        <f t="shared" si="82"/>
        <v>8663701</v>
      </c>
      <c r="AD118" s="244">
        <f>'7.0 önkormányzat össz'!F118</f>
        <v>11663701</v>
      </c>
      <c r="AE118" s="244">
        <f>'7.0 önkormányzat össz'!G118</f>
        <v>0</v>
      </c>
      <c r="AF118" s="247">
        <f t="shared" si="103"/>
        <v>11663701</v>
      </c>
      <c r="AG118" s="244">
        <f ca="1">'7.0 önkormányzat össz'!I118</f>
        <v>19240072</v>
      </c>
      <c r="AH118" s="244">
        <f>'7.0 önkormányzat össz'!J118</f>
        <v>0</v>
      </c>
      <c r="AI118" s="247">
        <f t="shared" ca="1" si="104"/>
        <v>19240072</v>
      </c>
      <c r="AJ118" s="244">
        <f ca="1">'7.0 önkormányzat össz'!L118</f>
        <v>17446199</v>
      </c>
      <c r="AK118" s="244">
        <f>'7.0 önkormányzat össz'!M118</f>
        <v>0</v>
      </c>
      <c r="AL118" s="247">
        <f t="shared" ca="1" si="105"/>
        <v>17446199</v>
      </c>
      <c r="AM118" s="244">
        <f t="shared" si="83"/>
        <v>11329906</v>
      </c>
      <c r="AN118" s="244">
        <f t="shared" si="84"/>
        <v>0</v>
      </c>
      <c r="AO118" s="245">
        <f t="shared" si="85"/>
        <v>11329906</v>
      </c>
      <c r="AP118" s="244">
        <f t="shared" si="86"/>
        <v>14329906</v>
      </c>
      <c r="AQ118" s="244">
        <f t="shared" si="87"/>
        <v>0</v>
      </c>
      <c r="AR118" s="245">
        <f t="shared" si="88"/>
        <v>14329906</v>
      </c>
      <c r="AS118" s="329">
        <f t="shared" ca="1" si="89"/>
        <v>21318145</v>
      </c>
      <c r="AT118" s="329">
        <f t="shared" si="90"/>
        <v>0</v>
      </c>
      <c r="AU118" s="253">
        <f t="shared" ca="1" si="91"/>
        <v>21318145</v>
      </c>
      <c r="AV118" s="329">
        <f t="shared" ca="1" si="92"/>
        <v>19350155</v>
      </c>
      <c r="AW118" s="329">
        <f t="shared" si="93"/>
        <v>0</v>
      </c>
      <c r="AX118" s="647">
        <f t="shared" ca="1" si="94"/>
        <v>19350155</v>
      </c>
    </row>
    <row r="119" spans="1:50" ht="15.75" thickBot="1" x14ac:dyDescent="0.3">
      <c r="A119" s="34" t="s">
        <v>213</v>
      </c>
      <c r="B119" s="35" t="s">
        <v>214</v>
      </c>
      <c r="C119" s="246">
        <f>'5.0 hivatal'!C119</f>
        <v>50000</v>
      </c>
      <c r="D119" s="246">
        <f>'5.0 hivatal'!D119</f>
        <v>0</v>
      </c>
      <c r="E119" s="247">
        <f t="shared" si="98"/>
        <v>50000</v>
      </c>
      <c r="F119" s="246">
        <f>'5.0 hivatal'!F119</f>
        <v>50000</v>
      </c>
      <c r="G119" s="246">
        <f>'5.0 hivatal'!G119</f>
        <v>0</v>
      </c>
      <c r="H119" s="247">
        <f t="shared" si="99"/>
        <v>50000</v>
      </c>
      <c r="I119" s="246">
        <f>'5.0 hivatal'!I119</f>
        <v>55000</v>
      </c>
      <c r="J119" s="246">
        <f>'5.0 hivatal'!J119</f>
        <v>0</v>
      </c>
      <c r="K119" s="247">
        <f t="shared" si="100"/>
        <v>55000</v>
      </c>
      <c r="L119" s="246">
        <f>'5.0 hivatal'!L119</f>
        <v>54333</v>
      </c>
      <c r="M119" s="246">
        <f>'5.0 hivatal'!M119</f>
        <v>0</v>
      </c>
      <c r="N119" s="247">
        <f t="shared" si="101"/>
        <v>54333</v>
      </c>
      <c r="O119" s="244">
        <f>'6.0 hksk'!C119</f>
        <v>0</v>
      </c>
      <c r="P119" s="244">
        <f>'6.0 hksk'!D119</f>
        <v>0</v>
      </c>
      <c r="Q119" s="247">
        <f t="shared" si="78"/>
        <v>0</v>
      </c>
      <c r="R119" s="244">
        <f>'6.0 hksk'!F119</f>
        <v>0</v>
      </c>
      <c r="S119" s="244">
        <f>'6.0 hksk'!G119</f>
        <v>0</v>
      </c>
      <c r="T119" s="247">
        <f t="shared" si="102"/>
        <v>0</v>
      </c>
      <c r="U119" s="244">
        <f>'6.0 hksk'!I119</f>
        <v>0</v>
      </c>
      <c r="V119" s="244">
        <f>'6.0 hksk'!J119</f>
        <v>0</v>
      </c>
      <c r="W119" s="247">
        <f t="shared" si="80"/>
        <v>0</v>
      </c>
      <c r="X119" s="244">
        <f>'6.0 hksk'!L119</f>
        <v>0</v>
      </c>
      <c r="Y119" s="244">
        <f>'6.0 hksk'!M119</f>
        <v>0</v>
      </c>
      <c r="Z119" s="247">
        <f t="shared" si="81"/>
        <v>0</v>
      </c>
      <c r="AA119" s="244">
        <f>'7.0 önkormányzat össz'!C119</f>
        <v>9485000</v>
      </c>
      <c r="AB119" s="244">
        <f>'7.0 önkormányzat össz'!D119</f>
        <v>0</v>
      </c>
      <c r="AC119" s="247">
        <f t="shared" si="82"/>
        <v>9485000</v>
      </c>
      <c r="AD119" s="244">
        <f>'7.0 önkormányzat össz'!F119</f>
        <v>885000</v>
      </c>
      <c r="AE119" s="244">
        <f>'7.0 önkormányzat össz'!G119</f>
        <v>0</v>
      </c>
      <c r="AF119" s="247">
        <f t="shared" si="103"/>
        <v>885000</v>
      </c>
      <c r="AG119" s="244">
        <f ca="1">'7.0 önkormányzat össz'!I119</f>
        <v>3049504</v>
      </c>
      <c r="AH119" s="244">
        <f>'7.0 önkormányzat össz'!J119</f>
        <v>0</v>
      </c>
      <c r="AI119" s="247">
        <f t="shared" ca="1" si="104"/>
        <v>3049504</v>
      </c>
      <c r="AJ119" s="244">
        <f ca="1">'7.0 önkormányzat össz'!L119</f>
        <v>2406905</v>
      </c>
      <c r="AK119" s="244">
        <f>'7.0 önkormányzat össz'!M119</f>
        <v>0</v>
      </c>
      <c r="AL119" s="247">
        <f t="shared" ca="1" si="105"/>
        <v>2406905</v>
      </c>
      <c r="AM119" s="244">
        <f t="shared" si="83"/>
        <v>9535000</v>
      </c>
      <c r="AN119" s="244">
        <f t="shared" si="84"/>
        <v>0</v>
      </c>
      <c r="AO119" s="245">
        <f t="shared" si="85"/>
        <v>9535000</v>
      </c>
      <c r="AP119" s="244">
        <f t="shared" si="86"/>
        <v>935000</v>
      </c>
      <c r="AQ119" s="244">
        <f t="shared" si="87"/>
        <v>0</v>
      </c>
      <c r="AR119" s="245">
        <f t="shared" si="88"/>
        <v>935000</v>
      </c>
      <c r="AS119" s="329">
        <f t="shared" ca="1" si="89"/>
        <v>3104504</v>
      </c>
      <c r="AT119" s="329">
        <f t="shared" si="90"/>
        <v>0</v>
      </c>
      <c r="AU119" s="253">
        <f t="shared" ca="1" si="91"/>
        <v>3104504</v>
      </c>
      <c r="AV119" s="329">
        <f t="shared" ca="1" si="92"/>
        <v>2461238</v>
      </c>
      <c r="AW119" s="329">
        <f t="shared" si="93"/>
        <v>0</v>
      </c>
      <c r="AX119" s="647">
        <f t="shared" ca="1" si="94"/>
        <v>2461238</v>
      </c>
    </row>
    <row r="120" spans="1:50" ht="15.75" thickBot="1" x14ac:dyDescent="0.3">
      <c r="A120" s="34" t="s">
        <v>215</v>
      </c>
      <c r="B120" s="35" t="s">
        <v>216</v>
      </c>
      <c r="C120" s="246">
        <f>'5.0 hivatal'!C120</f>
        <v>3300000</v>
      </c>
      <c r="D120" s="246">
        <f>'5.0 hivatal'!D120</f>
        <v>0</v>
      </c>
      <c r="E120" s="247">
        <f t="shared" si="98"/>
        <v>3300000</v>
      </c>
      <c r="F120" s="246">
        <f>'5.0 hivatal'!F120</f>
        <v>3300000</v>
      </c>
      <c r="G120" s="246">
        <f>'5.0 hivatal'!G120</f>
        <v>0</v>
      </c>
      <c r="H120" s="247">
        <f t="shared" si="99"/>
        <v>3300000</v>
      </c>
      <c r="I120" s="246">
        <f>'5.0 hivatal'!I120</f>
        <v>3768692</v>
      </c>
      <c r="J120" s="246">
        <f>'5.0 hivatal'!J120</f>
        <v>0</v>
      </c>
      <c r="K120" s="247">
        <f t="shared" si="100"/>
        <v>3768692</v>
      </c>
      <c r="L120" s="246">
        <f>'5.0 hivatal'!L120</f>
        <v>3468692</v>
      </c>
      <c r="M120" s="246">
        <f>'5.0 hivatal'!M120</f>
        <v>0</v>
      </c>
      <c r="N120" s="247">
        <f t="shared" si="101"/>
        <v>3468692</v>
      </c>
      <c r="O120" s="244">
        <f>'6.0 hksk'!C120</f>
        <v>1970000</v>
      </c>
      <c r="P120" s="244">
        <f>'6.0 hksk'!D120</f>
        <v>0</v>
      </c>
      <c r="Q120" s="247">
        <f t="shared" si="78"/>
        <v>1970000</v>
      </c>
      <c r="R120" s="244">
        <f>'6.0 hksk'!F120</f>
        <v>1970000</v>
      </c>
      <c r="S120" s="244">
        <f>'6.0 hksk'!G120</f>
        <v>0</v>
      </c>
      <c r="T120" s="247">
        <f t="shared" si="102"/>
        <v>1970000</v>
      </c>
      <c r="U120" s="244">
        <f>'6.0 hksk'!I120</f>
        <v>2205000</v>
      </c>
      <c r="V120" s="244">
        <f>'6.0 hksk'!J120</f>
        <v>0</v>
      </c>
      <c r="W120" s="247">
        <f t="shared" si="80"/>
        <v>2205000</v>
      </c>
      <c r="X120" s="244">
        <f>'6.0 hksk'!L120</f>
        <v>2045000</v>
      </c>
      <c r="Y120" s="244">
        <f>'6.0 hksk'!M120</f>
        <v>0</v>
      </c>
      <c r="Z120" s="247">
        <f t="shared" si="81"/>
        <v>2045000</v>
      </c>
      <c r="AA120" s="244">
        <f>'7.0 önkormányzat össz'!C120</f>
        <v>50972992</v>
      </c>
      <c r="AB120" s="244">
        <f>'7.0 önkormányzat össz'!D120</f>
        <v>1200000</v>
      </c>
      <c r="AC120" s="247">
        <f t="shared" si="82"/>
        <v>52172992</v>
      </c>
      <c r="AD120" s="244">
        <f>'7.0 önkormányzat össz'!F120</f>
        <v>75915512</v>
      </c>
      <c r="AE120" s="244">
        <f>'7.0 önkormányzat össz'!G120</f>
        <v>1200000</v>
      </c>
      <c r="AF120" s="247">
        <f t="shared" si="103"/>
        <v>77115512</v>
      </c>
      <c r="AG120" s="244">
        <f ca="1">'7.0 önkormányzat össz'!I120</f>
        <v>87872912</v>
      </c>
      <c r="AH120" s="244">
        <f>'7.0 önkormányzat össz'!J120</f>
        <v>1200000</v>
      </c>
      <c r="AI120" s="247">
        <f t="shared" ca="1" si="104"/>
        <v>89072912</v>
      </c>
      <c r="AJ120" s="244">
        <f ca="1">'7.0 önkormányzat össz'!L120</f>
        <v>56194539</v>
      </c>
      <c r="AK120" s="244">
        <f>'7.0 önkormányzat össz'!M120</f>
        <v>1190000</v>
      </c>
      <c r="AL120" s="247">
        <f t="shared" ca="1" si="105"/>
        <v>57384539</v>
      </c>
      <c r="AM120" s="244">
        <f t="shared" ref="AM120:AM149" si="106">C120+O120+AA120</f>
        <v>56242992</v>
      </c>
      <c r="AN120" s="244">
        <f t="shared" ref="AN120:AN149" si="107">D120+P120+AB120</f>
        <v>1200000</v>
      </c>
      <c r="AO120" s="245">
        <f t="shared" ref="AO120:AO149" si="108">E120+Q120+AC120</f>
        <v>57442992</v>
      </c>
      <c r="AP120" s="244">
        <f t="shared" ref="AP120:AP149" si="109">F120+R120+AD120</f>
        <v>81185512</v>
      </c>
      <c r="AQ120" s="244">
        <f t="shared" ref="AQ120:AQ149" si="110">G120+S120+AE120</f>
        <v>1200000</v>
      </c>
      <c r="AR120" s="245">
        <f t="shared" ref="AR120:AR149" si="111">H120+T120+AF120</f>
        <v>82385512</v>
      </c>
      <c r="AS120" s="329">
        <f t="shared" ref="AS120:AS149" ca="1" si="112">I120+U120+AG120</f>
        <v>93846604</v>
      </c>
      <c r="AT120" s="329">
        <f t="shared" ref="AT120:AT149" si="113">J120+V120+AH120</f>
        <v>1200000</v>
      </c>
      <c r="AU120" s="253">
        <f t="shared" ref="AU120:AU149" ca="1" si="114">K120+W120+AI120</f>
        <v>95046604</v>
      </c>
      <c r="AV120" s="329">
        <f t="shared" ref="AV120:AV149" ca="1" si="115">L120+X120+AJ120</f>
        <v>61708231</v>
      </c>
      <c r="AW120" s="329">
        <f t="shared" ref="AW120:AW149" si="116">M120+Y120+AK120</f>
        <v>1190000</v>
      </c>
      <c r="AX120" s="647">
        <f t="shared" ref="AX120:AX149" ca="1" si="117">N120+Z120+AL120</f>
        <v>62898231</v>
      </c>
    </row>
    <row r="121" spans="1:50" ht="15.75" thickBot="1" x14ac:dyDescent="0.3">
      <c r="A121" s="34" t="s">
        <v>217</v>
      </c>
      <c r="B121" s="35" t="s">
        <v>218</v>
      </c>
      <c r="C121" s="246">
        <f>'5.0 hivatal'!C121</f>
        <v>6000000</v>
      </c>
      <c r="D121" s="246">
        <f>'5.0 hivatal'!D121</f>
        <v>0</v>
      </c>
      <c r="E121" s="247">
        <f t="shared" si="98"/>
        <v>6000000</v>
      </c>
      <c r="F121" s="246">
        <f>'5.0 hivatal'!F121</f>
        <v>6000000</v>
      </c>
      <c r="G121" s="246">
        <f>'5.0 hivatal'!G121</f>
        <v>0</v>
      </c>
      <c r="H121" s="247">
        <f t="shared" si="99"/>
        <v>6000000</v>
      </c>
      <c r="I121" s="246">
        <f>'5.0 hivatal'!I121</f>
        <v>5399308</v>
      </c>
      <c r="J121" s="246">
        <f>'5.0 hivatal'!J121</f>
        <v>0</v>
      </c>
      <c r="K121" s="247">
        <f t="shared" si="100"/>
        <v>5399308</v>
      </c>
      <c r="L121" s="246">
        <f>'5.0 hivatal'!L121</f>
        <v>4937608</v>
      </c>
      <c r="M121" s="246">
        <f>'5.0 hivatal'!M121</f>
        <v>0</v>
      </c>
      <c r="N121" s="247">
        <f t="shared" si="101"/>
        <v>4937608</v>
      </c>
      <c r="O121" s="244">
        <f>'6.0 hksk'!C121</f>
        <v>12926000</v>
      </c>
      <c r="P121" s="244">
        <f>'6.0 hksk'!D121</f>
        <v>0</v>
      </c>
      <c r="Q121" s="247">
        <f t="shared" si="78"/>
        <v>12926000</v>
      </c>
      <c r="R121" s="244">
        <f>'6.0 hksk'!F121</f>
        <v>23050358</v>
      </c>
      <c r="S121" s="244">
        <f>'6.0 hksk'!G121</f>
        <v>0</v>
      </c>
      <c r="T121" s="247">
        <f t="shared" si="102"/>
        <v>23050358</v>
      </c>
      <c r="U121" s="244">
        <f>'6.0 hksk'!I121</f>
        <v>22890032</v>
      </c>
      <c r="V121" s="244">
        <f>'6.0 hksk'!J121</f>
        <v>0</v>
      </c>
      <c r="W121" s="247">
        <f t="shared" si="80"/>
        <v>22890032</v>
      </c>
      <c r="X121" s="244">
        <f>'6.0 hksk'!L121</f>
        <v>22206762</v>
      </c>
      <c r="Y121" s="244">
        <f>'6.0 hksk'!M121</f>
        <v>0</v>
      </c>
      <c r="Z121" s="247">
        <f t="shared" si="81"/>
        <v>22206762</v>
      </c>
      <c r="AA121" s="244">
        <f>'7.0 önkormányzat össz'!C121</f>
        <v>188248124</v>
      </c>
      <c r="AB121" s="244">
        <f>'7.0 önkormányzat össz'!D121</f>
        <v>39370</v>
      </c>
      <c r="AC121" s="247">
        <f t="shared" si="82"/>
        <v>188287494</v>
      </c>
      <c r="AD121" s="244">
        <f>'7.0 önkormányzat össz'!F121</f>
        <v>183913349</v>
      </c>
      <c r="AE121" s="244">
        <f>'7.0 önkormányzat össz'!G121</f>
        <v>39370</v>
      </c>
      <c r="AF121" s="247">
        <f t="shared" si="103"/>
        <v>183952719</v>
      </c>
      <c r="AG121" s="244">
        <f ca="1">'7.0 önkormányzat össz'!I121</f>
        <v>163425091</v>
      </c>
      <c r="AH121" s="244">
        <f>'7.0 önkormányzat össz'!J121</f>
        <v>39370</v>
      </c>
      <c r="AI121" s="247">
        <f t="shared" ca="1" si="104"/>
        <v>163464461</v>
      </c>
      <c r="AJ121" s="244">
        <f ca="1">'7.0 önkormányzat össz'!L121</f>
        <v>106338569</v>
      </c>
      <c r="AK121" s="244">
        <f>'7.0 önkormányzat össz'!M121</f>
        <v>17323</v>
      </c>
      <c r="AL121" s="247">
        <f t="shared" ca="1" si="105"/>
        <v>106355892</v>
      </c>
      <c r="AM121" s="244">
        <f t="shared" si="106"/>
        <v>207174124</v>
      </c>
      <c r="AN121" s="244">
        <f t="shared" si="107"/>
        <v>39370</v>
      </c>
      <c r="AO121" s="245">
        <f t="shared" si="108"/>
        <v>207213494</v>
      </c>
      <c r="AP121" s="244">
        <f t="shared" si="109"/>
        <v>212963707</v>
      </c>
      <c r="AQ121" s="244">
        <f t="shared" si="110"/>
        <v>39370</v>
      </c>
      <c r="AR121" s="245">
        <f t="shared" si="111"/>
        <v>213003077</v>
      </c>
      <c r="AS121" s="329">
        <f t="shared" ca="1" si="112"/>
        <v>191714431</v>
      </c>
      <c r="AT121" s="329">
        <f t="shared" si="113"/>
        <v>39370</v>
      </c>
      <c r="AU121" s="253">
        <f t="shared" ca="1" si="114"/>
        <v>191753801</v>
      </c>
      <c r="AV121" s="329">
        <f t="shared" ca="1" si="115"/>
        <v>133482939</v>
      </c>
      <c r="AW121" s="329">
        <f t="shared" si="116"/>
        <v>17323</v>
      </c>
      <c r="AX121" s="647">
        <f t="shared" ca="1" si="117"/>
        <v>133500262</v>
      </c>
    </row>
    <row r="122" spans="1:50" ht="15.75" thickBot="1" x14ac:dyDescent="0.3">
      <c r="A122" s="34" t="s">
        <v>219</v>
      </c>
      <c r="B122" s="35" t="s">
        <v>220</v>
      </c>
      <c r="C122" s="246">
        <f>'5.0 hivatal'!C122</f>
        <v>0</v>
      </c>
      <c r="D122" s="246">
        <f>'5.0 hivatal'!D122</f>
        <v>0</v>
      </c>
      <c r="E122" s="247">
        <f t="shared" si="98"/>
        <v>0</v>
      </c>
      <c r="F122" s="246">
        <f>'5.0 hivatal'!F122</f>
        <v>100000</v>
      </c>
      <c r="G122" s="246">
        <f>'5.0 hivatal'!G122</f>
        <v>0</v>
      </c>
      <c r="H122" s="247">
        <f t="shared" si="99"/>
        <v>100000</v>
      </c>
      <c r="I122" s="246">
        <f>'5.0 hivatal'!I122</f>
        <v>100000</v>
      </c>
      <c r="J122" s="246">
        <f>'5.0 hivatal'!J122</f>
        <v>0</v>
      </c>
      <c r="K122" s="247">
        <f t="shared" si="100"/>
        <v>100000</v>
      </c>
      <c r="L122" s="246">
        <f>'5.0 hivatal'!L122</f>
        <v>98030</v>
      </c>
      <c r="M122" s="246">
        <f>'5.0 hivatal'!M122</f>
        <v>0</v>
      </c>
      <c r="N122" s="247">
        <f t="shared" si="101"/>
        <v>98030</v>
      </c>
      <c r="O122" s="244">
        <f>'6.0 hksk'!C122</f>
        <v>65000</v>
      </c>
      <c r="P122" s="244">
        <f>'6.0 hksk'!D122</f>
        <v>0</v>
      </c>
      <c r="Q122" s="247">
        <f t="shared" si="78"/>
        <v>65000</v>
      </c>
      <c r="R122" s="244">
        <f>'6.0 hksk'!F122</f>
        <v>529952</v>
      </c>
      <c r="S122" s="244">
        <f>'6.0 hksk'!G122</f>
        <v>0</v>
      </c>
      <c r="T122" s="247">
        <f t="shared" si="102"/>
        <v>529952</v>
      </c>
      <c r="U122" s="244">
        <f>'6.0 hksk'!I122</f>
        <v>597277</v>
      </c>
      <c r="V122" s="244">
        <f>'6.0 hksk'!J122</f>
        <v>0</v>
      </c>
      <c r="W122" s="247">
        <f t="shared" si="80"/>
        <v>597277</v>
      </c>
      <c r="X122" s="244">
        <f>'6.0 hksk'!L122</f>
        <v>586642</v>
      </c>
      <c r="Y122" s="244">
        <f>'6.0 hksk'!M122</f>
        <v>0</v>
      </c>
      <c r="Z122" s="247">
        <f t="shared" si="81"/>
        <v>586642</v>
      </c>
      <c r="AA122" s="244">
        <f>'7.0 önkormányzat össz'!C122</f>
        <v>4562000</v>
      </c>
      <c r="AB122" s="244">
        <f>'7.0 önkormányzat össz'!D122</f>
        <v>0</v>
      </c>
      <c r="AC122" s="247">
        <f t="shared" si="82"/>
        <v>4562000</v>
      </c>
      <c r="AD122" s="244">
        <f>'7.0 önkormányzat össz'!F122</f>
        <v>4562000</v>
      </c>
      <c r="AE122" s="244">
        <f>'7.0 önkormányzat össz'!G122</f>
        <v>0</v>
      </c>
      <c r="AF122" s="247">
        <f t="shared" si="103"/>
        <v>4562000</v>
      </c>
      <c r="AG122" s="244">
        <f ca="1">'7.0 önkormányzat össz'!I122</f>
        <v>6958743</v>
      </c>
      <c r="AH122" s="244">
        <f>'7.0 önkormányzat össz'!J122</f>
        <v>0</v>
      </c>
      <c r="AI122" s="247">
        <f t="shared" ca="1" si="104"/>
        <v>6958743</v>
      </c>
      <c r="AJ122" s="244">
        <f ca="1">'7.0 önkormányzat össz'!L122</f>
        <v>5358515</v>
      </c>
      <c r="AK122" s="244">
        <f>'7.0 önkormányzat össz'!M122</f>
        <v>0</v>
      </c>
      <c r="AL122" s="247">
        <f t="shared" ca="1" si="105"/>
        <v>5358515</v>
      </c>
      <c r="AM122" s="244">
        <f t="shared" si="106"/>
        <v>4627000</v>
      </c>
      <c r="AN122" s="244">
        <f t="shared" si="107"/>
        <v>0</v>
      </c>
      <c r="AO122" s="245">
        <f t="shared" si="108"/>
        <v>4627000</v>
      </c>
      <c r="AP122" s="244">
        <f t="shared" si="109"/>
        <v>5191952</v>
      </c>
      <c r="AQ122" s="244">
        <f t="shared" si="110"/>
        <v>0</v>
      </c>
      <c r="AR122" s="245">
        <f t="shared" si="111"/>
        <v>5191952</v>
      </c>
      <c r="AS122" s="329">
        <f t="shared" ca="1" si="112"/>
        <v>7656020</v>
      </c>
      <c r="AT122" s="329">
        <f t="shared" si="113"/>
        <v>0</v>
      </c>
      <c r="AU122" s="253">
        <f t="shared" ca="1" si="114"/>
        <v>7656020</v>
      </c>
      <c r="AV122" s="329">
        <f t="shared" ca="1" si="115"/>
        <v>6043187</v>
      </c>
      <c r="AW122" s="329">
        <f t="shared" si="116"/>
        <v>0</v>
      </c>
      <c r="AX122" s="647">
        <f t="shared" ca="1" si="117"/>
        <v>6043187</v>
      </c>
    </row>
    <row r="123" spans="1:50" ht="15.75" thickBot="1" x14ac:dyDescent="0.3">
      <c r="A123" s="34" t="s">
        <v>221</v>
      </c>
      <c r="B123" s="35" t="s">
        <v>222</v>
      </c>
      <c r="C123" s="246">
        <f>'5.0 hivatal'!C123</f>
        <v>3933950.0000000005</v>
      </c>
      <c r="D123" s="246">
        <f>'5.0 hivatal'!D123</f>
        <v>0</v>
      </c>
      <c r="E123" s="247">
        <f t="shared" si="98"/>
        <v>3933950.0000000005</v>
      </c>
      <c r="F123" s="246">
        <f>'5.0 hivatal'!F123</f>
        <v>3953777.0000000005</v>
      </c>
      <c r="G123" s="246">
        <f>'5.0 hivatal'!G123</f>
        <v>0</v>
      </c>
      <c r="H123" s="247">
        <f t="shared" si="99"/>
        <v>3953777.0000000005</v>
      </c>
      <c r="I123" s="246">
        <f>'5.0 hivatal'!I123</f>
        <v>3953777.0000000005</v>
      </c>
      <c r="J123" s="246">
        <f>'5.0 hivatal'!J123</f>
        <v>0</v>
      </c>
      <c r="K123" s="247">
        <f t="shared" si="100"/>
        <v>3953777.0000000005</v>
      </c>
      <c r="L123" s="246">
        <f>'5.0 hivatal'!L123</f>
        <v>2506558</v>
      </c>
      <c r="M123" s="246">
        <f>'5.0 hivatal'!M123</f>
        <v>0</v>
      </c>
      <c r="N123" s="247">
        <f t="shared" si="101"/>
        <v>2506558</v>
      </c>
      <c r="O123" s="244">
        <f>'6.0 hksk'!C123</f>
        <v>8542405</v>
      </c>
      <c r="P123" s="244">
        <f>'6.0 hksk'!D123</f>
        <v>0</v>
      </c>
      <c r="Q123" s="247">
        <f t="shared" si="78"/>
        <v>8542405</v>
      </c>
      <c r="R123" s="244">
        <f>'6.0 hksk'!F123</f>
        <v>11382557</v>
      </c>
      <c r="S123" s="244">
        <f>'6.0 hksk'!G123</f>
        <v>0</v>
      </c>
      <c r="T123" s="247">
        <f t="shared" si="102"/>
        <v>11382557</v>
      </c>
      <c r="U123" s="244">
        <f>'6.0 hksk'!I123</f>
        <v>10931605</v>
      </c>
      <c r="V123" s="244">
        <f>'6.0 hksk'!J123</f>
        <v>0</v>
      </c>
      <c r="W123" s="247">
        <f t="shared" si="80"/>
        <v>10931605</v>
      </c>
      <c r="X123" s="244">
        <f>'6.0 hksk'!L123</f>
        <v>9942092</v>
      </c>
      <c r="Y123" s="244">
        <f>'6.0 hksk'!M123</f>
        <v>0</v>
      </c>
      <c r="Z123" s="247">
        <f t="shared" si="81"/>
        <v>9942092</v>
      </c>
      <c r="AA123" s="244">
        <f>'7.0 önkormányzat össz'!C123</f>
        <v>470050809</v>
      </c>
      <c r="AB123" s="244">
        <f>'7.0 önkormányzat össz'!D123</f>
        <v>10630</v>
      </c>
      <c r="AC123" s="247">
        <f t="shared" si="82"/>
        <v>470061439</v>
      </c>
      <c r="AD123" s="244">
        <f>'7.0 önkormányzat össz'!F123</f>
        <v>418906493</v>
      </c>
      <c r="AE123" s="244">
        <f>'7.0 önkormányzat össz'!G123</f>
        <v>10630</v>
      </c>
      <c r="AF123" s="247">
        <f t="shared" si="103"/>
        <v>418917123</v>
      </c>
      <c r="AG123" s="244">
        <f ca="1">'7.0 önkormányzat össz'!I123</f>
        <v>418110303</v>
      </c>
      <c r="AH123" s="244">
        <f>'7.0 önkormányzat össz'!J123</f>
        <v>10630</v>
      </c>
      <c r="AI123" s="247">
        <f t="shared" ca="1" si="104"/>
        <v>418120933</v>
      </c>
      <c r="AJ123" s="244">
        <f ca="1">'7.0 önkormányzat össz'!L123</f>
        <v>274076022</v>
      </c>
      <c r="AK123" s="244">
        <f>'7.0 önkormányzat össz'!M123</f>
        <v>5454</v>
      </c>
      <c r="AL123" s="247">
        <f t="shared" ca="1" si="105"/>
        <v>274081476</v>
      </c>
      <c r="AM123" s="244">
        <f t="shared" si="106"/>
        <v>482527164</v>
      </c>
      <c r="AN123" s="244">
        <f t="shared" si="107"/>
        <v>10630</v>
      </c>
      <c r="AO123" s="245">
        <f t="shared" si="108"/>
        <v>482537794</v>
      </c>
      <c r="AP123" s="244">
        <f t="shared" si="109"/>
        <v>434242827</v>
      </c>
      <c r="AQ123" s="244">
        <f t="shared" si="110"/>
        <v>10630</v>
      </c>
      <c r="AR123" s="245">
        <f t="shared" si="111"/>
        <v>434253457</v>
      </c>
      <c r="AS123" s="329">
        <f t="shared" ca="1" si="112"/>
        <v>432995685</v>
      </c>
      <c r="AT123" s="329">
        <f t="shared" si="113"/>
        <v>10630</v>
      </c>
      <c r="AU123" s="253">
        <f t="shared" ca="1" si="114"/>
        <v>433006315</v>
      </c>
      <c r="AV123" s="329">
        <f t="shared" ca="1" si="115"/>
        <v>286524672</v>
      </c>
      <c r="AW123" s="329">
        <f t="shared" si="116"/>
        <v>5454</v>
      </c>
      <c r="AX123" s="647">
        <f t="shared" ca="1" si="117"/>
        <v>286530126</v>
      </c>
    </row>
    <row r="124" spans="1:50" ht="15.75" thickBot="1" x14ac:dyDescent="0.3">
      <c r="A124" s="34"/>
      <c r="B124" s="35" t="s">
        <v>223</v>
      </c>
      <c r="C124" s="246">
        <f>'5.0 hivatal'!C124</f>
        <v>3883950.0000000005</v>
      </c>
      <c r="D124" s="246">
        <f>'5.0 hivatal'!D124</f>
        <v>0</v>
      </c>
      <c r="E124" s="247">
        <f t="shared" ref="E124:E145" si="118">SUM(C124:D124)</f>
        <v>3883950.0000000005</v>
      </c>
      <c r="F124" s="246">
        <f>'5.0 hivatal'!F124</f>
        <v>3903777.0000000005</v>
      </c>
      <c r="G124" s="246">
        <f>'5.0 hivatal'!G124</f>
        <v>0</v>
      </c>
      <c r="H124" s="247">
        <f t="shared" si="99"/>
        <v>3903777.0000000005</v>
      </c>
      <c r="I124" s="246">
        <f>'5.0 hivatal'!I124</f>
        <v>3903777.0000000005</v>
      </c>
      <c r="J124" s="246">
        <f>'5.0 hivatal'!J124</f>
        <v>0</v>
      </c>
      <c r="K124" s="247">
        <f t="shared" si="100"/>
        <v>3903777.0000000005</v>
      </c>
      <c r="L124" s="246">
        <f>'5.0 hivatal'!L124</f>
        <v>2492424</v>
      </c>
      <c r="M124" s="246">
        <f>'5.0 hivatal'!M124</f>
        <v>0</v>
      </c>
      <c r="N124" s="247">
        <f t="shared" si="101"/>
        <v>2492424</v>
      </c>
      <c r="O124" s="244">
        <f>'6.0 hksk'!C124</f>
        <v>8132405</v>
      </c>
      <c r="P124" s="244">
        <f>'6.0 hksk'!D124</f>
        <v>0</v>
      </c>
      <c r="Q124" s="247">
        <f t="shared" si="78"/>
        <v>8132405</v>
      </c>
      <c r="R124" s="244">
        <f>'6.0 hksk'!F124</f>
        <v>10972557</v>
      </c>
      <c r="S124" s="244">
        <f>'6.0 hksk'!G124</f>
        <v>0</v>
      </c>
      <c r="T124" s="247">
        <f t="shared" si="102"/>
        <v>10972557</v>
      </c>
      <c r="U124" s="244">
        <f>'6.0 hksk'!I124</f>
        <v>10621605</v>
      </c>
      <c r="V124" s="244">
        <f>'6.0 hksk'!J124</f>
        <v>0</v>
      </c>
      <c r="W124" s="247">
        <f t="shared" si="80"/>
        <v>10621605</v>
      </c>
      <c r="X124" s="244">
        <f>'6.0 hksk'!L124</f>
        <v>9646606</v>
      </c>
      <c r="Y124" s="244">
        <f>'6.0 hksk'!M124</f>
        <v>0</v>
      </c>
      <c r="Z124" s="247">
        <f t="shared" si="81"/>
        <v>9646606</v>
      </c>
      <c r="AA124" s="244">
        <f>'7.0 önkormányzat össz'!C124</f>
        <v>464085575</v>
      </c>
      <c r="AB124" s="244">
        <f>'7.0 önkormányzat össz'!D124</f>
        <v>10630</v>
      </c>
      <c r="AC124" s="247">
        <f t="shared" si="82"/>
        <v>464096205</v>
      </c>
      <c r="AD124" s="244">
        <f>'7.0 önkormányzat össz'!F124</f>
        <v>412622240</v>
      </c>
      <c r="AE124" s="244">
        <f>'7.0 önkormányzat össz'!G124</f>
        <v>10630</v>
      </c>
      <c r="AF124" s="247">
        <f t="shared" si="103"/>
        <v>412632870</v>
      </c>
      <c r="AG124" s="244">
        <f ca="1">'7.0 önkormányzat össz'!I124</f>
        <v>411821812</v>
      </c>
      <c r="AH124" s="244">
        <f>'7.0 önkormányzat össz'!J124</f>
        <v>10630</v>
      </c>
      <c r="AI124" s="247">
        <f t="shared" ca="1" si="104"/>
        <v>411832442</v>
      </c>
      <c r="AJ124" s="244">
        <f ca="1">'7.0 önkormányzat össz'!L124</f>
        <v>268327382</v>
      </c>
      <c r="AK124" s="244">
        <f>'7.0 önkormányzat össz'!M124</f>
        <v>5454</v>
      </c>
      <c r="AL124" s="247">
        <f t="shared" ca="1" si="105"/>
        <v>268332836</v>
      </c>
      <c r="AM124" s="244">
        <f t="shared" si="106"/>
        <v>476101930</v>
      </c>
      <c r="AN124" s="244">
        <f t="shared" si="107"/>
        <v>10630</v>
      </c>
      <c r="AO124" s="245">
        <f t="shared" si="108"/>
        <v>476112560</v>
      </c>
      <c r="AP124" s="244">
        <f t="shared" si="109"/>
        <v>427498574</v>
      </c>
      <c r="AQ124" s="244">
        <f t="shared" si="110"/>
        <v>10630</v>
      </c>
      <c r="AR124" s="245">
        <f t="shared" si="111"/>
        <v>427509204</v>
      </c>
      <c r="AS124" s="329">
        <f t="shared" ca="1" si="112"/>
        <v>426347194</v>
      </c>
      <c r="AT124" s="329">
        <f t="shared" si="113"/>
        <v>10630</v>
      </c>
      <c r="AU124" s="253">
        <f t="shared" ca="1" si="114"/>
        <v>426357824</v>
      </c>
      <c r="AV124" s="329">
        <f t="shared" ca="1" si="115"/>
        <v>280466412</v>
      </c>
      <c r="AW124" s="329">
        <f t="shared" si="116"/>
        <v>5454</v>
      </c>
      <c r="AX124" s="647">
        <f t="shared" ca="1" si="117"/>
        <v>280471866</v>
      </c>
    </row>
    <row r="125" spans="1:50" ht="15.75" thickBot="1" x14ac:dyDescent="0.3">
      <c r="A125" s="36"/>
      <c r="B125" s="37" t="s">
        <v>224</v>
      </c>
      <c r="C125" s="246">
        <f>'5.0 hivatal'!C125</f>
        <v>0</v>
      </c>
      <c r="D125" s="246">
        <f>'5.0 hivatal'!D125</f>
        <v>0</v>
      </c>
      <c r="E125" s="247">
        <f t="shared" si="118"/>
        <v>0</v>
      </c>
      <c r="F125" s="246">
        <f>'5.0 hivatal'!F125</f>
        <v>0</v>
      </c>
      <c r="G125" s="246">
        <f>'5.0 hivatal'!G125</f>
        <v>0</v>
      </c>
      <c r="H125" s="247">
        <f t="shared" si="99"/>
        <v>0</v>
      </c>
      <c r="I125" s="246">
        <f>'5.0 hivatal'!I125</f>
        <v>0</v>
      </c>
      <c r="J125" s="246">
        <f>'5.0 hivatal'!J125</f>
        <v>0</v>
      </c>
      <c r="K125" s="247">
        <f t="shared" si="100"/>
        <v>0</v>
      </c>
      <c r="L125" s="246">
        <f>'5.0 hivatal'!L125</f>
        <v>0</v>
      </c>
      <c r="M125" s="246">
        <f>'5.0 hivatal'!M125</f>
        <v>0</v>
      </c>
      <c r="N125" s="247">
        <f t="shared" si="101"/>
        <v>0</v>
      </c>
      <c r="O125" s="244">
        <f>'6.0 hksk'!C125</f>
        <v>0</v>
      </c>
      <c r="P125" s="244">
        <f>'6.0 hksk'!D125</f>
        <v>0</v>
      </c>
      <c r="Q125" s="247">
        <f t="shared" si="78"/>
        <v>0</v>
      </c>
      <c r="R125" s="244">
        <f>'6.0 hksk'!F125</f>
        <v>0</v>
      </c>
      <c r="S125" s="244">
        <f>'6.0 hksk'!G125</f>
        <v>0</v>
      </c>
      <c r="T125" s="247">
        <f t="shared" si="102"/>
        <v>0</v>
      </c>
      <c r="U125" s="244">
        <f>'6.0 hksk'!I125</f>
        <v>0</v>
      </c>
      <c r="V125" s="244">
        <f>'6.0 hksk'!J125</f>
        <v>0</v>
      </c>
      <c r="W125" s="247">
        <f t="shared" si="80"/>
        <v>0</v>
      </c>
      <c r="X125" s="244">
        <f>'6.0 hksk'!L125</f>
        <v>0</v>
      </c>
      <c r="Y125" s="244">
        <f>'6.0 hksk'!M125</f>
        <v>0</v>
      </c>
      <c r="Z125" s="247">
        <f t="shared" si="81"/>
        <v>0</v>
      </c>
      <c r="AA125" s="244">
        <f>'7.0 önkormányzat össz'!C125</f>
        <v>0</v>
      </c>
      <c r="AB125" s="244">
        <f>'7.0 önkormányzat össz'!D125</f>
        <v>0</v>
      </c>
      <c r="AC125" s="247">
        <f t="shared" si="82"/>
        <v>0</v>
      </c>
      <c r="AD125" s="244">
        <f>'7.0 önkormányzat össz'!F125</f>
        <v>0</v>
      </c>
      <c r="AE125" s="244">
        <f>'7.0 önkormányzat össz'!G125</f>
        <v>0</v>
      </c>
      <c r="AF125" s="247">
        <f t="shared" si="103"/>
        <v>0</v>
      </c>
      <c r="AG125" s="244">
        <f ca="1">'7.0 önkormányzat össz'!I125</f>
        <v>4238</v>
      </c>
      <c r="AH125" s="244">
        <f>'7.0 önkormányzat össz'!J125</f>
        <v>0</v>
      </c>
      <c r="AI125" s="247">
        <f t="shared" ca="1" si="104"/>
        <v>4238</v>
      </c>
      <c r="AJ125" s="244">
        <f ca="1">'7.0 önkormányzat össz'!L125</f>
        <v>3238</v>
      </c>
      <c r="AK125" s="244">
        <f>'7.0 önkormányzat össz'!M125</f>
        <v>0</v>
      </c>
      <c r="AL125" s="247">
        <f t="shared" ca="1" si="105"/>
        <v>3238</v>
      </c>
      <c r="AM125" s="244">
        <f t="shared" si="106"/>
        <v>0</v>
      </c>
      <c r="AN125" s="244">
        <f t="shared" si="107"/>
        <v>0</v>
      </c>
      <c r="AO125" s="245">
        <f t="shared" si="108"/>
        <v>0</v>
      </c>
      <c r="AP125" s="244">
        <f t="shared" si="109"/>
        <v>0</v>
      </c>
      <c r="AQ125" s="244">
        <f t="shared" si="110"/>
        <v>0</v>
      </c>
      <c r="AR125" s="245">
        <f t="shared" si="111"/>
        <v>0</v>
      </c>
      <c r="AS125" s="329">
        <f t="shared" ca="1" si="112"/>
        <v>4238</v>
      </c>
      <c r="AT125" s="329">
        <f t="shared" si="113"/>
        <v>0</v>
      </c>
      <c r="AU125" s="253">
        <f t="shared" ca="1" si="114"/>
        <v>4238</v>
      </c>
      <c r="AV125" s="329">
        <f t="shared" ca="1" si="115"/>
        <v>3238</v>
      </c>
      <c r="AW125" s="329">
        <f t="shared" si="116"/>
        <v>0</v>
      </c>
      <c r="AX125" s="647">
        <f t="shared" ca="1" si="117"/>
        <v>3238</v>
      </c>
    </row>
    <row r="126" spans="1:50" ht="15.75" thickBot="1" x14ac:dyDescent="0.3">
      <c r="A126" s="36" t="s">
        <v>225</v>
      </c>
      <c r="B126" s="37" t="s">
        <v>226</v>
      </c>
      <c r="C126" s="248">
        <f>'5.0 hivatal'!C126</f>
        <v>50000</v>
      </c>
      <c r="D126" s="248">
        <f>'5.0 hivatal'!D126</f>
        <v>0</v>
      </c>
      <c r="E126" s="249">
        <f t="shared" si="118"/>
        <v>50000</v>
      </c>
      <c r="F126" s="248">
        <f>'5.0 hivatal'!F126</f>
        <v>50000</v>
      </c>
      <c r="G126" s="248">
        <f>'5.0 hivatal'!G126</f>
        <v>0</v>
      </c>
      <c r="H126" s="249">
        <f t="shared" si="99"/>
        <v>50000</v>
      </c>
      <c r="I126" s="248">
        <f>'5.0 hivatal'!I126</f>
        <v>50000</v>
      </c>
      <c r="J126" s="248">
        <f>'5.0 hivatal'!J126</f>
        <v>0</v>
      </c>
      <c r="K126" s="249">
        <f t="shared" si="100"/>
        <v>50000</v>
      </c>
      <c r="L126" s="248">
        <f>'5.0 hivatal'!L126</f>
        <v>14134</v>
      </c>
      <c r="M126" s="248">
        <f>'5.0 hivatal'!M126</f>
        <v>0</v>
      </c>
      <c r="N126" s="249">
        <f t="shared" si="101"/>
        <v>14134</v>
      </c>
      <c r="O126" s="248">
        <f>'6.0 hksk'!C126</f>
        <v>410000</v>
      </c>
      <c r="P126" s="248">
        <f>'6.0 hksk'!D126</f>
        <v>0</v>
      </c>
      <c r="Q126" s="249">
        <f t="shared" si="78"/>
        <v>410000</v>
      </c>
      <c r="R126" s="248">
        <f>'6.0 hksk'!F126</f>
        <v>410000</v>
      </c>
      <c r="S126" s="248">
        <f>'6.0 hksk'!G126</f>
        <v>0</v>
      </c>
      <c r="T126" s="249">
        <f t="shared" si="102"/>
        <v>410000</v>
      </c>
      <c r="U126" s="248">
        <f>'6.0 hksk'!I126</f>
        <v>310000</v>
      </c>
      <c r="V126" s="248">
        <f>'6.0 hksk'!J126</f>
        <v>0</v>
      </c>
      <c r="W126" s="249">
        <f t="shared" si="80"/>
        <v>310000</v>
      </c>
      <c r="X126" s="248">
        <f>'6.0 hksk'!L126</f>
        <v>295486</v>
      </c>
      <c r="Y126" s="248">
        <f>'6.0 hksk'!M126</f>
        <v>0</v>
      </c>
      <c r="Z126" s="249">
        <f t="shared" si="81"/>
        <v>295486</v>
      </c>
      <c r="AA126" s="248">
        <f>'7.0 önkormányzat össz'!C126</f>
        <v>5965234</v>
      </c>
      <c r="AB126" s="248">
        <f>'7.0 önkormányzat össz'!D126</f>
        <v>0</v>
      </c>
      <c r="AC126" s="249">
        <f t="shared" si="82"/>
        <v>5965234</v>
      </c>
      <c r="AD126" s="248">
        <f>'7.0 önkormányzat össz'!F126</f>
        <v>6284253</v>
      </c>
      <c r="AE126" s="248">
        <f>'7.0 önkormányzat össz'!G126</f>
        <v>0</v>
      </c>
      <c r="AF126" s="249">
        <f t="shared" si="103"/>
        <v>6284253</v>
      </c>
      <c r="AG126" s="248">
        <f ca="1">'7.0 önkormányzat össz'!I126</f>
        <v>6284253</v>
      </c>
      <c r="AH126" s="248">
        <f>'7.0 önkormányzat össz'!J126</f>
        <v>0</v>
      </c>
      <c r="AI126" s="249">
        <f t="shared" ca="1" si="104"/>
        <v>6284253</v>
      </c>
      <c r="AJ126" s="248">
        <f ca="1">'7.0 önkormányzat össz'!L126</f>
        <v>5745402</v>
      </c>
      <c r="AK126" s="248">
        <f>'7.0 önkormányzat össz'!M126</f>
        <v>0</v>
      </c>
      <c r="AL126" s="249">
        <f t="shared" ca="1" si="105"/>
        <v>5745402</v>
      </c>
      <c r="AM126" s="248">
        <f t="shared" si="106"/>
        <v>6425234</v>
      </c>
      <c r="AN126" s="248">
        <f t="shared" si="107"/>
        <v>0</v>
      </c>
      <c r="AO126" s="249">
        <f t="shared" si="108"/>
        <v>6425234</v>
      </c>
      <c r="AP126" s="248">
        <f t="shared" si="109"/>
        <v>6744253</v>
      </c>
      <c r="AQ126" s="248">
        <f t="shared" si="110"/>
        <v>0</v>
      </c>
      <c r="AR126" s="249">
        <f t="shared" si="111"/>
        <v>6744253</v>
      </c>
      <c r="AS126" s="329">
        <f t="shared" ca="1" si="112"/>
        <v>6644253</v>
      </c>
      <c r="AT126" s="329">
        <f t="shared" si="113"/>
        <v>0</v>
      </c>
      <c r="AU126" s="253">
        <f t="shared" ca="1" si="114"/>
        <v>6644253</v>
      </c>
      <c r="AV126" s="329">
        <f t="shared" ca="1" si="115"/>
        <v>6055022</v>
      </c>
      <c r="AW126" s="329">
        <f t="shared" si="116"/>
        <v>0</v>
      </c>
      <c r="AX126" s="647">
        <f t="shared" ca="1" si="117"/>
        <v>6055022</v>
      </c>
    </row>
    <row r="127" spans="1:50" ht="15.75" thickBot="1" x14ac:dyDescent="0.3">
      <c r="A127" s="38" t="s">
        <v>227</v>
      </c>
      <c r="B127" s="23" t="s">
        <v>36</v>
      </c>
      <c r="C127" s="250">
        <f>'5.0 hivatal'!C127</f>
        <v>0</v>
      </c>
      <c r="D127" s="250">
        <f>'5.0 hivatal'!D127</f>
        <v>0</v>
      </c>
      <c r="E127" s="251">
        <f t="shared" si="118"/>
        <v>0</v>
      </c>
      <c r="F127" s="250">
        <f>'5.0 hivatal'!F127</f>
        <v>0</v>
      </c>
      <c r="G127" s="250">
        <f>'5.0 hivatal'!G127</f>
        <v>0</v>
      </c>
      <c r="H127" s="251">
        <f t="shared" si="99"/>
        <v>0</v>
      </c>
      <c r="I127" s="250">
        <f>'5.0 hivatal'!I127</f>
        <v>0</v>
      </c>
      <c r="J127" s="250">
        <f>'5.0 hivatal'!J127</f>
        <v>0</v>
      </c>
      <c r="K127" s="251">
        <f t="shared" si="100"/>
        <v>0</v>
      </c>
      <c r="L127" s="250">
        <f>'5.0 hivatal'!L127</f>
        <v>0</v>
      </c>
      <c r="M127" s="250">
        <f>'5.0 hivatal'!M127</f>
        <v>0</v>
      </c>
      <c r="N127" s="251">
        <f t="shared" si="101"/>
        <v>0</v>
      </c>
      <c r="O127" s="250">
        <f>'6.0 hksk'!C127</f>
        <v>0</v>
      </c>
      <c r="P127" s="250">
        <f>'6.0 hksk'!D127</f>
        <v>0</v>
      </c>
      <c r="Q127" s="251">
        <f t="shared" si="78"/>
        <v>0</v>
      </c>
      <c r="R127" s="250">
        <f>'6.0 hksk'!F127</f>
        <v>0</v>
      </c>
      <c r="S127" s="250">
        <f>'6.0 hksk'!G127</f>
        <v>0</v>
      </c>
      <c r="T127" s="251">
        <f t="shared" si="102"/>
        <v>0</v>
      </c>
      <c r="U127" s="250">
        <f>'6.0 hksk'!I127</f>
        <v>0</v>
      </c>
      <c r="V127" s="250">
        <f>'6.0 hksk'!J127</f>
        <v>0</v>
      </c>
      <c r="W127" s="251">
        <f t="shared" si="80"/>
        <v>0</v>
      </c>
      <c r="X127" s="250">
        <f>'6.0 hksk'!L127</f>
        <v>0</v>
      </c>
      <c r="Y127" s="250">
        <f>'6.0 hksk'!M127</f>
        <v>0</v>
      </c>
      <c r="Z127" s="251">
        <f t="shared" si="81"/>
        <v>0</v>
      </c>
      <c r="AA127" s="250">
        <f>'7.0 önkormányzat össz'!C127</f>
        <v>4000000</v>
      </c>
      <c r="AB127" s="250">
        <f>'7.0 önkormányzat össz'!D127</f>
        <v>0</v>
      </c>
      <c r="AC127" s="251">
        <f t="shared" si="82"/>
        <v>4000000</v>
      </c>
      <c r="AD127" s="250">
        <f>'7.0 önkormányzat össz'!F127</f>
        <v>4000000</v>
      </c>
      <c r="AE127" s="250">
        <f>'7.0 önkormányzat össz'!G127</f>
        <v>0</v>
      </c>
      <c r="AF127" s="251">
        <f t="shared" si="103"/>
        <v>4000000</v>
      </c>
      <c r="AG127" s="250">
        <f ca="1">'7.0 önkormányzat össz'!I127</f>
        <v>5388302</v>
      </c>
      <c r="AH127" s="250">
        <f>'7.0 önkormányzat össz'!J127</f>
        <v>0</v>
      </c>
      <c r="AI127" s="251">
        <f t="shared" ca="1" si="104"/>
        <v>5388302</v>
      </c>
      <c r="AJ127" s="250">
        <f ca="1">'7.0 önkormányzat össz'!L127</f>
        <v>5151302</v>
      </c>
      <c r="AK127" s="250">
        <f>'7.0 önkormányzat össz'!M127</f>
        <v>0</v>
      </c>
      <c r="AL127" s="251">
        <f t="shared" ca="1" si="105"/>
        <v>5151302</v>
      </c>
      <c r="AM127" s="250">
        <f t="shared" si="106"/>
        <v>4000000</v>
      </c>
      <c r="AN127" s="250">
        <f t="shared" si="107"/>
        <v>0</v>
      </c>
      <c r="AO127" s="251">
        <f t="shared" si="108"/>
        <v>4000000</v>
      </c>
      <c r="AP127" s="250">
        <f t="shared" si="109"/>
        <v>4000000</v>
      </c>
      <c r="AQ127" s="250">
        <f t="shared" si="110"/>
        <v>0</v>
      </c>
      <c r="AR127" s="251">
        <f t="shared" si="111"/>
        <v>4000000</v>
      </c>
      <c r="AS127" s="329">
        <f t="shared" ca="1" si="112"/>
        <v>5388302</v>
      </c>
      <c r="AT127" s="329">
        <f t="shared" si="113"/>
        <v>0</v>
      </c>
      <c r="AU127" s="253">
        <f t="shared" ca="1" si="114"/>
        <v>5388302</v>
      </c>
      <c r="AV127" s="329">
        <f t="shared" ca="1" si="115"/>
        <v>5151302</v>
      </c>
      <c r="AW127" s="329">
        <f t="shared" si="116"/>
        <v>0</v>
      </c>
      <c r="AX127" s="647">
        <f t="shared" ca="1" si="117"/>
        <v>5151302</v>
      </c>
    </row>
    <row r="128" spans="1:50" ht="15.75" thickBot="1" x14ac:dyDescent="0.3">
      <c r="A128" s="33" t="s">
        <v>228</v>
      </c>
      <c r="B128" s="24" t="s">
        <v>37</v>
      </c>
      <c r="C128" s="244">
        <f>'5.0 hivatal'!C128</f>
        <v>0</v>
      </c>
      <c r="D128" s="244">
        <f>'5.0 hivatal'!D128</f>
        <v>0</v>
      </c>
      <c r="E128" s="245">
        <f t="shared" si="118"/>
        <v>0</v>
      </c>
      <c r="F128" s="244">
        <f>'5.0 hivatal'!F128</f>
        <v>0</v>
      </c>
      <c r="G128" s="244">
        <f>'5.0 hivatal'!G128</f>
        <v>0</v>
      </c>
      <c r="H128" s="245">
        <f t="shared" si="99"/>
        <v>0</v>
      </c>
      <c r="I128" s="244">
        <f>'5.0 hivatal'!I128</f>
        <v>0</v>
      </c>
      <c r="J128" s="244">
        <f>'5.0 hivatal'!J128</f>
        <v>0</v>
      </c>
      <c r="K128" s="245">
        <f t="shared" si="100"/>
        <v>0</v>
      </c>
      <c r="L128" s="244">
        <f>'5.0 hivatal'!L128</f>
        <v>0</v>
      </c>
      <c r="M128" s="244">
        <f>'5.0 hivatal'!M128</f>
        <v>0</v>
      </c>
      <c r="N128" s="245">
        <f t="shared" si="101"/>
        <v>0</v>
      </c>
      <c r="O128" s="244">
        <f>'6.0 hksk'!C128</f>
        <v>0</v>
      </c>
      <c r="P128" s="244">
        <f>'6.0 hksk'!D128</f>
        <v>0</v>
      </c>
      <c r="Q128" s="245">
        <f t="shared" si="78"/>
        <v>0</v>
      </c>
      <c r="R128" s="244">
        <f>'6.0 hksk'!F128</f>
        <v>0</v>
      </c>
      <c r="S128" s="244">
        <f>'6.0 hksk'!G128</f>
        <v>0</v>
      </c>
      <c r="T128" s="245">
        <f t="shared" si="102"/>
        <v>0</v>
      </c>
      <c r="U128" s="244">
        <f>'6.0 hksk'!I128</f>
        <v>0</v>
      </c>
      <c r="V128" s="244">
        <f>'6.0 hksk'!J128</f>
        <v>0</v>
      </c>
      <c r="W128" s="245">
        <f t="shared" si="80"/>
        <v>0</v>
      </c>
      <c r="X128" s="244">
        <f>'6.0 hksk'!L128</f>
        <v>0</v>
      </c>
      <c r="Y128" s="244">
        <f>'6.0 hksk'!M128</f>
        <v>0</v>
      </c>
      <c r="Z128" s="245">
        <f t="shared" si="81"/>
        <v>0</v>
      </c>
      <c r="AA128" s="244">
        <f>'7.0 önkormányzat össz'!C128</f>
        <v>491721344</v>
      </c>
      <c r="AB128" s="244">
        <f>'7.0 önkormányzat össz'!D128</f>
        <v>61812082</v>
      </c>
      <c r="AC128" s="245">
        <f t="shared" si="82"/>
        <v>553533426</v>
      </c>
      <c r="AD128" s="244">
        <f>'7.0 önkormányzat össz'!F128</f>
        <v>456686326</v>
      </c>
      <c r="AE128" s="244">
        <f>'7.0 önkormányzat össz'!G128</f>
        <v>61812082</v>
      </c>
      <c r="AF128" s="245">
        <f t="shared" si="103"/>
        <v>518498408</v>
      </c>
      <c r="AG128" s="244">
        <f ca="1">'7.0 önkormányzat össz'!I128</f>
        <v>458930378</v>
      </c>
      <c r="AH128" s="244">
        <f>'7.0 önkormányzat össz'!J128</f>
        <v>62412000</v>
      </c>
      <c r="AI128" s="245">
        <f t="shared" ca="1" si="104"/>
        <v>521342378</v>
      </c>
      <c r="AJ128" s="244">
        <f ca="1">'7.0 önkormányzat össz'!L128</f>
        <v>392231809</v>
      </c>
      <c r="AK128" s="244">
        <f>'7.0 önkormányzat össz'!M128</f>
        <v>62412000</v>
      </c>
      <c r="AL128" s="245">
        <f t="shared" ca="1" si="105"/>
        <v>454643809</v>
      </c>
      <c r="AM128" s="244">
        <f t="shared" si="106"/>
        <v>491721344</v>
      </c>
      <c r="AN128" s="244">
        <f t="shared" si="107"/>
        <v>61812082</v>
      </c>
      <c r="AO128" s="245">
        <f t="shared" si="108"/>
        <v>553533426</v>
      </c>
      <c r="AP128" s="244">
        <f t="shared" si="109"/>
        <v>456686326</v>
      </c>
      <c r="AQ128" s="244">
        <f t="shared" si="110"/>
        <v>61812082</v>
      </c>
      <c r="AR128" s="245">
        <f t="shared" si="111"/>
        <v>518498408</v>
      </c>
      <c r="AS128" s="329">
        <f t="shared" ca="1" si="112"/>
        <v>458930378</v>
      </c>
      <c r="AT128" s="329">
        <f t="shared" si="113"/>
        <v>62412000</v>
      </c>
      <c r="AU128" s="253">
        <f t="shared" ca="1" si="114"/>
        <v>521342378</v>
      </c>
      <c r="AV128" s="329">
        <f t="shared" ca="1" si="115"/>
        <v>392231809</v>
      </c>
      <c r="AW128" s="329">
        <f t="shared" si="116"/>
        <v>62412000</v>
      </c>
      <c r="AX128" s="647">
        <f t="shared" ca="1" si="117"/>
        <v>454643809</v>
      </c>
    </row>
    <row r="129" spans="1:53" ht="15.75" thickBot="1" x14ac:dyDescent="0.3">
      <c r="A129" s="34" t="s">
        <v>229</v>
      </c>
      <c r="B129" s="35" t="s">
        <v>230</v>
      </c>
      <c r="C129" s="246">
        <f>'5.0 hivatal'!C129</f>
        <v>0</v>
      </c>
      <c r="D129" s="246">
        <f>'5.0 hivatal'!D129</f>
        <v>0</v>
      </c>
      <c r="E129" s="247">
        <f t="shared" si="118"/>
        <v>0</v>
      </c>
      <c r="F129" s="246">
        <f>'5.0 hivatal'!F129</f>
        <v>0</v>
      </c>
      <c r="G129" s="246">
        <f>'5.0 hivatal'!G129</f>
        <v>0</v>
      </c>
      <c r="H129" s="247">
        <f t="shared" si="99"/>
        <v>0</v>
      </c>
      <c r="I129" s="246">
        <f>'5.0 hivatal'!I129</f>
        <v>0</v>
      </c>
      <c r="J129" s="246">
        <f>'5.0 hivatal'!J129</f>
        <v>0</v>
      </c>
      <c r="K129" s="247">
        <f t="shared" si="100"/>
        <v>0</v>
      </c>
      <c r="L129" s="246">
        <f>'5.0 hivatal'!L129</f>
        <v>0</v>
      </c>
      <c r="M129" s="246">
        <f>'5.0 hivatal'!M129</f>
        <v>0</v>
      </c>
      <c r="N129" s="247">
        <f t="shared" si="101"/>
        <v>0</v>
      </c>
      <c r="O129" s="244">
        <f>'6.0 hksk'!C129</f>
        <v>0</v>
      </c>
      <c r="P129" s="244">
        <f>'6.0 hksk'!D129</f>
        <v>0</v>
      </c>
      <c r="Q129" s="247">
        <f t="shared" si="78"/>
        <v>0</v>
      </c>
      <c r="R129" s="244">
        <f>'6.0 hksk'!F129</f>
        <v>0</v>
      </c>
      <c r="S129" s="244">
        <f>'6.0 hksk'!G129</f>
        <v>0</v>
      </c>
      <c r="T129" s="247">
        <f t="shared" si="102"/>
        <v>0</v>
      </c>
      <c r="U129" s="244">
        <f>'6.0 hksk'!I129</f>
        <v>0</v>
      </c>
      <c r="V129" s="244">
        <f>'6.0 hksk'!J129</f>
        <v>0</v>
      </c>
      <c r="W129" s="247">
        <f t="shared" si="80"/>
        <v>0</v>
      </c>
      <c r="X129" s="244">
        <f>'6.0 hksk'!L129</f>
        <v>0</v>
      </c>
      <c r="Y129" s="244">
        <f>'6.0 hksk'!M129</f>
        <v>0</v>
      </c>
      <c r="Z129" s="247">
        <f t="shared" si="81"/>
        <v>0</v>
      </c>
      <c r="AA129" s="244">
        <f>'7.0 önkormányzat össz'!C129</f>
        <v>0</v>
      </c>
      <c r="AB129" s="244">
        <f>'7.0 önkormányzat össz'!D129</f>
        <v>0</v>
      </c>
      <c r="AC129" s="247">
        <f t="shared" si="82"/>
        <v>0</v>
      </c>
      <c r="AD129" s="244">
        <f>'7.0 önkormányzat össz'!F129</f>
        <v>0</v>
      </c>
      <c r="AE129" s="244">
        <f>'7.0 önkormányzat össz'!G129</f>
        <v>0</v>
      </c>
      <c r="AF129" s="247">
        <f t="shared" si="103"/>
        <v>0</v>
      </c>
      <c r="AG129" s="244">
        <f ca="1">'7.0 önkormányzat össz'!I129</f>
        <v>22052</v>
      </c>
      <c r="AH129" s="244">
        <f>'7.0 önkormányzat össz'!J129</f>
        <v>0</v>
      </c>
      <c r="AI129" s="247">
        <f t="shared" ca="1" si="104"/>
        <v>22052</v>
      </c>
      <c r="AJ129" s="244">
        <f ca="1">'7.0 önkormányzat össz'!L129</f>
        <v>22052</v>
      </c>
      <c r="AK129" s="244">
        <f>'7.0 önkormányzat össz'!M129</f>
        <v>0</v>
      </c>
      <c r="AL129" s="247">
        <f t="shared" ca="1" si="105"/>
        <v>22052</v>
      </c>
      <c r="AM129" s="244">
        <f t="shared" si="106"/>
        <v>0</v>
      </c>
      <c r="AN129" s="244">
        <f t="shared" si="107"/>
        <v>0</v>
      </c>
      <c r="AO129" s="245">
        <f t="shared" si="108"/>
        <v>0</v>
      </c>
      <c r="AP129" s="244">
        <f t="shared" si="109"/>
        <v>0</v>
      </c>
      <c r="AQ129" s="244">
        <f t="shared" si="110"/>
        <v>0</v>
      </c>
      <c r="AR129" s="245">
        <f t="shared" si="111"/>
        <v>0</v>
      </c>
      <c r="AS129" s="329">
        <f t="shared" ca="1" si="112"/>
        <v>22052</v>
      </c>
      <c r="AT129" s="329">
        <f t="shared" si="113"/>
        <v>0</v>
      </c>
      <c r="AU129" s="253">
        <f t="shared" ca="1" si="114"/>
        <v>22052</v>
      </c>
      <c r="AV129" s="329">
        <f t="shared" ca="1" si="115"/>
        <v>22052</v>
      </c>
      <c r="AW129" s="329">
        <f t="shared" si="116"/>
        <v>0</v>
      </c>
      <c r="AX129" s="647">
        <f t="shared" ca="1" si="117"/>
        <v>22052</v>
      </c>
    </row>
    <row r="130" spans="1:53" ht="15.75" thickBot="1" x14ac:dyDescent="0.3">
      <c r="A130" s="190" t="s">
        <v>548</v>
      </c>
      <c r="B130" s="180" t="s">
        <v>549</v>
      </c>
      <c r="C130" s="246">
        <f>'5.0 hivatal'!C130</f>
        <v>0</v>
      </c>
      <c r="D130" s="246">
        <f>'5.0 hivatal'!D130</f>
        <v>0</v>
      </c>
      <c r="E130" s="247">
        <f t="shared" si="118"/>
        <v>0</v>
      </c>
      <c r="F130" s="246">
        <f>'5.0 hivatal'!F130</f>
        <v>0</v>
      </c>
      <c r="G130" s="246">
        <f>'5.0 hivatal'!G130</f>
        <v>0</v>
      </c>
      <c r="H130" s="247">
        <f t="shared" si="99"/>
        <v>0</v>
      </c>
      <c r="I130" s="246">
        <f>'5.0 hivatal'!I130</f>
        <v>0</v>
      </c>
      <c r="J130" s="246">
        <f>'5.0 hivatal'!J130</f>
        <v>0</v>
      </c>
      <c r="K130" s="247">
        <f t="shared" si="100"/>
        <v>0</v>
      </c>
      <c r="L130" s="246">
        <f>'5.0 hivatal'!L130</f>
        <v>0</v>
      </c>
      <c r="M130" s="246">
        <f>'5.0 hivatal'!M130</f>
        <v>0</v>
      </c>
      <c r="N130" s="247">
        <f t="shared" si="101"/>
        <v>0</v>
      </c>
      <c r="O130" s="244">
        <f>'6.0 hksk'!C130</f>
        <v>0</v>
      </c>
      <c r="P130" s="244">
        <f>'6.0 hksk'!D130</f>
        <v>0</v>
      </c>
      <c r="Q130" s="247">
        <f t="shared" si="78"/>
        <v>0</v>
      </c>
      <c r="R130" s="244">
        <f>'6.0 hksk'!F130</f>
        <v>0</v>
      </c>
      <c r="S130" s="244">
        <f>'6.0 hksk'!G130</f>
        <v>0</v>
      </c>
      <c r="T130" s="247">
        <f t="shared" si="102"/>
        <v>0</v>
      </c>
      <c r="U130" s="244">
        <f>'6.0 hksk'!I130</f>
        <v>0</v>
      </c>
      <c r="V130" s="244">
        <f>'6.0 hksk'!J130</f>
        <v>0</v>
      </c>
      <c r="W130" s="247">
        <f t="shared" si="80"/>
        <v>0</v>
      </c>
      <c r="X130" s="244">
        <f>'6.0 hksk'!L130</f>
        <v>0</v>
      </c>
      <c r="Y130" s="244">
        <f>'6.0 hksk'!M130</f>
        <v>0</v>
      </c>
      <c r="Z130" s="247">
        <f t="shared" si="81"/>
        <v>0</v>
      </c>
      <c r="AA130" s="244">
        <f>'7.0 önkormányzat össz'!C130</f>
        <v>0</v>
      </c>
      <c r="AB130" s="244">
        <f>'7.0 önkormányzat össz'!D130</f>
        <v>0</v>
      </c>
      <c r="AC130" s="247">
        <f t="shared" si="82"/>
        <v>0</v>
      </c>
      <c r="AD130" s="244">
        <f>'7.0 önkormányzat össz'!F130</f>
        <v>0</v>
      </c>
      <c r="AE130" s="244">
        <f>'7.0 önkormányzat össz'!G130</f>
        <v>0</v>
      </c>
      <c r="AF130" s="247">
        <f t="shared" si="103"/>
        <v>0</v>
      </c>
      <c r="AG130" s="244">
        <f ca="1">'7.0 önkormányzat össz'!I130</f>
        <v>2085000</v>
      </c>
      <c r="AH130" s="244">
        <f>'7.0 önkormányzat össz'!J130</f>
        <v>0</v>
      </c>
      <c r="AI130" s="247">
        <f t="shared" ca="1" si="104"/>
        <v>2085000</v>
      </c>
      <c r="AJ130" s="244">
        <f ca="1">'7.0 önkormányzat össz'!L130</f>
        <v>2085000</v>
      </c>
      <c r="AK130" s="244">
        <f>'7.0 önkormányzat össz'!M130</f>
        <v>0</v>
      </c>
      <c r="AL130" s="247">
        <f t="shared" ca="1" si="105"/>
        <v>2085000</v>
      </c>
      <c r="AM130" s="244">
        <f t="shared" si="106"/>
        <v>0</v>
      </c>
      <c r="AN130" s="244">
        <f t="shared" si="107"/>
        <v>0</v>
      </c>
      <c r="AO130" s="245">
        <f t="shared" si="108"/>
        <v>0</v>
      </c>
      <c r="AP130" s="244">
        <f t="shared" si="109"/>
        <v>0</v>
      </c>
      <c r="AQ130" s="244">
        <f t="shared" si="110"/>
        <v>0</v>
      </c>
      <c r="AR130" s="245">
        <f t="shared" si="111"/>
        <v>0</v>
      </c>
      <c r="AS130" s="329">
        <f t="shared" ca="1" si="112"/>
        <v>2085000</v>
      </c>
      <c r="AT130" s="329">
        <f t="shared" si="113"/>
        <v>0</v>
      </c>
      <c r="AU130" s="253">
        <f t="shared" ca="1" si="114"/>
        <v>2085000</v>
      </c>
      <c r="AV130" s="329">
        <f t="shared" ca="1" si="115"/>
        <v>2085000</v>
      </c>
      <c r="AW130" s="329">
        <f t="shared" si="116"/>
        <v>0</v>
      </c>
      <c r="AX130" s="647">
        <f t="shared" ca="1" si="117"/>
        <v>2085000</v>
      </c>
    </row>
    <row r="131" spans="1:53" ht="15.75" thickBot="1" x14ac:dyDescent="0.3">
      <c r="A131" s="34" t="s">
        <v>231</v>
      </c>
      <c r="B131" s="35" t="s">
        <v>232</v>
      </c>
      <c r="C131" s="246">
        <f>'5.0 hivatal'!C131</f>
        <v>0</v>
      </c>
      <c r="D131" s="246">
        <f>'5.0 hivatal'!D131</f>
        <v>0</v>
      </c>
      <c r="E131" s="247">
        <f t="shared" si="118"/>
        <v>0</v>
      </c>
      <c r="F131" s="246">
        <f>'5.0 hivatal'!F131</f>
        <v>0</v>
      </c>
      <c r="G131" s="246">
        <f>'5.0 hivatal'!G131</f>
        <v>0</v>
      </c>
      <c r="H131" s="247">
        <f t="shared" si="99"/>
        <v>0</v>
      </c>
      <c r="I131" s="246">
        <f>'5.0 hivatal'!I131</f>
        <v>0</v>
      </c>
      <c r="J131" s="246">
        <f>'5.0 hivatal'!J131</f>
        <v>0</v>
      </c>
      <c r="K131" s="247">
        <f t="shared" si="100"/>
        <v>0</v>
      </c>
      <c r="L131" s="246">
        <f>'5.0 hivatal'!L131</f>
        <v>0</v>
      </c>
      <c r="M131" s="246">
        <f>'5.0 hivatal'!M131</f>
        <v>0</v>
      </c>
      <c r="N131" s="247">
        <f t="shared" si="101"/>
        <v>0</v>
      </c>
      <c r="O131" s="244">
        <f>'6.0 hksk'!C131</f>
        <v>0</v>
      </c>
      <c r="P131" s="244">
        <f>'6.0 hksk'!D131</f>
        <v>0</v>
      </c>
      <c r="Q131" s="247">
        <f t="shared" si="78"/>
        <v>0</v>
      </c>
      <c r="R131" s="244">
        <f>'6.0 hksk'!F131</f>
        <v>0</v>
      </c>
      <c r="S131" s="244">
        <f>'6.0 hksk'!G131</f>
        <v>0</v>
      </c>
      <c r="T131" s="247">
        <f t="shared" si="102"/>
        <v>0</v>
      </c>
      <c r="U131" s="244">
        <f>'6.0 hksk'!I131</f>
        <v>0</v>
      </c>
      <c r="V131" s="244">
        <f>'6.0 hksk'!J131</f>
        <v>0</v>
      </c>
      <c r="W131" s="247">
        <f t="shared" si="80"/>
        <v>0</v>
      </c>
      <c r="X131" s="244">
        <f>'6.0 hksk'!L131</f>
        <v>0</v>
      </c>
      <c r="Y131" s="244">
        <f>'6.0 hksk'!M131</f>
        <v>0</v>
      </c>
      <c r="Z131" s="247">
        <f t="shared" si="81"/>
        <v>0</v>
      </c>
      <c r="AA131" s="244">
        <f>'7.0 önkormányzat össz'!C131</f>
        <v>210731344</v>
      </c>
      <c r="AB131" s="244">
        <f>'7.0 önkormányzat össz'!D131</f>
        <v>0</v>
      </c>
      <c r="AC131" s="247">
        <f t="shared" si="82"/>
        <v>210731344</v>
      </c>
      <c r="AD131" s="244">
        <f>'7.0 önkormányzat össz'!F131</f>
        <v>215211326</v>
      </c>
      <c r="AE131" s="244">
        <f>'7.0 önkormányzat össz'!G131</f>
        <v>0</v>
      </c>
      <c r="AF131" s="247">
        <f t="shared" si="103"/>
        <v>215211326</v>
      </c>
      <c r="AG131" s="244">
        <f ca="1">'7.0 önkormányzat össz'!I131</f>
        <v>215211326</v>
      </c>
      <c r="AH131" s="244">
        <f>'7.0 önkormányzat össz'!J131</f>
        <v>0</v>
      </c>
      <c r="AI131" s="247">
        <f t="shared" ca="1" si="104"/>
        <v>215211326</v>
      </c>
      <c r="AJ131" s="244">
        <f ca="1">'7.0 önkormányzat össz'!L131</f>
        <v>211999757</v>
      </c>
      <c r="AK131" s="244">
        <f>'7.0 önkormányzat össz'!M131</f>
        <v>0</v>
      </c>
      <c r="AL131" s="247">
        <f t="shared" ca="1" si="105"/>
        <v>211999757</v>
      </c>
      <c r="AM131" s="244">
        <f t="shared" si="106"/>
        <v>210731344</v>
      </c>
      <c r="AN131" s="244">
        <f t="shared" si="107"/>
        <v>0</v>
      </c>
      <c r="AO131" s="245">
        <f t="shared" si="108"/>
        <v>210731344</v>
      </c>
      <c r="AP131" s="244">
        <f t="shared" si="109"/>
        <v>215211326</v>
      </c>
      <c r="AQ131" s="244">
        <f t="shared" si="110"/>
        <v>0</v>
      </c>
      <c r="AR131" s="245">
        <f t="shared" si="111"/>
        <v>215211326</v>
      </c>
      <c r="AS131" s="329">
        <f t="shared" ca="1" si="112"/>
        <v>215211326</v>
      </c>
      <c r="AT131" s="329">
        <f t="shared" si="113"/>
        <v>0</v>
      </c>
      <c r="AU131" s="253">
        <f t="shared" ca="1" si="114"/>
        <v>215211326</v>
      </c>
      <c r="AV131" s="329">
        <f t="shared" ca="1" si="115"/>
        <v>211999757</v>
      </c>
      <c r="AW131" s="329">
        <f t="shared" si="116"/>
        <v>0</v>
      </c>
      <c r="AX131" s="647">
        <f t="shared" ca="1" si="117"/>
        <v>211999757</v>
      </c>
    </row>
    <row r="132" spans="1:53" ht="15.75" thickBot="1" x14ac:dyDescent="0.3">
      <c r="A132" s="34" t="s">
        <v>233</v>
      </c>
      <c r="B132" s="35" t="s">
        <v>234</v>
      </c>
      <c r="C132" s="246">
        <f>'5.0 hivatal'!C132</f>
        <v>0</v>
      </c>
      <c r="D132" s="246">
        <f>'5.0 hivatal'!D132</f>
        <v>0</v>
      </c>
      <c r="E132" s="247">
        <f t="shared" si="118"/>
        <v>0</v>
      </c>
      <c r="F132" s="246">
        <f>'5.0 hivatal'!F132</f>
        <v>0</v>
      </c>
      <c r="G132" s="246">
        <f>'5.0 hivatal'!G132</f>
        <v>0</v>
      </c>
      <c r="H132" s="247">
        <f t="shared" si="99"/>
        <v>0</v>
      </c>
      <c r="I132" s="246">
        <f>'5.0 hivatal'!I132</f>
        <v>0</v>
      </c>
      <c r="J132" s="246">
        <f>'5.0 hivatal'!J132</f>
        <v>0</v>
      </c>
      <c r="K132" s="247">
        <f t="shared" si="100"/>
        <v>0</v>
      </c>
      <c r="L132" s="246">
        <f>'5.0 hivatal'!L132</f>
        <v>0</v>
      </c>
      <c r="M132" s="246">
        <f>'5.0 hivatal'!M132</f>
        <v>0</v>
      </c>
      <c r="N132" s="247">
        <f t="shared" si="101"/>
        <v>0</v>
      </c>
      <c r="O132" s="244">
        <f>'6.0 hksk'!C132</f>
        <v>0</v>
      </c>
      <c r="P132" s="244">
        <f>'6.0 hksk'!D132</f>
        <v>0</v>
      </c>
      <c r="Q132" s="247">
        <f t="shared" si="78"/>
        <v>0</v>
      </c>
      <c r="R132" s="244">
        <f>'6.0 hksk'!F132</f>
        <v>0</v>
      </c>
      <c r="S132" s="244">
        <f>'6.0 hksk'!G132</f>
        <v>0</v>
      </c>
      <c r="T132" s="247">
        <f t="shared" si="102"/>
        <v>0</v>
      </c>
      <c r="U132" s="244">
        <f>'6.0 hksk'!I132</f>
        <v>0</v>
      </c>
      <c r="V132" s="244">
        <f>'6.0 hksk'!J132</f>
        <v>0</v>
      </c>
      <c r="W132" s="247">
        <f t="shared" si="80"/>
        <v>0</v>
      </c>
      <c r="X132" s="244">
        <f>'6.0 hksk'!L132</f>
        <v>0</v>
      </c>
      <c r="Y132" s="244">
        <f>'6.0 hksk'!M132</f>
        <v>0</v>
      </c>
      <c r="Z132" s="247">
        <f t="shared" si="81"/>
        <v>0</v>
      </c>
      <c r="AA132" s="244">
        <f>'7.0 önkormányzat össz'!C132</f>
        <v>0</v>
      </c>
      <c r="AB132" s="244">
        <f>'7.0 önkormányzat össz'!D132</f>
        <v>0</v>
      </c>
      <c r="AC132" s="247">
        <f t="shared" si="82"/>
        <v>0</v>
      </c>
      <c r="AD132" s="244">
        <f>'7.0 önkormányzat össz'!F132</f>
        <v>0</v>
      </c>
      <c r="AE132" s="244">
        <f>'7.0 önkormányzat össz'!G132</f>
        <v>0</v>
      </c>
      <c r="AF132" s="247">
        <f t="shared" si="103"/>
        <v>0</v>
      </c>
      <c r="AG132" s="244">
        <f ca="1">'7.0 önkormányzat össz'!I132</f>
        <v>900000</v>
      </c>
      <c r="AH132" s="244">
        <f>'7.0 önkormányzat össz'!J132</f>
        <v>0</v>
      </c>
      <c r="AI132" s="247">
        <f t="shared" ca="1" si="104"/>
        <v>900000</v>
      </c>
      <c r="AJ132" s="244">
        <f ca="1">'7.0 önkormányzat össz'!L132</f>
        <v>900000</v>
      </c>
      <c r="AK132" s="244">
        <f>'7.0 önkormányzat össz'!M132</f>
        <v>0</v>
      </c>
      <c r="AL132" s="247">
        <f t="shared" ca="1" si="105"/>
        <v>900000</v>
      </c>
      <c r="AM132" s="244">
        <f t="shared" si="106"/>
        <v>0</v>
      </c>
      <c r="AN132" s="244">
        <f t="shared" si="107"/>
        <v>0</v>
      </c>
      <c r="AO132" s="245">
        <f t="shared" si="108"/>
        <v>0</v>
      </c>
      <c r="AP132" s="244">
        <f t="shared" si="109"/>
        <v>0</v>
      </c>
      <c r="AQ132" s="244">
        <f t="shared" si="110"/>
        <v>0</v>
      </c>
      <c r="AR132" s="245">
        <f t="shared" si="111"/>
        <v>0</v>
      </c>
      <c r="AS132" s="329">
        <f t="shared" ca="1" si="112"/>
        <v>900000</v>
      </c>
      <c r="AT132" s="329">
        <f t="shared" si="113"/>
        <v>0</v>
      </c>
      <c r="AU132" s="253">
        <f t="shared" ca="1" si="114"/>
        <v>900000</v>
      </c>
      <c r="AV132" s="329">
        <f t="shared" ca="1" si="115"/>
        <v>900000</v>
      </c>
      <c r="AW132" s="329">
        <f t="shared" si="116"/>
        <v>0</v>
      </c>
      <c r="AX132" s="647">
        <f t="shared" ca="1" si="117"/>
        <v>900000</v>
      </c>
    </row>
    <row r="133" spans="1:53" ht="15.75" thickBot="1" x14ac:dyDescent="0.3">
      <c r="A133" s="34" t="s">
        <v>235</v>
      </c>
      <c r="B133" s="35" t="s">
        <v>236</v>
      </c>
      <c r="C133" s="246">
        <f>'5.0 hivatal'!C133</f>
        <v>0</v>
      </c>
      <c r="D133" s="246">
        <f>'5.0 hivatal'!D133</f>
        <v>0</v>
      </c>
      <c r="E133" s="247">
        <f t="shared" si="118"/>
        <v>0</v>
      </c>
      <c r="F133" s="246">
        <f>'5.0 hivatal'!F133</f>
        <v>0</v>
      </c>
      <c r="G133" s="246">
        <f>'5.0 hivatal'!G133</f>
        <v>0</v>
      </c>
      <c r="H133" s="247">
        <f t="shared" si="99"/>
        <v>0</v>
      </c>
      <c r="I133" s="246">
        <f>'5.0 hivatal'!I133</f>
        <v>0</v>
      </c>
      <c r="J133" s="246">
        <f>'5.0 hivatal'!J133</f>
        <v>0</v>
      </c>
      <c r="K133" s="247">
        <f t="shared" si="100"/>
        <v>0</v>
      </c>
      <c r="L133" s="246">
        <f>'5.0 hivatal'!L133</f>
        <v>0</v>
      </c>
      <c r="M133" s="246">
        <f>'5.0 hivatal'!M133</f>
        <v>0</v>
      </c>
      <c r="N133" s="247">
        <f t="shared" si="101"/>
        <v>0</v>
      </c>
      <c r="O133" s="244">
        <f>'6.0 hksk'!C133</f>
        <v>0</v>
      </c>
      <c r="P133" s="244">
        <f>'6.0 hksk'!D133</f>
        <v>0</v>
      </c>
      <c r="Q133" s="247">
        <f t="shared" si="78"/>
        <v>0</v>
      </c>
      <c r="R133" s="244">
        <f>'6.0 hksk'!F133</f>
        <v>0</v>
      </c>
      <c r="S133" s="244">
        <f>'6.0 hksk'!G133</f>
        <v>0</v>
      </c>
      <c r="T133" s="247">
        <f t="shared" si="102"/>
        <v>0</v>
      </c>
      <c r="U133" s="244">
        <f>'6.0 hksk'!I133</f>
        <v>0</v>
      </c>
      <c r="V133" s="244">
        <f>'6.0 hksk'!J133</f>
        <v>0</v>
      </c>
      <c r="W133" s="247">
        <f t="shared" si="80"/>
        <v>0</v>
      </c>
      <c r="X133" s="244">
        <f>'6.0 hksk'!L133</f>
        <v>0</v>
      </c>
      <c r="Y133" s="244">
        <f>'6.0 hksk'!M133</f>
        <v>0</v>
      </c>
      <c r="Z133" s="247">
        <f t="shared" si="81"/>
        <v>0</v>
      </c>
      <c r="AA133" s="244">
        <f>'7.0 önkormányzat össz'!C133</f>
        <v>180990000</v>
      </c>
      <c r="AB133" s="244">
        <f>'7.0 önkormányzat össz'!D133</f>
        <v>61812082</v>
      </c>
      <c r="AC133" s="247">
        <f t="shared" si="82"/>
        <v>242802082</v>
      </c>
      <c r="AD133" s="244">
        <f>'7.0 önkormányzat össz'!F133</f>
        <v>181475000</v>
      </c>
      <c r="AE133" s="244">
        <f>'7.0 önkormányzat össz'!G133</f>
        <v>61812082</v>
      </c>
      <c r="AF133" s="247">
        <f t="shared" si="103"/>
        <v>243287082</v>
      </c>
      <c r="AG133" s="244">
        <f ca="1">'7.0 önkormányzat össz'!I133</f>
        <v>180712000</v>
      </c>
      <c r="AH133" s="244">
        <f>'7.0 önkormányzat össz'!J133</f>
        <v>62412000</v>
      </c>
      <c r="AI133" s="247">
        <f t="shared" ca="1" si="104"/>
        <v>243124000</v>
      </c>
      <c r="AJ133" s="244">
        <f ca="1">'7.0 önkormányzat össz'!L133</f>
        <v>177225000</v>
      </c>
      <c r="AK133" s="244">
        <f>'7.0 önkormányzat össz'!M133</f>
        <v>62412000</v>
      </c>
      <c r="AL133" s="247">
        <f t="shared" ca="1" si="105"/>
        <v>239637000</v>
      </c>
      <c r="AM133" s="244">
        <f t="shared" si="106"/>
        <v>180990000</v>
      </c>
      <c r="AN133" s="244">
        <f t="shared" si="107"/>
        <v>61812082</v>
      </c>
      <c r="AO133" s="245">
        <f t="shared" si="108"/>
        <v>242802082</v>
      </c>
      <c r="AP133" s="244">
        <f t="shared" si="109"/>
        <v>181475000</v>
      </c>
      <c r="AQ133" s="244">
        <f t="shared" si="110"/>
        <v>61812082</v>
      </c>
      <c r="AR133" s="245">
        <f t="shared" si="111"/>
        <v>243287082</v>
      </c>
      <c r="AS133" s="329">
        <f t="shared" ca="1" si="112"/>
        <v>180712000</v>
      </c>
      <c r="AT133" s="329">
        <f t="shared" si="113"/>
        <v>62412000</v>
      </c>
      <c r="AU133" s="253">
        <f t="shared" ca="1" si="114"/>
        <v>243124000</v>
      </c>
      <c r="AV133" s="329">
        <f t="shared" ca="1" si="115"/>
        <v>177225000</v>
      </c>
      <c r="AW133" s="329">
        <f t="shared" si="116"/>
        <v>62412000</v>
      </c>
      <c r="AX133" s="647">
        <f t="shared" ca="1" si="117"/>
        <v>239637000</v>
      </c>
    </row>
    <row r="134" spans="1:53" ht="15.75" thickBot="1" x14ac:dyDescent="0.3">
      <c r="A134" s="34" t="s">
        <v>237</v>
      </c>
      <c r="B134" s="35" t="s">
        <v>238</v>
      </c>
      <c r="C134" s="246">
        <f>'5.0 hivatal'!C134</f>
        <v>0</v>
      </c>
      <c r="D134" s="246">
        <f>'5.0 hivatal'!D134</f>
        <v>0</v>
      </c>
      <c r="E134" s="247">
        <f t="shared" si="118"/>
        <v>0</v>
      </c>
      <c r="F134" s="246">
        <f>'5.0 hivatal'!F134</f>
        <v>0</v>
      </c>
      <c r="G134" s="246">
        <f>'5.0 hivatal'!G134</f>
        <v>0</v>
      </c>
      <c r="H134" s="247">
        <f t="shared" si="99"/>
        <v>0</v>
      </c>
      <c r="I134" s="246">
        <f>'5.0 hivatal'!I134</f>
        <v>0</v>
      </c>
      <c r="J134" s="246">
        <f>'5.0 hivatal'!J134</f>
        <v>0</v>
      </c>
      <c r="K134" s="247">
        <f t="shared" si="100"/>
        <v>0</v>
      </c>
      <c r="L134" s="246">
        <f>'5.0 hivatal'!L134</f>
        <v>0</v>
      </c>
      <c r="M134" s="246">
        <f>'5.0 hivatal'!M134</f>
        <v>0</v>
      </c>
      <c r="N134" s="247">
        <f t="shared" si="101"/>
        <v>0</v>
      </c>
      <c r="O134" s="244">
        <f>'6.0 hksk'!C134</f>
        <v>0</v>
      </c>
      <c r="P134" s="244">
        <f>'6.0 hksk'!D134</f>
        <v>0</v>
      </c>
      <c r="Q134" s="247">
        <f t="shared" si="78"/>
        <v>0</v>
      </c>
      <c r="R134" s="244">
        <f>'6.0 hksk'!F134</f>
        <v>0</v>
      </c>
      <c r="S134" s="244">
        <f>'6.0 hksk'!G134</f>
        <v>0</v>
      </c>
      <c r="T134" s="247">
        <f t="shared" si="102"/>
        <v>0</v>
      </c>
      <c r="U134" s="244">
        <f>'6.0 hksk'!I134</f>
        <v>0</v>
      </c>
      <c r="V134" s="244">
        <f>'6.0 hksk'!J134</f>
        <v>0</v>
      </c>
      <c r="W134" s="247">
        <f t="shared" si="80"/>
        <v>0</v>
      </c>
      <c r="X134" s="244">
        <f>'6.0 hksk'!L134</f>
        <v>0</v>
      </c>
      <c r="Y134" s="244">
        <f>'6.0 hksk'!M134</f>
        <v>0</v>
      </c>
      <c r="Z134" s="247">
        <f t="shared" si="81"/>
        <v>0</v>
      </c>
      <c r="AA134" s="244">
        <f>'7.0 önkormányzat össz'!C134</f>
        <v>100000000</v>
      </c>
      <c r="AB134" s="244">
        <f>'7.0 önkormányzat össz'!D134</f>
        <v>0</v>
      </c>
      <c r="AC134" s="247">
        <f t="shared" si="82"/>
        <v>100000000</v>
      </c>
      <c r="AD134" s="244">
        <f>'7.0 önkormányzat össz'!F134</f>
        <v>60000000</v>
      </c>
      <c r="AE134" s="244">
        <f>'7.0 önkormányzat össz'!G134</f>
        <v>0</v>
      </c>
      <c r="AF134" s="247">
        <f t="shared" si="103"/>
        <v>60000000</v>
      </c>
      <c r="AG134" s="244">
        <f ca="1">'7.0 önkormányzat össz'!I134</f>
        <v>60000000</v>
      </c>
      <c r="AH134" s="244">
        <f>'7.0 önkormányzat össz'!J134</f>
        <v>0</v>
      </c>
      <c r="AI134" s="247">
        <f t="shared" ca="1" si="104"/>
        <v>60000000</v>
      </c>
      <c r="AJ134" s="244">
        <f ca="1">'7.0 önkormányzat össz'!L134</f>
        <v>0</v>
      </c>
      <c r="AK134" s="244">
        <f>'7.0 önkormányzat össz'!M134</f>
        <v>0</v>
      </c>
      <c r="AL134" s="247">
        <f t="shared" ca="1" si="105"/>
        <v>0</v>
      </c>
      <c r="AM134" s="244">
        <f t="shared" si="106"/>
        <v>100000000</v>
      </c>
      <c r="AN134" s="244">
        <f t="shared" si="107"/>
        <v>0</v>
      </c>
      <c r="AO134" s="245">
        <f t="shared" si="108"/>
        <v>100000000</v>
      </c>
      <c r="AP134" s="244">
        <f t="shared" si="109"/>
        <v>60000000</v>
      </c>
      <c r="AQ134" s="244">
        <f t="shared" si="110"/>
        <v>0</v>
      </c>
      <c r="AR134" s="245">
        <f t="shared" si="111"/>
        <v>60000000</v>
      </c>
      <c r="AS134" s="329">
        <f t="shared" ca="1" si="112"/>
        <v>60000000</v>
      </c>
      <c r="AT134" s="329">
        <f t="shared" si="113"/>
        <v>0</v>
      </c>
      <c r="AU134" s="253">
        <f t="shared" ca="1" si="114"/>
        <v>60000000</v>
      </c>
      <c r="AV134" s="329">
        <f t="shared" ca="1" si="115"/>
        <v>0</v>
      </c>
      <c r="AW134" s="329">
        <f t="shared" si="116"/>
        <v>0</v>
      </c>
      <c r="AX134" s="647">
        <f t="shared" ca="1" si="117"/>
        <v>0</v>
      </c>
    </row>
    <row r="135" spans="1:53" ht="15.75" thickBot="1" x14ac:dyDescent="0.3">
      <c r="A135" s="34"/>
      <c r="B135" s="35" t="s">
        <v>239</v>
      </c>
      <c r="C135" s="246">
        <f>'5.0 hivatal'!C135</f>
        <v>0</v>
      </c>
      <c r="D135" s="246">
        <f>'5.0 hivatal'!D135</f>
        <v>0</v>
      </c>
      <c r="E135" s="247">
        <f t="shared" si="118"/>
        <v>0</v>
      </c>
      <c r="F135" s="246">
        <f>'5.0 hivatal'!F135</f>
        <v>0</v>
      </c>
      <c r="G135" s="246">
        <f>'5.0 hivatal'!G135</f>
        <v>0</v>
      </c>
      <c r="H135" s="247">
        <f t="shared" si="99"/>
        <v>0</v>
      </c>
      <c r="I135" s="246">
        <f>'5.0 hivatal'!I135</f>
        <v>0</v>
      </c>
      <c r="J135" s="246">
        <f>'5.0 hivatal'!J135</f>
        <v>0</v>
      </c>
      <c r="K135" s="247">
        <f t="shared" si="100"/>
        <v>0</v>
      </c>
      <c r="L135" s="246">
        <f>'5.0 hivatal'!L135</f>
        <v>0</v>
      </c>
      <c r="M135" s="246">
        <f>'5.0 hivatal'!M135</f>
        <v>0</v>
      </c>
      <c r="N135" s="247">
        <f t="shared" si="101"/>
        <v>0</v>
      </c>
      <c r="O135" s="244">
        <f>'6.0 hksk'!C135</f>
        <v>0</v>
      </c>
      <c r="P135" s="244">
        <f>'6.0 hksk'!D135</f>
        <v>0</v>
      </c>
      <c r="Q135" s="247">
        <f t="shared" si="78"/>
        <v>0</v>
      </c>
      <c r="R135" s="244">
        <f>'6.0 hksk'!F135</f>
        <v>0</v>
      </c>
      <c r="S135" s="244">
        <f>'6.0 hksk'!G135</f>
        <v>0</v>
      </c>
      <c r="T135" s="247">
        <f t="shared" si="102"/>
        <v>0</v>
      </c>
      <c r="U135" s="244">
        <f>'6.0 hksk'!I135</f>
        <v>0</v>
      </c>
      <c r="V135" s="244">
        <f>'6.0 hksk'!J135</f>
        <v>0</v>
      </c>
      <c r="W135" s="247">
        <f t="shared" si="80"/>
        <v>0</v>
      </c>
      <c r="X135" s="244">
        <f>'6.0 hksk'!L135</f>
        <v>0</v>
      </c>
      <c r="Y135" s="244">
        <f>'6.0 hksk'!M135</f>
        <v>0</v>
      </c>
      <c r="Z135" s="247">
        <f t="shared" si="81"/>
        <v>0</v>
      </c>
      <c r="AA135" s="244">
        <f>'7.0 önkormányzat össz'!C135</f>
        <v>100000000</v>
      </c>
      <c r="AB135" s="244">
        <f>'7.0 önkormányzat össz'!D135</f>
        <v>0</v>
      </c>
      <c r="AC135" s="247">
        <f t="shared" si="82"/>
        <v>100000000</v>
      </c>
      <c r="AD135" s="244">
        <f>'7.0 önkormányzat össz'!F135</f>
        <v>60000000</v>
      </c>
      <c r="AE135" s="244">
        <f>'7.0 önkormányzat össz'!G135</f>
        <v>0</v>
      </c>
      <c r="AF135" s="247">
        <f t="shared" si="103"/>
        <v>60000000</v>
      </c>
      <c r="AG135" s="244">
        <f ca="1">'7.0 önkormányzat össz'!I135</f>
        <v>60000000</v>
      </c>
      <c r="AH135" s="244">
        <f>'7.0 önkormányzat össz'!J135</f>
        <v>0</v>
      </c>
      <c r="AI135" s="247">
        <f t="shared" ca="1" si="104"/>
        <v>60000000</v>
      </c>
      <c r="AJ135" s="244">
        <f ca="1">'7.0 önkormányzat össz'!L135</f>
        <v>0</v>
      </c>
      <c r="AK135" s="244">
        <f>'7.0 önkormányzat össz'!M135</f>
        <v>0</v>
      </c>
      <c r="AL135" s="247">
        <f t="shared" ca="1" si="105"/>
        <v>0</v>
      </c>
      <c r="AM135" s="244">
        <f t="shared" si="106"/>
        <v>100000000</v>
      </c>
      <c r="AN135" s="244">
        <f t="shared" si="107"/>
        <v>0</v>
      </c>
      <c r="AO135" s="245">
        <f t="shared" si="108"/>
        <v>100000000</v>
      </c>
      <c r="AP135" s="244">
        <f t="shared" si="109"/>
        <v>60000000</v>
      </c>
      <c r="AQ135" s="244">
        <f t="shared" si="110"/>
        <v>0</v>
      </c>
      <c r="AR135" s="245">
        <f t="shared" si="111"/>
        <v>60000000</v>
      </c>
      <c r="AS135" s="329">
        <f t="shared" ca="1" si="112"/>
        <v>60000000</v>
      </c>
      <c r="AT135" s="329">
        <f t="shared" si="113"/>
        <v>0</v>
      </c>
      <c r="AU135" s="253">
        <f t="shared" ca="1" si="114"/>
        <v>60000000</v>
      </c>
      <c r="AV135" s="329">
        <f t="shared" ca="1" si="115"/>
        <v>0</v>
      </c>
      <c r="AW135" s="329">
        <f t="shared" si="116"/>
        <v>0</v>
      </c>
      <c r="AX135" s="647">
        <f t="shared" ca="1" si="117"/>
        <v>0</v>
      </c>
    </row>
    <row r="136" spans="1:53" ht="15.75" thickBot="1" x14ac:dyDescent="0.3">
      <c r="A136" s="36"/>
      <c r="B136" s="37" t="s">
        <v>240</v>
      </c>
      <c r="C136" s="248">
        <f>'5.0 hivatal'!C136</f>
        <v>0</v>
      </c>
      <c r="D136" s="248">
        <f>'5.0 hivatal'!D136</f>
        <v>0</v>
      </c>
      <c r="E136" s="249">
        <f t="shared" si="118"/>
        <v>0</v>
      </c>
      <c r="F136" s="248">
        <f>'5.0 hivatal'!F136</f>
        <v>0</v>
      </c>
      <c r="G136" s="248">
        <f>'5.0 hivatal'!G136</f>
        <v>0</v>
      </c>
      <c r="H136" s="249">
        <f t="shared" si="99"/>
        <v>0</v>
      </c>
      <c r="I136" s="248">
        <f>'5.0 hivatal'!I136</f>
        <v>0</v>
      </c>
      <c r="J136" s="248">
        <f>'5.0 hivatal'!J136</f>
        <v>0</v>
      </c>
      <c r="K136" s="249">
        <f t="shared" si="100"/>
        <v>0</v>
      </c>
      <c r="L136" s="248">
        <f>'5.0 hivatal'!L136</f>
        <v>0</v>
      </c>
      <c r="M136" s="248">
        <f>'5.0 hivatal'!M136</f>
        <v>0</v>
      </c>
      <c r="N136" s="249">
        <f t="shared" si="101"/>
        <v>0</v>
      </c>
      <c r="O136" s="248">
        <f>'6.0 hksk'!C136</f>
        <v>0</v>
      </c>
      <c r="P136" s="248">
        <f>'6.0 hksk'!D136</f>
        <v>0</v>
      </c>
      <c r="Q136" s="249">
        <f t="shared" si="78"/>
        <v>0</v>
      </c>
      <c r="R136" s="248">
        <f>'6.0 hksk'!F136</f>
        <v>0</v>
      </c>
      <c r="S136" s="248">
        <f>'6.0 hksk'!G136</f>
        <v>0</v>
      </c>
      <c r="T136" s="249">
        <f t="shared" si="102"/>
        <v>0</v>
      </c>
      <c r="U136" s="248">
        <f>'6.0 hksk'!I136</f>
        <v>0</v>
      </c>
      <c r="V136" s="248">
        <f>'6.0 hksk'!J136</f>
        <v>0</v>
      </c>
      <c r="W136" s="249">
        <f t="shared" si="80"/>
        <v>0</v>
      </c>
      <c r="X136" s="248">
        <f>'6.0 hksk'!L136</f>
        <v>0</v>
      </c>
      <c r="Y136" s="248">
        <f>'6.0 hksk'!M136</f>
        <v>0</v>
      </c>
      <c r="Z136" s="249">
        <f t="shared" si="81"/>
        <v>0</v>
      </c>
      <c r="AA136" s="248">
        <f>'7.0 önkormányzat össz'!C136</f>
        <v>0</v>
      </c>
      <c r="AB136" s="248">
        <f>'7.0 önkormányzat össz'!D136</f>
        <v>0</v>
      </c>
      <c r="AC136" s="249">
        <f t="shared" si="82"/>
        <v>0</v>
      </c>
      <c r="AD136" s="248">
        <f>'7.0 önkormányzat össz'!F136</f>
        <v>0</v>
      </c>
      <c r="AE136" s="248">
        <f>'7.0 önkormányzat össz'!G136</f>
        <v>0</v>
      </c>
      <c r="AF136" s="249">
        <f t="shared" si="103"/>
        <v>0</v>
      </c>
      <c r="AG136" s="248">
        <f ca="1">'7.0 önkormányzat össz'!I136</f>
        <v>0</v>
      </c>
      <c r="AH136" s="248">
        <f>'7.0 önkormányzat össz'!J136</f>
        <v>0</v>
      </c>
      <c r="AI136" s="249">
        <f t="shared" ca="1" si="104"/>
        <v>0</v>
      </c>
      <c r="AJ136" s="248">
        <f ca="1">'7.0 önkormányzat össz'!L136</f>
        <v>0</v>
      </c>
      <c r="AK136" s="248">
        <f>'7.0 önkormányzat össz'!M136</f>
        <v>0</v>
      </c>
      <c r="AL136" s="249">
        <f t="shared" ca="1" si="105"/>
        <v>0</v>
      </c>
      <c r="AM136" s="248">
        <f t="shared" si="106"/>
        <v>0</v>
      </c>
      <c r="AN136" s="248">
        <f t="shared" si="107"/>
        <v>0</v>
      </c>
      <c r="AO136" s="249">
        <f t="shared" si="108"/>
        <v>0</v>
      </c>
      <c r="AP136" s="248">
        <f t="shared" si="109"/>
        <v>0</v>
      </c>
      <c r="AQ136" s="248">
        <f t="shared" si="110"/>
        <v>0</v>
      </c>
      <c r="AR136" s="249">
        <f t="shared" si="111"/>
        <v>0</v>
      </c>
      <c r="AS136" s="329">
        <f t="shared" ca="1" si="112"/>
        <v>0</v>
      </c>
      <c r="AT136" s="329">
        <f t="shared" si="113"/>
        <v>0</v>
      </c>
      <c r="AU136" s="253">
        <f t="shared" ca="1" si="114"/>
        <v>0</v>
      </c>
      <c r="AV136" s="329">
        <f t="shared" ca="1" si="115"/>
        <v>0</v>
      </c>
      <c r="AW136" s="329">
        <f t="shared" si="116"/>
        <v>0</v>
      </c>
      <c r="AX136" s="647">
        <f t="shared" ca="1" si="117"/>
        <v>0</v>
      </c>
    </row>
    <row r="137" spans="1:53" ht="15.75" thickBot="1" x14ac:dyDescent="0.3">
      <c r="A137" s="33" t="s">
        <v>241</v>
      </c>
      <c r="B137" s="24" t="s">
        <v>38</v>
      </c>
      <c r="C137" s="244">
        <f>'5.0 hivatal'!C137</f>
        <v>6299212</v>
      </c>
      <c r="D137" s="244">
        <f>'5.0 hivatal'!D137</f>
        <v>0</v>
      </c>
      <c r="E137" s="245">
        <f t="shared" si="118"/>
        <v>6299212</v>
      </c>
      <c r="F137" s="244">
        <f>'5.0 hivatal'!F137</f>
        <v>6299212</v>
      </c>
      <c r="G137" s="244">
        <f>'5.0 hivatal'!G137</f>
        <v>0</v>
      </c>
      <c r="H137" s="245">
        <f t="shared" si="99"/>
        <v>6299212</v>
      </c>
      <c r="I137" s="244">
        <f>'5.0 hivatal'!I137</f>
        <v>6299212</v>
      </c>
      <c r="J137" s="244">
        <f>'5.0 hivatal'!J137</f>
        <v>0</v>
      </c>
      <c r="K137" s="245">
        <f t="shared" si="100"/>
        <v>6299212</v>
      </c>
      <c r="L137" s="244">
        <f>'5.0 hivatal'!L137</f>
        <v>4497148</v>
      </c>
      <c r="M137" s="244">
        <f>'5.0 hivatal'!M137</f>
        <v>0</v>
      </c>
      <c r="N137" s="245">
        <f t="shared" si="101"/>
        <v>4497148</v>
      </c>
      <c r="O137" s="244">
        <f>'6.0 hksk'!C137</f>
        <v>7336614</v>
      </c>
      <c r="P137" s="244">
        <f>'6.0 hksk'!D137</f>
        <v>0</v>
      </c>
      <c r="Q137" s="245">
        <f t="shared" si="78"/>
        <v>7336614</v>
      </c>
      <c r="R137" s="244">
        <f>'6.0 hksk'!F137</f>
        <v>8517716</v>
      </c>
      <c r="S137" s="244">
        <f>'6.0 hksk'!G137</f>
        <v>0</v>
      </c>
      <c r="T137" s="245">
        <f t="shared" si="102"/>
        <v>8517716</v>
      </c>
      <c r="U137" s="244">
        <f>'6.0 hksk'!I137</f>
        <v>8891484</v>
      </c>
      <c r="V137" s="244">
        <f>'6.0 hksk'!J137</f>
        <v>0</v>
      </c>
      <c r="W137" s="245">
        <f t="shared" si="80"/>
        <v>8891484</v>
      </c>
      <c r="X137" s="244">
        <f>'6.0 hksk'!L137</f>
        <v>8884897</v>
      </c>
      <c r="Y137" s="244">
        <f>'6.0 hksk'!M137</f>
        <v>0</v>
      </c>
      <c r="Z137" s="245">
        <f t="shared" si="81"/>
        <v>8884897</v>
      </c>
      <c r="AA137" s="244">
        <f>'7.0 önkormányzat össz'!C137</f>
        <v>2152407361</v>
      </c>
      <c r="AB137" s="244">
        <f>'7.0 önkormányzat össz'!D137</f>
        <v>0</v>
      </c>
      <c r="AC137" s="245">
        <f t="shared" si="82"/>
        <v>2152407361</v>
      </c>
      <c r="AD137" s="244">
        <f>'7.0 önkormányzat össz'!F137</f>
        <v>2223455555</v>
      </c>
      <c r="AE137" s="244">
        <f>'7.0 önkormányzat össz'!G137</f>
        <v>0</v>
      </c>
      <c r="AF137" s="245">
        <f t="shared" si="103"/>
        <v>2223455555</v>
      </c>
      <c r="AG137" s="244">
        <f ca="1">'7.0 önkormányzat össz'!I137</f>
        <v>2205707633</v>
      </c>
      <c r="AH137" s="244">
        <f>'7.0 önkormányzat össz'!J137</f>
        <v>0</v>
      </c>
      <c r="AI137" s="245">
        <f t="shared" ca="1" si="104"/>
        <v>2205707633</v>
      </c>
      <c r="AJ137" s="244">
        <f ca="1">'7.0 önkormányzat össz'!L137</f>
        <v>1355611816</v>
      </c>
      <c r="AK137" s="244">
        <f>'7.0 önkormányzat össz'!M137</f>
        <v>0</v>
      </c>
      <c r="AL137" s="245">
        <f t="shared" ca="1" si="105"/>
        <v>1355611816</v>
      </c>
      <c r="AM137" s="244">
        <f t="shared" si="106"/>
        <v>2166043187</v>
      </c>
      <c r="AN137" s="244">
        <f t="shared" si="107"/>
        <v>0</v>
      </c>
      <c r="AO137" s="245">
        <f t="shared" si="108"/>
        <v>2166043187</v>
      </c>
      <c r="AP137" s="244">
        <f t="shared" si="109"/>
        <v>2238272483</v>
      </c>
      <c r="AQ137" s="244">
        <f t="shared" si="110"/>
        <v>0</v>
      </c>
      <c r="AR137" s="245">
        <f t="shared" si="111"/>
        <v>2238272483</v>
      </c>
      <c r="AS137" s="329">
        <f t="shared" ca="1" si="112"/>
        <v>2220898329</v>
      </c>
      <c r="AT137" s="329">
        <f t="shared" si="113"/>
        <v>0</v>
      </c>
      <c r="AU137" s="253">
        <f t="shared" ca="1" si="114"/>
        <v>2220898329</v>
      </c>
      <c r="AV137" s="329">
        <f t="shared" ca="1" si="115"/>
        <v>1368993861</v>
      </c>
      <c r="AW137" s="329">
        <f t="shared" si="116"/>
        <v>0</v>
      </c>
      <c r="AX137" s="647">
        <f t="shared" ca="1" si="117"/>
        <v>1368993861</v>
      </c>
    </row>
    <row r="138" spans="1:53" ht="15.75" thickBot="1" x14ac:dyDescent="0.3">
      <c r="A138" s="36" t="s">
        <v>242</v>
      </c>
      <c r="B138" s="37" t="s">
        <v>243</v>
      </c>
      <c r="C138" s="248">
        <f>'5.0 hivatal'!C138</f>
        <v>1700788</v>
      </c>
      <c r="D138" s="248">
        <f>'5.0 hivatal'!D138</f>
        <v>0</v>
      </c>
      <c r="E138" s="249">
        <f t="shared" si="118"/>
        <v>1700788</v>
      </c>
      <c r="F138" s="248">
        <f>'5.0 hivatal'!F138</f>
        <v>1700788</v>
      </c>
      <c r="G138" s="248">
        <f>'5.0 hivatal'!G138</f>
        <v>0</v>
      </c>
      <c r="H138" s="249">
        <f t="shared" si="99"/>
        <v>1700788</v>
      </c>
      <c r="I138" s="248">
        <f>'5.0 hivatal'!I138</f>
        <v>1700788</v>
      </c>
      <c r="J138" s="248">
        <f>'5.0 hivatal'!J138</f>
        <v>0</v>
      </c>
      <c r="K138" s="249">
        <f t="shared" si="100"/>
        <v>1700788</v>
      </c>
      <c r="L138" s="248">
        <f>'5.0 hivatal'!L138</f>
        <v>950225</v>
      </c>
      <c r="M138" s="248">
        <f>'5.0 hivatal'!M138</f>
        <v>0</v>
      </c>
      <c r="N138" s="249">
        <f t="shared" si="101"/>
        <v>950225</v>
      </c>
      <c r="O138" s="248">
        <f>'6.0 hksk'!C138</f>
        <v>1980886</v>
      </c>
      <c r="P138" s="248">
        <f>'6.0 hksk'!D138</f>
        <v>0</v>
      </c>
      <c r="Q138" s="249">
        <f t="shared" si="78"/>
        <v>1980886</v>
      </c>
      <c r="R138" s="248">
        <f>'6.0 hksk'!F138</f>
        <v>2299784</v>
      </c>
      <c r="S138" s="248">
        <f>'6.0 hksk'!G138</f>
        <v>0</v>
      </c>
      <c r="T138" s="249">
        <f t="shared" si="102"/>
        <v>2299784</v>
      </c>
      <c r="U138" s="248">
        <f>'6.0 hksk'!I138</f>
        <v>2259128</v>
      </c>
      <c r="V138" s="248">
        <f>'6.0 hksk'!J138</f>
        <v>0</v>
      </c>
      <c r="W138" s="249">
        <f t="shared" si="80"/>
        <v>2259128</v>
      </c>
      <c r="X138" s="248">
        <f>'6.0 hksk'!L138</f>
        <v>2259128</v>
      </c>
      <c r="Y138" s="248">
        <f>'6.0 hksk'!M138</f>
        <v>0</v>
      </c>
      <c r="Z138" s="249">
        <f t="shared" si="81"/>
        <v>2259128</v>
      </c>
      <c r="AA138" s="248">
        <f>'7.0 önkormányzat össz'!C138</f>
        <v>308330918</v>
      </c>
      <c r="AB138" s="248">
        <f>'7.0 önkormányzat össz'!D138</f>
        <v>0</v>
      </c>
      <c r="AC138" s="249">
        <f t="shared" si="82"/>
        <v>308330918</v>
      </c>
      <c r="AD138" s="248">
        <f>'7.0 önkormányzat össz'!F138</f>
        <v>433397596</v>
      </c>
      <c r="AE138" s="248">
        <f>'7.0 önkormányzat össz'!G138</f>
        <v>0</v>
      </c>
      <c r="AF138" s="249">
        <f t="shared" si="103"/>
        <v>433397596</v>
      </c>
      <c r="AG138" s="248">
        <f ca="1">'7.0 önkormányzat össz'!I138</f>
        <v>428738713</v>
      </c>
      <c r="AH138" s="248">
        <f>'7.0 önkormányzat össz'!J138</f>
        <v>0</v>
      </c>
      <c r="AI138" s="249">
        <f t="shared" ca="1" si="104"/>
        <v>428738713</v>
      </c>
      <c r="AJ138" s="248">
        <f ca="1">'7.0 önkormányzat össz'!L138</f>
        <v>164140723</v>
      </c>
      <c r="AK138" s="248">
        <f>'7.0 önkormányzat össz'!M138</f>
        <v>0</v>
      </c>
      <c r="AL138" s="249">
        <f t="shared" ca="1" si="105"/>
        <v>164140723</v>
      </c>
      <c r="AM138" s="248">
        <f t="shared" si="106"/>
        <v>312012592</v>
      </c>
      <c r="AN138" s="248">
        <f t="shared" si="107"/>
        <v>0</v>
      </c>
      <c r="AO138" s="249">
        <f t="shared" si="108"/>
        <v>312012592</v>
      </c>
      <c r="AP138" s="248">
        <f t="shared" si="109"/>
        <v>437398168</v>
      </c>
      <c r="AQ138" s="248">
        <f t="shared" si="110"/>
        <v>0</v>
      </c>
      <c r="AR138" s="249">
        <f t="shared" si="111"/>
        <v>437398168</v>
      </c>
      <c r="AS138" s="329">
        <f t="shared" ca="1" si="112"/>
        <v>432698629</v>
      </c>
      <c r="AT138" s="329">
        <f t="shared" si="113"/>
        <v>0</v>
      </c>
      <c r="AU138" s="253">
        <f t="shared" ca="1" si="114"/>
        <v>432698629</v>
      </c>
      <c r="AV138" s="329">
        <f t="shared" ca="1" si="115"/>
        <v>167350076</v>
      </c>
      <c r="AW138" s="329">
        <f t="shared" si="116"/>
        <v>0</v>
      </c>
      <c r="AX138" s="647">
        <f t="shared" ca="1" si="117"/>
        <v>167350076</v>
      </c>
    </row>
    <row r="139" spans="1:53" ht="15.75" thickBot="1" x14ac:dyDescent="0.3">
      <c r="A139" s="33" t="s">
        <v>244</v>
      </c>
      <c r="B139" s="24" t="s">
        <v>39</v>
      </c>
      <c r="C139" s="244">
        <f>'5.0 hivatal'!C139</f>
        <v>0</v>
      </c>
      <c r="D139" s="244">
        <f>'5.0 hivatal'!D139</f>
        <v>0</v>
      </c>
      <c r="E139" s="245">
        <f t="shared" si="118"/>
        <v>0</v>
      </c>
      <c r="F139" s="244">
        <f>'5.0 hivatal'!F139</f>
        <v>0</v>
      </c>
      <c r="G139" s="244">
        <f>'5.0 hivatal'!G139</f>
        <v>0</v>
      </c>
      <c r="H139" s="245">
        <f t="shared" si="99"/>
        <v>0</v>
      </c>
      <c r="I139" s="244">
        <f>'5.0 hivatal'!I139</f>
        <v>0</v>
      </c>
      <c r="J139" s="244">
        <f>'5.0 hivatal'!J139</f>
        <v>0</v>
      </c>
      <c r="K139" s="245">
        <f t="shared" si="100"/>
        <v>0</v>
      </c>
      <c r="L139" s="244">
        <f>'5.0 hivatal'!L139</f>
        <v>0</v>
      </c>
      <c r="M139" s="244">
        <f>'5.0 hivatal'!M139</f>
        <v>0</v>
      </c>
      <c r="N139" s="245">
        <f t="shared" si="101"/>
        <v>0</v>
      </c>
      <c r="O139" s="244">
        <f>'6.0 hksk'!C139</f>
        <v>2714961</v>
      </c>
      <c r="P139" s="244">
        <f>'6.0 hksk'!D139</f>
        <v>0</v>
      </c>
      <c r="Q139" s="245">
        <f t="shared" si="78"/>
        <v>2714961</v>
      </c>
      <c r="R139" s="244">
        <f>'6.0 hksk'!F139</f>
        <v>433071</v>
      </c>
      <c r="S139" s="244">
        <f>'6.0 hksk'!G139</f>
        <v>0</v>
      </c>
      <c r="T139" s="245">
        <f t="shared" si="102"/>
        <v>433071</v>
      </c>
      <c r="U139" s="244">
        <f>'6.0 hksk'!I139</f>
        <v>231795</v>
      </c>
      <c r="V139" s="244">
        <f>'6.0 hksk'!J139</f>
        <v>0</v>
      </c>
      <c r="W139" s="245">
        <f t="shared" si="80"/>
        <v>231795</v>
      </c>
      <c r="X139" s="244">
        <f>'6.0 hksk'!L139</f>
        <v>200000</v>
      </c>
      <c r="Y139" s="244">
        <f>'6.0 hksk'!M139</f>
        <v>0</v>
      </c>
      <c r="Z139" s="245">
        <f t="shared" si="81"/>
        <v>200000</v>
      </c>
      <c r="AA139" s="244">
        <f>'7.0 önkormányzat össz'!C139</f>
        <v>390803783</v>
      </c>
      <c r="AB139" s="244">
        <f>'7.0 önkormányzat össz'!D139</f>
        <v>0</v>
      </c>
      <c r="AC139" s="245">
        <f t="shared" si="82"/>
        <v>390803783</v>
      </c>
      <c r="AD139" s="244">
        <f>'7.0 önkormányzat össz'!F139</f>
        <v>334115661</v>
      </c>
      <c r="AE139" s="244">
        <f>'7.0 önkormányzat össz'!G139</f>
        <v>0</v>
      </c>
      <c r="AF139" s="245">
        <f t="shared" si="103"/>
        <v>334115661</v>
      </c>
      <c r="AG139" s="244">
        <f ca="1">'7.0 önkormányzat össz'!I139</f>
        <v>367738566</v>
      </c>
      <c r="AH139" s="244">
        <f>'7.0 önkormányzat össz'!J139</f>
        <v>0</v>
      </c>
      <c r="AI139" s="245">
        <f t="shared" ca="1" si="104"/>
        <v>367738566</v>
      </c>
      <c r="AJ139" s="244">
        <f ca="1">'7.0 önkormányzat össz'!L139</f>
        <v>321150235</v>
      </c>
      <c r="AK139" s="244">
        <f>'7.0 önkormányzat össz'!M139</f>
        <v>0</v>
      </c>
      <c r="AL139" s="245">
        <f t="shared" ca="1" si="105"/>
        <v>321150235</v>
      </c>
      <c r="AM139" s="244">
        <f t="shared" si="106"/>
        <v>393518744</v>
      </c>
      <c r="AN139" s="244">
        <f t="shared" si="107"/>
        <v>0</v>
      </c>
      <c r="AO139" s="245">
        <f t="shared" si="108"/>
        <v>393518744</v>
      </c>
      <c r="AP139" s="244">
        <f t="shared" si="109"/>
        <v>334548732</v>
      </c>
      <c r="AQ139" s="244">
        <f t="shared" si="110"/>
        <v>0</v>
      </c>
      <c r="AR139" s="245">
        <f t="shared" si="111"/>
        <v>334548732</v>
      </c>
      <c r="AS139" s="329">
        <f t="shared" ca="1" si="112"/>
        <v>367970361</v>
      </c>
      <c r="AT139" s="329">
        <f t="shared" si="113"/>
        <v>0</v>
      </c>
      <c r="AU139" s="253">
        <f t="shared" ca="1" si="114"/>
        <v>367970361</v>
      </c>
      <c r="AV139" s="329">
        <f t="shared" ca="1" si="115"/>
        <v>321350235</v>
      </c>
      <c r="AW139" s="329">
        <f t="shared" si="116"/>
        <v>0</v>
      </c>
      <c r="AX139" s="647">
        <f t="shared" ca="1" si="117"/>
        <v>321350235</v>
      </c>
    </row>
    <row r="140" spans="1:53" ht="15.75" thickBot="1" x14ac:dyDescent="0.3">
      <c r="A140" s="36" t="s">
        <v>245</v>
      </c>
      <c r="B140" s="37" t="s">
        <v>246</v>
      </c>
      <c r="C140" s="248">
        <f>'5.0 hivatal'!C140</f>
        <v>0</v>
      </c>
      <c r="D140" s="248">
        <f>'5.0 hivatal'!D140</f>
        <v>0</v>
      </c>
      <c r="E140" s="249">
        <f t="shared" si="118"/>
        <v>0</v>
      </c>
      <c r="F140" s="248">
        <f>'5.0 hivatal'!F140</f>
        <v>0</v>
      </c>
      <c r="G140" s="248">
        <f>'5.0 hivatal'!G140</f>
        <v>0</v>
      </c>
      <c r="H140" s="249">
        <f t="shared" si="99"/>
        <v>0</v>
      </c>
      <c r="I140" s="248">
        <f>'5.0 hivatal'!I140</f>
        <v>0</v>
      </c>
      <c r="J140" s="248">
        <f>'5.0 hivatal'!J140</f>
        <v>0</v>
      </c>
      <c r="K140" s="249">
        <f t="shared" si="100"/>
        <v>0</v>
      </c>
      <c r="L140" s="248">
        <f>'5.0 hivatal'!L140</f>
        <v>0</v>
      </c>
      <c r="M140" s="248">
        <f>'5.0 hivatal'!M140</f>
        <v>0</v>
      </c>
      <c r="N140" s="249">
        <f t="shared" si="101"/>
        <v>0</v>
      </c>
      <c r="O140" s="248">
        <f>'6.0 hksk'!C140</f>
        <v>733039</v>
      </c>
      <c r="P140" s="248">
        <f>'6.0 hksk'!D140</f>
        <v>0</v>
      </c>
      <c r="Q140" s="249">
        <f t="shared" si="78"/>
        <v>733039</v>
      </c>
      <c r="R140" s="248">
        <f>'6.0 hksk'!F140</f>
        <v>116929</v>
      </c>
      <c r="S140" s="248">
        <f>'6.0 hksk'!G140</f>
        <v>0</v>
      </c>
      <c r="T140" s="249">
        <f t="shared" si="102"/>
        <v>116929</v>
      </c>
      <c r="U140" s="248">
        <f>'6.0 hksk'!I140</f>
        <v>90585</v>
      </c>
      <c r="V140" s="248">
        <f>'6.0 hksk'!J140</f>
        <v>0</v>
      </c>
      <c r="W140" s="249">
        <f t="shared" si="80"/>
        <v>90585</v>
      </c>
      <c r="X140" s="248">
        <f>'6.0 hksk'!L140</f>
        <v>54000</v>
      </c>
      <c r="Y140" s="248">
        <f>'6.0 hksk'!M140</f>
        <v>0</v>
      </c>
      <c r="Z140" s="249">
        <f t="shared" si="81"/>
        <v>54000</v>
      </c>
      <c r="AA140" s="248">
        <f>'7.0 önkormányzat össz'!C140</f>
        <v>105517021</v>
      </c>
      <c r="AB140" s="248">
        <f>'7.0 önkormányzat össz'!D140</f>
        <v>0</v>
      </c>
      <c r="AC140" s="249">
        <f t="shared" si="82"/>
        <v>105517021</v>
      </c>
      <c r="AD140" s="248">
        <f>'7.0 önkormányzat össz'!F140</f>
        <v>42313228</v>
      </c>
      <c r="AE140" s="248">
        <f>'7.0 önkormányzat össz'!G140</f>
        <v>0</v>
      </c>
      <c r="AF140" s="249">
        <f t="shared" si="103"/>
        <v>42313228</v>
      </c>
      <c r="AG140" s="248">
        <f ca="1">'7.0 önkormányzat össz'!I140</f>
        <v>42313228</v>
      </c>
      <c r="AH140" s="248">
        <f>'7.0 önkormányzat össz'!J140</f>
        <v>0</v>
      </c>
      <c r="AI140" s="249">
        <f t="shared" ca="1" si="104"/>
        <v>42313228</v>
      </c>
      <c r="AJ140" s="248">
        <f ca="1">'7.0 önkormányzat össz'!L140</f>
        <v>35507480</v>
      </c>
      <c r="AK140" s="248">
        <f>'7.0 önkormányzat össz'!M140</f>
        <v>0</v>
      </c>
      <c r="AL140" s="249">
        <f t="shared" ca="1" si="105"/>
        <v>35507480</v>
      </c>
      <c r="AM140" s="248">
        <f t="shared" si="106"/>
        <v>106250060</v>
      </c>
      <c r="AN140" s="248">
        <f t="shared" si="107"/>
        <v>0</v>
      </c>
      <c r="AO140" s="249">
        <f t="shared" si="108"/>
        <v>106250060</v>
      </c>
      <c r="AP140" s="248">
        <f t="shared" si="109"/>
        <v>42430157</v>
      </c>
      <c r="AQ140" s="248">
        <f t="shared" si="110"/>
        <v>0</v>
      </c>
      <c r="AR140" s="249">
        <f t="shared" si="111"/>
        <v>42430157</v>
      </c>
      <c r="AS140" s="329">
        <f t="shared" ca="1" si="112"/>
        <v>42403813</v>
      </c>
      <c r="AT140" s="329">
        <f t="shared" si="113"/>
        <v>0</v>
      </c>
      <c r="AU140" s="253">
        <f t="shared" ca="1" si="114"/>
        <v>42403813</v>
      </c>
      <c r="AV140" s="329">
        <f t="shared" ca="1" si="115"/>
        <v>35561480</v>
      </c>
      <c r="AW140" s="329">
        <f t="shared" si="116"/>
        <v>0</v>
      </c>
      <c r="AX140" s="647">
        <f t="shared" ca="1" si="117"/>
        <v>35561480</v>
      </c>
    </row>
    <row r="141" spans="1:53" ht="15.75" thickBot="1" x14ac:dyDescent="0.3">
      <c r="A141" s="39" t="s">
        <v>247</v>
      </c>
      <c r="B141" s="25" t="s">
        <v>40</v>
      </c>
      <c r="C141" s="250">
        <f>'5.0 hivatal'!C141</f>
        <v>0</v>
      </c>
      <c r="D141" s="250">
        <f>'5.0 hivatal'!D141</f>
        <v>0</v>
      </c>
      <c r="E141" s="251">
        <f t="shared" si="118"/>
        <v>0</v>
      </c>
      <c r="F141" s="250">
        <f>'5.0 hivatal'!F141</f>
        <v>0</v>
      </c>
      <c r="G141" s="250">
        <f>'5.0 hivatal'!G141</f>
        <v>0</v>
      </c>
      <c r="H141" s="251">
        <f t="shared" si="99"/>
        <v>0</v>
      </c>
      <c r="I141" s="250">
        <f>'5.0 hivatal'!I141</f>
        <v>0</v>
      </c>
      <c r="J141" s="250">
        <f>'5.0 hivatal'!J141</f>
        <v>0</v>
      </c>
      <c r="K141" s="251">
        <f t="shared" si="100"/>
        <v>0</v>
      </c>
      <c r="L141" s="250">
        <f>'5.0 hivatal'!L141</f>
        <v>0</v>
      </c>
      <c r="M141" s="250">
        <f>'5.0 hivatal'!M141</f>
        <v>0</v>
      </c>
      <c r="N141" s="251">
        <f t="shared" si="101"/>
        <v>0</v>
      </c>
      <c r="O141" s="250">
        <f>'6.0 hksk'!C141</f>
        <v>0</v>
      </c>
      <c r="P141" s="250">
        <f>'6.0 hksk'!D141</f>
        <v>0</v>
      </c>
      <c r="Q141" s="251">
        <f t="shared" si="78"/>
        <v>0</v>
      </c>
      <c r="R141" s="250">
        <f>'6.0 hksk'!F141</f>
        <v>0</v>
      </c>
      <c r="S141" s="250">
        <f>'6.0 hksk'!G141</f>
        <v>0</v>
      </c>
      <c r="T141" s="251">
        <f t="shared" si="102"/>
        <v>0</v>
      </c>
      <c r="U141" s="250">
        <f>'6.0 hksk'!I141</f>
        <v>0</v>
      </c>
      <c r="V141" s="250">
        <f>'6.0 hksk'!J141</f>
        <v>0</v>
      </c>
      <c r="W141" s="251">
        <f t="shared" si="80"/>
        <v>0</v>
      </c>
      <c r="X141" s="250">
        <f>'6.0 hksk'!L141</f>
        <v>0</v>
      </c>
      <c r="Y141" s="250">
        <f>'6.0 hksk'!M141</f>
        <v>0</v>
      </c>
      <c r="Z141" s="251">
        <f t="shared" si="81"/>
        <v>0</v>
      </c>
      <c r="AA141" s="250">
        <f>'7.0 önkormányzat össz'!C141</f>
        <v>15000000</v>
      </c>
      <c r="AB141" s="250">
        <f>'7.0 önkormányzat össz'!D141</f>
        <v>2912000</v>
      </c>
      <c r="AC141" s="251">
        <f t="shared" si="82"/>
        <v>17912000</v>
      </c>
      <c r="AD141" s="250">
        <f>'7.0 önkormányzat össz'!F141</f>
        <v>20122863</v>
      </c>
      <c r="AE141" s="250">
        <f>'7.0 önkormányzat össz'!G141</f>
        <v>2912000</v>
      </c>
      <c r="AF141" s="251">
        <f t="shared" si="103"/>
        <v>23034863</v>
      </c>
      <c r="AG141" s="250">
        <f ca="1">'7.0 önkormányzat össz'!I141</f>
        <v>25702767</v>
      </c>
      <c r="AH141" s="250">
        <f>'7.0 önkormányzat össz'!J141</f>
        <v>2912000</v>
      </c>
      <c r="AI141" s="251">
        <f t="shared" ca="1" si="104"/>
        <v>28614767</v>
      </c>
      <c r="AJ141" s="250">
        <f ca="1">'7.0 önkormányzat össz'!L141</f>
        <v>25702767</v>
      </c>
      <c r="AK141" s="250">
        <f>'7.0 önkormányzat össz'!M141</f>
        <v>2912000</v>
      </c>
      <c r="AL141" s="251">
        <f t="shared" ca="1" si="105"/>
        <v>28614767</v>
      </c>
      <c r="AM141" s="250">
        <f t="shared" si="106"/>
        <v>15000000</v>
      </c>
      <c r="AN141" s="250">
        <f t="shared" si="107"/>
        <v>2912000</v>
      </c>
      <c r="AO141" s="251">
        <f t="shared" si="108"/>
        <v>17912000</v>
      </c>
      <c r="AP141" s="250">
        <f t="shared" si="109"/>
        <v>20122863</v>
      </c>
      <c r="AQ141" s="250">
        <f t="shared" si="110"/>
        <v>2912000</v>
      </c>
      <c r="AR141" s="251">
        <f t="shared" si="111"/>
        <v>23034863</v>
      </c>
      <c r="AS141" s="329">
        <f t="shared" ca="1" si="112"/>
        <v>25702767</v>
      </c>
      <c r="AT141" s="329">
        <f t="shared" si="113"/>
        <v>2912000</v>
      </c>
      <c r="AU141" s="253">
        <f t="shared" ca="1" si="114"/>
        <v>28614767</v>
      </c>
      <c r="AV141" s="329">
        <f t="shared" ca="1" si="115"/>
        <v>25702767</v>
      </c>
      <c r="AW141" s="329">
        <f t="shared" si="116"/>
        <v>2912000</v>
      </c>
      <c r="AX141" s="647">
        <f t="shared" ca="1" si="117"/>
        <v>28614767</v>
      </c>
    </row>
    <row r="142" spans="1:53" ht="15.75" thickBot="1" x14ac:dyDescent="0.3">
      <c r="A142" s="38" t="s">
        <v>248</v>
      </c>
      <c r="B142" s="23" t="s">
        <v>249</v>
      </c>
      <c r="C142" s="250">
        <f>'5.0 hivatal'!C142</f>
        <v>195896714</v>
      </c>
      <c r="D142" s="250">
        <f>'5.0 hivatal'!D142</f>
        <v>0</v>
      </c>
      <c r="E142" s="251">
        <f t="shared" si="118"/>
        <v>195896714</v>
      </c>
      <c r="F142" s="250">
        <f>'5.0 hivatal'!F142</f>
        <v>198559654</v>
      </c>
      <c r="G142" s="250">
        <f>'5.0 hivatal'!G142</f>
        <v>0</v>
      </c>
      <c r="H142" s="251">
        <f t="shared" si="99"/>
        <v>198559654</v>
      </c>
      <c r="I142" s="250">
        <f>'5.0 hivatal'!I142</f>
        <v>198559654</v>
      </c>
      <c r="J142" s="250">
        <f>'5.0 hivatal'!J142</f>
        <v>0</v>
      </c>
      <c r="K142" s="251">
        <f t="shared" si="100"/>
        <v>198559654</v>
      </c>
      <c r="L142" s="250">
        <f>'5.0 hivatal'!L142</f>
        <v>170753315</v>
      </c>
      <c r="M142" s="250">
        <f>'5.0 hivatal'!M142</f>
        <v>0</v>
      </c>
      <c r="N142" s="251">
        <f t="shared" si="101"/>
        <v>170753315</v>
      </c>
      <c r="O142" s="250">
        <f>'6.0 hksk'!C142</f>
        <v>103598627</v>
      </c>
      <c r="P142" s="250">
        <f>'6.0 hksk'!D142</f>
        <v>0</v>
      </c>
      <c r="Q142" s="251">
        <f t="shared" si="78"/>
        <v>103598627</v>
      </c>
      <c r="R142" s="250">
        <f>'6.0 hksk'!F142</f>
        <v>120580397</v>
      </c>
      <c r="S142" s="250">
        <f>'6.0 hksk'!G142</f>
        <v>0</v>
      </c>
      <c r="T142" s="251">
        <f t="shared" si="102"/>
        <v>120580397</v>
      </c>
      <c r="U142" s="250">
        <f>'6.0 hksk'!I142</f>
        <v>123027239</v>
      </c>
      <c r="V142" s="250">
        <f>'6.0 hksk'!J142</f>
        <v>0</v>
      </c>
      <c r="W142" s="251">
        <f t="shared" si="80"/>
        <v>123027239</v>
      </c>
      <c r="X142" s="250">
        <f>'6.0 hksk'!L142</f>
        <v>119102256</v>
      </c>
      <c r="Y142" s="250">
        <f>'6.0 hksk'!M142</f>
        <v>0</v>
      </c>
      <c r="Z142" s="251">
        <f t="shared" si="81"/>
        <v>119102256</v>
      </c>
      <c r="AA142" s="250">
        <f>'7.0 önkormányzat össz'!C142</f>
        <v>4493012041</v>
      </c>
      <c r="AB142" s="250">
        <f>'7.0 önkormányzat össz'!D142</f>
        <v>65974082</v>
      </c>
      <c r="AC142" s="251">
        <f t="shared" si="82"/>
        <v>4558986123</v>
      </c>
      <c r="AD142" s="250">
        <f>'7.0 önkormányzat össz'!F142</f>
        <v>4511493898</v>
      </c>
      <c r="AE142" s="250">
        <f>'7.0 önkormányzat össz'!G142</f>
        <v>65974082</v>
      </c>
      <c r="AF142" s="251">
        <f t="shared" si="103"/>
        <v>4577467980</v>
      </c>
      <c r="AG142" s="250">
        <f ca="1">'7.0 önkormányzat össz'!I142</f>
        <v>4556330203</v>
      </c>
      <c r="AH142" s="250">
        <f>'7.0 önkormányzat össz'!J142</f>
        <v>66595750</v>
      </c>
      <c r="AI142" s="251">
        <f t="shared" ca="1" si="104"/>
        <v>4622925953</v>
      </c>
      <c r="AJ142" s="250">
        <f ca="1">'7.0 önkormányzat össz'!L142</f>
        <v>3071849206</v>
      </c>
      <c r="AK142" s="250">
        <f>'7.0 önkormányzat össz'!M142</f>
        <v>66558296</v>
      </c>
      <c r="AL142" s="251">
        <f t="shared" ca="1" si="105"/>
        <v>3138407502</v>
      </c>
      <c r="AM142" s="250">
        <f t="shared" si="106"/>
        <v>4792507382</v>
      </c>
      <c r="AN142" s="250">
        <f t="shared" si="107"/>
        <v>65974082</v>
      </c>
      <c r="AO142" s="251">
        <f t="shared" si="108"/>
        <v>4858481464</v>
      </c>
      <c r="AP142" s="250">
        <f t="shared" si="109"/>
        <v>4830633949</v>
      </c>
      <c r="AQ142" s="250">
        <f t="shared" si="110"/>
        <v>65974082</v>
      </c>
      <c r="AR142" s="251">
        <f t="shared" si="111"/>
        <v>4896608031</v>
      </c>
      <c r="AS142" s="329">
        <f t="shared" ca="1" si="112"/>
        <v>4877917096</v>
      </c>
      <c r="AT142" s="329">
        <f t="shared" si="113"/>
        <v>66595750</v>
      </c>
      <c r="AU142" s="253">
        <f t="shared" ca="1" si="114"/>
        <v>4944512846</v>
      </c>
      <c r="AV142" s="329">
        <f t="shared" ca="1" si="115"/>
        <v>3361704777</v>
      </c>
      <c r="AW142" s="329">
        <f t="shared" si="116"/>
        <v>66558296</v>
      </c>
      <c r="AX142" s="647">
        <f t="shared" ca="1" si="117"/>
        <v>3428263073</v>
      </c>
      <c r="BA142" s="148"/>
    </row>
    <row r="143" spans="1:53" ht="15.75" thickBot="1" x14ac:dyDescent="0.3">
      <c r="A143" s="40" t="s">
        <v>250</v>
      </c>
      <c r="B143" s="41" t="s">
        <v>251</v>
      </c>
      <c r="C143" s="244">
        <f>'5.0 hivatal'!C143</f>
        <v>0</v>
      </c>
      <c r="D143" s="244">
        <f>'5.0 hivatal'!D143</f>
        <v>0</v>
      </c>
      <c r="E143" s="245">
        <f t="shared" si="118"/>
        <v>0</v>
      </c>
      <c r="F143" s="244">
        <f>'5.0 hivatal'!F143</f>
        <v>0</v>
      </c>
      <c r="G143" s="244">
        <f>'5.0 hivatal'!G143</f>
        <v>0</v>
      </c>
      <c r="H143" s="245">
        <f t="shared" si="99"/>
        <v>0</v>
      </c>
      <c r="I143" s="244">
        <f>'5.0 hivatal'!I143</f>
        <v>0</v>
      </c>
      <c r="J143" s="244">
        <f>'5.0 hivatal'!J143</f>
        <v>0</v>
      </c>
      <c r="K143" s="245">
        <f t="shared" si="100"/>
        <v>0</v>
      </c>
      <c r="L143" s="244">
        <f>'5.0 hivatal'!L143</f>
        <v>0</v>
      </c>
      <c r="M143" s="244">
        <f>'5.0 hivatal'!M143</f>
        <v>0</v>
      </c>
      <c r="N143" s="245">
        <f t="shared" si="101"/>
        <v>0</v>
      </c>
      <c r="O143" s="244">
        <f>'6.0 hksk'!C143</f>
        <v>0</v>
      </c>
      <c r="P143" s="244">
        <f>'6.0 hksk'!D143</f>
        <v>0</v>
      </c>
      <c r="Q143" s="245">
        <f t="shared" si="78"/>
        <v>0</v>
      </c>
      <c r="R143" s="244">
        <f>'6.0 hksk'!F143</f>
        <v>0</v>
      </c>
      <c r="S143" s="244">
        <f>'6.0 hksk'!G143</f>
        <v>0</v>
      </c>
      <c r="T143" s="245">
        <f t="shared" si="102"/>
        <v>0</v>
      </c>
      <c r="U143" s="244">
        <f>'6.0 hksk'!I143</f>
        <v>0</v>
      </c>
      <c r="V143" s="244">
        <f>'6.0 hksk'!J143</f>
        <v>0</v>
      </c>
      <c r="W143" s="245">
        <f t="shared" si="80"/>
        <v>0</v>
      </c>
      <c r="X143" s="244">
        <f>'6.0 hksk'!L143</f>
        <v>0</v>
      </c>
      <c r="Y143" s="244">
        <f>'6.0 hksk'!M143</f>
        <v>0</v>
      </c>
      <c r="Z143" s="245">
        <f t="shared" si="81"/>
        <v>0</v>
      </c>
      <c r="AA143" s="244">
        <f>'7.0 önkormányzat össz'!C143</f>
        <v>295128074</v>
      </c>
      <c r="AB143" s="244">
        <f>'7.0 önkormányzat össz'!D143</f>
        <v>0</v>
      </c>
      <c r="AC143" s="245">
        <f t="shared" si="82"/>
        <v>295128074</v>
      </c>
      <c r="AD143" s="244">
        <f>'7.0 önkormányzat össz'!F143</f>
        <v>304575244</v>
      </c>
      <c r="AE143" s="244">
        <f>'7.0 önkormányzat össz'!G143</f>
        <v>0</v>
      </c>
      <c r="AF143" s="245">
        <f t="shared" si="103"/>
        <v>304575244</v>
      </c>
      <c r="AG143" s="244">
        <f ca="1">'7.0 önkormányzat össz'!I143</f>
        <v>306357035</v>
      </c>
      <c r="AH143" s="244">
        <f>'7.0 önkormányzat össz'!J143</f>
        <v>0</v>
      </c>
      <c r="AI143" s="245">
        <f t="shared" ca="1" si="104"/>
        <v>306357035</v>
      </c>
      <c r="AJ143" s="244">
        <f ca="1">'7.0 önkormányzat össz'!L143</f>
        <v>284997472</v>
      </c>
      <c r="AK143" s="244">
        <f>'7.0 önkormányzat össz'!M143</f>
        <v>0</v>
      </c>
      <c r="AL143" s="245">
        <f t="shared" ca="1" si="105"/>
        <v>284997472</v>
      </c>
      <c r="AM143" s="244">
        <f t="shared" si="106"/>
        <v>295128074</v>
      </c>
      <c r="AN143" s="244">
        <f t="shared" si="107"/>
        <v>0</v>
      </c>
      <c r="AO143" s="245">
        <f t="shared" si="108"/>
        <v>295128074</v>
      </c>
      <c r="AP143" s="244">
        <f t="shared" si="109"/>
        <v>304575244</v>
      </c>
      <c r="AQ143" s="244">
        <f t="shared" si="110"/>
        <v>0</v>
      </c>
      <c r="AR143" s="245">
        <f t="shared" si="111"/>
        <v>304575244</v>
      </c>
      <c r="AS143" s="329">
        <f t="shared" ca="1" si="112"/>
        <v>306357035</v>
      </c>
      <c r="AT143" s="329">
        <f t="shared" si="113"/>
        <v>0</v>
      </c>
      <c r="AU143" s="253">
        <f t="shared" ca="1" si="114"/>
        <v>306357035</v>
      </c>
      <c r="AV143" s="329">
        <f t="shared" ca="1" si="115"/>
        <v>284997472</v>
      </c>
      <c r="AW143" s="329">
        <f t="shared" si="116"/>
        <v>0</v>
      </c>
      <c r="AX143" s="647">
        <f t="shared" ca="1" si="117"/>
        <v>284997472</v>
      </c>
    </row>
    <row r="144" spans="1:53" ht="15.75" thickBot="1" x14ac:dyDescent="0.3">
      <c r="A144" s="34" t="s">
        <v>252</v>
      </c>
      <c r="B144" s="35" t="s">
        <v>253</v>
      </c>
      <c r="C144" s="246">
        <f>'5.0 hivatal'!C144</f>
        <v>0</v>
      </c>
      <c r="D144" s="246">
        <f>'5.0 hivatal'!D144</f>
        <v>0</v>
      </c>
      <c r="E144" s="247">
        <f t="shared" si="118"/>
        <v>0</v>
      </c>
      <c r="F144" s="246">
        <f>'5.0 hivatal'!F144</f>
        <v>0</v>
      </c>
      <c r="G144" s="246">
        <f>'5.0 hivatal'!G144</f>
        <v>0</v>
      </c>
      <c r="H144" s="247">
        <f t="shared" si="99"/>
        <v>0</v>
      </c>
      <c r="I144" s="246">
        <f>'5.0 hivatal'!I144</f>
        <v>0</v>
      </c>
      <c r="J144" s="246">
        <f>'5.0 hivatal'!J144</f>
        <v>0</v>
      </c>
      <c r="K144" s="247">
        <f t="shared" si="100"/>
        <v>0</v>
      </c>
      <c r="L144" s="246">
        <f>'5.0 hivatal'!L144</f>
        <v>0</v>
      </c>
      <c r="M144" s="246">
        <f>'5.0 hivatal'!M144</f>
        <v>0</v>
      </c>
      <c r="N144" s="247">
        <f t="shared" si="101"/>
        <v>0</v>
      </c>
      <c r="O144" s="244">
        <f>'6.0 hksk'!C144</f>
        <v>0</v>
      </c>
      <c r="P144" s="244">
        <f>'6.0 hksk'!D144</f>
        <v>0</v>
      </c>
      <c r="Q144" s="247">
        <f t="shared" si="78"/>
        <v>0</v>
      </c>
      <c r="R144" s="244">
        <f>'6.0 hksk'!F144</f>
        <v>0</v>
      </c>
      <c r="S144" s="244">
        <f>'6.0 hksk'!G144</f>
        <v>0</v>
      </c>
      <c r="T144" s="247">
        <f t="shared" si="102"/>
        <v>0</v>
      </c>
      <c r="U144" s="244">
        <f>'6.0 hksk'!I144</f>
        <v>0</v>
      </c>
      <c r="V144" s="244">
        <f>'6.0 hksk'!J144</f>
        <v>0</v>
      </c>
      <c r="W144" s="247">
        <f t="shared" si="80"/>
        <v>0</v>
      </c>
      <c r="X144" s="244">
        <f>'6.0 hksk'!L144</f>
        <v>0</v>
      </c>
      <c r="Y144" s="244">
        <f>'6.0 hksk'!M144</f>
        <v>0</v>
      </c>
      <c r="Z144" s="247">
        <f t="shared" si="81"/>
        <v>0</v>
      </c>
      <c r="AA144" s="244">
        <f>'7.0 önkormányzat össz'!C144</f>
        <v>0</v>
      </c>
      <c r="AB144" s="244">
        <f>'7.0 önkormányzat össz'!D144</f>
        <v>0</v>
      </c>
      <c r="AC144" s="247">
        <f t="shared" si="82"/>
        <v>0</v>
      </c>
      <c r="AD144" s="244">
        <f>'7.0 önkormányzat össz'!F144</f>
        <v>0</v>
      </c>
      <c r="AE144" s="244">
        <f>'7.0 önkormányzat össz'!G144</f>
        <v>0</v>
      </c>
      <c r="AF144" s="247">
        <f t="shared" si="103"/>
        <v>0</v>
      </c>
      <c r="AG144" s="244">
        <f ca="1">'7.0 önkormányzat össz'!I144</f>
        <v>0</v>
      </c>
      <c r="AH144" s="244">
        <f>'7.0 önkormányzat össz'!J144</f>
        <v>0</v>
      </c>
      <c r="AI144" s="247">
        <f t="shared" ca="1" si="104"/>
        <v>0</v>
      </c>
      <c r="AJ144" s="244">
        <f ca="1">'7.0 önkormányzat össz'!L144</f>
        <v>0</v>
      </c>
      <c r="AK144" s="244">
        <f>'7.0 önkormányzat össz'!M144</f>
        <v>0</v>
      </c>
      <c r="AL144" s="247">
        <f t="shared" ca="1" si="105"/>
        <v>0</v>
      </c>
      <c r="AM144" s="244">
        <f t="shared" si="106"/>
        <v>0</v>
      </c>
      <c r="AN144" s="244">
        <f t="shared" si="107"/>
        <v>0</v>
      </c>
      <c r="AO144" s="245">
        <f t="shared" si="108"/>
        <v>0</v>
      </c>
      <c r="AP144" s="244">
        <f t="shared" si="109"/>
        <v>0</v>
      </c>
      <c r="AQ144" s="244">
        <f t="shared" si="110"/>
        <v>0</v>
      </c>
      <c r="AR144" s="245">
        <f t="shared" si="111"/>
        <v>0</v>
      </c>
      <c r="AS144" s="329">
        <f t="shared" ca="1" si="112"/>
        <v>0</v>
      </c>
      <c r="AT144" s="329">
        <f t="shared" si="113"/>
        <v>0</v>
      </c>
      <c r="AU144" s="253">
        <f t="shared" ca="1" si="114"/>
        <v>0</v>
      </c>
      <c r="AV144" s="329">
        <f t="shared" ca="1" si="115"/>
        <v>0</v>
      </c>
      <c r="AW144" s="329">
        <f t="shared" si="116"/>
        <v>0</v>
      </c>
      <c r="AX144" s="647">
        <f t="shared" ca="1" si="117"/>
        <v>0</v>
      </c>
    </row>
    <row r="145" spans="1:50" ht="15.75" thickBot="1" x14ac:dyDescent="0.3">
      <c r="A145" s="34" t="s">
        <v>254</v>
      </c>
      <c r="B145" s="35" t="s">
        <v>255</v>
      </c>
      <c r="C145" s="246">
        <f>'5.0 hivatal'!C145</f>
        <v>0</v>
      </c>
      <c r="D145" s="246">
        <f>'5.0 hivatal'!D145</f>
        <v>0</v>
      </c>
      <c r="E145" s="247">
        <f t="shared" si="118"/>
        <v>0</v>
      </c>
      <c r="F145" s="246">
        <f>'5.0 hivatal'!F145</f>
        <v>0</v>
      </c>
      <c r="G145" s="246">
        <f>'5.0 hivatal'!G145</f>
        <v>0</v>
      </c>
      <c r="H145" s="247">
        <f t="shared" si="99"/>
        <v>0</v>
      </c>
      <c r="I145" s="246">
        <f>'5.0 hivatal'!I145</f>
        <v>0</v>
      </c>
      <c r="J145" s="246">
        <f>'5.0 hivatal'!J145</f>
        <v>0</v>
      </c>
      <c r="K145" s="247">
        <f t="shared" si="100"/>
        <v>0</v>
      </c>
      <c r="L145" s="246">
        <f>'5.0 hivatal'!L145</f>
        <v>0</v>
      </c>
      <c r="M145" s="246">
        <f>'5.0 hivatal'!M145</f>
        <v>0</v>
      </c>
      <c r="N145" s="247">
        <f t="shared" si="101"/>
        <v>0</v>
      </c>
      <c r="O145" s="244">
        <f>'6.0 hksk'!C145</f>
        <v>0</v>
      </c>
      <c r="P145" s="244">
        <f>'6.0 hksk'!D145</f>
        <v>0</v>
      </c>
      <c r="Q145" s="247">
        <f t="shared" si="78"/>
        <v>0</v>
      </c>
      <c r="R145" s="244">
        <f>'6.0 hksk'!F145</f>
        <v>0</v>
      </c>
      <c r="S145" s="244">
        <f>'6.0 hksk'!G145</f>
        <v>0</v>
      </c>
      <c r="T145" s="247">
        <f t="shared" si="102"/>
        <v>0</v>
      </c>
      <c r="U145" s="244">
        <f>'6.0 hksk'!I145</f>
        <v>0</v>
      </c>
      <c r="V145" s="244">
        <f>'6.0 hksk'!J145</f>
        <v>0</v>
      </c>
      <c r="W145" s="247">
        <f t="shared" si="80"/>
        <v>0</v>
      </c>
      <c r="X145" s="244">
        <f>'6.0 hksk'!L145</f>
        <v>0</v>
      </c>
      <c r="Y145" s="244">
        <f>'6.0 hksk'!M145</f>
        <v>0</v>
      </c>
      <c r="Z145" s="247">
        <f t="shared" si="81"/>
        <v>0</v>
      </c>
      <c r="AA145" s="244">
        <f>'7.0 önkormányzat össz'!C145</f>
        <v>0</v>
      </c>
      <c r="AB145" s="244">
        <f>'7.0 önkormányzat össz'!D145</f>
        <v>0</v>
      </c>
      <c r="AC145" s="247">
        <f t="shared" si="82"/>
        <v>0</v>
      </c>
      <c r="AD145" s="244">
        <f>'7.0 önkormányzat össz'!F145</f>
        <v>0</v>
      </c>
      <c r="AE145" s="244">
        <f>'7.0 önkormányzat össz'!G145</f>
        <v>0</v>
      </c>
      <c r="AF145" s="247">
        <f t="shared" si="103"/>
        <v>0</v>
      </c>
      <c r="AG145" s="244">
        <f ca="1">'7.0 önkormányzat össz'!I145</f>
        <v>0</v>
      </c>
      <c r="AH145" s="244">
        <f>'7.0 önkormányzat össz'!J145</f>
        <v>0</v>
      </c>
      <c r="AI145" s="247">
        <f t="shared" ca="1" si="104"/>
        <v>0</v>
      </c>
      <c r="AJ145" s="244">
        <f ca="1">'7.0 önkormányzat össz'!L145</f>
        <v>0</v>
      </c>
      <c r="AK145" s="244">
        <f>'7.0 önkormányzat össz'!M145</f>
        <v>0</v>
      </c>
      <c r="AL145" s="247">
        <f t="shared" ca="1" si="105"/>
        <v>0</v>
      </c>
      <c r="AM145" s="244">
        <f t="shared" si="106"/>
        <v>0</v>
      </c>
      <c r="AN145" s="244">
        <f t="shared" si="107"/>
        <v>0</v>
      </c>
      <c r="AO145" s="245">
        <f t="shared" si="108"/>
        <v>0</v>
      </c>
      <c r="AP145" s="244">
        <f t="shared" si="109"/>
        <v>0</v>
      </c>
      <c r="AQ145" s="244">
        <f t="shared" si="110"/>
        <v>0</v>
      </c>
      <c r="AR145" s="245">
        <f t="shared" si="111"/>
        <v>0</v>
      </c>
      <c r="AS145" s="329">
        <f t="shared" ca="1" si="112"/>
        <v>0</v>
      </c>
      <c r="AT145" s="329">
        <f t="shared" si="113"/>
        <v>0</v>
      </c>
      <c r="AU145" s="253">
        <f t="shared" ca="1" si="114"/>
        <v>0</v>
      </c>
      <c r="AV145" s="329">
        <f t="shared" ca="1" si="115"/>
        <v>0</v>
      </c>
      <c r="AW145" s="329">
        <f t="shared" si="116"/>
        <v>0</v>
      </c>
      <c r="AX145" s="647">
        <f t="shared" ca="1" si="117"/>
        <v>0</v>
      </c>
    </row>
    <row r="146" spans="1:50" s="179" customFormat="1" ht="15.75" thickBot="1" x14ac:dyDescent="0.3">
      <c r="A146" s="190" t="s">
        <v>541</v>
      </c>
      <c r="B146" s="180" t="s">
        <v>542</v>
      </c>
      <c r="C146" s="246">
        <f>'5.0 hivatal'!C146</f>
        <v>0</v>
      </c>
      <c r="D146" s="246">
        <f>'5.0 hivatal'!D146</f>
        <v>0</v>
      </c>
      <c r="E146" s="247"/>
      <c r="F146" s="246">
        <f>'5.0 hivatal'!F146</f>
        <v>0</v>
      </c>
      <c r="G146" s="246">
        <f>'5.0 hivatal'!G146</f>
        <v>0</v>
      </c>
      <c r="H146" s="247"/>
      <c r="I146" s="246">
        <f>'5.0 hivatal'!I146</f>
        <v>0</v>
      </c>
      <c r="J146" s="246">
        <f>'5.0 hivatal'!J146</f>
        <v>0</v>
      </c>
      <c r="K146" s="247"/>
      <c r="L146" s="246">
        <f>'5.0 hivatal'!L146</f>
        <v>0</v>
      </c>
      <c r="M146" s="246">
        <f>'5.0 hivatal'!M146</f>
        <v>0</v>
      </c>
      <c r="N146" s="247"/>
      <c r="O146" s="244">
        <f>'6.0 hksk'!C146</f>
        <v>0</v>
      </c>
      <c r="P146" s="244">
        <f>'6.0 hksk'!D146</f>
        <v>0</v>
      </c>
      <c r="Q146" s="331"/>
      <c r="R146" s="244">
        <f>'6.0 hksk'!F146</f>
        <v>0</v>
      </c>
      <c r="S146" s="244">
        <f>'6.0 hksk'!G146</f>
        <v>0</v>
      </c>
      <c r="T146" s="331"/>
      <c r="U146" s="244">
        <f>'6.0 hksk'!I146</f>
        <v>0</v>
      </c>
      <c r="V146" s="244">
        <f>'6.0 hksk'!J146</f>
        <v>0</v>
      </c>
      <c r="W146" s="331"/>
      <c r="X146" s="244">
        <f>'6.0 hksk'!L146</f>
        <v>0</v>
      </c>
      <c r="Y146" s="244">
        <f>'6.0 hksk'!M146</f>
        <v>0</v>
      </c>
      <c r="Z146" s="331"/>
      <c r="AA146" s="244">
        <f>'7.0 önkormányzat össz'!C146</f>
        <v>16920538</v>
      </c>
      <c r="AB146" s="244">
        <f>'7.0 önkormányzat össz'!D146</f>
        <v>0</v>
      </c>
      <c r="AC146" s="247">
        <f t="shared" si="82"/>
        <v>16920538</v>
      </c>
      <c r="AD146" s="244">
        <f>'7.0 önkormányzat össz'!F146</f>
        <v>16920538</v>
      </c>
      <c r="AE146" s="244">
        <f>'7.0 önkormányzat össz'!G146</f>
        <v>0</v>
      </c>
      <c r="AF146" s="247">
        <f t="shared" si="103"/>
        <v>16920538</v>
      </c>
      <c r="AG146" s="244">
        <f ca="1">'7.0 önkormányzat össz'!I146</f>
        <v>16920538</v>
      </c>
      <c r="AH146" s="244">
        <f>'7.0 önkormányzat össz'!J146</f>
        <v>0</v>
      </c>
      <c r="AI146" s="247">
        <f t="shared" ca="1" si="104"/>
        <v>16920538</v>
      </c>
      <c r="AJ146" s="244">
        <f ca="1">'7.0 önkormányzat össz'!L146</f>
        <v>16920538</v>
      </c>
      <c r="AK146" s="244">
        <f>'7.0 önkormányzat össz'!M146</f>
        <v>0</v>
      </c>
      <c r="AL146" s="247">
        <f t="shared" ca="1" si="105"/>
        <v>16920538</v>
      </c>
      <c r="AM146" s="244">
        <f t="shared" si="106"/>
        <v>16920538</v>
      </c>
      <c r="AN146" s="244">
        <f t="shared" si="107"/>
        <v>0</v>
      </c>
      <c r="AO146" s="245">
        <f t="shared" si="108"/>
        <v>16920538</v>
      </c>
      <c r="AP146" s="244">
        <f t="shared" si="109"/>
        <v>16920538</v>
      </c>
      <c r="AQ146" s="244">
        <f t="shared" si="110"/>
        <v>0</v>
      </c>
      <c r="AR146" s="245">
        <f t="shared" si="111"/>
        <v>16920538</v>
      </c>
      <c r="AS146" s="329">
        <f t="shared" ca="1" si="112"/>
        <v>16920538</v>
      </c>
      <c r="AT146" s="329">
        <f t="shared" si="113"/>
        <v>0</v>
      </c>
      <c r="AU146" s="253">
        <f t="shared" ca="1" si="114"/>
        <v>16920538</v>
      </c>
      <c r="AV146" s="329">
        <f t="shared" ca="1" si="115"/>
        <v>16920538</v>
      </c>
      <c r="AW146" s="329">
        <f t="shared" si="116"/>
        <v>0</v>
      </c>
      <c r="AX146" s="647">
        <f t="shared" ca="1" si="117"/>
        <v>16920538</v>
      </c>
    </row>
    <row r="147" spans="1:50" ht="15.75" thickBot="1" x14ac:dyDescent="0.3">
      <c r="A147" s="34" t="s">
        <v>256</v>
      </c>
      <c r="B147" s="35" t="s">
        <v>257</v>
      </c>
      <c r="C147" s="246">
        <f>'5.0 hivatal'!C147</f>
        <v>0</v>
      </c>
      <c r="D147" s="246">
        <f>'5.0 hivatal'!D147</f>
        <v>0</v>
      </c>
      <c r="E147" s="247">
        <f>SUM(C147:D147)</f>
        <v>0</v>
      </c>
      <c r="F147" s="246">
        <f>'5.0 hivatal'!F147</f>
        <v>0</v>
      </c>
      <c r="G147" s="246">
        <f>'5.0 hivatal'!G147</f>
        <v>0</v>
      </c>
      <c r="H147" s="247">
        <f>SUM(F147:G147)</f>
        <v>0</v>
      </c>
      <c r="I147" s="246">
        <f>'5.0 hivatal'!I147</f>
        <v>0</v>
      </c>
      <c r="J147" s="246">
        <f>'5.0 hivatal'!J147</f>
        <v>0</v>
      </c>
      <c r="K147" s="247">
        <f>SUM(I147:J147)</f>
        <v>0</v>
      </c>
      <c r="L147" s="246">
        <f>'5.0 hivatal'!L147</f>
        <v>0</v>
      </c>
      <c r="M147" s="246">
        <f>'5.0 hivatal'!M147</f>
        <v>0</v>
      </c>
      <c r="N147" s="247">
        <f>SUM(L147:M147)</f>
        <v>0</v>
      </c>
      <c r="O147" s="244">
        <f>'6.0 hksk'!C147</f>
        <v>0</v>
      </c>
      <c r="P147" s="244">
        <f>'6.0 hksk'!D147</f>
        <v>0</v>
      </c>
      <c r="Q147" s="247">
        <f t="shared" si="78"/>
        <v>0</v>
      </c>
      <c r="R147" s="244">
        <f>'6.0 hksk'!F147</f>
        <v>0</v>
      </c>
      <c r="S147" s="244">
        <f>'6.0 hksk'!G147</f>
        <v>0</v>
      </c>
      <c r="T147" s="247">
        <f t="shared" ref="T147:T151" si="119">SUM(R147:S147)</f>
        <v>0</v>
      </c>
      <c r="U147" s="244">
        <f>'6.0 hksk'!I147</f>
        <v>0</v>
      </c>
      <c r="V147" s="244">
        <f>'6.0 hksk'!J147</f>
        <v>0</v>
      </c>
      <c r="W147" s="247">
        <f t="shared" ref="W147:W151" si="120">SUM(U147:V147)</f>
        <v>0</v>
      </c>
      <c r="X147" s="244">
        <f>'6.0 hksk'!L147</f>
        <v>0</v>
      </c>
      <c r="Y147" s="244">
        <f>'6.0 hksk'!M147</f>
        <v>0</v>
      </c>
      <c r="Z147" s="247">
        <f t="shared" ref="Z147:Z151" si="121">SUM(X147:Y147)</f>
        <v>0</v>
      </c>
      <c r="AA147" s="244">
        <f>'7.0 önkormányzat össz'!C147</f>
        <v>278207536</v>
      </c>
      <c r="AB147" s="244">
        <f>'7.0 önkormányzat össz'!D147</f>
        <v>0</v>
      </c>
      <c r="AC147" s="247">
        <f t="shared" si="82"/>
        <v>278207536</v>
      </c>
      <c r="AD147" s="244">
        <f>'7.0 önkormányzat össz'!F147</f>
        <v>287654706</v>
      </c>
      <c r="AE147" s="244">
        <f>'7.0 önkormányzat össz'!G147</f>
        <v>0</v>
      </c>
      <c r="AF147" s="247">
        <f t="shared" si="103"/>
        <v>287654706</v>
      </c>
      <c r="AG147" s="244">
        <f ca="1">'7.0 önkormányzat össz'!I147</f>
        <v>289436497</v>
      </c>
      <c r="AH147" s="244">
        <f>'7.0 önkormányzat össz'!J147</f>
        <v>0</v>
      </c>
      <c r="AI147" s="247">
        <f t="shared" ca="1" si="104"/>
        <v>289436497</v>
      </c>
      <c r="AJ147" s="244">
        <f ca="1">'7.0 önkormányzat össz'!L147</f>
        <v>268076934</v>
      </c>
      <c r="AK147" s="244">
        <f>'7.0 önkormányzat össz'!M147</f>
        <v>0</v>
      </c>
      <c r="AL147" s="247">
        <f t="shared" ca="1" si="105"/>
        <v>268076934</v>
      </c>
      <c r="AM147" s="244">
        <f t="shared" si="106"/>
        <v>278207536</v>
      </c>
      <c r="AN147" s="244">
        <f t="shared" si="107"/>
        <v>0</v>
      </c>
      <c r="AO147" s="245">
        <f t="shared" si="108"/>
        <v>278207536</v>
      </c>
      <c r="AP147" s="244">
        <f t="shared" si="109"/>
        <v>287654706</v>
      </c>
      <c r="AQ147" s="244">
        <f t="shared" si="110"/>
        <v>0</v>
      </c>
      <c r="AR147" s="245">
        <f t="shared" si="111"/>
        <v>287654706</v>
      </c>
      <c r="AS147" s="672">
        <f t="shared" ca="1" si="112"/>
        <v>289436497</v>
      </c>
      <c r="AT147" s="329">
        <f t="shared" si="113"/>
        <v>0</v>
      </c>
      <c r="AU147" s="253">
        <f t="shared" ca="1" si="114"/>
        <v>289436497</v>
      </c>
      <c r="AV147" s="672">
        <f t="shared" ca="1" si="115"/>
        <v>268076934</v>
      </c>
      <c r="AW147" s="329">
        <f t="shared" si="116"/>
        <v>0</v>
      </c>
      <c r="AX147" s="647">
        <f t="shared" ca="1" si="117"/>
        <v>268076934</v>
      </c>
    </row>
    <row r="148" spans="1:50" ht="15.75" thickBot="1" x14ac:dyDescent="0.3">
      <c r="A148" s="34" t="s">
        <v>258</v>
      </c>
      <c r="B148" s="35" t="s">
        <v>259</v>
      </c>
      <c r="C148" s="246">
        <f>'5.0 hivatal'!C148</f>
        <v>0</v>
      </c>
      <c r="D148" s="246">
        <f>'5.0 hivatal'!D148</f>
        <v>0</v>
      </c>
      <c r="E148" s="247">
        <f>SUM(C148:D148)</f>
        <v>0</v>
      </c>
      <c r="F148" s="246">
        <f>'5.0 hivatal'!F148</f>
        <v>0</v>
      </c>
      <c r="G148" s="246">
        <f>'5.0 hivatal'!G148</f>
        <v>0</v>
      </c>
      <c r="H148" s="247">
        <f>SUM(F148:G148)</f>
        <v>0</v>
      </c>
      <c r="I148" s="246">
        <f>'5.0 hivatal'!I148</f>
        <v>0</v>
      </c>
      <c r="J148" s="246">
        <f>'5.0 hivatal'!J148</f>
        <v>0</v>
      </c>
      <c r="K148" s="247">
        <f>SUM(I148:J148)</f>
        <v>0</v>
      </c>
      <c r="L148" s="246">
        <f>'5.0 hivatal'!L148</f>
        <v>0</v>
      </c>
      <c r="M148" s="246">
        <f>'5.0 hivatal'!M148</f>
        <v>0</v>
      </c>
      <c r="N148" s="247">
        <f>SUM(L148:M148)</f>
        <v>0</v>
      </c>
      <c r="O148" s="244">
        <f>'6.0 hksk'!C148</f>
        <v>0</v>
      </c>
      <c r="P148" s="244">
        <f>'6.0 hksk'!D148</f>
        <v>0</v>
      </c>
      <c r="Q148" s="247">
        <f t="shared" si="78"/>
        <v>0</v>
      </c>
      <c r="R148" s="244">
        <f>'6.0 hksk'!F148</f>
        <v>0</v>
      </c>
      <c r="S148" s="244">
        <f>'6.0 hksk'!G148</f>
        <v>0</v>
      </c>
      <c r="T148" s="247">
        <f t="shared" si="119"/>
        <v>0</v>
      </c>
      <c r="U148" s="244">
        <f>'6.0 hksk'!I148</f>
        <v>0</v>
      </c>
      <c r="V148" s="244">
        <f>'6.0 hksk'!J148</f>
        <v>0</v>
      </c>
      <c r="W148" s="247">
        <f t="shared" si="120"/>
        <v>0</v>
      </c>
      <c r="X148" s="244">
        <f>'6.0 hksk'!L148</f>
        <v>0</v>
      </c>
      <c r="Y148" s="244">
        <f>'6.0 hksk'!M148</f>
        <v>0</v>
      </c>
      <c r="Z148" s="247">
        <f t="shared" si="121"/>
        <v>0</v>
      </c>
      <c r="AA148" s="244">
        <f>'7.0 önkormányzat össz'!C148</f>
        <v>0</v>
      </c>
      <c r="AB148" s="244">
        <f>'7.0 önkormányzat össz'!D148</f>
        <v>0</v>
      </c>
      <c r="AC148" s="247">
        <f t="shared" si="82"/>
        <v>0</v>
      </c>
      <c r="AD148" s="244">
        <f>'7.0 önkormányzat össz'!F148</f>
        <v>0</v>
      </c>
      <c r="AE148" s="244">
        <f>'7.0 önkormányzat össz'!G148</f>
        <v>0</v>
      </c>
      <c r="AF148" s="247">
        <f t="shared" si="103"/>
        <v>0</v>
      </c>
      <c r="AG148" s="244">
        <f ca="1">'7.0 önkormányzat össz'!I148</f>
        <v>0</v>
      </c>
      <c r="AH148" s="244">
        <f>'7.0 önkormányzat össz'!J148</f>
        <v>0</v>
      </c>
      <c r="AI148" s="247">
        <f t="shared" ca="1" si="104"/>
        <v>0</v>
      </c>
      <c r="AJ148" s="244">
        <f ca="1">'7.0 önkormányzat össz'!L148</f>
        <v>0</v>
      </c>
      <c r="AK148" s="244">
        <f>'7.0 önkormányzat össz'!M148</f>
        <v>0</v>
      </c>
      <c r="AL148" s="247">
        <f t="shared" ca="1" si="105"/>
        <v>0</v>
      </c>
      <c r="AM148" s="244">
        <f t="shared" si="106"/>
        <v>0</v>
      </c>
      <c r="AN148" s="244">
        <f t="shared" si="107"/>
        <v>0</v>
      </c>
      <c r="AO148" s="245">
        <f t="shared" si="108"/>
        <v>0</v>
      </c>
      <c r="AP148" s="244">
        <f t="shared" si="109"/>
        <v>0</v>
      </c>
      <c r="AQ148" s="244">
        <f t="shared" si="110"/>
        <v>0</v>
      </c>
      <c r="AR148" s="245">
        <f t="shared" si="111"/>
        <v>0</v>
      </c>
      <c r="AS148" s="329">
        <f t="shared" ca="1" si="112"/>
        <v>0</v>
      </c>
      <c r="AT148" s="329">
        <f t="shared" si="113"/>
        <v>0</v>
      </c>
      <c r="AU148" s="253">
        <f t="shared" ca="1" si="114"/>
        <v>0</v>
      </c>
      <c r="AV148" s="329">
        <f t="shared" ca="1" si="115"/>
        <v>0</v>
      </c>
      <c r="AW148" s="329">
        <f t="shared" si="116"/>
        <v>0</v>
      </c>
      <c r="AX148" s="647">
        <f t="shared" ca="1" si="117"/>
        <v>0</v>
      </c>
    </row>
    <row r="149" spans="1:50" ht="15.75" thickBot="1" x14ac:dyDescent="0.3">
      <c r="A149" s="34" t="s">
        <v>260</v>
      </c>
      <c r="B149" s="35" t="s">
        <v>261</v>
      </c>
      <c r="C149" s="246">
        <f>'5.0 hivatal'!C149</f>
        <v>0</v>
      </c>
      <c r="D149" s="246">
        <f>'5.0 hivatal'!D149</f>
        <v>0</v>
      </c>
      <c r="E149" s="247">
        <f>SUM(C149:D149)</f>
        <v>0</v>
      </c>
      <c r="F149" s="246">
        <f>'5.0 hivatal'!F149</f>
        <v>0</v>
      </c>
      <c r="G149" s="246">
        <f>'5.0 hivatal'!G149</f>
        <v>0</v>
      </c>
      <c r="H149" s="247">
        <f>SUM(F149:G149)</f>
        <v>0</v>
      </c>
      <c r="I149" s="246">
        <f>'5.0 hivatal'!I149</f>
        <v>0</v>
      </c>
      <c r="J149" s="246">
        <f>'5.0 hivatal'!J149</f>
        <v>0</v>
      </c>
      <c r="K149" s="247">
        <f>SUM(I149:J149)</f>
        <v>0</v>
      </c>
      <c r="L149" s="246">
        <f>'5.0 hivatal'!L149</f>
        <v>0</v>
      </c>
      <c r="M149" s="246">
        <f>'5.0 hivatal'!M149</f>
        <v>0</v>
      </c>
      <c r="N149" s="247">
        <f>SUM(L149:M149)</f>
        <v>0</v>
      </c>
      <c r="O149" s="244">
        <f>'6.0 hksk'!C149</f>
        <v>0</v>
      </c>
      <c r="P149" s="244">
        <f>'6.0 hksk'!D149</f>
        <v>0</v>
      </c>
      <c r="Q149" s="247">
        <f t="shared" si="78"/>
        <v>0</v>
      </c>
      <c r="R149" s="244">
        <f>'6.0 hksk'!F149</f>
        <v>0</v>
      </c>
      <c r="S149" s="244">
        <f>'6.0 hksk'!G149</f>
        <v>0</v>
      </c>
      <c r="T149" s="247">
        <f t="shared" si="119"/>
        <v>0</v>
      </c>
      <c r="U149" s="244">
        <f>'6.0 hksk'!I149</f>
        <v>0</v>
      </c>
      <c r="V149" s="244">
        <f>'6.0 hksk'!J149</f>
        <v>0</v>
      </c>
      <c r="W149" s="247">
        <f t="shared" si="120"/>
        <v>0</v>
      </c>
      <c r="X149" s="244">
        <f>'6.0 hksk'!L149</f>
        <v>0</v>
      </c>
      <c r="Y149" s="244">
        <f>'6.0 hksk'!M149</f>
        <v>0</v>
      </c>
      <c r="Z149" s="247">
        <f t="shared" si="121"/>
        <v>0</v>
      </c>
      <c r="AA149" s="244">
        <f>'7.0 önkormányzat össz'!C149</f>
        <v>0</v>
      </c>
      <c r="AB149" s="244">
        <f>'7.0 önkormányzat össz'!D149</f>
        <v>0</v>
      </c>
      <c r="AC149" s="247">
        <f t="shared" si="82"/>
        <v>0</v>
      </c>
      <c r="AD149" s="244">
        <f>'7.0 önkormányzat össz'!F149</f>
        <v>0</v>
      </c>
      <c r="AE149" s="244">
        <f>'7.0 önkormányzat össz'!G149</f>
        <v>0</v>
      </c>
      <c r="AF149" s="247">
        <f t="shared" si="103"/>
        <v>0</v>
      </c>
      <c r="AG149" s="244">
        <f ca="1">'7.0 önkormányzat össz'!I149</f>
        <v>0</v>
      </c>
      <c r="AH149" s="244">
        <f>'7.0 önkormányzat össz'!J149</f>
        <v>0</v>
      </c>
      <c r="AI149" s="247">
        <f t="shared" ca="1" si="104"/>
        <v>0</v>
      </c>
      <c r="AJ149" s="244">
        <f ca="1">'7.0 önkormányzat össz'!L149</f>
        <v>0</v>
      </c>
      <c r="AK149" s="244">
        <f>'7.0 önkormányzat össz'!M149</f>
        <v>0</v>
      </c>
      <c r="AL149" s="247">
        <f t="shared" ca="1" si="105"/>
        <v>0</v>
      </c>
      <c r="AM149" s="244">
        <f t="shared" si="106"/>
        <v>0</v>
      </c>
      <c r="AN149" s="244">
        <f t="shared" si="107"/>
        <v>0</v>
      </c>
      <c r="AO149" s="245">
        <f t="shared" si="108"/>
        <v>0</v>
      </c>
      <c r="AP149" s="244">
        <f t="shared" si="109"/>
        <v>0</v>
      </c>
      <c r="AQ149" s="244">
        <f t="shared" si="110"/>
        <v>0</v>
      </c>
      <c r="AR149" s="245">
        <f t="shared" si="111"/>
        <v>0</v>
      </c>
      <c r="AS149" s="329">
        <f t="shared" ca="1" si="112"/>
        <v>0</v>
      </c>
      <c r="AT149" s="329">
        <f t="shared" si="113"/>
        <v>0</v>
      </c>
      <c r="AU149" s="253">
        <f t="shared" ca="1" si="114"/>
        <v>0</v>
      </c>
      <c r="AV149" s="329">
        <f t="shared" ca="1" si="115"/>
        <v>0</v>
      </c>
      <c r="AW149" s="329">
        <f t="shared" si="116"/>
        <v>0</v>
      </c>
      <c r="AX149" s="647">
        <f t="shared" ca="1" si="117"/>
        <v>0</v>
      </c>
    </row>
    <row r="150" spans="1:50" ht="15.75" thickBot="1" x14ac:dyDescent="0.3">
      <c r="A150" s="36"/>
      <c r="B150" s="37" t="s">
        <v>262</v>
      </c>
      <c r="C150" s="248">
        <f>'5.0 hivatal'!C150</f>
        <v>0</v>
      </c>
      <c r="D150" s="248">
        <f>'5.0 hivatal'!D150</f>
        <v>0</v>
      </c>
      <c r="E150" s="249">
        <f>SUM(C150:D150)</f>
        <v>0</v>
      </c>
      <c r="F150" s="248">
        <f>'5.0 hivatal'!F150</f>
        <v>0</v>
      </c>
      <c r="G150" s="248">
        <f>'5.0 hivatal'!G150</f>
        <v>0</v>
      </c>
      <c r="H150" s="249">
        <f>SUM(F150:G150)</f>
        <v>0</v>
      </c>
      <c r="I150" s="248">
        <f>'5.0 hivatal'!I150</f>
        <v>0</v>
      </c>
      <c r="J150" s="248">
        <f>'5.0 hivatal'!J150</f>
        <v>0</v>
      </c>
      <c r="K150" s="249">
        <f>SUM(I150:J150)</f>
        <v>0</v>
      </c>
      <c r="L150" s="248">
        <f>'5.0 hivatal'!L150</f>
        <v>0</v>
      </c>
      <c r="M150" s="248">
        <f>'5.0 hivatal'!M150</f>
        <v>0</v>
      </c>
      <c r="N150" s="249">
        <f>SUM(L150:M150)</f>
        <v>0</v>
      </c>
      <c r="O150" s="248">
        <f>'6.0 hksk'!C150</f>
        <v>0</v>
      </c>
      <c r="P150" s="248">
        <f>'6.0 hksk'!D150</f>
        <v>0</v>
      </c>
      <c r="Q150" s="249">
        <f t="shared" si="78"/>
        <v>0</v>
      </c>
      <c r="R150" s="248">
        <f>'6.0 hksk'!F150</f>
        <v>0</v>
      </c>
      <c r="S150" s="248">
        <f>'6.0 hksk'!G150</f>
        <v>0</v>
      </c>
      <c r="T150" s="249">
        <f t="shared" si="119"/>
        <v>0</v>
      </c>
      <c r="U150" s="248">
        <f>'6.0 hksk'!I150</f>
        <v>0</v>
      </c>
      <c r="V150" s="248">
        <f>'6.0 hksk'!J150</f>
        <v>0</v>
      </c>
      <c r="W150" s="249">
        <f t="shared" si="120"/>
        <v>0</v>
      </c>
      <c r="X150" s="248">
        <f>'6.0 hksk'!L150</f>
        <v>0</v>
      </c>
      <c r="Y150" s="248">
        <f>'6.0 hksk'!M150</f>
        <v>0</v>
      </c>
      <c r="Z150" s="249">
        <f t="shared" si="121"/>
        <v>0</v>
      </c>
      <c r="AA150" s="248">
        <f>'7.0 önkormányzat össz'!C150</f>
        <v>0</v>
      </c>
      <c r="AB150" s="248">
        <f>'7.0 önkormányzat össz'!D150</f>
        <v>0</v>
      </c>
      <c r="AC150" s="249">
        <f t="shared" si="82"/>
        <v>0</v>
      </c>
      <c r="AD150" s="248">
        <f>'7.0 önkormányzat össz'!F150</f>
        <v>0</v>
      </c>
      <c r="AE150" s="248">
        <f>'7.0 önkormányzat össz'!G150</f>
        <v>0</v>
      </c>
      <c r="AF150" s="249">
        <f t="shared" si="103"/>
        <v>0</v>
      </c>
      <c r="AG150" s="248">
        <f ca="1">'7.0 önkormányzat össz'!I150</f>
        <v>0</v>
      </c>
      <c r="AH150" s="248">
        <f>'7.0 önkormányzat össz'!J150</f>
        <v>0</v>
      </c>
      <c r="AI150" s="249">
        <f t="shared" ca="1" si="104"/>
        <v>0</v>
      </c>
      <c r="AJ150" s="248">
        <f ca="1">'7.0 önkormányzat össz'!L150</f>
        <v>0</v>
      </c>
      <c r="AK150" s="248">
        <f>'7.0 önkormányzat össz'!M150</f>
        <v>0</v>
      </c>
      <c r="AL150" s="249">
        <f t="shared" ca="1" si="105"/>
        <v>0</v>
      </c>
      <c r="AM150" s="248">
        <f>AM147</f>
        <v>278207536</v>
      </c>
      <c r="AN150" s="248">
        <f>D150+P150+AB150</f>
        <v>0</v>
      </c>
      <c r="AO150" s="249">
        <f>SUM(AM150:AN150)</f>
        <v>278207536</v>
      </c>
      <c r="AP150" s="248">
        <f>AP147</f>
        <v>287654706</v>
      </c>
      <c r="AQ150" s="248">
        <f>G150+S150+AE150</f>
        <v>0</v>
      </c>
      <c r="AR150" s="249">
        <f>SUM(AP150:AQ150)</f>
        <v>287654706</v>
      </c>
      <c r="AS150" s="329">
        <f t="shared" ref="AS150:AX151" ca="1" si="122">I150+U150+AG150</f>
        <v>0</v>
      </c>
      <c r="AT150" s="329">
        <f t="shared" si="122"/>
        <v>0</v>
      </c>
      <c r="AU150" s="253">
        <f t="shared" ca="1" si="122"/>
        <v>0</v>
      </c>
      <c r="AV150" s="329">
        <f t="shared" ca="1" si="122"/>
        <v>0</v>
      </c>
      <c r="AW150" s="329">
        <f t="shared" si="122"/>
        <v>0</v>
      </c>
      <c r="AX150" s="253">
        <f t="shared" ca="1" si="122"/>
        <v>0</v>
      </c>
    </row>
    <row r="151" spans="1:50" ht="15.75" thickBot="1" x14ac:dyDescent="0.3">
      <c r="A151" s="38" t="s">
        <v>265</v>
      </c>
      <c r="B151" s="23" t="s">
        <v>263</v>
      </c>
      <c r="C151" s="254">
        <f>'5.0 hivatal'!C151</f>
        <v>195896714</v>
      </c>
      <c r="D151" s="254">
        <f>'5.0 hivatal'!D151</f>
        <v>0</v>
      </c>
      <c r="E151" s="255">
        <f>SUM(C151:D151)</f>
        <v>195896714</v>
      </c>
      <c r="F151" s="254">
        <f>'5.0 hivatal'!F151</f>
        <v>198559654</v>
      </c>
      <c r="G151" s="254">
        <f>'5.0 hivatal'!G151</f>
        <v>0</v>
      </c>
      <c r="H151" s="255">
        <f>SUM(F151:G151)</f>
        <v>198559654</v>
      </c>
      <c r="I151" s="254">
        <f>'5.0 hivatal'!I151</f>
        <v>198559654</v>
      </c>
      <c r="J151" s="254">
        <f>'5.0 hivatal'!J151</f>
        <v>0</v>
      </c>
      <c r="K151" s="255">
        <f>SUM(I151:J151)</f>
        <v>198559654</v>
      </c>
      <c r="L151" s="254">
        <f>'5.0 hivatal'!L151</f>
        <v>170753315</v>
      </c>
      <c r="M151" s="254">
        <f>'5.0 hivatal'!M151</f>
        <v>0</v>
      </c>
      <c r="N151" s="255">
        <f>SUM(L151:M151)</f>
        <v>170753315</v>
      </c>
      <c r="O151" s="254">
        <f>'6.0 hksk'!C151</f>
        <v>103598627</v>
      </c>
      <c r="P151" s="254">
        <f>'6.0 hksk'!D151</f>
        <v>0</v>
      </c>
      <c r="Q151" s="255">
        <f t="shared" si="78"/>
        <v>103598627</v>
      </c>
      <c r="R151" s="254">
        <f>'6.0 hksk'!F151</f>
        <v>120580397</v>
      </c>
      <c r="S151" s="254">
        <f>'6.0 hksk'!G151</f>
        <v>0</v>
      </c>
      <c r="T151" s="255">
        <f t="shared" si="119"/>
        <v>120580397</v>
      </c>
      <c r="U151" s="254">
        <f>'6.0 hksk'!I151</f>
        <v>123027239</v>
      </c>
      <c r="V151" s="254">
        <f>'6.0 hksk'!J151</f>
        <v>0</v>
      </c>
      <c r="W151" s="255">
        <f t="shared" si="120"/>
        <v>123027239</v>
      </c>
      <c r="X151" s="254">
        <f>'6.0 hksk'!L151</f>
        <v>119102256</v>
      </c>
      <c r="Y151" s="254">
        <f>'6.0 hksk'!M151</f>
        <v>0</v>
      </c>
      <c r="Z151" s="255">
        <f t="shared" si="121"/>
        <v>119102256</v>
      </c>
      <c r="AA151" s="254">
        <f>'7.0 önkormányzat össz'!C151</f>
        <v>4788140115</v>
      </c>
      <c r="AB151" s="254">
        <f>'7.0 önkormányzat össz'!D151</f>
        <v>65974082</v>
      </c>
      <c r="AC151" s="255">
        <f t="shared" si="82"/>
        <v>4854114197</v>
      </c>
      <c r="AD151" s="254">
        <f>'7.0 önkormányzat össz'!F151</f>
        <v>4816069142</v>
      </c>
      <c r="AE151" s="254">
        <f>'7.0 önkormányzat össz'!G151</f>
        <v>65974082</v>
      </c>
      <c r="AF151" s="255">
        <f t="shared" si="103"/>
        <v>4882043224</v>
      </c>
      <c r="AG151" s="254">
        <f ca="1">'7.0 önkormányzat össz'!I151</f>
        <v>4862687238</v>
      </c>
      <c r="AH151" s="254">
        <f>'7.0 önkormányzat össz'!J151</f>
        <v>66595750</v>
      </c>
      <c r="AI151" s="255">
        <f t="shared" ca="1" si="104"/>
        <v>4929282988</v>
      </c>
      <c r="AJ151" s="254">
        <f ca="1">'7.0 önkormányzat össz'!L151</f>
        <v>3356846678</v>
      </c>
      <c r="AK151" s="254">
        <f>'7.0 önkormányzat össz'!M151</f>
        <v>66558296</v>
      </c>
      <c r="AL151" s="255">
        <f t="shared" ca="1" si="105"/>
        <v>3423404974</v>
      </c>
      <c r="AM151" s="254">
        <f>C151+O151+AA151-AM150</f>
        <v>4809427920</v>
      </c>
      <c r="AN151" s="254">
        <f>D151+P151+AB151</f>
        <v>65974082</v>
      </c>
      <c r="AO151" s="255">
        <f>E151+Q151+AC151-AO150</f>
        <v>4875402002</v>
      </c>
      <c r="AP151" s="254">
        <f>F151+R151+AD151-AP150</f>
        <v>4847554487</v>
      </c>
      <c r="AQ151" s="254">
        <f>G151+S151+AE151</f>
        <v>65974082</v>
      </c>
      <c r="AR151" s="255">
        <f>H151+T151+AF151-AR150</f>
        <v>4913528569</v>
      </c>
      <c r="AS151" s="329">
        <f t="shared" ca="1" si="122"/>
        <v>5184274131</v>
      </c>
      <c r="AT151" s="329">
        <f t="shared" si="122"/>
        <v>66595750</v>
      </c>
      <c r="AU151" s="253">
        <f t="shared" ca="1" si="122"/>
        <v>5250869881</v>
      </c>
      <c r="AV151" s="329">
        <f t="shared" ca="1" si="122"/>
        <v>3646702249</v>
      </c>
      <c r="AW151" s="329">
        <f t="shared" si="122"/>
        <v>66558296</v>
      </c>
      <c r="AX151" s="253">
        <f t="shared" ca="1" si="122"/>
        <v>3713260545</v>
      </c>
    </row>
    <row r="152" spans="1:50" x14ac:dyDescent="0.25">
      <c r="H152" s="148">
        <f>H85-H151</f>
        <v>0</v>
      </c>
      <c r="K152" s="148">
        <f>K85-K151</f>
        <v>0</v>
      </c>
      <c r="N152" s="148">
        <f>N85-N151</f>
        <v>811163</v>
      </c>
      <c r="T152" s="148">
        <f>T85-T151</f>
        <v>0</v>
      </c>
      <c r="W152" s="148">
        <f>W85-W151</f>
        <v>0</v>
      </c>
      <c r="Z152" s="148">
        <f>Z85-Z151</f>
        <v>4509783</v>
      </c>
      <c r="AC152" s="148">
        <f t="shared" ref="AC152:AO152" si="123">AC85-AC151</f>
        <v>0</v>
      </c>
      <c r="AF152" s="148">
        <f>AF85-AF151</f>
        <v>0</v>
      </c>
      <c r="AI152" s="148">
        <f ca="1">AI85-AI151</f>
        <v>0</v>
      </c>
      <c r="AL152" s="148">
        <f ca="1">AL85-AL151</f>
        <v>1442596532</v>
      </c>
      <c r="AM152" s="148">
        <f t="shared" si="123"/>
        <v>65974082</v>
      </c>
      <c r="AN152" s="148">
        <f t="shared" si="123"/>
        <v>-65974082</v>
      </c>
      <c r="AO152" s="148">
        <f t="shared" si="123"/>
        <v>0</v>
      </c>
      <c r="AP152" s="148">
        <f t="shared" ref="AP152:AQ152" si="124">AP85-AP151</f>
        <v>65974082</v>
      </c>
      <c r="AQ152" s="148">
        <f t="shared" si="124"/>
        <v>-65974082</v>
      </c>
      <c r="AR152" s="148">
        <f>AR85-AR151</f>
        <v>0</v>
      </c>
      <c r="AS152" s="148">
        <f t="shared" ref="AS152:AT152" ca="1" si="125">AS85-AS151</f>
        <v>66595750</v>
      </c>
      <c r="AT152" s="148">
        <f t="shared" si="125"/>
        <v>-66595750</v>
      </c>
      <c r="AU152" s="148">
        <f ca="1">AU85-AU151</f>
        <v>0</v>
      </c>
      <c r="AV152" s="148">
        <f t="shared" ref="AV152:AW152" ca="1" si="126">AV85-AV151</f>
        <v>1514475774</v>
      </c>
      <c r="AW152" s="148">
        <f t="shared" si="126"/>
        <v>-66558296</v>
      </c>
      <c r="AX152" s="148">
        <f ca="1">AX85-AX151</f>
        <v>1447917478</v>
      </c>
    </row>
  </sheetData>
  <mergeCells count="14">
    <mergeCell ref="AM6:AX6"/>
    <mergeCell ref="AM7:AX7"/>
    <mergeCell ref="A1:H1"/>
    <mergeCell ref="A2:H2"/>
    <mergeCell ref="R3:T3"/>
    <mergeCell ref="O3:Q3"/>
    <mergeCell ref="C7:N7"/>
    <mergeCell ref="C6:N6"/>
    <mergeCell ref="U3:W3"/>
    <mergeCell ref="X3:Z3"/>
    <mergeCell ref="O7:Z7"/>
    <mergeCell ref="O6:Z6"/>
    <mergeCell ref="AA7:AL7"/>
    <mergeCell ref="AA6:AL6"/>
  </mergeCells>
  <pageMargins left="0.47244094488188981" right="0.15748031496062992" top="0.82677165354330717" bottom="0.43307086614173229" header="0.43307086614173229" footer="0.31496062992125984"/>
  <pageSetup paperSize="9" scale="43" orientation="portrait" horizontalDpi="300" verticalDpi="300" r:id="rId1"/>
  <headerFooter>
    <oddFooter>&amp;R&amp;P</oddFooter>
  </headerFooter>
  <rowBreaks count="1" manualBreakCount="1">
    <brk id="87" max="16383" man="1"/>
  </rowBreaks>
  <colBreaks count="2" manualBreakCount="2">
    <brk id="26" max="151" man="1"/>
    <brk id="38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166"/>
  <sheetViews>
    <sheetView zoomScaleNormal="100" workbookViewId="0">
      <pane xSplit="2" ySplit="8" topLeftCell="C126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E141" sqref="E141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12.7109375" style="148" customWidth="1"/>
    <col min="4" max="4" width="9.140625" style="148" customWidth="1"/>
    <col min="5" max="5" width="12" style="148" customWidth="1"/>
    <col min="6" max="6" width="12.7109375" style="148" customWidth="1"/>
    <col min="7" max="7" width="9.140625" style="148" customWidth="1"/>
    <col min="8" max="8" width="11.85546875" style="148" customWidth="1"/>
    <col min="9" max="9" width="12.7109375" style="148" customWidth="1"/>
    <col min="10" max="10" width="9" style="148" customWidth="1"/>
    <col min="11" max="11" width="12.140625" style="148" customWidth="1"/>
    <col min="12" max="12" width="12.7109375" style="148" customWidth="1"/>
    <col min="13" max="13" width="9" style="148" customWidth="1"/>
    <col min="14" max="14" width="12.85546875" style="148" customWidth="1"/>
    <col min="15" max="16" width="9.140625" style="179"/>
    <col min="17" max="17" width="10" style="179" bestFit="1" customWidth="1"/>
    <col min="18" max="18" width="9.140625" style="179"/>
    <col min="19" max="19" width="11" style="179" bestFit="1" customWidth="1"/>
    <col min="20" max="16384" width="9.140625" style="179"/>
  </cols>
  <sheetData>
    <row r="1" spans="1:14" s="79" customFormat="1" ht="15" customHeight="1" x14ac:dyDescent="0.2">
      <c r="A1" s="912" t="s">
        <v>274</v>
      </c>
      <c r="B1" s="912"/>
      <c r="C1" s="912"/>
      <c r="D1" s="912"/>
      <c r="E1" s="912"/>
      <c r="F1" s="306"/>
      <c r="I1" s="306"/>
      <c r="L1" s="306"/>
    </row>
    <row r="2" spans="1:14" s="79" customFormat="1" ht="15" customHeight="1" x14ac:dyDescent="0.2">
      <c r="A2" s="912">
        <v>2019</v>
      </c>
      <c r="B2" s="912"/>
      <c r="C2" s="912"/>
      <c r="D2" s="912"/>
      <c r="E2" s="912"/>
      <c r="F2" s="306"/>
      <c r="I2" s="306"/>
      <c r="L2" s="306"/>
    </row>
    <row r="3" spans="1:14" s="79" customFormat="1" ht="5.25" customHeight="1" x14ac:dyDescent="0.2"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</row>
    <row r="4" spans="1:14" x14ac:dyDescent="0.25">
      <c r="A4" s="79" t="s">
        <v>270</v>
      </c>
      <c r="C4" s="45" t="str">
        <f>'7.32 adóbev 900020'!C4</f>
        <v xml:space="preserve"> 12 / 2020. (VI.15) sz rendelet</v>
      </c>
    </row>
    <row r="5" spans="1:14" s="81" customFormat="1" ht="12.75" x14ac:dyDescent="0.2">
      <c r="A5" s="90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</row>
    <row r="6" spans="1:14" s="311" customFormat="1" x14ac:dyDescent="0.25">
      <c r="C6" s="714" t="s">
        <v>761</v>
      </c>
      <c r="D6" s="828" t="str">
        <f>'7.32 adóbev 900020'!D6</f>
        <v xml:space="preserve"> melléklet az 12/2020. (VI.15.) rendelethez</v>
      </c>
      <c r="E6" s="513"/>
      <c r="F6" s="614"/>
      <c r="G6" s="617"/>
      <c r="H6" s="617"/>
      <c r="I6" s="637"/>
      <c r="J6" s="641"/>
      <c r="K6" s="641"/>
      <c r="L6" s="698"/>
      <c r="M6" s="706"/>
      <c r="N6" s="706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307" t="s">
        <v>32</v>
      </c>
      <c r="D8" s="308" t="s">
        <v>33</v>
      </c>
      <c r="E8" s="309" t="s">
        <v>21</v>
      </c>
      <c r="F8" s="307" t="s">
        <v>32</v>
      </c>
      <c r="G8" s="308" t="s">
        <v>33</v>
      </c>
      <c r="H8" s="309" t="s">
        <v>825</v>
      </c>
      <c r="I8" s="307" t="s">
        <v>32</v>
      </c>
      <c r="J8" s="308" t="s">
        <v>33</v>
      </c>
      <c r="K8" s="199" t="s">
        <v>864</v>
      </c>
      <c r="L8" s="307" t="s">
        <v>32</v>
      </c>
      <c r="M8" s="308" t="s">
        <v>33</v>
      </c>
      <c r="N8" s="199" t="s">
        <v>908</v>
      </c>
    </row>
    <row r="9" spans="1:14" x14ac:dyDescent="0.25">
      <c r="A9" s="183" t="s">
        <v>43</v>
      </c>
      <c r="B9" s="189" t="s">
        <v>44</v>
      </c>
      <c r="C9" s="413">
        <f>SUM(C10,C17,C18,C20,C21,C19)</f>
        <v>224124002</v>
      </c>
      <c r="D9" s="413">
        <f>SUM(D10,D17,D18,D20,D21,D19)</f>
        <v>0</v>
      </c>
      <c r="E9" s="414">
        <f t="shared" ref="E9:E73" si="0">SUM(C9:D9)</f>
        <v>224124002</v>
      </c>
      <c r="F9" s="413">
        <f>'21 pályázatok részletes'!BR9</f>
        <v>227822431</v>
      </c>
      <c r="G9" s="413">
        <f>SUM(G10,G17,G18,G20,G21,G19)</f>
        <v>0</v>
      </c>
      <c r="H9" s="414">
        <f t="shared" ref="H9:H73" si="1">SUM(F9:G9)</f>
        <v>227822431</v>
      </c>
      <c r="I9" s="413">
        <f ca="1">'21 pályázatok részletes'!BS9</f>
        <v>226432680</v>
      </c>
      <c r="J9" s="413">
        <f>SUM(J10,J17,J18,J20,J21,J19)</f>
        <v>0</v>
      </c>
      <c r="K9" s="414">
        <f t="shared" ref="K9:K73" ca="1" si="2">SUM(I9:J9)</f>
        <v>226432680</v>
      </c>
      <c r="L9" s="413">
        <f ca="1">'21 pályázatok részletes'!BT9</f>
        <v>172432719</v>
      </c>
      <c r="M9" s="413">
        <f>SUM(M10,M17,M18,M20,M21,M19)</f>
        <v>0</v>
      </c>
      <c r="N9" s="414">
        <f t="shared" ref="N9:N73" ca="1" si="3">SUM(L9:M9)</f>
        <v>172432719</v>
      </c>
    </row>
    <row r="10" spans="1:14" x14ac:dyDescent="0.25">
      <c r="A10" s="184" t="s">
        <v>45</v>
      </c>
      <c r="B10" s="180" t="s">
        <v>46</v>
      </c>
      <c r="C10" s="413"/>
      <c r="D10" s="415">
        <f>SUM(D11:D16)</f>
        <v>0</v>
      </c>
      <c r="E10" s="416">
        <f t="shared" si="0"/>
        <v>0</v>
      </c>
      <c r="F10" s="413">
        <f>'21 pályázatok részletes'!BR10</f>
        <v>0</v>
      </c>
      <c r="G10" s="415">
        <f>SUM(G11:G16)</f>
        <v>0</v>
      </c>
      <c r="H10" s="416">
        <f t="shared" si="1"/>
        <v>0</v>
      </c>
      <c r="I10" s="413">
        <f ca="1">'21 pályázatok részletes'!BS10</f>
        <v>0</v>
      </c>
      <c r="J10" s="415">
        <f>SUM(J11:J16)</f>
        <v>0</v>
      </c>
      <c r="K10" s="416">
        <f t="shared" ca="1" si="2"/>
        <v>0</v>
      </c>
      <c r="L10" s="413">
        <f ca="1">'21 pályázatok részletes'!BT10</f>
        <v>0</v>
      </c>
      <c r="M10" s="415">
        <f>SUM(M11:M16)</f>
        <v>0</v>
      </c>
      <c r="N10" s="416">
        <f t="shared" ca="1" si="3"/>
        <v>0</v>
      </c>
    </row>
    <row r="11" spans="1:14" hidden="1" x14ac:dyDescent="0.25">
      <c r="A11" s="184" t="s">
        <v>47</v>
      </c>
      <c r="B11" s="180" t="s">
        <v>48</v>
      </c>
      <c r="C11" s="413"/>
      <c r="D11" s="415"/>
      <c r="E11" s="416">
        <f t="shared" si="0"/>
        <v>0</v>
      </c>
      <c r="F11" s="413">
        <f>'21 pályázatok részletes'!BR11</f>
        <v>0</v>
      </c>
      <c r="G11" s="415"/>
      <c r="H11" s="416">
        <f t="shared" si="1"/>
        <v>0</v>
      </c>
      <c r="I11" s="413">
        <f ca="1">'21 pályázatok részletes'!BS11</f>
        <v>0</v>
      </c>
      <c r="J11" s="415"/>
      <c r="K11" s="416">
        <f t="shared" ca="1" si="2"/>
        <v>0</v>
      </c>
      <c r="L11" s="413">
        <f ca="1">'21 pályázatok részletes'!BT11</f>
        <v>0</v>
      </c>
      <c r="M11" s="415"/>
      <c r="N11" s="416">
        <f t="shared" ca="1" si="3"/>
        <v>0</v>
      </c>
    </row>
    <row r="12" spans="1:14" hidden="1" x14ac:dyDescent="0.25">
      <c r="A12" s="184" t="s">
        <v>49</v>
      </c>
      <c r="B12" s="180" t="s">
        <v>50</v>
      </c>
      <c r="C12" s="413"/>
      <c r="D12" s="415"/>
      <c r="E12" s="416">
        <f t="shared" si="0"/>
        <v>0</v>
      </c>
      <c r="F12" s="413">
        <f>'21 pályázatok részletes'!BR12</f>
        <v>0</v>
      </c>
      <c r="G12" s="415"/>
      <c r="H12" s="416">
        <f t="shared" si="1"/>
        <v>0</v>
      </c>
      <c r="I12" s="413">
        <f ca="1">'21 pályázatok részletes'!BS12</f>
        <v>0</v>
      </c>
      <c r="J12" s="415"/>
      <c r="K12" s="416">
        <f t="shared" ca="1" si="2"/>
        <v>0</v>
      </c>
      <c r="L12" s="413">
        <f ca="1">'21 pályázatok részletes'!BT12</f>
        <v>0</v>
      </c>
      <c r="M12" s="415"/>
      <c r="N12" s="416">
        <f t="shared" ca="1" si="3"/>
        <v>0</v>
      </c>
    </row>
    <row r="13" spans="1:14" hidden="1" x14ac:dyDescent="0.25">
      <c r="A13" s="184" t="s">
        <v>51</v>
      </c>
      <c r="B13" s="180" t="s">
        <v>52</v>
      </c>
      <c r="C13" s="413"/>
      <c r="D13" s="415"/>
      <c r="E13" s="416">
        <f t="shared" si="0"/>
        <v>0</v>
      </c>
      <c r="F13" s="413">
        <f>'21 pályázatok részletes'!BR13</f>
        <v>0</v>
      </c>
      <c r="G13" s="415"/>
      <c r="H13" s="416">
        <f t="shared" si="1"/>
        <v>0</v>
      </c>
      <c r="I13" s="413">
        <f ca="1">'21 pályázatok részletes'!BS13</f>
        <v>0</v>
      </c>
      <c r="J13" s="415"/>
      <c r="K13" s="416">
        <f t="shared" ca="1" si="2"/>
        <v>0</v>
      </c>
      <c r="L13" s="413">
        <f ca="1">'21 pályázatok részletes'!BT13</f>
        <v>0</v>
      </c>
      <c r="M13" s="415"/>
      <c r="N13" s="416">
        <f t="shared" ca="1" si="3"/>
        <v>0</v>
      </c>
    </row>
    <row r="14" spans="1:14" hidden="1" x14ac:dyDescent="0.25">
      <c r="A14" s="184" t="s">
        <v>53</v>
      </c>
      <c r="B14" s="180" t="s">
        <v>54</v>
      </c>
      <c r="C14" s="413"/>
      <c r="D14" s="415"/>
      <c r="E14" s="416">
        <f t="shared" si="0"/>
        <v>0</v>
      </c>
      <c r="F14" s="413">
        <f>'21 pályázatok részletes'!BR14</f>
        <v>0</v>
      </c>
      <c r="G14" s="415"/>
      <c r="H14" s="416">
        <f t="shared" si="1"/>
        <v>0</v>
      </c>
      <c r="I14" s="413">
        <f ca="1">'21 pályázatok részletes'!BS14</f>
        <v>0</v>
      </c>
      <c r="J14" s="415"/>
      <c r="K14" s="416">
        <f t="shared" ca="1" si="2"/>
        <v>0</v>
      </c>
      <c r="L14" s="413">
        <f ca="1">'21 pályázatok részletes'!BT14</f>
        <v>0</v>
      </c>
      <c r="M14" s="415"/>
      <c r="N14" s="416">
        <f t="shared" ca="1" si="3"/>
        <v>0</v>
      </c>
    </row>
    <row r="15" spans="1:14" x14ac:dyDescent="0.25">
      <c r="A15" s="184" t="s">
        <v>55</v>
      </c>
      <c r="B15" s="180" t="s">
        <v>56</v>
      </c>
      <c r="C15" s="413"/>
      <c r="D15" s="415"/>
      <c r="E15" s="416">
        <f t="shared" si="0"/>
        <v>0</v>
      </c>
      <c r="F15" s="413">
        <f>'21 pályázatok részletes'!BR15</f>
        <v>0</v>
      </c>
      <c r="G15" s="415"/>
      <c r="H15" s="416">
        <f t="shared" si="1"/>
        <v>0</v>
      </c>
      <c r="I15" s="413">
        <f ca="1">'21 pályázatok részletes'!BS15</f>
        <v>0</v>
      </c>
      <c r="J15" s="415"/>
      <c r="K15" s="416">
        <f t="shared" ca="1" si="2"/>
        <v>0</v>
      </c>
      <c r="L15" s="413">
        <f ca="1">'21 pályázatok részletes'!BT15</f>
        <v>0</v>
      </c>
      <c r="M15" s="415"/>
      <c r="N15" s="416">
        <f t="shared" ca="1" si="3"/>
        <v>0</v>
      </c>
    </row>
    <row r="16" spans="1:14" hidden="1" x14ac:dyDescent="0.25">
      <c r="A16" s="184" t="s">
        <v>57</v>
      </c>
      <c r="B16" s="180" t="s">
        <v>58</v>
      </c>
      <c r="C16" s="413"/>
      <c r="D16" s="415"/>
      <c r="E16" s="416">
        <f t="shared" si="0"/>
        <v>0</v>
      </c>
      <c r="F16" s="413">
        <f>'21 pályázatok részletes'!BR16</f>
        <v>0</v>
      </c>
      <c r="G16" s="415"/>
      <c r="H16" s="416">
        <f t="shared" si="1"/>
        <v>0</v>
      </c>
      <c r="I16" s="413">
        <f ca="1">'21 pályázatok részletes'!BS16</f>
        <v>0</v>
      </c>
      <c r="J16" s="415"/>
      <c r="K16" s="416">
        <f t="shared" ca="1" si="2"/>
        <v>0</v>
      </c>
      <c r="L16" s="413">
        <f ca="1">'21 pályázatok részletes'!BT16</f>
        <v>0</v>
      </c>
      <c r="M16" s="415"/>
      <c r="N16" s="416">
        <f t="shared" ca="1" si="3"/>
        <v>0</v>
      </c>
    </row>
    <row r="17" spans="1:14" hidden="1" x14ac:dyDescent="0.25">
      <c r="A17" s="184" t="s">
        <v>59</v>
      </c>
      <c r="B17" s="180" t="s">
        <v>60</v>
      </c>
      <c r="C17" s="413"/>
      <c r="D17" s="415"/>
      <c r="E17" s="416">
        <f t="shared" si="0"/>
        <v>0</v>
      </c>
      <c r="F17" s="413">
        <f>'21 pályázatok részletes'!BR17</f>
        <v>0</v>
      </c>
      <c r="G17" s="415"/>
      <c r="H17" s="416">
        <f t="shared" si="1"/>
        <v>0</v>
      </c>
      <c r="I17" s="413">
        <f ca="1">'21 pályázatok részletes'!BS17</f>
        <v>0</v>
      </c>
      <c r="J17" s="415"/>
      <c r="K17" s="416">
        <f t="shared" ca="1" si="2"/>
        <v>0</v>
      </c>
      <c r="L17" s="413">
        <f ca="1">'21 pályázatok részletes'!BT17</f>
        <v>0</v>
      </c>
      <c r="M17" s="415"/>
      <c r="N17" s="416">
        <f t="shared" ca="1" si="3"/>
        <v>0</v>
      </c>
    </row>
    <row r="18" spans="1:14" hidden="1" x14ac:dyDescent="0.25">
      <c r="A18" s="184" t="s">
        <v>61</v>
      </c>
      <c r="B18" s="180" t="s">
        <v>62</v>
      </c>
      <c r="C18" s="413"/>
      <c r="D18" s="415"/>
      <c r="E18" s="416">
        <f t="shared" si="0"/>
        <v>0</v>
      </c>
      <c r="F18" s="413">
        <f>'21 pályázatok részletes'!BR18</f>
        <v>0</v>
      </c>
      <c r="G18" s="415"/>
      <c r="H18" s="416">
        <f t="shared" si="1"/>
        <v>0</v>
      </c>
      <c r="I18" s="413">
        <f ca="1">'21 pályázatok részletes'!BS18</f>
        <v>0</v>
      </c>
      <c r="J18" s="415"/>
      <c r="K18" s="416">
        <f t="shared" ca="1" si="2"/>
        <v>0</v>
      </c>
      <c r="L18" s="413">
        <f ca="1">'21 pályázatok részletes'!BT18</f>
        <v>0</v>
      </c>
      <c r="M18" s="415"/>
      <c r="N18" s="416">
        <f t="shared" ca="1" si="3"/>
        <v>0</v>
      </c>
    </row>
    <row r="19" spans="1:14" hidden="1" x14ac:dyDescent="0.25">
      <c r="A19" s="185" t="s">
        <v>266</v>
      </c>
      <c r="B19" s="192" t="s">
        <v>267</v>
      </c>
      <c r="C19" s="413"/>
      <c r="D19" s="415"/>
      <c r="E19" s="416">
        <f t="shared" si="0"/>
        <v>0</v>
      </c>
      <c r="F19" s="413">
        <f>'21 pályázatok részletes'!BR19</f>
        <v>0</v>
      </c>
      <c r="G19" s="415"/>
      <c r="H19" s="416">
        <f t="shared" si="1"/>
        <v>0</v>
      </c>
      <c r="I19" s="413">
        <f ca="1">'21 pályázatok részletes'!BS19</f>
        <v>0</v>
      </c>
      <c r="J19" s="415"/>
      <c r="K19" s="416">
        <f t="shared" ca="1" si="2"/>
        <v>0</v>
      </c>
      <c r="L19" s="413">
        <f ca="1">'21 pályázatok részletes'!BT19</f>
        <v>0</v>
      </c>
      <c r="M19" s="415"/>
      <c r="N19" s="416">
        <f t="shared" ca="1" si="3"/>
        <v>0</v>
      </c>
    </row>
    <row r="20" spans="1:14" hidden="1" x14ac:dyDescent="0.25">
      <c r="A20" s="185" t="s">
        <v>63</v>
      </c>
      <c r="B20" s="192" t="s">
        <v>64</v>
      </c>
      <c r="C20" s="413"/>
      <c r="D20" s="415"/>
      <c r="E20" s="416">
        <f t="shared" si="0"/>
        <v>0</v>
      </c>
      <c r="F20" s="413">
        <f>'21 pályázatok részletes'!BR20</f>
        <v>0</v>
      </c>
      <c r="G20" s="415"/>
      <c r="H20" s="416">
        <f t="shared" si="1"/>
        <v>0</v>
      </c>
      <c r="I20" s="413">
        <f ca="1">'21 pályázatok részletes'!BS20</f>
        <v>0</v>
      </c>
      <c r="J20" s="415"/>
      <c r="K20" s="416">
        <f t="shared" ca="1" si="2"/>
        <v>0</v>
      </c>
      <c r="L20" s="413">
        <f ca="1">'21 pályázatok részletes'!BT20</f>
        <v>0</v>
      </c>
      <c r="M20" s="415"/>
      <c r="N20" s="416">
        <f t="shared" ca="1" si="3"/>
        <v>0</v>
      </c>
    </row>
    <row r="21" spans="1:14" ht="15.75" thickBot="1" x14ac:dyDescent="0.3">
      <c r="A21" s="185" t="s">
        <v>65</v>
      </c>
      <c r="B21" s="192" t="s">
        <v>66</v>
      </c>
      <c r="C21" s="417">
        <v>224124002</v>
      </c>
      <c r="D21" s="417"/>
      <c r="E21" s="418">
        <f t="shared" si="0"/>
        <v>224124002</v>
      </c>
      <c r="F21" s="626">
        <f>'21 pályázatok részletes'!BR21</f>
        <v>227822431</v>
      </c>
      <c r="G21" s="417"/>
      <c r="H21" s="418">
        <f t="shared" si="1"/>
        <v>227822431</v>
      </c>
      <c r="I21" s="626">
        <f ca="1">'21 pályázatok részletes'!BS21</f>
        <v>226432680</v>
      </c>
      <c r="J21" s="417"/>
      <c r="K21" s="418">
        <f t="shared" ca="1" si="2"/>
        <v>226432680</v>
      </c>
      <c r="L21" s="626">
        <f ca="1">'21 pályázatok részletes'!BT21</f>
        <v>172432719</v>
      </c>
      <c r="M21" s="417"/>
      <c r="N21" s="418">
        <f t="shared" ca="1" si="3"/>
        <v>172432719</v>
      </c>
    </row>
    <row r="22" spans="1:14" x14ac:dyDescent="0.25">
      <c r="A22" s="75" t="s">
        <v>67</v>
      </c>
      <c r="B22" s="196" t="s">
        <v>27</v>
      </c>
      <c r="C22" s="413">
        <f>SUM(C23:C24)</f>
        <v>1006762937</v>
      </c>
      <c r="D22" s="413">
        <f>SUM(D23:D24)</f>
        <v>0</v>
      </c>
      <c r="E22" s="414">
        <f t="shared" si="0"/>
        <v>1006762937</v>
      </c>
      <c r="F22" s="413">
        <f>'21 pályázatok részletes'!BR22</f>
        <v>1006762937</v>
      </c>
      <c r="G22" s="413">
        <f>SUM(G23:G24)</f>
        <v>0</v>
      </c>
      <c r="H22" s="414">
        <f t="shared" si="1"/>
        <v>1006762937</v>
      </c>
      <c r="I22" s="413">
        <f ca="1">'21 pályázatok részletes'!BS22</f>
        <v>1011738782</v>
      </c>
      <c r="J22" s="413">
        <f>SUM(J23:J24)</f>
        <v>0</v>
      </c>
      <c r="K22" s="414">
        <f t="shared" ca="1" si="2"/>
        <v>1011738782</v>
      </c>
      <c r="L22" s="413">
        <f ca="1">'21 pályázatok részletes'!BT22</f>
        <v>957123845</v>
      </c>
      <c r="M22" s="413">
        <f>SUM(M23:M24)</f>
        <v>0</v>
      </c>
      <c r="N22" s="414">
        <f t="shared" ca="1" si="3"/>
        <v>957123845</v>
      </c>
    </row>
    <row r="23" spans="1:14" x14ac:dyDescent="0.25">
      <c r="A23" s="76"/>
      <c r="B23" s="201" t="s">
        <v>550</v>
      </c>
      <c r="C23" s="413">
        <v>952724500</v>
      </c>
      <c r="D23" s="415"/>
      <c r="E23" s="416">
        <f t="shared" si="0"/>
        <v>952724500</v>
      </c>
      <c r="F23" s="413">
        <f>'21 pályázatok részletes'!BR23</f>
        <v>952724500</v>
      </c>
      <c r="G23" s="415"/>
      <c r="H23" s="416">
        <f t="shared" si="1"/>
        <v>952724500</v>
      </c>
      <c r="I23" s="413">
        <f ca="1">'21 pályázatok részletes'!BS23</f>
        <v>957700345</v>
      </c>
      <c r="J23" s="415"/>
      <c r="K23" s="416">
        <f t="shared" ca="1" si="2"/>
        <v>957700345</v>
      </c>
      <c r="L23" s="413">
        <f ca="1">'21 pályázatok részletes'!BT23</f>
        <v>957123845</v>
      </c>
      <c r="M23" s="415"/>
      <c r="N23" s="416">
        <f t="shared" ca="1" si="3"/>
        <v>957123845</v>
      </c>
    </row>
    <row r="24" spans="1:14" ht="15.75" thickBot="1" x14ac:dyDescent="0.3">
      <c r="A24" s="77"/>
      <c r="B24" s="206" t="s">
        <v>269</v>
      </c>
      <c r="C24" s="417">
        <v>54038437</v>
      </c>
      <c r="D24" s="417"/>
      <c r="E24" s="418">
        <f t="shared" si="0"/>
        <v>54038437</v>
      </c>
      <c r="F24" s="626">
        <f>'21 pályázatok részletes'!BR24</f>
        <v>54038437</v>
      </c>
      <c r="G24" s="417"/>
      <c r="H24" s="418">
        <f t="shared" si="1"/>
        <v>54038437</v>
      </c>
      <c r="I24" s="626">
        <f ca="1">'21 pályázatok részletes'!BS24</f>
        <v>54038437</v>
      </c>
      <c r="J24" s="417"/>
      <c r="K24" s="418">
        <f t="shared" ca="1" si="2"/>
        <v>54038437</v>
      </c>
      <c r="L24" s="626">
        <f ca="1">'21 pályázatok részletes'!BT24</f>
        <v>0</v>
      </c>
      <c r="M24" s="417"/>
      <c r="N24" s="418">
        <f t="shared" ca="1" si="3"/>
        <v>0</v>
      </c>
    </row>
    <row r="25" spans="1:14" ht="15.75" thickBot="1" x14ac:dyDescent="0.3">
      <c r="A25" s="187" t="s">
        <v>68</v>
      </c>
      <c r="B25" s="198" t="s">
        <v>25</v>
      </c>
      <c r="C25" s="419"/>
      <c r="D25" s="419">
        <f>D26+D30+D38</f>
        <v>0</v>
      </c>
      <c r="E25" s="420">
        <f t="shared" si="0"/>
        <v>0</v>
      </c>
      <c r="F25" s="627">
        <f>'21 pályázatok részletes'!BR25</f>
        <v>0</v>
      </c>
      <c r="G25" s="419">
        <f>G26+G30+G38</f>
        <v>0</v>
      </c>
      <c r="H25" s="420">
        <f t="shared" si="1"/>
        <v>0</v>
      </c>
      <c r="I25" s="627">
        <f ca="1">'21 pályázatok részletes'!BS25</f>
        <v>0</v>
      </c>
      <c r="J25" s="419">
        <f>J26+J30+J38</f>
        <v>0</v>
      </c>
      <c r="K25" s="420">
        <f t="shared" ca="1" si="2"/>
        <v>0</v>
      </c>
      <c r="L25" s="627">
        <f ca="1">'21 pályázatok részletes'!BT25</f>
        <v>0</v>
      </c>
      <c r="M25" s="419">
        <f>M26+M30+M38</f>
        <v>0</v>
      </c>
      <c r="N25" s="420">
        <f t="shared" ca="1" si="3"/>
        <v>0</v>
      </c>
    </row>
    <row r="26" spans="1:14" ht="15.75" hidden="1" thickBot="1" x14ac:dyDescent="0.3">
      <c r="A26" s="184" t="s">
        <v>69</v>
      </c>
      <c r="B26" s="180" t="s">
        <v>70</v>
      </c>
      <c r="C26" s="413"/>
      <c r="D26" s="413">
        <f>SUM(D27:D29)</f>
        <v>0</v>
      </c>
      <c r="E26" s="414">
        <f t="shared" si="0"/>
        <v>0</v>
      </c>
      <c r="F26" s="413">
        <f>'21 pályázatok részletes'!BR26</f>
        <v>0</v>
      </c>
      <c r="G26" s="413">
        <f>SUM(G27:G29)</f>
        <v>0</v>
      </c>
      <c r="H26" s="414">
        <f t="shared" si="1"/>
        <v>0</v>
      </c>
      <c r="I26" s="413">
        <f ca="1">'21 pályázatok részletes'!BS26</f>
        <v>0</v>
      </c>
      <c r="J26" s="413">
        <f>SUM(J27:J29)</f>
        <v>0</v>
      </c>
      <c r="K26" s="414">
        <f t="shared" ca="1" si="2"/>
        <v>0</v>
      </c>
      <c r="L26" s="413">
        <f ca="1">'21 pályázatok részletes'!BT26</f>
        <v>0</v>
      </c>
      <c r="M26" s="413">
        <f>SUM(M27:M29)</f>
        <v>0</v>
      </c>
      <c r="N26" s="414">
        <f t="shared" ca="1" si="3"/>
        <v>0</v>
      </c>
    </row>
    <row r="27" spans="1:14" ht="15.75" hidden="1" thickBot="1" x14ac:dyDescent="0.3">
      <c r="A27" s="184"/>
      <c r="B27" s="180" t="s">
        <v>71</v>
      </c>
      <c r="C27" s="413"/>
      <c r="D27" s="415"/>
      <c r="E27" s="416">
        <f t="shared" si="0"/>
        <v>0</v>
      </c>
      <c r="F27" s="413">
        <f>'21 pályázatok részletes'!BR27</f>
        <v>0</v>
      </c>
      <c r="G27" s="415"/>
      <c r="H27" s="416">
        <f t="shared" si="1"/>
        <v>0</v>
      </c>
      <c r="I27" s="413">
        <f ca="1">'21 pályázatok részletes'!BS27</f>
        <v>0</v>
      </c>
      <c r="J27" s="415"/>
      <c r="K27" s="416">
        <f t="shared" ca="1" si="2"/>
        <v>0</v>
      </c>
      <c r="L27" s="413">
        <f ca="1">'21 pályázatok részletes'!BT27</f>
        <v>0</v>
      </c>
      <c r="M27" s="415"/>
      <c r="N27" s="416">
        <f t="shared" ca="1" si="3"/>
        <v>0</v>
      </c>
    </row>
    <row r="28" spans="1:14" ht="15.75" hidden="1" thickBot="1" x14ac:dyDescent="0.3">
      <c r="A28" s="184"/>
      <c r="B28" s="180" t="s">
        <v>72</v>
      </c>
      <c r="C28" s="413"/>
      <c r="D28" s="415"/>
      <c r="E28" s="416">
        <f t="shared" si="0"/>
        <v>0</v>
      </c>
      <c r="F28" s="413">
        <f>'21 pályázatok részletes'!BR28</f>
        <v>0</v>
      </c>
      <c r="G28" s="415"/>
      <c r="H28" s="416">
        <f t="shared" si="1"/>
        <v>0</v>
      </c>
      <c r="I28" s="413">
        <f ca="1">'21 pályázatok részletes'!BS28</f>
        <v>0</v>
      </c>
      <c r="J28" s="415"/>
      <c r="K28" s="416">
        <f t="shared" ca="1" si="2"/>
        <v>0</v>
      </c>
      <c r="L28" s="413">
        <f ca="1">'21 pályázatok részletes'!BT28</f>
        <v>0</v>
      </c>
      <c r="M28" s="415"/>
      <c r="N28" s="416">
        <f t="shared" ca="1" si="3"/>
        <v>0</v>
      </c>
    </row>
    <row r="29" spans="1:14" ht="15.75" hidden="1" thickBot="1" x14ac:dyDescent="0.3">
      <c r="A29" s="184"/>
      <c r="B29" s="180" t="s">
        <v>73</v>
      </c>
      <c r="C29" s="413"/>
      <c r="D29" s="415"/>
      <c r="E29" s="416">
        <f t="shared" si="0"/>
        <v>0</v>
      </c>
      <c r="F29" s="413">
        <f>'21 pályázatok részletes'!BR29</f>
        <v>0</v>
      </c>
      <c r="G29" s="415"/>
      <c r="H29" s="416">
        <f t="shared" si="1"/>
        <v>0</v>
      </c>
      <c r="I29" s="413">
        <f ca="1">'21 pályázatok részletes'!BS29</f>
        <v>0</v>
      </c>
      <c r="J29" s="415"/>
      <c r="K29" s="416">
        <f t="shared" ca="1" si="2"/>
        <v>0</v>
      </c>
      <c r="L29" s="413">
        <f ca="1">'21 pályázatok részletes'!BT29</f>
        <v>0</v>
      </c>
      <c r="M29" s="415"/>
      <c r="N29" s="416">
        <f t="shared" ca="1" si="3"/>
        <v>0</v>
      </c>
    </row>
    <row r="30" spans="1:14" ht="15.75" hidden="1" thickBot="1" x14ac:dyDescent="0.3">
      <c r="A30" s="184" t="s">
        <v>74</v>
      </c>
      <c r="B30" s="180" t="s">
        <v>75</v>
      </c>
      <c r="C30" s="413"/>
      <c r="D30" s="415">
        <f>D31+D33+D34</f>
        <v>0</v>
      </c>
      <c r="E30" s="416">
        <f t="shared" si="0"/>
        <v>0</v>
      </c>
      <c r="F30" s="413">
        <f>'21 pályázatok részletes'!BR30</f>
        <v>0</v>
      </c>
      <c r="G30" s="415">
        <f>G31+G33+G34</f>
        <v>0</v>
      </c>
      <c r="H30" s="416">
        <f t="shared" si="1"/>
        <v>0</v>
      </c>
      <c r="I30" s="413">
        <f ca="1">'21 pályázatok részletes'!BS30</f>
        <v>0</v>
      </c>
      <c r="J30" s="415">
        <f>J31+J33+J34</f>
        <v>0</v>
      </c>
      <c r="K30" s="416">
        <f t="shared" ca="1" si="2"/>
        <v>0</v>
      </c>
      <c r="L30" s="413">
        <f ca="1">'21 pályázatok részletes'!BT30</f>
        <v>0</v>
      </c>
      <c r="M30" s="415">
        <f>M31+M33+M34</f>
        <v>0</v>
      </c>
      <c r="N30" s="416">
        <f t="shared" ca="1" si="3"/>
        <v>0</v>
      </c>
    </row>
    <row r="31" spans="1:14" ht="15.75" hidden="1" thickBot="1" x14ac:dyDescent="0.3">
      <c r="A31" s="184" t="s">
        <v>76</v>
      </c>
      <c r="B31" s="180" t="s">
        <v>77</v>
      </c>
      <c r="C31" s="413"/>
      <c r="D31" s="415">
        <f>D32</f>
        <v>0</v>
      </c>
      <c r="E31" s="416">
        <f t="shared" si="0"/>
        <v>0</v>
      </c>
      <c r="F31" s="413">
        <f>'21 pályázatok részletes'!BR31</f>
        <v>0</v>
      </c>
      <c r="G31" s="415">
        <f>G32</f>
        <v>0</v>
      </c>
      <c r="H31" s="416">
        <f t="shared" si="1"/>
        <v>0</v>
      </c>
      <c r="I31" s="413">
        <f ca="1">'21 pályázatok részletes'!BS31</f>
        <v>0</v>
      </c>
      <c r="J31" s="415">
        <f>J32</f>
        <v>0</v>
      </c>
      <c r="K31" s="416">
        <f t="shared" ca="1" si="2"/>
        <v>0</v>
      </c>
      <c r="L31" s="413">
        <f ca="1">'21 pályázatok részletes'!BT31</f>
        <v>0</v>
      </c>
      <c r="M31" s="415">
        <f>M32</f>
        <v>0</v>
      </c>
      <c r="N31" s="416">
        <f t="shared" ca="1" si="3"/>
        <v>0</v>
      </c>
    </row>
    <row r="32" spans="1:14" ht="15.75" hidden="1" thickBot="1" x14ac:dyDescent="0.3">
      <c r="A32" s="184"/>
      <c r="B32" s="180" t="s">
        <v>78</v>
      </c>
      <c r="C32" s="413"/>
      <c r="D32" s="415"/>
      <c r="E32" s="416">
        <f t="shared" si="0"/>
        <v>0</v>
      </c>
      <c r="F32" s="413">
        <f>'21 pályázatok részletes'!BR32</f>
        <v>0</v>
      </c>
      <c r="G32" s="415"/>
      <c r="H32" s="416">
        <f t="shared" si="1"/>
        <v>0</v>
      </c>
      <c r="I32" s="413">
        <f ca="1">'21 pályázatok részletes'!BS32</f>
        <v>0</v>
      </c>
      <c r="J32" s="415"/>
      <c r="K32" s="416">
        <f t="shared" ca="1" si="2"/>
        <v>0</v>
      </c>
      <c r="L32" s="413">
        <f ca="1">'21 pályázatok részletes'!BT32</f>
        <v>0</v>
      </c>
      <c r="M32" s="415"/>
      <c r="N32" s="416">
        <f t="shared" ca="1" si="3"/>
        <v>0</v>
      </c>
    </row>
    <row r="33" spans="1:14" ht="15.75" hidden="1" thickBot="1" x14ac:dyDescent="0.3">
      <c r="A33" s="184" t="s">
        <v>79</v>
      </c>
      <c r="B33" s="180" t="s">
        <v>80</v>
      </c>
      <c r="C33" s="413"/>
      <c r="D33" s="415"/>
      <c r="E33" s="416">
        <f t="shared" si="0"/>
        <v>0</v>
      </c>
      <c r="F33" s="413">
        <f>'21 pályázatok részletes'!BR33</f>
        <v>0</v>
      </c>
      <c r="G33" s="415"/>
      <c r="H33" s="416">
        <f t="shared" si="1"/>
        <v>0</v>
      </c>
      <c r="I33" s="413">
        <f ca="1">'21 pályázatok részletes'!BS33</f>
        <v>0</v>
      </c>
      <c r="J33" s="415"/>
      <c r="K33" s="416">
        <f t="shared" ca="1" si="2"/>
        <v>0</v>
      </c>
      <c r="L33" s="413">
        <f ca="1">'21 pályázatok részletes'!BT33</f>
        <v>0</v>
      </c>
      <c r="M33" s="415"/>
      <c r="N33" s="416">
        <f t="shared" ca="1" si="3"/>
        <v>0</v>
      </c>
    </row>
    <row r="34" spans="1:14" ht="15.75" hidden="1" thickBot="1" x14ac:dyDescent="0.3">
      <c r="A34" s="184" t="s">
        <v>81</v>
      </c>
      <c r="B34" s="180" t="s">
        <v>82</v>
      </c>
      <c r="C34" s="413"/>
      <c r="D34" s="415">
        <f>SUM(D35:D37)</f>
        <v>0</v>
      </c>
      <c r="E34" s="416">
        <f t="shared" si="0"/>
        <v>0</v>
      </c>
      <c r="F34" s="413">
        <f>'21 pályázatok részletes'!BR34</f>
        <v>0</v>
      </c>
      <c r="G34" s="415">
        <f>SUM(G35:G37)</f>
        <v>0</v>
      </c>
      <c r="H34" s="416">
        <f t="shared" si="1"/>
        <v>0</v>
      </c>
      <c r="I34" s="413">
        <f ca="1">'21 pályázatok részletes'!BS34</f>
        <v>0</v>
      </c>
      <c r="J34" s="415">
        <f>SUM(J35:J37)</f>
        <v>0</v>
      </c>
      <c r="K34" s="416">
        <f t="shared" ca="1" si="2"/>
        <v>0</v>
      </c>
      <c r="L34" s="413">
        <f ca="1">'21 pályázatok részletes'!BT34</f>
        <v>0</v>
      </c>
      <c r="M34" s="415">
        <f>SUM(M35:M37)</f>
        <v>0</v>
      </c>
      <c r="N34" s="416">
        <f t="shared" ca="1" si="3"/>
        <v>0</v>
      </c>
    </row>
    <row r="35" spans="1:14" ht="15.75" hidden="1" thickBot="1" x14ac:dyDescent="0.3">
      <c r="A35" s="184"/>
      <c r="B35" s="180" t="s">
        <v>83</v>
      </c>
      <c r="C35" s="413"/>
      <c r="D35" s="415"/>
      <c r="E35" s="416">
        <f t="shared" si="0"/>
        <v>0</v>
      </c>
      <c r="F35" s="413">
        <f>'21 pályázatok részletes'!BR35</f>
        <v>0</v>
      </c>
      <c r="G35" s="415"/>
      <c r="H35" s="416">
        <f t="shared" si="1"/>
        <v>0</v>
      </c>
      <c r="I35" s="413">
        <f ca="1">'21 pályázatok részletes'!BS35</f>
        <v>0</v>
      </c>
      <c r="J35" s="415"/>
      <c r="K35" s="416">
        <f t="shared" ca="1" si="2"/>
        <v>0</v>
      </c>
      <c r="L35" s="413">
        <f ca="1">'21 pályázatok részletes'!BT35</f>
        <v>0</v>
      </c>
      <c r="M35" s="415"/>
      <c r="N35" s="416">
        <f t="shared" ca="1" si="3"/>
        <v>0</v>
      </c>
    </row>
    <row r="36" spans="1:14" ht="15.75" hidden="1" thickBot="1" x14ac:dyDescent="0.3">
      <c r="A36" s="184"/>
      <c r="B36" s="180" t="s">
        <v>84</v>
      </c>
      <c r="C36" s="413"/>
      <c r="D36" s="415"/>
      <c r="E36" s="416">
        <f t="shared" si="0"/>
        <v>0</v>
      </c>
      <c r="F36" s="413">
        <f>'21 pályázatok részletes'!BR36</f>
        <v>0</v>
      </c>
      <c r="G36" s="415"/>
      <c r="H36" s="416">
        <f t="shared" si="1"/>
        <v>0</v>
      </c>
      <c r="I36" s="413">
        <f ca="1">'21 pályázatok részletes'!BS36</f>
        <v>0</v>
      </c>
      <c r="J36" s="415"/>
      <c r="K36" s="416">
        <f t="shared" ca="1" si="2"/>
        <v>0</v>
      </c>
      <c r="L36" s="413">
        <f ca="1">'21 pályázatok részletes'!BT36</f>
        <v>0</v>
      </c>
      <c r="M36" s="415"/>
      <c r="N36" s="416">
        <f t="shared" ca="1" si="3"/>
        <v>0</v>
      </c>
    </row>
    <row r="37" spans="1:14" ht="15.75" hidden="1" thickBot="1" x14ac:dyDescent="0.3">
      <c r="A37" s="184"/>
      <c r="B37" s="180" t="s">
        <v>85</v>
      </c>
      <c r="C37" s="413"/>
      <c r="D37" s="415"/>
      <c r="E37" s="416">
        <f t="shared" si="0"/>
        <v>0</v>
      </c>
      <c r="F37" s="413">
        <f>'21 pályázatok részletes'!BR37</f>
        <v>0</v>
      </c>
      <c r="G37" s="415"/>
      <c r="H37" s="416">
        <f t="shared" si="1"/>
        <v>0</v>
      </c>
      <c r="I37" s="413">
        <f ca="1">'21 pályázatok részletes'!BS37</f>
        <v>0</v>
      </c>
      <c r="J37" s="415"/>
      <c r="K37" s="416">
        <f t="shared" ca="1" si="2"/>
        <v>0</v>
      </c>
      <c r="L37" s="413">
        <f ca="1">'21 pályázatok részletes'!BT37</f>
        <v>0</v>
      </c>
      <c r="M37" s="415"/>
      <c r="N37" s="416">
        <f t="shared" ca="1" si="3"/>
        <v>0</v>
      </c>
    </row>
    <row r="38" spans="1:14" ht="15.75" hidden="1" thickBot="1" x14ac:dyDescent="0.3">
      <c r="A38" s="184" t="s">
        <v>86</v>
      </c>
      <c r="B38" s="180" t="s">
        <v>87</v>
      </c>
      <c r="C38" s="413"/>
      <c r="D38" s="415">
        <f>SUM(D39:D44)</f>
        <v>0</v>
      </c>
      <c r="E38" s="416">
        <f t="shared" si="0"/>
        <v>0</v>
      </c>
      <c r="F38" s="413">
        <f>'21 pályázatok részletes'!BR38</f>
        <v>0</v>
      </c>
      <c r="G38" s="415">
        <f>SUM(G39:G44)</f>
        <v>0</v>
      </c>
      <c r="H38" s="416">
        <f t="shared" si="1"/>
        <v>0</v>
      </c>
      <c r="I38" s="413">
        <f ca="1">'21 pályázatok részletes'!BS38</f>
        <v>0</v>
      </c>
      <c r="J38" s="415">
        <f>SUM(J39:J44)</f>
        <v>0</v>
      </c>
      <c r="K38" s="416">
        <f t="shared" ca="1" si="2"/>
        <v>0</v>
      </c>
      <c r="L38" s="413">
        <f ca="1">'21 pályázatok részletes'!BT38</f>
        <v>0</v>
      </c>
      <c r="M38" s="415">
        <f>SUM(M39:M44)</f>
        <v>0</v>
      </c>
      <c r="N38" s="416">
        <f t="shared" ca="1" si="3"/>
        <v>0</v>
      </c>
    </row>
    <row r="39" spans="1:14" ht="15.75" hidden="1" thickBot="1" x14ac:dyDescent="0.3">
      <c r="A39" s="184"/>
      <c r="B39" s="180" t="s">
        <v>88</v>
      </c>
      <c r="C39" s="413"/>
      <c r="D39" s="415"/>
      <c r="E39" s="416">
        <f t="shared" si="0"/>
        <v>0</v>
      </c>
      <c r="F39" s="413">
        <f>'21 pályázatok részletes'!BR39</f>
        <v>0</v>
      </c>
      <c r="G39" s="415"/>
      <c r="H39" s="416">
        <f t="shared" si="1"/>
        <v>0</v>
      </c>
      <c r="I39" s="413">
        <f ca="1">'21 pályázatok részletes'!BS39</f>
        <v>0</v>
      </c>
      <c r="J39" s="415"/>
      <c r="K39" s="416">
        <f t="shared" ca="1" si="2"/>
        <v>0</v>
      </c>
      <c r="L39" s="413">
        <f ca="1">'21 pályázatok részletes'!BT39</f>
        <v>0</v>
      </c>
      <c r="M39" s="415"/>
      <c r="N39" s="416">
        <f t="shared" ca="1" si="3"/>
        <v>0</v>
      </c>
    </row>
    <row r="40" spans="1:14" ht="15.75" hidden="1" thickBot="1" x14ac:dyDescent="0.3">
      <c r="A40" s="184"/>
      <c r="B40" s="180" t="s">
        <v>89</v>
      </c>
      <c r="C40" s="413"/>
      <c r="D40" s="415"/>
      <c r="E40" s="416">
        <f t="shared" si="0"/>
        <v>0</v>
      </c>
      <c r="F40" s="413">
        <f>'21 pályázatok részletes'!BR40</f>
        <v>0</v>
      </c>
      <c r="G40" s="415"/>
      <c r="H40" s="416">
        <f t="shared" si="1"/>
        <v>0</v>
      </c>
      <c r="I40" s="413">
        <f ca="1">'21 pályázatok részletes'!BS40</f>
        <v>0</v>
      </c>
      <c r="J40" s="415"/>
      <c r="K40" s="416">
        <f t="shared" ca="1" si="2"/>
        <v>0</v>
      </c>
      <c r="L40" s="413">
        <f ca="1">'21 pályázatok részletes'!BT40</f>
        <v>0</v>
      </c>
      <c r="M40" s="415"/>
      <c r="N40" s="416">
        <f t="shared" ca="1" si="3"/>
        <v>0</v>
      </c>
    </row>
    <row r="41" spans="1:14" ht="15.75" hidden="1" thickBot="1" x14ac:dyDescent="0.3">
      <c r="A41" s="184"/>
      <c r="B41" s="180" t="s">
        <v>90</v>
      </c>
      <c r="C41" s="413"/>
      <c r="D41" s="415"/>
      <c r="E41" s="416">
        <f t="shared" si="0"/>
        <v>0</v>
      </c>
      <c r="F41" s="413">
        <f>'21 pályázatok részletes'!BR41</f>
        <v>0</v>
      </c>
      <c r="G41" s="415"/>
      <c r="H41" s="416">
        <f t="shared" si="1"/>
        <v>0</v>
      </c>
      <c r="I41" s="413">
        <f ca="1">'21 pályázatok részletes'!BS41</f>
        <v>0</v>
      </c>
      <c r="J41" s="415"/>
      <c r="K41" s="416">
        <f t="shared" ca="1" si="2"/>
        <v>0</v>
      </c>
      <c r="L41" s="413">
        <f ca="1">'21 pályázatok részletes'!BT41</f>
        <v>0</v>
      </c>
      <c r="M41" s="415"/>
      <c r="N41" s="416">
        <f t="shared" ca="1" si="3"/>
        <v>0</v>
      </c>
    </row>
    <row r="42" spans="1:14" ht="15.75" hidden="1" thickBot="1" x14ac:dyDescent="0.3">
      <c r="A42" s="184"/>
      <c r="B42" s="180" t="s">
        <v>91</v>
      </c>
      <c r="C42" s="413"/>
      <c r="D42" s="415"/>
      <c r="E42" s="416">
        <f t="shared" si="0"/>
        <v>0</v>
      </c>
      <c r="F42" s="413">
        <f>'21 pályázatok részletes'!BR42</f>
        <v>0</v>
      </c>
      <c r="G42" s="415"/>
      <c r="H42" s="416">
        <f t="shared" si="1"/>
        <v>0</v>
      </c>
      <c r="I42" s="413">
        <f ca="1">'21 pályázatok részletes'!BS42</f>
        <v>0</v>
      </c>
      <c r="J42" s="415"/>
      <c r="K42" s="416">
        <f t="shared" ca="1" si="2"/>
        <v>0</v>
      </c>
      <c r="L42" s="413">
        <f ca="1">'21 pályázatok részletes'!BT42</f>
        <v>0</v>
      </c>
      <c r="M42" s="415"/>
      <c r="N42" s="416">
        <f t="shared" ca="1" si="3"/>
        <v>0</v>
      </c>
    </row>
    <row r="43" spans="1:14" ht="15.75" hidden="1" thickBot="1" x14ac:dyDescent="0.3">
      <c r="A43" s="184"/>
      <c r="B43" s="180" t="s">
        <v>92</v>
      </c>
      <c r="C43" s="413"/>
      <c r="D43" s="415"/>
      <c r="E43" s="416">
        <f t="shared" si="0"/>
        <v>0</v>
      </c>
      <c r="F43" s="413">
        <f>'21 pályázatok részletes'!BR43</f>
        <v>0</v>
      </c>
      <c r="G43" s="415"/>
      <c r="H43" s="416">
        <f t="shared" si="1"/>
        <v>0</v>
      </c>
      <c r="I43" s="413">
        <f ca="1">'21 pályázatok részletes'!BS43</f>
        <v>0</v>
      </c>
      <c r="J43" s="415"/>
      <c r="K43" s="416">
        <f t="shared" ca="1" si="2"/>
        <v>0</v>
      </c>
      <c r="L43" s="413">
        <f ca="1">'21 pályázatok részletes'!BT43</f>
        <v>0</v>
      </c>
      <c r="M43" s="415"/>
      <c r="N43" s="416">
        <f t="shared" ca="1" si="3"/>
        <v>0</v>
      </c>
    </row>
    <row r="44" spans="1:14" ht="15.75" hidden="1" thickBot="1" x14ac:dyDescent="0.3">
      <c r="A44" s="185"/>
      <c r="B44" s="192" t="s">
        <v>93</v>
      </c>
      <c r="C44" s="417"/>
      <c r="D44" s="417"/>
      <c r="E44" s="418">
        <f t="shared" si="0"/>
        <v>0</v>
      </c>
      <c r="F44" s="413">
        <f>'21 pályázatok részletes'!BR44</f>
        <v>0</v>
      </c>
      <c r="G44" s="417"/>
      <c r="H44" s="418">
        <f t="shared" si="1"/>
        <v>0</v>
      </c>
      <c r="I44" s="413">
        <f ca="1">'21 pályázatok részletes'!BS44</f>
        <v>0</v>
      </c>
      <c r="J44" s="417"/>
      <c r="K44" s="418">
        <f t="shared" ca="1" si="2"/>
        <v>0</v>
      </c>
      <c r="L44" s="413">
        <f ca="1">'21 pályázatok részletes'!BT44</f>
        <v>0</v>
      </c>
      <c r="M44" s="417"/>
      <c r="N44" s="418">
        <f t="shared" ca="1" si="3"/>
        <v>0</v>
      </c>
    </row>
    <row r="45" spans="1:14" x14ac:dyDescent="0.25">
      <c r="A45" s="183" t="s">
        <v>94</v>
      </c>
      <c r="B45" s="189" t="s">
        <v>26</v>
      </c>
      <c r="C45" s="413"/>
      <c r="D45" s="413">
        <f>D46+D47+D48+D49+D54+D55+D56+D57+D58+D59+D60</f>
        <v>0</v>
      </c>
      <c r="E45" s="414">
        <f t="shared" si="0"/>
        <v>0</v>
      </c>
      <c r="F45" s="413">
        <f>'21 pályázatok részletes'!BR45</f>
        <v>0</v>
      </c>
      <c r="G45" s="413">
        <f>G46+G47+G48+G49+G54+G55+G56+G57+G58+G59+G60</f>
        <v>0</v>
      </c>
      <c r="H45" s="414">
        <f t="shared" si="1"/>
        <v>0</v>
      </c>
      <c r="I45" s="413">
        <f ca="1">'21 pályázatok részletes'!BS45</f>
        <v>0</v>
      </c>
      <c r="J45" s="413">
        <f>J46+J47+J48+J49+J54+J55+J56+J57+J58+J59+J60</f>
        <v>0</v>
      </c>
      <c r="K45" s="414">
        <f t="shared" ca="1" si="2"/>
        <v>0</v>
      </c>
      <c r="L45" s="413">
        <f ca="1">'21 pályázatok részletes'!BT45</f>
        <v>75604</v>
      </c>
      <c r="M45" s="413">
        <f>M46+M47+M48+M49+M54+M55+M56+M57+M58+M59+M60</f>
        <v>0</v>
      </c>
      <c r="N45" s="414">
        <f t="shared" ca="1" si="3"/>
        <v>75604</v>
      </c>
    </row>
    <row r="46" spans="1:14" hidden="1" x14ac:dyDescent="0.25">
      <c r="A46" s="184" t="s">
        <v>95</v>
      </c>
      <c r="B46" s="180" t="s">
        <v>96</v>
      </c>
      <c r="C46" s="413"/>
      <c r="D46" s="415"/>
      <c r="E46" s="416">
        <f t="shared" si="0"/>
        <v>0</v>
      </c>
      <c r="F46" s="413">
        <f>'21 pályázatok részletes'!BR46</f>
        <v>0</v>
      </c>
      <c r="G46" s="415"/>
      <c r="H46" s="416">
        <f t="shared" si="1"/>
        <v>0</v>
      </c>
      <c r="I46" s="413">
        <f ca="1">'21 pályázatok részletes'!BS46</f>
        <v>0</v>
      </c>
      <c r="J46" s="415"/>
      <c r="K46" s="416">
        <f t="shared" ca="1" si="2"/>
        <v>0</v>
      </c>
      <c r="L46" s="413">
        <f ca="1">'21 pályázatok részletes'!BT46</f>
        <v>0</v>
      </c>
      <c r="M46" s="415"/>
      <c r="N46" s="416">
        <f t="shared" ca="1" si="3"/>
        <v>0</v>
      </c>
    </row>
    <row r="47" spans="1:14" hidden="1" x14ac:dyDescent="0.25">
      <c r="A47" s="184" t="s">
        <v>97</v>
      </c>
      <c r="B47" s="180" t="s">
        <v>98</v>
      </c>
      <c r="C47" s="413"/>
      <c r="D47" s="415"/>
      <c r="E47" s="416">
        <f t="shared" si="0"/>
        <v>0</v>
      </c>
      <c r="F47" s="413">
        <f>'21 pályázatok részletes'!BR47</f>
        <v>0</v>
      </c>
      <c r="G47" s="415"/>
      <c r="H47" s="416">
        <f t="shared" si="1"/>
        <v>0</v>
      </c>
      <c r="I47" s="413">
        <f ca="1">'21 pályázatok részletes'!BS47</f>
        <v>0</v>
      </c>
      <c r="J47" s="415"/>
      <c r="K47" s="416">
        <f t="shared" ca="1" si="2"/>
        <v>0</v>
      </c>
      <c r="L47" s="413">
        <f ca="1">'21 pályázatok részletes'!BT47</f>
        <v>0</v>
      </c>
      <c r="M47" s="415"/>
      <c r="N47" s="416">
        <f t="shared" ca="1" si="3"/>
        <v>0</v>
      </c>
    </row>
    <row r="48" spans="1:14" hidden="1" x14ac:dyDescent="0.25">
      <c r="A48" s="184" t="s">
        <v>99</v>
      </c>
      <c r="B48" s="180" t="s">
        <v>100</v>
      </c>
      <c r="C48" s="413"/>
      <c r="D48" s="415"/>
      <c r="E48" s="416">
        <f t="shared" si="0"/>
        <v>0</v>
      </c>
      <c r="F48" s="413">
        <f>'21 pályázatok részletes'!BR48</f>
        <v>0</v>
      </c>
      <c r="G48" s="415"/>
      <c r="H48" s="416">
        <f t="shared" si="1"/>
        <v>0</v>
      </c>
      <c r="I48" s="413">
        <f ca="1">'21 pályázatok részletes'!BS48</f>
        <v>0</v>
      </c>
      <c r="J48" s="415"/>
      <c r="K48" s="416">
        <f t="shared" ca="1" si="2"/>
        <v>0</v>
      </c>
      <c r="L48" s="413">
        <f ca="1">'21 pályázatok részletes'!BT48</f>
        <v>0</v>
      </c>
      <c r="M48" s="415"/>
      <c r="N48" s="416">
        <f t="shared" ca="1" si="3"/>
        <v>0</v>
      </c>
    </row>
    <row r="49" spans="1:14" hidden="1" x14ac:dyDescent="0.25">
      <c r="A49" s="184" t="s">
        <v>101</v>
      </c>
      <c r="B49" s="180" t="s">
        <v>102</v>
      </c>
      <c r="C49" s="413"/>
      <c r="D49" s="415">
        <f>SUM(D50:D53)</f>
        <v>0</v>
      </c>
      <c r="E49" s="416">
        <f t="shared" si="0"/>
        <v>0</v>
      </c>
      <c r="F49" s="413">
        <f>'21 pályázatok részletes'!BR49</f>
        <v>0</v>
      </c>
      <c r="G49" s="415">
        <f>SUM(G50:G53)</f>
        <v>0</v>
      </c>
      <c r="H49" s="416">
        <f t="shared" si="1"/>
        <v>0</v>
      </c>
      <c r="I49" s="413">
        <f ca="1">'21 pályázatok részletes'!BS49</f>
        <v>0</v>
      </c>
      <c r="J49" s="415">
        <f>SUM(J50:J53)</f>
        <v>0</v>
      </c>
      <c r="K49" s="416">
        <f t="shared" ca="1" si="2"/>
        <v>0</v>
      </c>
      <c r="L49" s="413">
        <f ca="1">'21 pályázatok részletes'!BT49</f>
        <v>0</v>
      </c>
      <c r="M49" s="415">
        <f>SUM(M50:M53)</f>
        <v>0</v>
      </c>
      <c r="N49" s="416">
        <f t="shared" ca="1" si="3"/>
        <v>0</v>
      </c>
    </row>
    <row r="50" spans="1:14" hidden="1" x14ac:dyDescent="0.25">
      <c r="A50" s="184"/>
      <c r="B50" s="180" t="s">
        <v>103</v>
      </c>
      <c r="C50" s="413"/>
      <c r="D50" s="415"/>
      <c r="E50" s="416">
        <f t="shared" si="0"/>
        <v>0</v>
      </c>
      <c r="F50" s="413">
        <f>'21 pályázatok részletes'!BR50</f>
        <v>0</v>
      </c>
      <c r="G50" s="415"/>
      <c r="H50" s="416">
        <f t="shared" si="1"/>
        <v>0</v>
      </c>
      <c r="I50" s="413">
        <f ca="1">'21 pályázatok részletes'!BS50</f>
        <v>0</v>
      </c>
      <c r="J50" s="415"/>
      <c r="K50" s="416">
        <f t="shared" ca="1" si="2"/>
        <v>0</v>
      </c>
      <c r="L50" s="413">
        <f ca="1">'21 pályázatok részletes'!BT50</f>
        <v>0</v>
      </c>
      <c r="M50" s="415"/>
      <c r="N50" s="416">
        <f t="shared" ca="1" si="3"/>
        <v>0</v>
      </c>
    </row>
    <row r="51" spans="1:14" hidden="1" x14ac:dyDescent="0.25">
      <c r="A51" s="184"/>
      <c r="B51" s="180" t="s">
        <v>104</v>
      </c>
      <c r="C51" s="413"/>
      <c r="D51" s="415"/>
      <c r="E51" s="416">
        <f t="shared" si="0"/>
        <v>0</v>
      </c>
      <c r="F51" s="413">
        <f>'21 pályázatok részletes'!BR51</f>
        <v>0</v>
      </c>
      <c r="G51" s="415"/>
      <c r="H51" s="416">
        <f t="shared" si="1"/>
        <v>0</v>
      </c>
      <c r="I51" s="413">
        <f ca="1">'21 pályázatok részletes'!BS51</f>
        <v>0</v>
      </c>
      <c r="J51" s="415"/>
      <c r="K51" s="416">
        <f t="shared" ca="1" si="2"/>
        <v>0</v>
      </c>
      <c r="L51" s="413">
        <f ca="1">'21 pályázatok részletes'!BT51</f>
        <v>0</v>
      </c>
      <c r="M51" s="415"/>
      <c r="N51" s="416">
        <f t="shared" ca="1" si="3"/>
        <v>0</v>
      </c>
    </row>
    <row r="52" spans="1:14" hidden="1" x14ac:dyDescent="0.25">
      <c r="A52" s="184"/>
      <c r="B52" s="180" t="s">
        <v>105</v>
      </c>
      <c r="C52" s="413"/>
      <c r="D52" s="415"/>
      <c r="E52" s="416">
        <f t="shared" si="0"/>
        <v>0</v>
      </c>
      <c r="F52" s="413">
        <f>'21 pályázatok részletes'!BR52</f>
        <v>0</v>
      </c>
      <c r="G52" s="415"/>
      <c r="H52" s="416">
        <f t="shared" si="1"/>
        <v>0</v>
      </c>
      <c r="I52" s="413">
        <f ca="1">'21 pályázatok részletes'!BS52</f>
        <v>0</v>
      </c>
      <c r="J52" s="415"/>
      <c r="K52" s="416">
        <f t="shared" ca="1" si="2"/>
        <v>0</v>
      </c>
      <c r="L52" s="413">
        <f ca="1">'21 pályázatok részletes'!BT52</f>
        <v>0</v>
      </c>
      <c r="M52" s="415"/>
      <c r="N52" s="416">
        <f t="shared" ca="1" si="3"/>
        <v>0</v>
      </c>
    </row>
    <row r="53" spans="1:14" hidden="1" x14ac:dyDescent="0.25">
      <c r="A53" s="184"/>
      <c r="B53" s="180" t="s">
        <v>106</v>
      </c>
      <c r="C53" s="413"/>
      <c r="D53" s="415"/>
      <c r="E53" s="416">
        <f t="shared" si="0"/>
        <v>0</v>
      </c>
      <c r="F53" s="413">
        <f>'21 pályázatok részletes'!BR53</f>
        <v>0</v>
      </c>
      <c r="G53" s="415"/>
      <c r="H53" s="416">
        <f t="shared" si="1"/>
        <v>0</v>
      </c>
      <c r="I53" s="413">
        <f ca="1">'21 pályázatok részletes'!BS53</f>
        <v>0</v>
      </c>
      <c r="J53" s="415"/>
      <c r="K53" s="416">
        <f t="shared" ca="1" si="2"/>
        <v>0</v>
      </c>
      <c r="L53" s="413">
        <f ca="1">'21 pályázatok részletes'!BT53</f>
        <v>0</v>
      </c>
      <c r="M53" s="415"/>
      <c r="N53" s="416">
        <f t="shared" ca="1" si="3"/>
        <v>0</v>
      </c>
    </row>
    <row r="54" spans="1:14" hidden="1" x14ac:dyDescent="0.25">
      <c r="A54" s="184" t="s">
        <v>107</v>
      </c>
      <c r="B54" s="180" t="s">
        <v>108</v>
      </c>
      <c r="C54" s="413"/>
      <c r="D54" s="415"/>
      <c r="E54" s="416">
        <f t="shared" si="0"/>
        <v>0</v>
      </c>
      <c r="F54" s="413">
        <f>'21 pályázatok részletes'!BR54</f>
        <v>0</v>
      </c>
      <c r="G54" s="415"/>
      <c r="H54" s="416">
        <f t="shared" si="1"/>
        <v>0</v>
      </c>
      <c r="I54" s="413">
        <f ca="1">'21 pályázatok részletes'!BS54</f>
        <v>0</v>
      </c>
      <c r="J54" s="415"/>
      <c r="K54" s="416">
        <f t="shared" ca="1" si="2"/>
        <v>0</v>
      </c>
      <c r="L54" s="413">
        <f ca="1">'21 pályázatok részletes'!BT54</f>
        <v>0</v>
      </c>
      <c r="M54" s="415"/>
      <c r="N54" s="416">
        <f t="shared" ca="1" si="3"/>
        <v>0</v>
      </c>
    </row>
    <row r="55" spans="1:14" hidden="1" x14ac:dyDescent="0.25">
      <c r="A55" s="184" t="s">
        <v>109</v>
      </c>
      <c r="B55" s="180" t="s">
        <v>110</v>
      </c>
      <c r="C55" s="413"/>
      <c r="D55" s="415"/>
      <c r="E55" s="416">
        <f t="shared" si="0"/>
        <v>0</v>
      </c>
      <c r="F55" s="413">
        <f>'21 pályázatok részletes'!BR55</f>
        <v>0</v>
      </c>
      <c r="G55" s="415"/>
      <c r="H55" s="416">
        <f t="shared" si="1"/>
        <v>0</v>
      </c>
      <c r="I55" s="413">
        <f ca="1">'21 pályázatok részletes'!BS55</f>
        <v>0</v>
      </c>
      <c r="J55" s="415"/>
      <c r="K55" s="416">
        <f t="shared" ca="1" si="2"/>
        <v>0</v>
      </c>
      <c r="L55" s="413">
        <f ca="1">'21 pályázatok részletes'!BT55</f>
        <v>0</v>
      </c>
      <c r="M55" s="415"/>
      <c r="N55" s="416">
        <f t="shared" ca="1" si="3"/>
        <v>0</v>
      </c>
    </row>
    <row r="56" spans="1:14" hidden="1" x14ac:dyDescent="0.25">
      <c r="A56" s="184" t="s">
        <v>111</v>
      </c>
      <c r="B56" s="180" t="s">
        <v>112</v>
      </c>
      <c r="C56" s="413"/>
      <c r="D56" s="415"/>
      <c r="E56" s="416">
        <f t="shared" si="0"/>
        <v>0</v>
      </c>
      <c r="F56" s="413">
        <f>'21 pályázatok részletes'!BR56</f>
        <v>0</v>
      </c>
      <c r="G56" s="415"/>
      <c r="H56" s="416">
        <f t="shared" si="1"/>
        <v>0</v>
      </c>
      <c r="I56" s="413">
        <f ca="1">'21 pályázatok részletes'!BS56</f>
        <v>0</v>
      </c>
      <c r="J56" s="415"/>
      <c r="K56" s="416">
        <f t="shared" ca="1" si="2"/>
        <v>0</v>
      </c>
      <c r="L56" s="413">
        <f ca="1">'21 pályázatok részletes'!BT56</f>
        <v>0</v>
      </c>
      <c r="M56" s="415"/>
      <c r="N56" s="416">
        <f t="shared" ca="1" si="3"/>
        <v>0</v>
      </c>
    </row>
    <row r="57" spans="1:14" ht="15.75" thickBot="1" x14ac:dyDescent="0.3">
      <c r="A57" s="184" t="s">
        <v>113</v>
      </c>
      <c r="B57" s="180" t="s">
        <v>114</v>
      </c>
      <c r="C57" s="417"/>
      <c r="D57" s="417"/>
      <c r="E57" s="418">
        <f t="shared" si="0"/>
        <v>0</v>
      </c>
      <c r="F57" s="626">
        <f>'21 pályázatok részletes'!BR57</f>
        <v>0</v>
      </c>
      <c r="G57" s="417"/>
      <c r="H57" s="418">
        <f t="shared" si="1"/>
        <v>0</v>
      </c>
      <c r="I57" s="626">
        <f ca="1">'21 pályázatok részletes'!BS57</f>
        <v>0</v>
      </c>
      <c r="J57" s="417"/>
      <c r="K57" s="418">
        <f t="shared" ca="1" si="2"/>
        <v>0</v>
      </c>
      <c r="L57" s="626">
        <f ca="1">'21 pályázatok részletes'!BT57</f>
        <v>75604</v>
      </c>
      <c r="M57" s="417"/>
      <c r="N57" s="418">
        <f t="shared" ca="1" si="3"/>
        <v>75604</v>
      </c>
    </row>
    <row r="58" spans="1:14" ht="15.75" hidden="1" thickBot="1" x14ac:dyDescent="0.3">
      <c r="A58" s="184" t="s">
        <v>115</v>
      </c>
      <c r="B58" s="180" t="s">
        <v>116</v>
      </c>
      <c r="C58" s="413"/>
      <c r="D58" s="413"/>
      <c r="E58" s="414">
        <f t="shared" si="0"/>
        <v>0</v>
      </c>
      <c r="F58" s="413">
        <f>'21 pályázatok részletes'!BR58</f>
        <v>0</v>
      </c>
      <c r="G58" s="413"/>
      <c r="H58" s="414">
        <f t="shared" si="1"/>
        <v>0</v>
      </c>
      <c r="I58" s="413">
        <f ca="1">'21 pályázatok részletes'!BS58</f>
        <v>0</v>
      </c>
      <c r="J58" s="413"/>
      <c r="K58" s="414">
        <f t="shared" ca="1" si="2"/>
        <v>0</v>
      </c>
      <c r="L58" s="413">
        <f ca="1">'21 pályázatok részletes'!BT58</f>
        <v>0</v>
      </c>
      <c r="M58" s="413"/>
      <c r="N58" s="414">
        <f t="shared" ca="1" si="3"/>
        <v>0</v>
      </c>
    </row>
    <row r="59" spans="1:14" ht="15.75" hidden="1" thickBot="1" x14ac:dyDescent="0.3">
      <c r="A59" s="184" t="s">
        <v>117</v>
      </c>
      <c r="B59" s="180" t="s">
        <v>118</v>
      </c>
      <c r="C59" s="413"/>
      <c r="D59" s="415"/>
      <c r="E59" s="416">
        <f t="shared" si="0"/>
        <v>0</v>
      </c>
      <c r="F59" s="413">
        <f>'21 pályázatok részletes'!BR59</f>
        <v>0</v>
      </c>
      <c r="G59" s="415"/>
      <c r="H59" s="416">
        <f t="shared" si="1"/>
        <v>0</v>
      </c>
      <c r="I59" s="413">
        <f ca="1">'21 pályázatok részletes'!BS59</f>
        <v>0</v>
      </c>
      <c r="J59" s="415"/>
      <c r="K59" s="416">
        <f t="shared" ca="1" si="2"/>
        <v>0</v>
      </c>
      <c r="L59" s="413">
        <f ca="1">'21 pályázatok részletes'!BT59</f>
        <v>0</v>
      </c>
      <c r="M59" s="415"/>
      <c r="N59" s="416">
        <f t="shared" ca="1" si="3"/>
        <v>0</v>
      </c>
    </row>
    <row r="60" spans="1:14" ht="15.75" hidden="1" thickBot="1" x14ac:dyDescent="0.3">
      <c r="A60" s="185" t="s">
        <v>119</v>
      </c>
      <c r="B60" s="192" t="s">
        <v>120</v>
      </c>
      <c r="C60" s="417"/>
      <c r="D60" s="417"/>
      <c r="E60" s="418">
        <f t="shared" si="0"/>
        <v>0</v>
      </c>
      <c r="F60" s="413">
        <f>'21 pályázatok részletes'!BR60</f>
        <v>0</v>
      </c>
      <c r="G60" s="417"/>
      <c r="H60" s="418">
        <f t="shared" si="1"/>
        <v>0</v>
      </c>
      <c r="I60" s="413">
        <f ca="1">'21 pályázatok részletes'!BS60</f>
        <v>0</v>
      </c>
      <c r="J60" s="417"/>
      <c r="K60" s="418">
        <f t="shared" ca="1" si="2"/>
        <v>0</v>
      </c>
      <c r="L60" s="413">
        <f ca="1">'21 pályázatok részletes'!BT60</f>
        <v>0</v>
      </c>
      <c r="M60" s="417"/>
      <c r="N60" s="418">
        <f t="shared" ca="1" si="3"/>
        <v>0</v>
      </c>
    </row>
    <row r="61" spans="1:14" ht="15.75" thickBot="1" x14ac:dyDescent="0.3">
      <c r="A61" s="183" t="s">
        <v>121</v>
      </c>
      <c r="B61" s="189" t="s">
        <v>28</v>
      </c>
      <c r="C61" s="419"/>
      <c r="D61" s="419">
        <f>SUM(D62:D66)</f>
        <v>0</v>
      </c>
      <c r="E61" s="420">
        <f t="shared" si="0"/>
        <v>0</v>
      </c>
      <c r="F61" s="626">
        <f>'21 pályázatok részletes'!BR61</f>
        <v>0</v>
      </c>
      <c r="G61" s="419">
        <f>SUM(G62:G66)</f>
        <v>0</v>
      </c>
      <c r="H61" s="420">
        <f t="shared" si="1"/>
        <v>0</v>
      </c>
      <c r="I61" s="626">
        <f ca="1">'21 pályázatok részletes'!BS61</f>
        <v>0</v>
      </c>
      <c r="J61" s="419">
        <f>SUM(J62:J66)</f>
        <v>0</v>
      </c>
      <c r="K61" s="420">
        <f t="shared" ca="1" si="2"/>
        <v>0</v>
      </c>
      <c r="L61" s="626">
        <f ca="1">'21 pályázatok részletes'!BT61</f>
        <v>0</v>
      </c>
      <c r="M61" s="419">
        <f>SUM(M62:M66)</f>
        <v>0</v>
      </c>
      <c r="N61" s="420">
        <f t="shared" ca="1" si="3"/>
        <v>0</v>
      </c>
    </row>
    <row r="62" spans="1:14" ht="15.75" hidden="1" thickBot="1" x14ac:dyDescent="0.3">
      <c r="A62" s="184" t="s">
        <v>122</v>
      </c>
      <c r="B62" s="180" t="s">
        <v>123</v>
      </c>
      <c r="C62" s="413"/>
      <c r="D62" s="413"/>
      <c r="E62" s="414">
        <f t="shared" si="0"/>
        <v>0</v>
      </c>
      <c r="F62" s="413">
        <f>'21 pályázatok részletes'!BR62</f>
        <v>0</v>
      </c>
      <c r="G62" s="413"/>
      <c r="H62" s="414">
        <f t="shared" si="1"/>
        <v>0</v>
      </c>
      <c r="I62" s="413">
        <f ca="1">'21 pályázatok részletes'!BS62</f>
        <v>0</v>
      </c>
      <c r="J62" s="413"/>
      <c r="K62" s="414">
        <f t="shared" ca="1" si="2"/>
        <v>0</v>
      </c>
      <c r="L62" s="413">
        <f ca="1">'21 pályázatok részletes'!BT62</f>
        <v>0</v>
      </c>
      <c r="M62" s="413"/>
      <c r="N62" s="414">
        <f t="shared" ca="1" si="3"/>
        <v>0</v>
      </c>
    </row>
    <row r="63" spans="1:14" ht="15.75" hidden="1" thickBot="1" x14ac:dyDescent="0.3">
      <c r="A63" s="184" t="s">
        <v>124</v>
      </c>
      <c r="B63" s="180" t="s">
        <v>125</v>
      </c>
      <c r="C63" s="413"/>
      <c r="D63" s="415"/>
      <c r="E63" s="416">
        <f t="shared" si="0"/>
        <v>0</v>
      </c>
      <c r="F63" s="413">
        <f>'21 pályázatok részletes'!BR63</f>
        <v>0</v>
      </c>
      <c r="G63" s="415"/>
      <c r="H63" s="416">
        <f t="shared" si="1"/>
        <v>0</v>
      </c>
      <c r="I63" s="413">
        <f ca="1">'21 pályázatok részletes'!BS63</f>
        <v>0</v>
      </c>
      <c r="J63" s="415"/>
      <c r="K63" s="416">
        <f t="shared" ca="1" si="2"/>
        <v>0</v>
      </c>
      <c r="L63" s="413">
        <f ca="1">'21 pályázatok részletes'!BT63</f>
        <v>0</v>
      </c>
      <c r="M63" s="415"/>
      <c r="N63" s="416">
        <f t="shared" ca="1" si="3"/>
        <v>0</v>
      </c>
    </row>
    <row r="64" spans="1:14" ht="15.75" hidden="1" thickBot="1" x14ac:dyDescent="0.3">
      <c r="A64" s="184" t="s">
        <v>126</v>
      </c>
      <c r="B64" s="180" t="s">
        <v>127</v>
      </c>
      <c r="C64" s="413"/>
      <c r="D64" s="415"/>
      <c r="E64" s="416">
        <f t="shared" si="0"/>
        <v>0</v>
      </c>
      <c r="F64" s="413">
        <f>'21 pályázatok részletes'!BR64</f>
        <v>0</v>
      </c>
      <c r="G64" s="415"/>
      <c r="H64" s="416">
        <f t="shared" si="1"/>
        <v>0</v>
      </c>
      <c r="I64" s="413">
        <f ca="1">'21 pályázatok részletes'!BS64</f>
        <v>0</v>
      </c>
      <c r="J64" s="415"/>
      <c r="K64" s="416">
        <f t="shared" ca="1" si="2"/>
        <v>0</v>
      </c>
      <c r="L64" s="413">
        <f ca="1">'21 pályázatok részletes'!BT64</f>
        <v>0</v>
      </c>
      <c r="M64" s="415"/>
      <c r="N64" s="416">
        <f t="shared" ca="1" si="3"/>
        <v>0</v>
      </c>
    </row>
    <row r="65" spans="1:14" ht="15.75" hidden="1" thickBot="1" x14ac:dyDescent="0.3">
      <c r="A65" s="184" t="s">
        <v>128</v>
      </c>
      <c r="B65" s="180" t="s">
        <v>129</v>
      </c>
      <c r="C65" s="413"/>
      <c r="D65" s="415"/>
      <c r="E65" s="416">
        <f t="shared" si="0"/>
        <v>0</v>
      </c>
      <c r="F65" s="413">
        <f>'21 pályázatok részletes'!BR65</f>
        <v>0</v>
      </c>
      <c r="G65" s="415"/>
      <c r="H65" s="416">
        <f t="shared" si="1"/>
        <v>0</v>
      </c>
      <c r="I65" s="413">
        <f ca="1">'21 pályázatok részletes'!BS65</f>
        <v>0</v>
      </c>
      <c r="J65" s="415"/>
      <c r="K65" s="416">
        <f t="shared" ca="1" si="2"/>
        <v>0</v>
      </c>
      <c r="L65" s="413">
        <f ca="1">'21 pályázatok részletes'!BT65</f>
        <v>0</v>
      </c>
      <c r="M65" s="415"/>
      <c r="N65" s="416">
        <f t="shared" ca="1" si="3"/>
        <v>0</v>
      </c>
    </row>
    <row r="66" spans="1:14" ht="15.75" hidden="1" thickBot="1" x14ac:dyDescent="0.3">
      <c r="A66" s="185" t="s">
        <v>130</v>
      </c>
      <c r="B66" s="192" t="s">
        <v>131</v>
      </c>
      <c r="C66" s="417"/>
      <c r="D66" s="417"/>
      <c r="E66" s="418">
        <f t="shared" si="0"/>
        <v>0</v>
      </c>
      <c r="F66" s="413">
        <f>'21 pályázatok részletes'!BR66</f>
        <v>0</v>
      </c>
      <c r="G66" s="417"/>
      <c r="H66" s="418">
        <f t="shared" si="1"/>
        <v>0</v>
      </c>
      <c r="I66" s="413">
        <f ca="1">'21 pályázatok részletes'!BS66</f>
        <v>0</v>
      </c>
      <c r="J66" s="417"/>
      <c r="K66" s="418">
        <f t="shared" ca="1" si="2"/>
        <v>0</v>
      </c>
      <c r="L66" s="413">
        <f ca="1">'21 pályázatok részletes'!BT66</f>
        <v>0</v>
      </c>
      <c r="M66" s="417"/>
      <c r="N66" s="418">
        <f t="shared" ca="1" si="3"/>
        <v>0</v>
      </c>
    </row>
    <row r="67" spans="1:14" ht="15.75" thickBot="1" x14ac:dyDescent="0.3">
      <c r="A67" s="183" t="s">
        <v>132</v>
      </c>
      <c r="B67" s="189" t="s">
        <v>133</v>
      </c>
      <c r="C67" s="419"/>
      <c r="D67" s="419">
        <f>SUM(D68:D69)</f>
        <v>0</v>
      </c>
      <c r="E67" s="420">
        <f t="shared" si="0"/>
        <v>0</v>
      </c>
      <c r="F67" s="626">
        <f>'21 pályázatok részletes'!BR67</f>
        <v>0</v>
      </c>
      <c r="G67" s="419">
        <f>SUM(G68:G69)</f>
        <v>0</v>
      </c>
      <c r="H67" s="420">
        <f t="shared" si="1"/>
        <v>0</v>
      </c>
      <c r="I67" s="626">
        <f ca="1">'21 pályázatok részletes'!BS67</f>
        <v>0</v>
      </c>
      <c r="J67" s="419">
        <f>SUM(J68:J69)</f>
        <v>0</v>
      </c>
      <c r="K67" s="420">
        <f t="shared" ca="1" si="2"/>
        <v>0</v>
      </c>
      <c r="L67" s="626">
        <f ca="1">'21 pályázatok részletes'!BT67</f>
        <v>0</v>
      </c>
      <c r="M67" s="419">
        <f>SUM(M68:M69)</f>
        <v>0</v>
      </c>
      <c r="N67" s="420">
        <f t="shared" ca="1" si="3"/>
        <v>0</v>
      </c>
    </row>
    <row r="68" spans="1:14" ht="15.75" hidden="1" thickBot="1" x14ac:dyDescent="0.3">
      <c r="A68" s="184" t="s">
        <v>134</v>
      </c>
      <c r="B68" s="180" t="s">
        <v>135</v>
      </c>
      <c r="C68" s="413"/>
      <c r="D68" s="413"/>
      <c r="E68" s="414">
        <f t="shared" si="0"/>
        <v>0</v>
      </c>
      <c r="F68" s="413">
        <f>'21 pályázatok részletes'!BR68</f>
        <v>0</v>
      </c>
      <c r="G68" s="413"/>
      <c r="H68" s="414">
        <f t="shared" si="1"/>
        <v>0</v>
      </c>
      <c r="I68" s="413">
        <f ca="1">'21 pályázatok részletes'!BS68</f>
        <v>0</v>
      </c>
      <c r="J68" s="413"/>
      <c r="K68" s="414">
        <f t="shared" ca="1" si="2"/>
        <v>0</v>
      </c>
      <c r="L68" s="413">
        <f ca="1">'21 pályázatok részletes'!BT68</f>
        <v>0</v>
      </c>
      <c r="M68" s="413"/>
      <c r="N68" s="414">
        <f t="shared" ca="1" si="3"/>
        <v>0</v>
      </c>
    </row>
    <row r="69" spans="1:14" ht="15.75" hidden="1" thickBot="1" x14ac:dyDescent="0.3">
      <c r="A69" s="185" t="s">
        <v>136</v>
      </c>
      <c r="B69" s="192" t="s">
        <v>137</v>
      </c>
      <c r="C69" s="417"/>
      <c r="D69" s="417"/>
      <c r="E69" s="418">
        <f t="shared" si="0"/>
        <v>0</v>
      </c>
      <c r="F69" s="413">
        <f>'21 pályázatok részletes'!BR69</f>
        <v>0</v>
      </c>
      <c r="G69" s="417"/>
      <c r="H69" s="418">
        <f t="shared" si="1"/>
        <v>0</v>
      </c>
      <c r="I69" s="413">
        <f ca="1">'21 pályázatok részletes'!BS69</f>
        <v>0</v>
      </c>
      <c r="J69" s="417"/>
      <c r="K69" s="418">
        <f t="shared" ca="1" si="2"/>
        <v>0</v>
      </c>
      <c r="L69" s="413">
        <f ca="1">'21 pályázatok részletes'!BT69</f>
        <v>0</v>
      </c>
      <c r="M69" s="417"/>
      <c r="N69" s="418">
        <f t="shared" ca="1" si="3"/>
        <v>0</v>
      </c>
    </row>
    <row r="70" spans="1:14" x14ac:dyDescent="0.25">
      <c r="A70" s="183" t="s">
        <v>138</v>
      </c>
      <c r="B70" s="189" t="s">
        <v>139</v>
      </c>
      <c r="C70" s="413">
        <f>C71</f>
        <v>0</v>
      </c>
      <c r="D70" s="413">
        <f>D71</f>
        <v>0</v>
      </c>
      <c r="E70" s="414">
        <f t="shared" si="0"/>
        <v>0</v>
      </c>
      <c r="F70" s="413">
        <f>'21 pályázatok részletes'!BR70</f>
        <v>0</v>
      </c>
      <c r="G70" s="413">
        <f>G71</f>
        <v>0</v>
      </c>
      <c r="H70" s="414">
        <f t="shared" si="1"/>
        <v>0</v>
      </c>
      <c r="I70" s="413">
        <f ca="1">'21 pályázatok részletes'!BS70</f>
        <v>0</v>
      </c>
      <c r="J70" s="413">
        <f>J71</f>
        <v>0</v>
      </c>
      <c r="K70" s="414">
        <f t="shared" ca="1" si="2"/>
        <v>0</v>
      </c>
      <c r="L70" s="413">
        <f ca="1">'21 pályázatok részletes'!BT70</f>
        <v>0</v>
      </c>
      <c r="M70" s="413">
        <f>M71</f>
        <v>0</v>
      </c>
      <c r="N70" s="414">
        <f t="shared" ca="1" si="3"/>
        <v>0</v>
      </c>
    </row>
    <row r="71" spans="1:14" ht="15.75" thickBot="1" x14ac:dyDescent="0.3">
      <c r="A71" s="185"/>
      <c r="B71" s="192" t="s">
        <v>140</v>
      </c>
      <c r="C71" s="413"/>
      <c r="D71" s="417"/>
      <c r="E71" s="418">
        <f t="shared" si="0"/>
        <v>0</v>
      </c>
      <c r="F71" s="626">
        <f>'21 pályázatok részletes'!BR71</f>
        <v>0</v>
      </c>
      <c r="G71" s="417"/>
      <c r="H71" s="418">
        <f t="shared" si="1"/>
        <v>0</v>
      </c>
      <c r="I71" s="626">
        <f ca="1">'21 pályázatok részletes'!BS71</f>
        <v>0</v>
      </c>
      <c r="J71" s="417"/>
      <c r="K71" s="418">
        <f t="shared" ca="1" si="2"/>
        <v>0</v>
      </c>
      <c r="L71" s="626">
        <f ca="1">'21 pályázatok részletes'!BT71</f>
        <v>0</v>
      </c>
      <c r="M71" s="417"/>
      <c r="N71" s="418">
        <f t="shared" ca="1" si="3"/>
        <v>0</v>
      </c>
    </row>
    <row r="72" spans="1:14" ht="15.75" thickBot="1" x14ac:dyDescent="0.3">
      <c r="A72" s="625"/>
      <c r="B72" s="180" t="s">
        <v>831</v>
      </c>
      <c r="C72" s="254"/>
      <c r="D72" s="254"/>
      <c r="E72" s="255"/>
      <c r="F72" s="627">
        <f>'21 pályázatok részletes'!BR72</f>
        <v>0</v>
      </c>
      <c r="G72" s="254"/>
      <c r="H72" s="249">
        <f t="shared" si="1"/>
        <v>0</v>
      </c>
      <c r="I72" s="627">
        <f ca="1">'21 pályázatok részletes'!BS72</f>
        <v>0</v>
      </c>
      <c r="J72" s="254"/>
      <c r="K72" s="249">
        <f t="shared" ca="1" si="2"/>
        <v>0</v>
      </c>
      <c r="L72" s="627">
        <f ca="1">'21 pályázatok részletes'!BT72</f>
        <v>0</v>
      </c>
      <c r="M72" s="254"/>
      <c r="N72" s="249">
        <f t="shared" ca="1" si="3"/>
        <v>0</v>
      </c>
    </row>
    <row r="73" spans="1:14" ht="15.75" thickBot="1" x14ac:dyDescent="0.3">
      <c r="A73" s="186" t="s">
        <v>141</v>
      </c>
      <c r="B73" s="194" t="s">
        <v>142</v>
      </c>
      <c r="C73" s="419">
        <f>C9+C22+C25+C45+C61+C67+C70</f>
        <v>1230886939</v>
      </c>
      <c r="D73" s="419">
        <f>D9+D22+D25+D45+D61+D67+D70</f>
        <v>0</v>
      </c>
      <c r="E73" s="420">
        <f t="shared" si="0"/>
        <v>1230886939</v>
      </c>
      <c r="F73" s="627">
        <f>'21 pályázatok részletes'!BR73</f>
        <v>1234585368</v>
      </c>
      <c r="G73" s="419">
        <f>G9+G22+G25+G45+G61+G67+G70</f>
        <v>0</v>
      </c>
      <c r="H73" s="420">
        <f t="shared" si="1"/>
        <v>1234585368</v>
      </c>
      <c r="I73" s="627">
        <f ca="1">'21 pályázatok részletes'!BS73</f>
        <v>1238171462</v>
      </c>
      <c r="J73" s="419">
        <f>J9+J22+J25+J45+J61+J67+J70</f>
        <v>0</v>
      </c>
      <c r="K73" s="420">
        <f t="shared" ca="1" si="2"/>
        <v>1238171462</v>
      </c>
      <c r="L73" s="413">
        <f ca="1">'21 pályázatok részletes'!BT73</f>
        <v>1129632168</v>
      </c>
      <c r="M73" s="419">
        <f>M9+M22+M25+M45+M61+M67+M70</f>
        <v>0</v>
      </c>
      <c r="N73" s="420">
        <f t="shared" ca="1" si="3"/>
        <v>1129632168</v>
      </c>
    </row>
    <row r="74" spans="1:14" x14ac:dyDescent="0.25">
      <c r="A74" s="187" t="s">
        <v>143</v>
      </c>
      <c r="B74" s="198" t="s">
        <v>144</v>
      </c>
      <c r="C74" s="413">
        <f>C75+C83</f>
        <v>2129095859</v>
      </c>
      <c r="D74" s="413">
        <f>D75+D83</f>
        <v>0</v>
      </c>
      <c r="E74" s="414">
        <f t="shared" ref="E74:E85" si="4">SUM(C74:D74)</f>
        <v>2129095859</v>
      </c>
      <c r="F74" s="413">
        <f>'21 pályázatok részletes'!BR74</f>
        <v>2129095859</v>
      </c>
      <c r="G74" s="413">
        <f>G75+G83</f>
        <v>0</v>
      </c>
      <c r="H74" s="414">
        <f t="shared" ref="H74:H81" si="5">SUM(F74:G74)</f>
        <v>2129095859</v>
      </c>
      <c r="I74" s="413">
        <f ca="1">'21 pályázatok részletes'!BS74</f>
        <v>2129095859</v>
      </c>
      <c r="J74" s="413">
        <f>J75+J83</f>
        <v>0</v>
      </c>
      <c r="K74" s="414">
        <f t="shared" ref="K74:K81" ca="1" si="6">SUM(I74:J74)</f>
        <v>2129095859</v>
      </c>
      <c r="L74" s="413">
        <f ca="1">'21 pályázatok részletes'!BT74</f>
        <v>2129095859</v>
      </c>
      <c r="M74" s="413">
        <f>M75+M83</f>
        <v>0</v>
      </c>
      <c r="N74" s="414">
        <f t="shared" ref="N74:N81" ca="1" si="7">SUM(L74:M74)</f>
        <v>2129095859</v>
      </c>
    </row>
    <row r="75" spans="1:14" x14ac:dyDescent="0.25">
      <c r="A75" s="184" t="s">
        <v>145</v>
      </c>
      <c r="B75" s="180" t="s">
        <v>146</v>
      </c>
      <c r="C75" s="415">
        <f>SUM(C76:C77,C78,C79,C83,C82)</f>
        <v>2129095859</v>
      </c>
      <c r="D75" s="415">
        <f t="shared" ref="D75" si="8">SUM(D76:D77,D78,D79,D83,D82)</f>
        <v>0</v>
      </c>
      <c r="E75" s="416">
        <f t="shared" si="4"/>
        <v>2129095859</v>
      </c>
      <c r="F75" s="413">
        <f>'21 pályázatok részletes'!BR75</f>
        <v>2129095859</v>
      </c>
      <c r="G75" s="415">
        <f t="shared" ref="G75" si="9">SUM(G76:G77,G78,G79,G83,G82)</f>
        <v>0</v>
      </c>
      <c r="H75" s="416">
        <f t="shared" si="5"/>
        <v>2129095859</v>
      </c>
      <c r="I75" s="413">
        <f ca="1">'21 pályázatok részletes'!BS75</f>
        <v>2129095859</v>
      </c>
      <c r="J75" s="415">
        <f t="shared" ref="J75" si="10">SUM(J76:J77,J78,J79,J83,J82)</f>
        <v>0</v>
      </c>
      <c r="K75" s="416">
        <f t="shared" ca="1" si="6"/>
        <v>2129095859</v>
      </c>
      <c r="L75" s="413">
        <f ca="1">'21 pályázatok részletes'!BT75</f>
        <v>2129095859</v>
      </c>
      <c r="M75" s="415">
        <f t="shared" ref="M75" si="11">SUM(M76:M77,M78,M79,M83,M82)</f>
        <v>0</v>
      </c>
      <c r="N75" s="416">
        <f t="shared" ca="1" si="7"/>
        <v>2129095859</v>
      </c>
    </row>
    <row r="76" spans="1:14" hidden="1" x14ac:dyDescent="0.25">
      <c r="A76" s="184" t="s">
        <v>147</v>
      </c>
      <c r="B76" s="180" t="s">
        <v>148</v>
      </c>
      <c r="C76" s="415"/>
      <c r="D76" s="415"/>
      <c r="E76" s="416">
        <f t="shared" si="4"/>
        <v>0</v>
      </c>
      <c r="F76" s="413">
        <f>'21 pályázatok részletes'!BR76</f>
        <v>0</v>
      </c>
      <c r="G76" s="415"/>
      <c r="H76" s="416">
        <f t="shared" si="5"/>
        <v>0</v>
      </c>
      <c r="I76" s="413">
        <f ca="1">'21 pályázatok részletes'!BS76</f>
        <v>0</v>
      </c>
      <c r="J76" s="415"/>
      <c r="K76" s="416">
        <f t="shared" ca="1" si="6"/>
        <v>0</v>
      </c>
      <c r="L76" s="413">
        <f ca="1">'21 pályázatok részletes'!BT76</f>
        <v>0</v>
      </c>
      <c r="M76" s="415"/>
      <c r="N76" s="416">
        <f t="shared" ca="1" si="7"/>
        <v>0</v>
      </c>
    </row>
    <row r="77" spans="1:14" hidden="1" x14ac:dyDescent="0.25">
      <c r="A77" s="184" t="s">
        <v>149</v>
      </c>
      <c r="B77" s="180" t="s">
        <v>150</v>
      </c>
      <c r="C77" s="415"/>
      <c r="D77" s="415"/>
      <c r="E77" s="416">
        <f t="shared" si="4"/>
        <v>0</v>
      </c>
      <c r="F77" s="413">
        <f>'21 pályázatok részletes'!BR77</f>
        <v>0</v>
      </c>
      <c r="G77" s="415"/>
      <c r="H77" s="416">
        <f t="shared" si="5"/>
        <v>0</v>
      </c>
      <c r="I77" s="413">
        <f ca="1">'21 pályázatok részletes'!BS77</f>
        <v>0</v>
      </c>
      <c r="J77" s="415"/>
      <c r="K77" s="416">
        <f t="shared" ca="1" si="6"/>
        <v>0</v>
      </c>
      <c r="L77" s="413">
        <f ca="1">'21 pályázatok részletes'!BT77</f>
        <v>0</v>
      </c>
      <c r="M77" s="415"/>
      <c r="N77" s="416">
        <f t="shared" ca="1" si="7"/>
        <v>0</v>
      </c>
    </row>
    <row r="78" spans="1:14" hidden="1" x14ac:dyDescent="0.25">
      <c r="A78" s="184" t="s">
        <v>151</v>
      </c>
      <c r="B78" s="180" t="s">
        <v>152</v>
      </c>
      <c r="C78" s="415"/>
      <c r="D78" s="415"/>
      <c r="E78" s="416">
        <f t="shared" si="4"/>
        <v>0</v>
      </c>
      <c r="F78" s="413">
        <f>'21 pályázatok részletes'!BR78</f>
        <v>0</v>
      </c>
      <c r="G78" s="415"/>
      <c r="H78" s="416">
        <f t="shared" si="5"/>
        <v>0</v>
      </c>
      <c r="I78" s="413">
        <f ca="1">'21 pályázatok részletes'!BS78</f>
        <v>0</v>
      </c>
      <c r="J78" s="415"/>
      <c r="K78" s="416">
        <f t="shared" ca="1" si="6"/>
        <v>0</v>
      </c>
      <c r="L78" s="413">
        <f ca="1">'21 pályázatok részletes'!BT78</f>
        <v>0</v>
      </c>
      <c r="M78" s="415"/>
      <c r="N78" s="416">
        <f t="shared" ca="1" si="7"/>
        <v>0</v>
      </c>
    </row>
    <row r="79" spans="1:14" x14ac:dyDescent="0.25">
      <c r="A79" s="184" t="s">
        <v>153</v>
      </c>
      <c r="B79" s="180" t="s">
        <v>154</v>
      </c>
      <c r="C79" s="415">
        <f>SUM(C80:C81)</f>
        <v>2129095859</v>
      </c>
      <c r="D79" s="415">
        <f>SUM(D80:D81)</f>
        <v>0</v>
      </c>
      <c r="E79" s="416">
        <f t="shared" si="4"/>
        <v>2129095859</v>
      </c>
      <c r="F79" s="413">
        <f>'21 pályázatok részletes'!BR79</f>
        <v>2129095859</v>
      </c>
      <c r="G79" s="415">
        <f>SUM(G80:G81)</f>
        <v>0</v>
      </c>
      <c r="H79" s="416">
        <f t="shared" si="5"/>
        <v>2129095859</v>
      </c>
      <c r="I79" s="413">
        <f ca="1">'21 pályázatok részletes'!BS79</f>
        <v>2129095859</v>
      </c>
      <c r="J79" s="415">
        <f>SUM(J80:J81)</f>
        <v>0</v>
      </c>
      <c r="K79" s="416">
        <f t="shared" ca="1" si="6"/>
        <v>2129095859</v>
      </c>
      <c r="L79" s="413">
        <f ca="1">'21 pályázatok részletes'!BT79</f>
        <v>2129095859</v>
      </c>
      <c r="M79" s="415">
        <f>SUM(M80:M81)</f>
        <v>0</v>
      </c>
      <c r="N79" s="416">
        <f t="shared" ca="1" si="7"/>
        <v>2129095859</v>
      </c>
    </row>
    <row r="80" spans="1:14" x14ac:dyDescent="0.25">
      <c r="A80" s="184"/>
      <c r="B80" s="180" t="s">
        <v>29</v>
      </c>
      <c r="C80" s="413">
        <v>148192213</v>
      </c>
      <c r="D80" s="415"/>
      <c r="E80" s="416">
        <f t="shared" si="4"/>
        <v>148192213</v>
      </c>
      <c r="F80" s="413">
        <f>'21 pályázatok részletes'!BR80</f>
        <v>148192213</v>
      </c>
      <c r="G80" s="415"/>
      <c r="H80" s="416">
        <f t="shared" si="5"/>
        <v>148192213</v>
      </c>
      <c r="I80" s="413">
        <f ca="1">'21 pályázatok részletes'!BS80</f>
        <v>148192213</v>
      </c>
      <c r="J80" s="415"/>
      <c r="K80" s="416">
        <f t="shared" ca="1" si="6"/>
        <v>148192213</v>
      </c>
      <c r="L80" s="413">
        <f ca="1">'21 pályázatok részletes'!BT80</f>
        <v>148192213</v>
      </c>
      <c r="M80" s="415"/>
      <c r="N80" s="416">
        <f t="shared" ca="1" si="7"/>
        <v>148192213</v>
      </c>
    </row>
    <row r="81" spans="1:14" ht="15.75" thickBot="1" x14ac:dyDescent="0.3">
      <c r="A81" s="184"/>
      <c r="B81" s="180" t="s">
        <v>30</v>
      </c>
      <c r="C81" s="413">
        <v>1980903646</v>
      </c>
      <c r="D81" s="415"/>
      <c r="E81" s="416">
        <f t="shared" si="4"/>
        <v>1980903646</v>
      </c>
      <c r="F81" s="626">
        <f>'21 pályázatok részletes'!BR81</f>
        <v>1980903646</v>
      </c>
      <c r="G81" s="415"/>
      <c r="H81" s="416">
        <f t="shared" si="5"/>
        <v>1980903646</v>
      </c>
      <c r="I81" s="626">
        <f ca="1">'21 pályázatok részletes'!BS81</f>
        <v>1980903646</v>
      </c>
      <c r="J81" s="415"/>
      <c r="K81" s="416">
        <f t="shared" ca="1" si="6"/>
        <v>1980903646</v>
      </c>
      <c r="L81" s="626">
        <f ca="1">'21 pályázatok részletes'!BT81</f>
        <v>1980903646</v>
      </c>
      <c r="M81" s="415"/>
      <c r="N81" s="416">
        <f t="shared" ca="1" si="7"/>
        <v>1980903646</v>
      </c>
    </row>
    <row r="82" spans="1:14" ht="15.75" hidden="1" thickBot="1" x14ac:dyDescent="0.3">
      <c r="A82" s="184" t="s">
        <v>543</v>
      </c>
      <c r="B82" s="180" t="s">
        <v>337</v>
      </c>
      <c r="C82" s="413"/>
      <c r="D82" s="415"/>
      <c r="E82" s="416"/>
      <c r="F82" s="413">
        <f>'21 pályázatok részletes'!BR82</f>
        <v>0</v>
      </c>
      <c r="G82" s="415"/>
      <c r="H82" s="416"/>
      <c r="I82" s="413">
        <f ca="1">'21 pályázatok részletes'!BS82</f>
        <v>0</v>
      </c>
      <c r="J82" s="415"/>
      <c r="K82" s="416"/>
      <c r="L82" s="413">
        <f ca="1">'21 pályázatok részletes'!BT82</f>
        <v>0</v>
      </c>
      <c r="M82" s="415"/>
      <c r="N82" s="416"/>
    </row>
    <row r="83" spans="1:14" ht="15.75" hidden="1" thickBot="1" x14ac:dyDescent="0.3">
      <c r="A83" s="184" t="s">
        <v>155</v>
      </c>
      <c r="B83" s="180" t="s">
        <v>156</v>
      </c>
      <c r="C83" s="413"/>
      <c r="D83" s="415"/>
      <c r="E83" s="416">
        <f t="shared" si="4"/>
        <v>0</v>
      </c>
      <c r="F83" s="413">
        <f>'21 pályázatok részletes'!BR83</f>
        <v>0</v>
      </c>
      <c r="G83" s="415"/>
      <c r="H83" s="416">
        <f t="shared" ref="H83:H85" si="12">SUM(F83:G83)</f>
        <v>0</v>
      </c>
      <c r="I83" s="413">
        <f ca="1">'21 pályázatok részletes'!BS83</f>
        <v>0</v>
      </c>
      <c r="J83" s="415"/>
      <c r="K83" s="416">
        <f t="shared" ref="K83:K85" ca="1" si="13">SUM(I83:J83)</f>
        <v>0</v>
      </c>
      <c r="L83" s="413">
        <f ca="1">'21 pályázatok részletes'!BT83</f>
        <v>0</v>
      </c>
      <c r="M83" s="415"/>
      <c r="N83" s="416">
        <f t="shared" ref="N83:N85" ca="1" si="14">SUM(L83:M83)</f>
        <v>0</v>
      </c>
    </row>
    <row r="84" spans="1:14" ht="15.75" hidden="1" thickBot="1" x14ac:dyDescent="0.3">
      <c r="A84" s="185" t="s">
        <v>157</v>
      </c>
      <c r="B84" s="192" t="s">
        <v>158</v>
      </c>
      <c r="C84" s="413"/>
      <c r="D84" s="417"/>
      <c r="E84" s="418">
        <f t="shared" si="4"/>
        <v>0</v>
      </c>
      <c r="F84" s="413">
        <f>'21 pályázatok részletes'!BR84</f>
        <v>0</v>
      </c>
      <c r="G84" s="417"/>
      <c r="H84" s="418">
        <f t="shared" si="12"/>
        <v>0</v>
      </c>
      <c r="I84" s="413">
        <f ca="1">'21 pályázatok részletes'!BS84</f>
        <v>0</v>
      </c>
      <c r="J84" s="417"/>
      <c r="K84" s="418">
        <f t="shared" ca="1" si="13"/>
        <v>0</v>
      </c>
      <c r="L84" s="413">
        <f ca="1">'21 pályázatok részletes'!BT84</f>
        <v>0</v>
      </c>
      <c r="M84" s="417"/>
      <c r="N84" s="418">
        <f t="shared" ca="1" si="14"/>
        <v>0</v>
      </c>
    </row>
    <row r="85" spans="1:14" s="313" customFormat="1" ht="15.75" thickBot="1" x14ac:dyDescent="0.3">
      <c r="A85" s="312" t="s">
        <v>264</v>
      </c>
      <c r="B85" s="22" t="s">
        <v>159</v>
      </c>
      <c r="C85" s="421">
        <f>C73+C74</f>
        <v>3359982798</v>
      </c>
      <c r="D85" s="421">
        <f>D73+D74</f>
        <v>0</v>
      </c>
      <c r="E85" s="422">
        <f t="shared" si="4"/>
        <v>3359982798</v>
      </c>
      <c r="F85" s="626">
        <f>'21 pályázatok részletes'!BR85</f>
        <v>3363681227</v>
      </c>
      <c r="G85" s="421">
        <f>G73+G74</f>
        <v>0</v>
      </c>
      <c r="H85" s="422">
        <f t="shared" si="12"/>
        <v>3363681227</v>
      </c>
      <c r="I85" s="626">
        <f ca="1">'21 pályázatok részletes'!BS85</f>
        <v>3367267321</v>
      </c>
      <c r="J85" s="421">
        <f>J73+J74</f>
        <v>0</v>
      </c>
      <c r="K85" s="422">
        <f t="shared" ca="1" si="13"/>
        <v>3367267321</v>
      </c>
      <c r="L85" s="626">
        <f ca="1">'21 pályázatok részletes'!BT85</f>
        <v>3258728027</v>
      </c>
      <c r="M85" s="421">
        <f>M73+M74</f>
        <v>0</v>
      </c>
      <c r="N85" s="422">
        <f t="shared" ca="1" si="14"/>
        <v>3258728027</v>
      </c>
    </row>
    <row r="86" spans="1:14" x14ac:dyDescent="0.25">
      <c r="A86" s="202"/>
      <c r="B86" s="20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</row>
    <row r="87" spans="1:14" ht="15.75" thickBot="1" x14ac:dyDescent="0.3">
      <c r="A87" s="204"/>
      <c r="B87" s="205"/>
      <c r="C87" s="424"/>
      <c r="D87" s="424"/>
      <c r="E87" s="424"/>
      <c r="F87" s="424"/>
      <c r="G87" s="424"/>
      <c r="H87" s="424"/>
      <c r="I87" s="424"/>
      <c r="J87" s="424"/>
      <c r="K87" s="424"/>
      <c r="L87" s="424"/>
      <c r="M87" s="424"/>
      <c r="N87" s="424"/>
    </row>
    <row r="88" spans="1:14" x14ac:dyDescent="0.25">
      <c r="A88" s="188" t="s">
        <v>160</v>
      </c>
      <c r="B88" s="189" t="s">
        <v>34</v>
      </c>
      <c r="C88" s="413">
        <f>C89+C101</f>
        <v>93578986</v>
      </c>
      <c r="D88" s="413">
        <f>D89+D101</f>
        <v>0</v>
      </c>
      <c r="E88" s="425">
        <f t="shared" ref="E88:E150" si="15">SUM(C88:D88)</f>
        <v>93578986</v>
      </c>
      <c r="F88" s="413">
        <f>'21 pályázatok részletes'!BR88</f>
        <v>93578986</v>
      </c>
      <c r="G88" s="413">
        <f>G89+G101</f>
        <v>0</v>
      </c>
      <c r="H88" s="425">
        <f t="shared" ref="H88:H90" si="16">SUM(F88:G88)</f>
        <v>93578986</v>
      </c>
      <c r="I88" s="413">
        <f ca="1">'21 pályázatok részletes'!BS88</f>
        <v>98485770</v>
      </c>
      <c r="J88" s="413">
        <f>J89+J101</f>
        <v>0</v>
      </c>
      <c r="K88" s="425">
        <f t="shared" ref="K88:K90" ca="1" si="17">SUM(I88:J88)</f>
        <v>98485770</v>
      </c>
      <c r="L88" s="413">
        <f ca="1">'21 pályázatok részletes'!BT88</f>
        <v>98485770</v>
      </c>
      <c r="M88" s="413">
        <f>M89+M101</f>
        <v>0</v>
      </c>
      <c r="N88" s="425">
        <f t="shared" ref="N88:N90" ca="1" si="18">SUM(L88:M88)</f>
        <v>98485770</v>
      </c>
    </row>
    <row r="89" spans="1:14" x14ac:dyDescent="0.25">
      <c r="A89" s="190" t="s">
        <v>161</v>
      </c>
      <c r="B89" s="180" t="s">
        <v>162</v>
      </c>
      <c r="C89" s="415">
        <f>SUM(C90:C100)</f>
        <v>89432986</v>
      </c>
      <c r="D89" s="415">
        <f>SUM(D90:D100)</f>
        <v>0</v>
      </c>
      <c r="E89" s="416">
        <f t="shared" si="15"/>
        <v>89432986</v>
      </c>
      <c r="F89" s="413">
        <f>'21 pályázatok részletes'!BR89</f>
        <v>88409436</v>
      </c>
      <c r="G89" s="415">
        <f>SUM(G90:G100)</f>
        <v>0</v>
      </c>
      <c r="H89" s="416">
        <f t="shared" si="16"/>
        <v>88409436</v>
      </c>
      <c r="I89" s="413">
        <f ca="1">'21 pályázatok részletes'!BS89</f>
        <v>88108190</v>
      </c>
      <c r="J89" s="415">
        <f>SUM(J90:J100)</f>
        <v>0</v>
      </c>
      <c r="K89" s="416">
        <f t="shared" ca="1" si="17"/>
        <v>88108190</v>
      </c>
      <c r="L89" s="413">
        <f ca="1">'21 pályázatok részletes'!BT89</f>
        <v>88108190</v>
      </c>
      <c r="M89" s="415">
        <f>SUM(M90:M100)</f>
        <v>0</v>
      </c>
      <c r="N89" s="416">
        <f t="shared" ca="1" si="18"/>
        <v>88108190</v>
      </c>
    </row>
    <row r="90" spans="1:14" x14ac:dyDescent="0.25">
      <c r="A90" s="190" t="s">
        <v>163</v>
      </c>
      <c r="B90" s="180" t="s">
        <v>164</v>
      </c>
      <c r="C90" s="413">
        <v>85712986</v>
      </c>
      <c r="D90" s="415"/>
      <c r="E90" s="416">
        <f t="shared" si="15"/>
        <v>85712986</v>
      </c>
      <c r="F90" s="413">
        <f>'21 pályázatok részletes'!BR90</f>
        <v>84559436</v>
      </c>
      <c r="G90" s="415"/>
      <c r="H90" s="416">
        <f t="shared" si="16"/>
        <v>84559436</v>
      </c>
      <c r="I90" s="413">
        <f ca="1">'21 pályázatok részletes'!BS90</f>
        <v>83324975</v>
      </c>
      <c r="J90" s="415"/>
      <c r="K90" s="416">
        <f t="shared" ca="1" si="17"/>
        <v>83324975</v>
      </c>
      <c r="L90" s="413">
        <f ca="1">'21 pályázatok részletes'!BT90</f>
        <v>83324975</v>
      </c>
      <c r="M90" s="415"/>
      <c r="N90" s="416">
        <f t="shared" ca="1" si="18"/>
        <v>83324975</v>
      </c>
    </row>
    <row r="91" spans="1:14" hidden="1" x14ac:dyDescent="0.25">
      <c r="A91" s="190" t="s">
        <v>533</v>
      </c>
      <c r="B91" s="180" t="s">
        <v>534</v>
      </c>
      <c r="C91" s="413"/>
      <c r="D91" s="415"/>
      <c r="E91" s="416"/>
      <c r="F91" s="413">
        <f>'21 pályázatok részletes'!BR91</f>
        <v>0</v>
      </c>
      <c r="G91" s="415"/>
      <c r="H91" s="416"/>
      <c r="I91" s="413">
        <f ca="1">'21 pályázatok részletes'!BS91</f>
        <v>0</v>
      </c>
      <c r="J91" s="415"/>
      <c r="K91" s="416"/>
      <c r="L91" s="413">
        <f ca="1">'21 pályázatok részletes'!BT91</f>
        <v>0</v>
      </c>
      <c r="M91" s="415"/>
      <c r="N91" s="416"/>
    </row>
    <row r="92" spans="1:14" hidden="1" x14ac:dyDescent="0.25">
      <c r="A92" s="190" t="s">
        <v>165</v>
      </c>
      <c r="B92" s="180" t="s">
        <v>166</v>
      </c>
      <c r="C92" s="413"/>
      <c r="D92" s="415"/>
      <c r="E92" s="416">
        <f t="shared" si="15"/>
        <v>0</v>
      </c>
      <c r="F92" s="413">
        <f>'21 pályázatok részletes'!BR92</f>
        <v>0</v>
      </c>
      <c r="G92" s="415"/>
      <c r="H92" s="416">
        <f t="shared" ref="H92:H145" si="19">SUM(F92:G92)</f>
        <v>0</v>
      </c>
      <c r="I92" s="413">
        <f ca="1">'21 pályázatok részletes'!BS92</f>
        <v>0</v>
      </c>
      <c r="J92" s="415"/>
      <c r="K92" s="416">
        <f t="shared" ref="K92:K145" ca="1" si="20">SUM(I92:J92)</f>
        <v>0</v>
      </c>
      <c r="L92" s="413">
        <f ca="1">'21 pályázatok részletes'!BT92</f>
        <v>0</v>
      </c>
      <c r="M92" s="415"/>
      <c r="N92" s="416">
        <f t="shared" ref="N92:N145" ca="1" si="21">SUM(L92:M92)</f>
        <v>0</v>
      </c>
    </row>
    <row r="93" spans="1:14" hidden="1" x14ac:dyDescent="0.25">
      <c r="A93" s="190" t="s">
        <v>167</v>
      </c>
      <c r="B93" s="180" t="s">
        <v>168</v>
      </c>
      <c r="C93" s="413"/>
      <c r="D93" s="415"/>
      <c r="E93" s="416">
        <f t="shared" si="15"/>
        <v>0</v>
      </c>
      <c r="F93" s="413">
        <f>'21 pályázatok részletes'!BR93</f>
        <v>0</v>
      </c>
      <c r="G93" s="415"/>
      <c r="H93" s="416">
        <f t="shared" si="19"/>
        <v>0</v>
      </c>
      <c r="I93" s="413">
        <f ca="1">'21 pályázatok részletes'!BS93</f>
        <v>0</v>
      </c>
      <c r="J93" s="415"/>
      <c r="K93" s="416">
        <f t="shared" ca="1" si="20"/>
        <v>0</v>
      </c>
      <c r="L93" s="413">
        <f ca="1">'21 pályázatok részletes'!BT93</f>
        <v>0</v>
      </c>
      <c r="M93" s="415"/>
      <c r="N93" s="416">
        <f t="shared" ca="1" si="21"/>
        <v>0</v>
      </c>
    </row>
    <row r="94" spans="1:14" hidden="1" x14ac:dyDescent="0.25">
      <c r="A94" s="190" t="s">
        <v>169</v>
      </c>
      <c r="B94" s="180" t="s">
        <v>170</v>
      </c>
      <c r="C94" s="413"/>
      <c r="D94" s="415"/>
      <c r="E94" s="416">
        <f t="shared" si="15"/>
        <v>0</v>
      </c>
      <c r="F94" s="413">
        <f>'21 pályázatok részletes'!BR94</f>
        <v>0</v>
      </c>
      <c r="G94" s="415"/>
      <c r="H94" s="416">
        <f t="shared" si="19"/>
        <v>0</v>
      </c>
      <c r="I94" s="413">
        <f ca="1">'21 pályázatok részletes'!BS94</f>
        <v>0</v>
      </c>
      <c r="J94" s="415"/>
      <c r="K94" s="416">
        <f t="shared" ca="1" si="20"/>
        <v>0</v>
      </c>
      <c r="L94" s="413">
        <f ca="1">'21 pályázatok részletes'!BT94</f>
        <v>0</v>
      </c>
      <c r="M94" s="415"/>
      <c r="N94" s="416">
        <f t="shared" ca="1" si="21"/>
        <v>0</v>
      </c>
    </row>
    <row r="95" spans="1:14" hidden="1" x14ac:dyDescent="0.25">
      <c r="A95" s="190" t="s">
        <v>171</v>
      </c>
      <c r="B95" s="180" t="s">
        <v>172</v>
      </c>
      <c r="C95" s="413"/>
      <c r="D95" s="415"/>
      <c r="E95" s="416">
        <f t="shared" si="15"/>
        <v>0</v>
      </c>
      <c r="F95" s="413">
        <f>'21 pályázatok részletes'!BR95</f>
        <v>0</v>
      </c>
      <c r="G95" s="415"/>
      <c r="H95" s="416">
        <f t="shared" si="19"/>
        <v>0</v>
      </c>
      <c r="I95" s="413">
        <f ca="1">'21 pályázatok részletes'!BS95</f>
        <v>0</v>
      </c>
      <c r="J95" s="415"/>
      <c r="K95" s="416">
        <f t="shared" ca="1" si="20"/>
        <v>0</v>
      </c>
      <c r="L95" s="413">
        <f ca="1">'21 pályázatok részletes'!BT95</f>
        <v>0</v>
      </c>
      <c r="M95" s="415"/>
      <c r="N95" s="416">
        <f t="shared" ca="1" si="21"/>
        <v>0</v>
      </c>
    </row>
    <row r="96" spans="1:14" hidden="1" x14ac:dyDescent="0.25">
      <c r="A96" s="190" t="s">
        <v>173</v>
      </c>
      <c r="B96" s="180" t="s">
        <v>174</v>
      </c>
      <c r="C96" s="413"/>
      <c r="D96" s="415"/>
      <c r="E96" s="416">
        <f t="shared" si="15"/>
        <v>0</v>
      </c>
      <c r="F96" s="413">
        <f>'21 pályázatok részletes'!BR96</f>
        <v>0</v>
      </c>
      <c r="G96" s="415"/>
      <c r="H96" s="416">
        <f t="shared" si="19"/>
        <v>0</v>
      </c>
      <c r="I96" s="413">
        <f ca="1">'21 pályázatok részletes'!BS96</f>
        <v>0</v>
      </c>
      <c r="J96" s="415"/>
      <c r="K96" s="416">
        <f t="shared" ca="1" si="20"/>
        <v>0</v>
      </c>
      <c r="L96" s="413">
        <f ca="1">'21 pályázatok részletes'!BT96</f>
        <v>0</v>
      </c>
      <c r="M96" s="415"/>
      <c r="N96" s="416">
        <f t="shared" ca="1" si="21"/>
        <v>0</v>
      </c>
    </row>
    <row r="97" spans="1:14" hidden="1" x14ac:dyDescent="0.25">
      <c r="A97" s="190" t="s">
        <v>175</v>
      </c>
      <c r="B97" s="180" t="s">
        <v>176</v>
      </c>
      <c r="C97" s="413"/>
      <c r="D97" s="415"/>
      <c r="E97" s="416">
        <f t="shared" si="15"/>
        <v>0</v>
      </c>
      <c r="F97" s="413">
        <f>'21 pályázatok részletes'!BR97</f>
        <v>0</v>
      </c>
      <c r="G97" s="415"/>
      <c r="H97" s="416">
        <f t="shared" si="19"/>
        <v>0</v>
      </c>
      <c r="I97" s="413">
        <f ca="1">'21 pályázatok részletes'!BS97</f>
        <v>0</v>
      </c>
      <c r="J97" s="415"/>
      <c r="K97" s="416">
        <f t="shared" ca="1" si="20"/>
        <v>0</v>
      </c>
      <c r="L97" s="413">
        <f ca="1">'21 pályázatok részletes'!BT97</f>
        <v>0</v>
      </c>
      <c r="M97" s="415"/>
      <c r="N97" s="416">
        <f t="shared" ca="1" si="21"/>
        <v>0</v>
      </c>
    </row>
    <row r="98" spans="1:14" hidden="1" x14ac:dyDescent="0.25">
      <c r="A98" s="190" t="s">
        <v>177</v>
      </c>
      <c r="B98" s="180" t="s">
        <v>178</v>
      </c>
      <c r="C98" s="413"/>
      <c r="D98" s="415"/>
      <c r="E98" s="416">
        <f t="shared" si="15"/>
        <v>0</v>
      </c>
      <c r="F98" s="413">
        <f>'21 pályázatok részletes'!BR98</f>
        <v>0</v>
      </c>
      <c r="G98" s="415"/>
      <c r="H98" s="416">
        <f t="shared" si="19"/>
        <v>0</v>
      </c>
      <c r="I98" s="413">
        <f ca="1">'21 pályázatok részletes'!BS98</f>
        <v>0</v>
      </c>
      <c r="J98" s="415"/>
      <c r="K98" s="416">
        <f t="shared" ca="1" si="20"/>
        <v>0</v>
      </c>
      <c r="L98" s="413">
        <f ca="1">'21 pályázatok részletes'!BT98</f>
        <v>0</v>
      </c>
      <c r="M98" s="415"/>
      <c r="N98" s="416">
        <f t="shared" ca="1" si="21"/>
        <v>0</v>
      </c>
    </row>
    <row r="99" spans="1:14" hidden="1" x14ac:dyDescent="0.25">
      <c r="A99" s="190" t="s">
        <v>179</v>
      </c>
      <c r="B99" s="180" t="s">
        <v>180</v>
      </c>
      <c r="C99" s="413"/>
      <c r="D99" s="415"/>
      <c r="E99" s="416">
        <f t="shared" si="15"/>
        <v>0</v>
      </c>
      <c r="F99" s="413">
        <f>'21 pályázatok részletes'!BR99</f>
        <v>0</v>
      </c>
      <c r="G99" s="415"/>
      <c r="H99" s="416">
        <f t="shared" si="19"/>
        <v>0</v>
      </c>
      <c r="I99" s="413">
        <f ca="1">'21 pályázatok részletes'!BS99</f>
        <v>0</v>
      </c>
      <c r="J99" s="415"/>
      <c r="K99" s="416">
        <f t="shared" ca="1" si="20"/>
        <v>0</v>
      </c>
      <c r="L99" s="413">
        <f ca="1">'21 pályázatok részletes'!BT99</f>
        <v>0</v>
      </c>
      <c r="M99" s="415"/>
      <c r="N99" s="416">
        <f t="shared" ca="1" si="21"/>
        <v>0</v>
      </c>
    </row>
    <row r="100" spans="1:14" x14ac:dyDescent="0.25">
      <c r="A100" s="190" t="s">
        <v>181</v>
      </c>
      <c r="B100" s="180" t="s">
        <v>182</v>
      </c>
      <c r="C100" s="413">
        <v>3720000</v>
      </c>
      <c r="D100" s="415"/>
      <c r="E100" s="416">
        <f t="shared" si="15"/>
        <v>3720000</v>
      </c>
      <c r="F100" s="413">
        <f>'21 pályázatok részletes'!BR100</f>
        <v>3850000</v>
      </c>
      <c r="G100" s="415"/>
      <c r="H100" s="416">
        <f t="shared" si="19"/>
        <v>3850000</v>
      </c>
      <c r="I100" s="413">
        <f ca="1">'21 pályázatok részletes'!BS100</f>
        <v>4783215</v>
      </c>
      <c r="J100" s="415"/>
      <c r="K100" s="416">
        <f t="shared" ca="1" si="20"/>
        <v>4783215</v>
      </c>
      <c r="L100" s="413">
        <f ca="1">'21 pályázatok részletes'!BT100</f>
        <v>4783215</v>
      </c>
      <c r="M100" s="415"/>
      <c r="N100" s="416">
        <f t="shared" ca="1" si="21"/>
        <v>4783215</v>
      </c>
    </row>
    <row r="101" spans="1:14" x14ac:dyDescent="0.25">
      <c r="A101" s="190" t="s">
        <v>183</v>
      </c>
      <c r="B101" s="180" t="s">
        <v>184</v>
      </c>
      <c r="C101" s="415">
        <f>SUM(C102:C104)</f>
        <v>4146000</v>
      </c>
      <c r="D101" s="415">
        <f>SUM(D102:D104)</f>
        <v>0</v>
      </c>
      <c r="E101" s="416">
        <f t="shared" si="15"/>
        <v>4146000</v>
      </c>
      <c r="F101" s="413">
        <f>'21 pályázatok részletes'!BR101</f>
        <v>5169550</v>
      </c>
      <c r="G101" s="415">
        <f>SUM(G102:G104)</f>
        <v>0</v>
      </c>
      <c r="H101" s="416">
        <f t="shared" si="19"/>
        <v>5169550</v>
      </c>
      <c r="I101" s="413">
        <f ca="1">'21 pályázatok részletes'!BS101</f>
        <v>10377580</v>
      </c>
      <c r="J101" s="415">
        <f>SUM(J102:J104)</f>
        <v>0</v>
      </c>
      <c r="K101" s="416">
        <f t="shared" ca="1" si="20"/>
        <v>10377580</v>
      </c>
      <c r="L101" s="413">
        <f ca="1">'21 pályázatok részletes'!BT101</f>
        <v>10377580</v>
      </c>
      <c r="M101" s="415">
        <f>SUM(M102:M104)</f>
        <v>0</v>
      </c>
      <c r="N101" s="416">
        <f t="shared" ca="1" si="21"/>
        <v>10377580</v>
      </c>
    </row>
    <row r="102" spans="1:14" x14ac:dyDescent="0.25">
      <c r="A102" s="190" t="s">
        <v>185</v>
      </c>
      <c r="B102" s="180" t="s">
        <v>186</v>
      </c>
      <c r="C102" s="413"/>
      <c r="D102" s="415"/>
      <c r="E102" s="416">
        <f t="shared" si="15"/>
        <v>0</v>
      </c>
      <c r="F102" s="413">
        <f>'21 pályázatok részletes'!BR102</f>
        <v>0</v>
      </c>
      <c r="G102" s="415"/>
      <c r="H102" s="416">
        <f t="shared" si="19"/>
        <v>0</v>
      </c>
      <c r="I102" s="413">
        <f ca="1">'21 pályázatok részletes'!BS102</f>
        <v>0</v>
      </c>
      <c r="J102" s="415"/>
      <c r="K102" s="416">
        <f t="shared" ca="1" si="20"/>
        <v>0</v>
      </c>
      <c r="L102" s="413">
        <f ca="1">'21 pályázatok részletes'!BT102</f>
        <v>0</v>
      </c>
      <c r="M102" s="415"/>
      <c r="N102" s="416">
        <f t="shared" ca="1" si="21"/>
        <v>0</v>
      </c>
    </row>
    <row r="103" spans="1:14" x14ac:dyDescent="0.25">
      <c r="A103" s="190" t="s">
        <v>187</v>
      </c>
      <c r="B103" s="180" t="s">
        <v>188</v>
      </c>
      <c r="C103" s="413">
        <v>4146000</v>
      </c>
      <c r="D103" s="415"/>
      <c r="E103" s="416">
        <f t="shared" si="15"/>
        <v>4146000</v>
      </c>
      <c r="F103" s="413">
        <f>'21 pályázatok részletes'!BR103</f>
        <v>4146000</v>
      </c>
      <c r="G103" s="415"/>
      <c r="H103" s="416">
        <f t="shared" si="19"/>
        <v>4146000</v>
      </c>
      <c r="I103" s="413">
        <f ca="1">'21 pályázatok részletes'!BS103</f>
        <v>7906960</v>
      </c>
      <c r="J103" s="415"/>
      <c r="K103" s="416">
        <f t="shared" ca="1" si="20"/>
        <v>7906960</v>
      </c>
      <c r="L103" s="413">
        <f ca="1">'21 pályázatok részletes'!BT103</f>
        <v>7906960</v>
      </c>
      <c r="M103" s="415"/>
      <c r="N103" s="416">
        <f t="shared" ca="1" si="21"/>
        <v>7906960</v>
      </c>
    </row>
    <row r="104" spans="1:14" ht="15.75" thickBot="1" x14ac:dyDescent="0.3">
      <c r="A104" s="191" t="s">
        <v>189</v>
      </c>
      <c r="B104" s="192" t="s">
        <v>190</v>
      </c>
      <c r="C104" s="417"/>
      <c r="D104" s="417"/>
      <c r="E104" s="418">
        <f t="shared" si="15"/>
        <v>0</v>
      </c>
      <c r="F104" s="626">
        <f>'21 pályázatok részletes'!BR104</f>
        <v>1023550</v>
      </c>
      <c r="G104" s="417"/>
      <c r="H104" s="418">
        <f t="shared" si="19"/>
        <v>1023550</v>
      </c>
      <c r="I104" s="626">
        <f ca="1">'21 pályázatok részletes'!BS104</f>
        <v>2470620</v>
      </c>
      <c r="J104" s="417"/>
      <c r="K104" s="418">
        <f t="shared" ca="1" si="20"/>
        <v>2470620</v>
      </c>
      <c r="L104" s="626">
        <f ca="1">'21 pályázatok részletes'!BT104</f>
        <v>2470620</v>
      </c>
      <c r="M104" s="417"/>
      <c r="N104" s="418">
        <f t="shared" ca="1" si="21"/>
        <v>2470620</v>
      </c>
    </row>
    <row r="105" spans="1:14" x14ac:dyDescent="0.25">
      <c r="A105" s="188" t="s">
        <v>191</v>
      </c>
      <c r="B105" s="189" t="s">
        <v>192</v>
      </c>
      <c r="C105" s="413">
        <f>SUM(C106:C110)</f>
        <v>18094514</v>
      </c>
      <c r="D105" s="413">
        <f>SUM(D106:D110)</f>
        <v>0</v>
      </c>
      <c r="E105" s="414">
        <f t="shared" si="15"/>
        <v>18094514</v>
      </c>
      <c r="F105" s="413">
        <f>'21 pályázatok részletes'!BR105</f>
        <v>18094514</v>
      </c>
      <c r="G105" s="413">
        <f>SUM(G106:G110)</f>
        <v>0</v>
      </c>
      <c r="H105" s="414">
        <f t="shared" si="19"/>
        <v>18094514</v>
      </c>
      <c r="I105" s="413">
        <f ca="1">'21 pályázatok részletes'!BS105</f>
        <v>18302385</v>
      </c>
      <c r="J105" s="413">
        <f>SUM(J106:J110)</f>
        <v>0</v>
      </c>
      <c r="K105" s="414">
        <f t="shared" ca="1" si="20"/>
        <v>18302385</v>
      </c>
      <c r="L105" s="413">
        <f ca="1">'21 pályázatok részletes'!BT105</f>
        <v>17795005</v>
      </c>
      <c r="M105" s="413">
        <f>SUM(M106:M110)</f>
        <v>0</v>
      </c>
      <c r="N105" s="414">
        <f t="shared" ca="1" si="21"/>
        <v>17795005</v>
      </c>
    </row>
    <row r="106" spans="1:14" ht="15.75" thickBot="1" x14ac:dyDescent="0.3">
      <c r="A106" s="190"/>
      <c r="B106" s="180" t="s">
        <v>193</v>
      </c>
      <c r="C106" s="417">
        <v>18094514</v>
      </c>
      <c r="D106" s="417"/>
      <c r="E106" s="418">
        <f t="shared" si="15"/>
        <v>18094514</v>
      </c>
      <c r="F106" s="626">
        <f>'21 pályázatok részletes'!BR106</f>
        <v>18094514</v>
      </c>
      <c r="G106" s="417"/>
      <c r="H106" s="418">
        <f t="shared" si="19"/>
        <v>18094514</v>
      </c>
      <c r="I106" s="626">
        <f ca="1">'21 pályázatok részletes'!BS106</f>
        <v>18302385</v>
      </c>
      <c r="J106" s="417"/>
      <c r="K106" s="418">
        <f t="shared" ca="1" si="20"/>
        <v>18302385</v>
      </c>
      <c r="L106" s="626">
        <f ca="1">'21 pályázatok részletes'!BT106</f>
        <v>17795005</v>
      </c>
      <c r="M106" s="417"/>
      <c r="N106" s="418">
        <f t="shared" ca="1" si="21"/>
        <v>17795005</v>
      </c>
    </row>
    <row r="107" spans="1:14" ht="15.75" hidden="1" thickBot="1" x14ac:dyDescent="0.3">
      <c r="A107" s="190"/>
      <c r="B107" s="180" t="s">
        <v>194</v>
      </c>
      <c r="C107" s="413"/>
      <c r="D107" s="413"/>
      <c r="E107" s="414">
        <f t="shared" si="15"/>
        <v>0</v>
      </c>
      <c r="F107" s="413">
        <f>'21 pályázatok részletes'!BR107</f>
        <v>0</v>
      </c>
      <c r="G107" s="413"/>
      <c r="H107" s="414">
        <f t="shared" si="19"/>
        <v>0</v>
      </c>
      <c r="I107" s="413">
        <f ca="1">'21 pályázatok részletes'!BS107</f>
        <v>0</v>
      </c>
      <c r="J107" s="413"/>
      <c r="K107" s="414">
        <f t="shared" ca="1" si="20"/>
        <v>0</v>
      </c>
      <c r="L107" s="413">
        <f ca="1">'21 pályázatok részletes'!BT107</f>
        <v>0</v>
      </c>
      <c r="M107" s="413"/>
      <c r="N107" s="414">
        <f t="shared" ca="1" si="21"/>
        <v>0</v>
      </c>
    </row>
    <row r="108" spans="1:14" ht="15.75" hidden="1" thickBot="1" x14ac:dyDescent="0.3">
      <c r="A108" s="191"/>
      <c r="B108" s="192" t="s">
        <v>195</v>
      </c>
      <c r="C108" s="413"/>
      <c r="D108" s="415"/>
      <c r="E108" s="416">
        <f t="shared" si="15"/>
        <v>0</v>
      </c>
      <c r="F108" s="413">
        <f>'21 pályázatok részletes'!BR108</f>
        <v>0</v>
      </c>
      <c r="G108" s="415"/>
      <c r="H108" s="416">
        <f t="shared" si="19"/>
        <v>0</v>
      </c>
      <c r="I108" s="413">
        <f ca="1">'21 pályázatok részletes'!BS108</f>
        <v>0</v>
      </c>
      <c r="J108" s="415"/>
      <c r="K108" s="416">
        <f t="shared" ca="1" si="20"/>
        <v>0</v>
      </c>
      <c r="L108" s="413">
        <f ca="1">'21 pályázatok részletes'!BT108</f>
        <v>0</v>
      </c>
      <c r="M108" s="415"/>
      <c r="N108" s="416">
        <f t="shared" ca="1" si="21"/>
        <v>0</v>
      </c>
    </row>
    <row r="109" spans="1:14" ht="15.75" hidden="1" thickBot="1" x14ac:dyDescent="0.3">
      <c r="A109" s="191"/>
      <c r="B109" s="192" t="s">
        <v>196</v>
      </c>
      <c r="C109" s="413"/>
      <c r="D109" s="415"/>
      <c r="E109" s="416">
        <f t="shared" si="15"/>
        <v>0</v>
      </c>
      <c r="F109" s="413">
        <f>'21 pályázatok részletes'!BR109</f>
        <v>0</v>
      </c>
      <c r="G109" s="415"/>
      <c r="H109" s="416">
        <f t="shared" si="19"/>
        <v>0</v>
      </c>
      <c r="I109" s="413">
        <f ca="1">'21 pályázatok részletes'!BS109</f>
        <v>0</v>
      </c>
      <c r="J109" s="415"/>
      <c r="K109" s="416">
        <f t="shared" ca="1" si="20"/>
        <v>0</v>
      </c>
      <c r="L109" s="413">
        <f ca="1">'21 pályázatok részletes'!BT109</f>
        <v>0</v>
      </c>
      <c r="M109" s="415"/>
      <c r="N109" s="416">
        <f t="shared" ca="1" si="21"/>
        <v>0</v>
      </c>
    </row>
    <row r="110" spans="1:14" ht="15.75" hidden="1" thickBot="1" x14ac:dyDescent="0.3">
      <c r="A110" s="191"/>
      <c r="B110" s="192" t="s">
        <v>197</v>
      </c>
      <c r="C110" s="417"/>
      <c r="D110" s="417"/>
      <c r="E110" s="418">
        <f t="shared" si="15"/>
        <v>0</v>
      </c>
      <c r="F110" s="413">
        <f>'21 pályázatok részletes'!BR110</f>
        <v>0</v>
      </c>
      <c r="G110" s="417"/>
      <c r="H110" s="418">
        <f t="shared" si="19"/>
        <v>0</v>
      </c>
      <c r="I110" s="413">
        <f ca="1">'21 pályázatok részletes'!BS110</f>
        <v>0</v>
      </c>
      <c r="J110" s="417"/>
      <c r="K110" s="418">
        <f t="shared" ca="1" si="20"/>
        <v>0</v>
      </c>
      <c r="L110" s="413">
        <f ca="1">'21 pályázatok részletes'!BT110</f>
        <v>0</v>
      </c>
      <c r="M110" s="417"/>
      <c r="N110" s="418">
        <f t="shared" ca="1" si="21"/>
        <v>0</v>
      </c>
    </row>
    <row r="111" spans="1:14" x14ac:dyDescent="0.25">
      <c r="A111" s="188" t="s">
        <v>198</v>
      </c>
      <c r="B111" s="189" t="s">
        <v>35</v>
      </c>
      <c r="C111" s="413">
        <f>SUM(C112:C113,C114,C123,C122)</f>
        <v>599119308</v>
      </c>
      <c r="D111" s="413">
        <f>SUM(D112:D113,D114,D123,D122)</f>
        <v>0</v>
      </c>
      <c r="E111" s="414">
        <f t="shared" si="15"/>
        <v>599119308</v>
      </c>
      <c r="F111" s="413">
        <f>'21 pályázatok részletes'!BR111</f>
        <v>558804403</v>
      </c>
      <c r="G111" s="413">
        <f>SUM(G112:G113,G114,G123,G122)</f>
        <v>0</v>
      </c>
      <c r="H111" s="414">
        <f t="shared" si="19"/>
        <v>558804403</v>
      </c>
      <c r="I111" s="413">
        <f ca="1">'21 pályázatok részletes'!BS111</f>
        <v>543051574</v>
      </c>
      <c r="J111" s="413">
        <f>SUM(J112:J113,J114,J123,J122)</f>
        <v>0</v>
      </c>
      <c r="K111" s="414">
        <f t="shared" ca="1" si="20"/>
        <v>543051574</v>
      </c>
      <c r="L111" s="413">
        <f ca="1">'21 pályázatok részletes'!BT111</f>
        <v>336011611</v>
      </c>
      <c r="M111" s="413">
        <f>SUM(M112:M113,M114,M123,M122)</f>
        <v>0</v>
      </c>
      <c r="N111" s="414">
        <f t="shared" ca="1" si="21"/>
        <v>336011611</v>
      </c>
    </row>
    <row r="112" spans="1:14" x14ac:dyDescent="0.25">
      <c r="A112" s="190" t="s">
        <v>199</v>
      </c>
      <c r="B112" s="180" t="s">
        <v>200</v>
      </c>
      <c r="C112" s="415">
        <v>1975117</v>
      </c>
      <c r="D112" s="415"/>
      <c r="E112" s="416">
        <f t="shared" si="15"/>
        <v>1975117</v>
      </c>
      <c r="F112" s="413">
        <f>'21 pályázatok részletes'!BR112</f>
        <v>2505117</v>
      </c>
      <c r="G112" s="415"/>
      <c r="H112" s="416">
        <f t="shared" si="19"/>
        <v>2505117</v>
      </c>
      <c r="I112" s="413">
        <f ca="1">'21 pályázatok részletes'!BS112</f>
        <v>4921189</v>
      </c>
      <c r="J112" s="415"/>
      <c r="K112" s="416">
        <f t="shared" ca="1" si="20"/>
        <v>4921189</v>
      </c>
      <c r="L112" s="413">
        <f ca="1">'21 pályázatok részletes'!BT112</f>
        <v>3832279</v>
      </c>
      <c r="M112" s="415"/>
      <c r="N112" s="416">
        <f t="shared" ca="1" si="21"/>
        <v>3832279</v>
      </c>
    </row>
    <row r="113" spans="1:14" x14ac:dyDescent="0.25">
      <c r="A113" s="190" t="s">
        <v>201</v>
      </c>
      <c r="B113" s="180" t="s">
        <v>202</v>
      </c>
      <c r="C113" s="415"/>
      <c r="D113" s="415"/>
      <c r="E113" s="416">
        <f t="shared" si="15"/>
        <v>0</v>
      </c>
      <c r="F113" s="413">
        <f>'21 pályázatok részletes'!BR113</f>
        <v>0</v>
      </c>
      <c r="G113" s="415"/>
      <c r="H113" s="416">
        <f t="shared" si="19"/>
        <v>0</v>
      </c>
      <c r="I113" s="413">
        <f ca="1">'21 pályázatok részletes'!BS113</f>
        <v>0</v>
      </c>
      <c r="J113" s="415"/>
      <c r="K113" s="416">
        <f t="shared" ca="1" si="20"/>
        <v>0</v>
      </c>
      <c r="L113" s="413">
        <f ca="1">'21 pályázatok részletes'!BT113</f>
        <v>0</v>
      </c>
      <c r="M113" s="415"/>
      <c r="N113" s="416">
        <f t="shared" ca="1" si="21"/>
        <v>0</v>
      </c>
    </row>
    <row r="114" spans="1:14" x14ac:dyDescent="0.25">
      <c r="A114" s="190" t="s">
        <v>203</v>
      </c>
      <c r="B114" s="180" t="s">
        <v>204</v>
      </c>
      <c r="C114" s="415">
        <f>SUM(C115:C121)</f>
        <v>184096116</v>
      </c>
      <c r="D114" s="415">
        <f>SUM(D115:D121)</f>
        <v>0</v>
      </c>
      <c r="E114" s="416">
        <f t="shared" si="15"/>
        <v>184096116</v>
      </c>
      <c r="F114" s="413">
        <f>'21 pályázatok részletes'!BR114</f>
        <v>196103861</v>
      </c>
      <c r="G114" s="415">
        <f>SUM(G115:G121)</f>
        <v>0</v>
      </c>
      <c r="H114" s="416">
        <f t="shared" si="19"/>
        <v>196103861</v>
      </c>
      <c r="I114" s="413">
        <f ca="1">'21 pályázatok részletes'!BS114</f>
        <v>178217727</v>
      </c>
      <c r="J114" s="415">
        <f>SUM(J115:J121)</f>
        <v>0</v>
      </c>
      <c r="K114" s="416">
        <f t="shared" ca="1" si="20"/>
        <v>178217727</v>
      </c>
      <c r="L114" s="413">
        <f ca="1">'21 pályázatok részletes'!BT114</f>
        <v>106649191</v>
      </c>
      <c r="M114" s="415">
        <f>SUM(M115:M121)</f>
        <v>0</v>
      </c>
      <c r="N114" s="416">
        <f t="shared" ca="1" si="21"/>
        <v>106649191</v>
      </c>
    </row>
    <row r="115" spans="1:14" hidden="1" x14ac:dyDescent="0.25">
      <c r="A115" s="190" t="s">
        <v>205</v>
      </c>
      <c r="B115" s="180" t="s">
        <v>206</v>
      </c>
      <c r="C115" s="415"/>
      <c r="D115" s="415"/>
      <c r="E115" s="416">
        <f t="shared" si="15"/>
        <v>0</v>
      </c>
      <c r="F115" s="413">
        <f>'21 pályázatok részletes'!BR115</f>
        <v>0</v>
      </c>
      <c r="G115" s="415"/>
      <c r="H115" s="416">
        <f t="shared" si="19"/>
        <v>0</v>
      </c>
      <c r="I115" s="413">
        <f ca="1">'21 pályázatok részletes'!BS115</f>
        <v>0</v>
      </c>
      <c r="J115" s="415"/>
      <c r="K115" s="416">
        <f t="shared" ca="1" si="20"/>
        <v>0</v>
      </c>
      <c r="L115" s="413">
        <f ca="1">'21 pályázatok részletes'!BT115</f>
        <v>0</v>
      </c>
      <c r="M115" s="415"/>
      <c r="N115" s="416">
        <f t="shared" ca="1" si="21"/>
        <v>0</v>
      </c>
    </row>
    <row r="116" spans="1:14" hidden="1" x14ac:dyDescent="0.25">
      <c r="A116" s="190" t="s">
        <v>207</v>
      </c>
      <c r="B116" s="180" t="s">
        <v>208</v>
      </c>
      <c r="C116" s="415"/>
      <c r="D116" s="415"/>
      <c r="E116" s="416">
        <f t="shared" si="15"/>
        <v>0</v>
      </c>
      <c r="F116" s="413">
        <f>'21 pályázatok részletes'!BR116</f>
        <v>0</v>
      </c>
      <c r="G116" s="415"/>
      <c r="H116" s="416">
        <f t="shared" si="19"/>
        <v>0</v>
      </c>
      <c r="I116" s="413">
        <f ca="1">'21 pályázatok részletes'!BS116</f>
        <v>0</v>
      </c>
      <c r="J116" s="415"/>
      <c r="K116" s="416">
        <f t="shared" ca="1" si="20"/>
        <v>0</v>
      </c>
      <c r="L116" s="413">
        <f ca="1">'21 pályázatok részletes'!BT116</f>
        <v>0</v>
      </c>
      <c r="M116" s="415"/>
      <c r="N116" s="416">
        <f t="shared" ca="1" si="21"/>
        <v>0</v>
      </c>
    </row>
    <row r="117" spans="1:14" hidden="1" x14ac:dyDescent="0.25">
      <c r="A117" s="190" t="s">
        <v>209</v>
      </c>
      <c r="B117" s="180" t="s">
        <v>210</v>
      </c>
      <c r="C117" s="415"/>
      <c r="D117" s="415"/>
      <c r="E117" s="416">
        <f t="shared" si="15"/>
        <v>0</v>
      </c>
      <c r="F117" s="413">
        <f>'21 pályázatok részletes'!BR117</f>
        <v>0</v>
      </c>
      <c r="G117" s="415"/>
      <c r="H117" s="416">
        <f t="shared" si="19"/>
        <v>0</v>
      </c>
      <c r="I117" s="413">
        <f ca="1">'21 pályázatok részletes'!BS117</f>
        <v>1558950</v>
      </c>
      <c r="J117" s="415"/>
      <c r="K117" s="416">
        <f t="shared" ca="1" si="20"/>
        <v>1558950</v>
      </c>
      <c r="L117" s="413">
        <f ca="1">'21 pályázatok részletes'!BT117</f>
        <v>1558950</v>
      </c>
      <c r="M117" s="415"/>
      <c r="N117" s="416">
        <f t="shared" ca="1" si="21"/>
        <v>1558950</v>
      </c>
    </row>
    <row r="118" spans="1:14" hidden="1" x14ac:dyDescent="0.25">
      <c r="A118" s="190" t="s">
        <v>211</v>
      </c>
      <c r="B118" s="180" t="s">
        <v>212</v>
      </c>
      <c r="C118" s="415"/>
      <c r="D118" s="415"/>
      <c r="E118" s="416">
        <f t="shared" si="15"/>
        <v>0</v>
      </c>
      <c r="F118" s="413">
        <f>'21 pályázatok részletes'!BR118</f>
        <v>0</v>
      </c>
      <c r="G118" s="415"/>
      <c r="H118" s="416">
        <f t="shared" si="19"/>
        <v>0</v>
      </c>
      <c r="I118" s="413">
        <f ca="1">'21 pályázatok részletes'!BS118</f>
        <v>733565</v>
      </c>
      <c r="J118" s="415"/>
      <c r="K118" s="416">
        <f t="shared" ca="1" si="20"/>
        <v>733565</v>
      </c>
      <c r="L118" s="413">
        <f ca="1">'21 pályázatok részletes'!BT118</f>
        <v>733565</v>
      </c>
      <c r="M118" s="415"/>
      <c r="N118" s="416">
        <f t="shared" ca="1" si="21"/>
        <v>733565</v>
      </c>
    </row>
    <row r="119" spans="1:14" hidden="1" x14ac:dyDescent="0.25">
      <c r="A119" s="190" t="s">
        <v>213</v>
      </c>
      <c r="B119" s="180" t="s">
        <v>214</v>
      </c>
      <c r="C119" s="415"/>
      <c r="D119" s="415"/>
      <c r="E119" s="416">
        <f t="shared" si="15"/>
        <v>0</v>
      </c>
      <c r="F119" s="413">
        <f>'21 pályázatok részletes'!BR119</f>
        <v>0</v>
      </c>
      <c r="G119" s="415"/>
      <c r="H119" s="416">
        <f t="shared" si="19"/>
        <v>0</v>
      </c>
      <c r="I119" s="413">
        <f ca="1">'21 pályázatok részletes'!BS119</f>
        <v>0</v>
      </c>
      <c r="J119" s="415"/>
      <c r="K119" s="416">
        <f t="shared" ca="1" si="20"/>
        <v>0</v>
      </c>
      <c r="L119" s="413">
        <f ca="1">'21 pályázatok részletes'!BT119</f>
        <v>0</v>
      </c>
      <c r="M119" s="415"/>
      <c r="N119" s="416">
        <f t="shared" ca="1" si="21"/>
        <v>0</v>
      </c>
    </row>
    <row r="120" spans="1:14" x14ac:dyDescent="0.25">
      <c r="A120" s="190" t="s">
        <v>215</v>
      </c>
      <c r="B120" s="180" t="s">
        <v>216</v>
      </c>
      <c r="C120" s="415">
        <v>23487992</v>
      </c>
      <c r="D120" s="415"/>
      <c r="E120" s="416">
        <f t="shared" si="15"/>
        <v>23487992</v>
      </c>
      <c r="F120" s="413">
        <f>'21 pályázatok részletes'!BR120</f>
        <v>48430512</v>
      </c>
      <c r="G120" s="415"/>
      <c r="H120" s="416">
        <f t="shared" si="19"/>
        <v>48430512</v>
      </c>
      <c r="I120" s="413">
        <f ca="1">'21 pályázatok részletes'!BS120</f>
        <v>51141912</v>
      </c>
      <c r="J120" s="415"/>
      <c r="K120" s="416">
        <f t="shared" ca="1" si="20"/>
        <v>51141912</v>
      </c>
      <c r="L120" s="413">
        <f ca="1">'21 pályázatok részletes'!BT120</f>
        <v>31898868</v>
      </c>
      <c r="M120" s="415"/>
      <c r="N120" s="416">
        <f t="shared" ca="1" si="21"/>
        <v>31898868</v>
      </c>
    </row>
    <row r="121" spans="1:14" x14ac:dyDescent="0.25">
      <c r="A121" s="190" t="s">
        <v>217</v>
      </c>
      <c r="B121" s="180" t="s">
        <v>218</v>
      </c>
      <c r="C121" s="415">
        <v>160608124</v>
      </c>
      <c r="D121" s="415"/>
      <c r="E121" s="416">
        <f t="shared" si="15"/>
        <v>160608124</v>
      </c>
      <c r="F121" s="413">
        <f>'21 pályázatok részletes'!BR121</f>
        <v>147673349</v>
      </c>
      <c r="G121" s="415"/>
      <c r="H121" s="416">
        <f t="shared" si="19"/>
        <v>147673349</v>
      </c>
      <c r="I121" s="413">
        <f ca="1">'21 pályázatok részletes'!BS121</f>
        <v>124783300</v>
      </c>
      <c r="J121" s="415"/>
      <c r="K121" s="416">
        <f t="shared" ca="1" si="20"/>
        <v>124783300</v>
      </c>
      <c r="L121" s="413">
        <f ca="1">'21 pályázatok részletes'!BT121</f>
        <v>72457808</v>
      </c>
      <c r="M121" s="415"/>
      <c r="N121" s="416">
        <f t="shared" ca="1" si="21"/>
        <v>72457808</v>
      </c>
    </row>
    <row r="122" spans="1:14" x14ac:dyDescent="0.25">
      <c r="A122" s="190" t="s">
        <v>219</v>
      </c>
      <c r="B122" s="180" t="s">
        <v>220</v>
      </c>
      <c r="C122" s="415">
        <v>12000</v>
      </c>
      <c r="D122" s="415"/>
      <c r="E122" s="416">
        <f t="shared" si="15"/>
        <v>12000</v>
      </c>
      <c r="F122" s="413">
        <f>'21 pályázatok részletes'!BR122</f>
        <v>12000</v>
      </c>
      <c r="G122" s="415"/>
      <c r="H122" s="416">
        <f t="shared" si="19"/>
        <v>12000</v>
      </c>
      <c r="I122" s="413">
        <f ca="1">'21 pályázatok részletes'!BS122</f>
        <v>1655640</v>
      </c>
      <c r="J122" s="415"/>
      <c r="K122" s="416">
        <f t="shared" ca="1" si="20"/>
        <v>1655640</v>
      </c>
      <c r="L122" s="413">
        <f ca="1">'21 pályázatok részletes'!BT122</f>
        <v>1655640</v>
      </c>
      <c r="M122" s="415"/>
      <c r="N122" s="416">
        <f t="shared" ca="1" si="21"/>
        <v>1655640</v>
      </c>
    </row>
    <row r="123" spans="1:14" x14ac:dyDescent="0.25">
      <c r="A123" s="190" t="s">
        <v>221</v>
      </c>
      <c r="B123" s="180" t="s">
        <v>222</v>
      </c>
      <c r="C123" s="415">
        <f>SUM(C124:C126)</f>
        <v>413036075</v>
      </c>
      <c r="D123" s="415">
        <f>SUM(D124:D126)</f>
        <v>0</v>
      </c>
      <c r="E123" s="416">
        <f t="shared" si="15"/>
        <v>413036075</v>
      </c>
      <c r="F123" s="413">
        <f>'21 pályázatok részletes'!BR123</f>
        <v>360183425</v>
      </c>
      <c r="G123" s="415">
        <f>SUM(G124:G126)</f>
        <v>0</v>
      </c>
      <c r="H123" s="416">
        <f t="shared" si="19"/>
        <v>360183425</v>
      </c>
      <c r="I123" s="413">
        <f ca="1">'21 pályázatok részletes'!BS123</f>
        <v>358257018</v>
      </c>
      <c r="J123" s="415">
        <f>SUM(J124:J126)</f>
        <v>0</v>
      </c>
      <c r="K123" s="416">
        <f t="shared" ca="1" si="20"/>
        <v>358257018</v>
      </c>
      <c r="L123" s="413">
        <f ca="1">'21 pályázatok részletes'!BT123</f>
        <v>223874501</v>
      </c>
      <c r="M123" s="415">
        <f>SUM(M124:M126)</f>
        <v>0</v>
      </c>
      <c r="N123" s="416">
        <f t="shared" ca="1" si="21"/>
        <v>223874501</v>
      </c>
    </row>
    <row r="124" spans="1:14" x14ac:dyDescent="0.25">
      <c r="A124" s="190"/>
      <c r="B124" s="180" t="s">
        <v>223</v>
      </c>
      <c r="C124" s="415">
        <v>410359075</v>
      </c>
      <c r="D124" s="415"/>
      <c r="E124" s="416">
        <f t="shared" si="15"/>
        <v>410359075</v>
      </c>
      <c r="F124" s="413">
        <f>'21 pályázatok részletes'!BR124</f>
        <v>357187406</v>
      </c>
      <c r="G124" s="415"/>
      <c r="H124" s="416">
        <f t="shared" si="19"/>
        <v>357187406</v>
      </c>
      <c r="I124" s="413">
        <f ca="1">'21 pályázatok részletes'!BS124</f>
        <v>353596765</v>
      </c>
      <c r="J124" s="415"/>
      <c r="K124" s="416">
        <f t="shared" ca="1" si="20"/>
        <v>353596765</v>
      </c>
      <c r="L124" s="413">
        <f ca="1">'21 pályázatok részletes'!BT124</f>
        <v>219748517</v>
      </c>
      <c r="M124" s="415"/>
      <c r="N124" s="416">
        <f t="shared" ca="1" si="21"/>
        <v>219748517</v>
      </c>
    </row>
    <row r="125" spans="1:14" x14ac:dyDescent="0.25">
      <c r="A125" s="191"/>
      <c r="B125" s="192" t="s">
        <v>224</v>
      </c>
      <c r="C125" s="415"/>
      <c r="D125" s="415"/>
      <c r="E125" s="416">
        <f t="shared" si="15"/>
        <v>0</v>
      </c>
      <c r="F125" s="413">
        <f>'21 pályázatok részletes'!BR125</f>
        <v>0</v>
      </c>
      <c r="G125" s="415"/>
      <c r="H125" s="416">
        <f t="shared" si="19"/>
        <v>0</v>
      </c>
      <c r="I125" s="413">
        <f ca="1">'21 pályázatok részletes'!BS125</f>
        <v>0</v>
      </c>
      <c r="J125" s="415"/>
      <c r="K125" s="416">
        <f t="shared" ca="1" si="20"/>
        <v>0</v>
      </c>
      <c r="L125" s="413">
        <f ca="1">'21 pályázatok részletes'!BT125</f>
        <v>0</v>
      </c>
      <c r="M125" s="415"/>
      <c r="N125" s="416">
        <f t="shared" ca="1" si="21"/>
        <v>0</v>
      </c>
    </row>
    <row r="126" spans="1:14" ht="15.75" thickBot="1" x14ac:dyDescent="0.3">
      <c r="A126" s="191" t="s">
        <v>225</v>
      </c>
      <c r="B126" s="192" t="s">
        <v>226</v>
      </c>
      <c r="C126" s="417">
        <v>2677000</v>
      </c>
      <c r="D126" s="417"/>
      <c r="E126" s="418">
        <f t="shared" si="15"/>
        <v>2677000</v>
      </c>
      <c r="F126" s="626">
        <f>'21 pályázatok részletes'!BR126</f>
        <v>2996019</v>
      </c>
      <c r="G126" s="417"/>
      <c r="H126" s="418">
        <f t="shared" si="19"/>
        <v>2996019</v>
      </c>
      <c r="I126" s="626">
        <f ca="1">'21 pályázatok részletes'!BS126</f>
        <v>4660253</v>
      </c>
      <c r="J126" s="417"/>
      <c r="K126" s="418">
        <f t="shared" ca="1" si="20"/>
        <v>4660253</v>
      </c>
      <c r="L126" s="626">
        <f ca="1">'21 pályázatok részletes'!BT126</f>
        <v>4125984</v>
      </c>
      <c r="M126" s="417"/>
      <c r="N126" s="418">
        <f t="shared" ca="1" si="21"/>
        <v>4125984</v>
      </c>
    </row>
    <row r="127" spans="1:14" ht="15.75" thickBot="1" x14ac:dyDescent="0.3">
      <c r="A127" s="193" t="s">
        <v>227</v>
      </c>
      <c r="B127" s="194" t="s">
        <v>36</v>
      </c>
      <c r="C127" s="419"/>
      <c r="D127" s="419"/>
      <c r="E127" s="420">
        <f t="shared" si="15"/>
        <v>0</v>
      </c>
      <c r="F127" s="627">
        <f>'21 pályázatok részletes'!BR127</f>
        <v>0</v>
      </c>
      <c r="G127" s="419"/>
      <c r="H127" s="420">
        <f t="shared" si="19"/>
        <v>0</v>
      </c>
      <c r="I127" s="627">
        <f ca="1">'21 pályázatok részletes'!BS127</f>
        <v>0</v>
      </c>
      <c r="J127" s="419"/>
      <c r="K127" s="420">
        <f t="shared" ca="1" si="20"/>
        <v>0</v>
      </c>
      <c r="L127" s="627">
        <f ca="1">'21 pályázatok részletes'!BT127</f>
        <v>0</v>
      </c>
      <c r="M127" s="419"/>
      <c r="N127" s="420">
        <f t="shared" ca="1" si="21"/>
        <v>0</v>
      </c>
    </row>
    <row r="128" spans="1:14" x14ac:dyDescent="0.25">
      <c r="A128" s="188" t="s">
        <v>228</v>
      </c>
      <c r="B128" s="189" t="s">
        <v>37</v>
      </c>
      <c r="C128" s="413">
        <f>SUM(C129:C134)</f>
        <v>790000</v>
      </c>
      <c r="D128" s="413">
        <f>SUM(D129:D134)</f>
        <v>0</v>
      </c>
      <c r="E128" s="414">
        <f t="shared" si="15"/>
        <v>790000</v>
      </c>
      <c r="F128" s="413">
        <f>'21 pályázatok részletes'!BR128</f>
        <v>1275000</v>
      </c>
      <c r="G128" s="413">
        <f>SUM(G129:G134)</f>
        <v>0</v>
      </c>
      <c r="H128" s="414">
        <f t="shared" si="19"/>
        <v>1275000</v>
      </c>
      <c r="I128" s="413">
        <f ca="1">'21 pályázatok részletes'!BS128</f>
        <v>1111918</v>
      </c>
      <c r="J128" s="413">
        <f>SUM(J129:J134)</f>
        <v>0</v>
      </c>
      <c r="K128" s="414">
        <f t="shared" ca="1" si="20"/>
        <v>1111918</v>
      </c>
      <c r="L128" s="413">
        <f ca="1">'21 pályázatok részletes'!BT128</f>
        <v>245000</v>
      </c>
      <c r="M128" s="413">
        <f>SUM(M129:M134)</f>
        <v>0</v>
      </c>
      <c r="N128" s="414">
        <f t="shared" ca="1" si="21"/>
        <v>245000</v>
      </c>
    </row>
    <row r="129" spans="1:19" hidden="1" x14ac:dyDescent="0.25">
      <c r="A129" s="190" t="s">
        <v>229</v>
      </c>
      <c r="B129" s="180" t="s">
        <v>230</v>
      </c>
      <c r="C129" s="413"/>
      <c r="D129" s="415"/>
      <c r="E129" s="416">
        <f t="shared" si="15"/>
        <v>0</v>
      </c>
      <c r="F129" s="413">
        <f>'21 pályázatok részletes'!BR129</f>
        <v>0</v>
      </c>
      <c r="G129" s="415"/>
      <c r="H129" s="416">
        <f t="shared" si="19"/>
        <v>0</v>
      </c>
      <c r="I129" s="413">
        <f ca="1">'21 pályázatok részletes'!BS129</f>
        <v>0</v>
      </c>
      <c r="J129" s="415"/>
      <c r="K129" s="416">
        <f t="shared" ca="1" si="20"/>
        <v>0</v>
      </c>
      <c r="L129" s="413">
        <f ca="1">'21 pályázatok részletes'!BT129</f>
        <v>0</v>
      </c>
      <c r="M129" s="415"/>
      <c r="N129" s="416">
        <f t="shared" ca="1" si="21"/>
        <v>0</v>
      </c>
    </row>
    <row r="130" spans="1:19" hidden="1" x14ac:dyDescent="0.25">
      <c r="A130" s="190" t="s">
        <v>548</v>
      </c>
      <c r="B130" s="180" t="s">
        <v>549</v>
      </c>
      <c r="C130" s="413"/>
      <c r="D130" s="415"/>
      <c r="E130" s="416">
        <f t="shared" si="15"/>
        <v>0</v>
      </c>
      <c r="F130" s="413">
        <f>'21 pályázatok részletes'!BR130</f>
        <v>0</v>
      </c>
      <c r="G130" s="415"/>
      <c r="H130" s="416">
        <f t="shared" si="19"/>
        <v>0</v>
      </c>
      <c r="I130" s="413">
        <f ca="1">'21 pályázatok részletes'!BS130</f>
        <v>0</v>
      </c>
      <c r="J130" s="415"/>
      <c r="K130" s="416">
        <f t="shared" ca="1" si="20"/>
        <v>0</v>
      </c>
      <c r="L130" s="413">
        <f ca="1">'21 pályázatok részletes'!BT130</f>
        <v>0</v>
      </c>
      <c r="M130" s="415"/>
      <c r="N130" s="416">
        <f t="shared" ca="1" si="21"/>
        <v>0</v>
      </c>
    </row>
    <row r="131" spans="1:19" hidden="1" x14ac:dyDescent="0.25">
      <c r="A131" s="190" t="s">
        <v>231</v>
      </c>
      <c r="B131" s="180" t="s">
        <v>232</v>
      </c>
      <c r="C131" s="413"/>
      <c r="D131" s="415"/>
      <c r="E131" s="416">
        <f t="shared" si="15"/>
        <v>0</v>
      </c>
      <c r="F131" s="413">
        <f>'21 pályázatok részletes'!BR131</f>
        <v>0</v>
      </c>
      <c r="G131" s="415"/>
      <c r="H131" s="416">
        <f t="shared" si="19"/>
        <v>0</v>
      </c>
      <c r="I131" s="413">
        <f ca="1">'21 pályázatok részletes'!BS131</f>
        <v>0</v>
      </c>
      <c r="J131" s="415"/>
      <c r="K131" s="416">
        <f t="shared" ca="1" si="20"/>
        <v>0</v>
      </c>
      <c r="L131" s="413">
        <f ca="1">'21 pályázatok részletes'!BT131</f>
        <v>0</v>
      </c>
      <c r="M131" s="415"/>
      <c r="N131" s="416">
        <f t="shared" ca="1" si="21"/>
        <v>0</v>
      </c>
    </row>
    <row r="132" spans="1:19" hidden="1" x14ac:dyDescent="0.25">
      <c r="A132" s="190" t="s">
        <v>233</v>
      </c>
      <c r="B132" s="180" t="s">
        <v>234</v>
      </c>
      <c r="C132" s="413"/>
      <c r="D132" s="415"/>
      <c r="E132" s="416">
        <f t="shared" si="15"/>
        <v>0</v>
      </c>
      <c r="F132" s="413">
        <f>'21 pályázatok részletes'!BR132</f>
        <v>0</v>
      </c>
      <c r="G132" s="415"/>
      <c r="H132" s="416">
        <f t="shared" si="19"/>
        <v>0</v>
      </c>
      <c r="I132" s="413">
        <f ca="1">'21 pályázatok részletes'!BS132</f>
        <v>0</v>
      </c>
      <c r="J132" s="415"/>
      <c r="K132" s="416">
        <f t="shared" ca="1" si="20"/>
        <v>0</v>
      </c>
      <c r="L132" s="413">
        <f ca="1">'21 pályázatok részletes'!BT132</f>
        <v>0</v>
      </c>
      <c r="M132" s="415"/>
      <c r="N132" s="416">
        <f t="shared" ca="1" si="21"/>
        <v>0</v>
      </c>
    </row>
    <row r="133" spans="1:19" x14ac:dyDescent="0.25">
      <c r="A133" s="190" t="s">
        <v>235</v>
      </c>
      <c r="B133" s="180" t="s">
        <v>236</v>
      </c>
      <c r="C133" s="413">
        <v>790000</v>
      </c>
      <c r="D133" s="415"/>
      <c r="E133" s="416">
        <f t="shared" si="15"/>
        <v>790000</v>
      </c>
      <c r="F133" s="413">
        <f>'21 pályázatok részletes'!BR133</f>
        <v>1275000</v>
      </c>
      <c r="G133" s="415"/>
      <c r="H133" s="416">
        <f t="shared" si="19"/>
        <v>1275000</v>
      </c>
      <c r="I133" s="413">
        <f ca="1">'21 pályázatok részletes'!BS133</f>
        <v>1111918</v>
      </c>
      <c r="J133" s="415"/>
      <c r="K133" s="416">
        <f t="shared" ca="1" si="20"/>
        <v>1111918</v>
      </c>
      <c r="L133" s="413">
        <f ca="1">'21 pályázatok részletes'!BT133</f>
        <v>245000</v>
      </c>
      <c r="M133" s="415"/>
      <c r="N133" s="416">
        <f t="shared" ca="1" si="21"/>
        <v>245000</v>
      </c>
    </row>
    <row r="134" spans="1:19" ht="15.75" thickBot="1" x14ac:dyDescent="0.3">
      <c r="A134" s="190" t="s">
        <v>237</v>
      </c>
      <c r="B134" s="180" t="s">
        <v>238</v>
      </c>
      <c r="C134" s="417"/>
      <c r="D134" s="417">
        <f>SUM(D135:D136)</f>
        <v>0</v>
      </c>
      <c r="E134" s="418">
        <f t="shared" si="15"/>
        <v>0</v>
      </c>
      <c r="F134" s="626">
        <f>'21 pályázatok részletes'!BR134</f>
        <v>0</v>
      </c>
      <c r="G134" s="417">
        <f>SUM(G135:G136)</f>
        <v>0</v>
      </c>
      <c r="H134" s="418">
        <f t="shared" si="19"/>
        <v>0</v>
      </c>
      <c r="I134" s="626">
        <f ca="1">'21 pályázatok részletes'!BS134</f>
        <v>0</v>
      </c>
      <c r="J134" s="417">
        <f>SUM(J135:J136)</f>
        <v>0</v>
      </c>
      <c r="K134" s="418">
        <f t="shared" ca="1" si="20"/>
        <v>0</v>
      </c>
      <c r="L134" s="626">
        <f ca="1">'21 pályázatok részletes'!BT134</f>
        <v>0</v>
      </c>
      <c r="M134" s="417">
        <f>SUM(M135:M136)</f>
        <v>0</v>
      </c>
      <c r="N134" s="418">
        <f t="shared" ca="1" si="21"/>
        <v>0</v>
      </c>
    </row>
    <row r="135" spans="1:19" ht="15.75" hidden="1" thickBot="1" x14ac:dyDescent="0.3">
      <c r="A135" s="190"/>
      <c r="B135" s="180" t="s">
        <v>239</v>
      </c>
      <c r="C135" s="413"/>
      <c r="D135" s="413"/>
      <c r="E135" s="414">
        <f t="shared" si="15"/>
        <v>0</v>
      </c>
      <c r="F135" s="413">
        <f>'21 pályázatok részletes'!BR135</f>
        <v>0</v>
      </c>
      <c r="G135" s="413"/>
      <c r="H135" s="414">
        <f t="shared" si="19"/>
        <v>0</v>
      </c>
      <c r="I135" s="413">
        <f ca="1">'21 pályázatok részletes'!BS135</f>
        <v>0</v>
      </c>
      <c r="J135" s="413"/>
      <c r="K135" s="414">
        <f t="shared" ca="1" si="20"/>
        <v>0</v>
      </c>
      <c r="L135" s="413">
        <f ca="1">'21 pályázatok részletes'!BT135</f>
        <v>0</v>
      </c>
      <c r="M135" s="413"/>
      <c r="N135" s="414">
        <f t="shared" ca="1" si="21"/>
        <v>0</v>
      </c>
    </row>
    <row r="136" spans="1:19" ht="15.75" hidden="1" thickBot="1" x14ac:dyDescent="0.3">
      <c r="A136" s="191"/>
      <c r="B136" s="192" t="s">
        <v>240</v>
      </c>
      <c r="C136" s="417"/>
      <c r="D136" s="417"/>
      <c r="E136" s="418">
        <f t="shared" si="15"/>
        <v>0</v>
      </c>
      <c r="F136" s="413">
        <f>'21 pályázatok részletes'!BR136</f>
        <v>0</v>
      </c>
      <c r="G136" s="417"/>
      <c r="H136" s="418">
        <f t="shared" si="19"/>
        <v>0</v>
      </c>
      <c r="I136" s="413">
        <f ca="1">'21 pályázatok részletes'!BS136</f>
        <v>0</v>
      </c>
      <c r="J136" s="417"/>
      <c r="K136" s="418">
        <f t="shared" ca="1" si="20"/>
        <v>0</v>
      </c>
      <c r="L136" s="413">
        <f ca="1">'21 pályázatok részletes'!BT136</f>
        <v>0</v>
      </c>
      <c r="M136" s="417"/>
      <c r="N136" s="418">
        <f t="shared" ca="1" si="21"/>
        <v>0</v>
      </c>
    </row>
    <row r="137" spans="1:19" x14ac:dyDescent="0.25">
      <c r="A137" s="188" t="s">
        <v>241</v>
      </c>
      <c r="B137" s="189" t="s">
        <v>38</v>
      </c>
      <c r="C137" s="413">
        <v>2096662591</v>
      </c>
      <c r="D137" s="413"/>
      <c r="E137" s="414">
        <f t="shared" si="15"/>
        <v>2096662591</v>
      </c>
      <c r="F137" s="413">
        <f>'21 pályázatok részletes'!BR137</f>
        <v>2154881726</v>
      </c>
      <c r="G137" s="413"/>
      <c r="H137" s="414">
        <f t="shared" si="19"/>
        <v>2154881726</v>
      </c>
      <c r="I137" s="413">
        <f ca="1">'21 pályázatok részletes'!BS137</f>
        <v>2142372800</v>
      </c>
      <c r="J137" s="413"/>
      <c r="K137" s="414">
        <f t="shared" ca="1" si="20"/>
        <v>2142372800</v>
      </c>
      <c r="L137" s="413">
        <f ca="1">'21 pályázatok részletes'!BT137</f>
        <v>1319544724</v>
      </c>
      <c r="M137" s="413"/>
      <c r="N137" s="414">
        <f t="shared" ca="1" si="21"/>
        <v>1319544724</v>
      </c>
    </row>
    <row r="138" spans="1:19" ht="15.75" thickBot="1" x14ac:dyDescent="0.3">
      <c r="A138" s="191" t="s">
        <v>242</v>
      </c>
      <c r="B138" s="192" t="s">
        <v>243</v>
      </c>
      <c r="C138" s="417">
        <v>293279828</v>
      </c>
      <c r="D138" s="417"/>
      <c r="E138" s="418">
        <f t="shared" si="15"/>
        <v>293279828</v>
      </c>
      <c r="F138" s="626">
        <f>'21 pályázatok részletes'!BR138</f>
        <v>414882659</v>
      </c>
      <c r="G138" s="417"/>
      <c r="H138" s="418">
        <f t="shared" si="19"/>
        <v>414882659</v>
      </c>
      <c r="I138" s="413">
        <f ca="1">'21 pályázatok részletes'!BS138</f>
        <v>411689607</v>
      </c>
      <c r="J138" s="417"/>
      <c r="K138" s="418">
        <f t="shared" ca="1" si="20"/>
        <v>411689607</v>
      </c>
      <c r="L138" s="626">
        <f ca="1">'21 pályázatok részletes'!BT138</f>
        <v>154665315</v>
      </c>
      <c r="M138" s="417"/>
      <c r="N138" s="418">
        <f t="shared" ca="1" si="21"/>
        <v>154665315</v>
      </c>
    </row>
    <row r="139" spans="1:19" x14ac:dyDescent="0.25">
      <c r="A139" s="188" t="s">
        <v>244</v>
      </c>
      <c r="B139" s="189" t="s">
        <v>39</v>
      </c>
      <c r="C139" s="413">
        <v>285432885</v>
      </c>
      <c r="D139" s="413"/>
      <c r="E139" s="414">
        <f t="shared" si="15"/>
        <v>285432885</v>
      </c>
      <c r="F139" s="413">
        <f>'21 pályázatok részletes'!BR139</f>
        <v>245532885</v>
      </c>
      <c r="G139" s="413"/>
      <c r="H139" s="414">
        <f t="shared" si="19"/>
        <v>245532885</v>
      </c>
      <c r="I139" s="413">
        <f ca="1">'21 pályázatok részletes'!BS139</f>
        <v>269293301</v>
      </c>
      <c r="J139" s="413"/>
      <c r="K139" s="414">
        <f t="shared" ca="1" si="20"/>
        <v>269293301</v>
      </c>
      <c r="L139" s="413">
        <f ca="1">'21 pályázatok részletes'!BT139</f>
        <v>267090796</v>
      </c>
      <c r="M139" s="413"/>
      <c r="N139" s="414">
        <f t="shared" ca="1" si="21"/>
        <v>267090796</v>
      </c>
      <c r="S139" s="148"/>
    </row>
    <row r="140" spans="1:19" ht="15.75" thickBot="1" x14ac:dyDescent="0.3">
      <c r="A140" s="191" t="s">
        <v>245</v>
      </c>
      <c r="B140" s="192" t="s">
        <v>246</v>
      </c>
      <c r="C140" s="417">
        <v>77066879</v>
      </c>
      <c r="D140" s="417"/>
      <c r="E140" s="418">
        <f t="shared" si="15"/>
        <v>77066879</v>
      </c>
      <c r="F140" s="626">
        <f>'21 pályázatok részletes'!BR140</f>
        <v>18395879</v>
      </c>
      <c r="G140" s="417"/>
      <c r="H140" s="418">
        <f t="shared" si="19"/>
        <v>18395879</v>
      </c>
      <c r="I140" s="626">
        <f ca="1">'21 pályázatok részletes'!BS140</f>
        <v>24724791</v>
      </c>
      <c r="J140" s="417"/>
      <c r="K140" s="418">
        <f t="shared" ca="1" si="20"/>
        <v>24724791</v>
      </c>
      <c r="L140" s="626">
        <f ca="1">'21 pályázatok részletes'!BT140</f>
        <v>24724791</v>
      </c>
      <c r="M140" s="417"/>
      <c r="N140" s="418">
        <f t="shared" ca="1" si="21"/>
        <v>24724791</v>
      </c>
      <c r="Q140" s="148"/>
    </row>
    <row r="141" spans="1:19" ht="15.75" thickBot="1" x14ac:dyDescent="0.3">
      <c r="A141" s="195" t="s">
        <v>247</v>
      </c>
      <c r="B141" s="196" t="s">
        <v>40</v>
      </c>
      <c r="C141" s="413"/>
      <c r="D141" s="426"/>
      <c r="E141" s="427">
        <f t="shared" si="15"/>
        <v>0</v>
      </c>
      <c r="F141" s="627">
        <f>'21 pályázatok részletes'!BR141</f>
        <v>0</v>
      </c>
      <c r="G141" s="426"/>
      <c r="H141" s="427">
        <f t="shared" si="19"/>
        <v>0</v>
      </c>
      <c r="I141" s="627">
        <f ca="1">'21 pályázatok részletes'!BS141</f>
        <v>0</v>
      </c>
      <c r="J141" s="426"/>
      <c r="K141" s="427">
        <f t="shared" ca="1" si="20"/>
        <v>0</v>
      </c>
      <c r="L141" s="627">
        <f ca="1">'21 pályázatok részletes'!BT141</f>
        <v>0</v>
      </c>
      <c r="M141" s="426"/>
      <c r="N141" s="427">
        <f t="shared" ca="1" si="21"/>
        <v>0</v>
      </c>
    </row>
    <row r="142" spans="1:19" ht="15.75" thickBot="1" x14ac:dyDescent="0.3">
      <c r="A142" s="193" t="s">
        <v>248</v>
      </c>
      <c r="B142" s="194" t="s">
        <v>249</v>
      </c>
      <c r="C142" s="419">
        <f>C141+C140+C139+C138+C137+C128+C127+C111+C105+C88</f>
        <v>3464024991</v>
      </c>
      <c r="D142" s="419">
        <f>D141+D140+D139+D138+D137+D128+D127+D111+D105+D88</f>
        <v>0</v>
      </c>
      <c r="E142" s="420">
        <f t="shared" si="15"/>
        <v>3464024991</v>
      </c>
      <c r="F142" s="413">
        <f>'21 pályázatok részletes'!BR142</f>
        <v>3505446052</v>
      </c>
      <c r="G142" s="419">
        <f>G141+G140+G139+G138+G137+G128+G127+G111+G105+G88</f>
        <v>0</v>
      </c>
      <c r="H142" s="420">
        <f t="shared" si="19"/>
        <v>3505446052</v>
      </c>
      <c r="I142" s="627">
        <f ca="1">'21 pályázatok részletes'!BS142</f>
        <v>3509032146</v>
      </c>
      <c r="J142" s="419">
        <f>J141+J140+J139+J138+J137+J128+J127+J111+J105+J88</f>
        <v>0</v>
      </c>
      <c r="K142" s="420">
        <f t="shared" ca="1" si="20"/>
        <v>3509032146</v>
      </c>
      <c r="L142" s="627">
        <f ca="1">'21 pályázatok részletes'!BT142</f>
        <v>2218563012</v>
      </c>
      <c r="M142" s="419">
        <f>M141+M140+M139+M138+M137+M128+M127+M111+M105+M88</f>
        <v>0</v>
      </c>
      <c r="N142" s="420">
        <f t="shared" ca="1" si="21"/>
        <v>2218563012</v>
      </c>
      <c r="Q142" s="148"/>
    </row>
    <row r="143" spans="1:19" x14ac:dyDescent="0.25">
      <c r="A143" s="197" t="s">
        <v>250</v>
      </c>
      <c r="B143" s="198" t="s">
        <v>251</v>
      </c>
      <c r="C143" s="413">
        <f>SUM(C144:C150)</f>
        <v>13228650</v>
      </c>
      <c r="D143" s="413">
        <f>SUM(D144:D150)</f>
        <v>0</v>
      </c>
      <c r="E143" s="414">
        <f t="shared" si="15"/>
        <v>13228650</v>
      </c>
      <c r="F143" s="413">
        <f>'21 pályázatok részletes'!BR143</f>
        <v>13228650</v>
      </c>
      <c r="G143" s="413">
        <f>SUM(G144:G150)</f>
        <v>0</v>
      </c>
      <c r="H143" s="414">
        <f t="shared" si="19"/>
        <v>13228650</v>
      </c>
      <c r="I143" s="413">
        <f ca="1">'21 pályázatok részletes'!BS143</f>
        <v>13228650</v>
      </c>
      <c r="J143" s="413">
        <f>SUM(J144:J150)</f>
        <v>0</v>
      </c>
      <c r="K143" s="414">
        <f t="shared" ca="1" si="20"/>
        <v>13228650</v>
      </c>
      <c r="L143" s="413">
        <f ca="1">'21 pályázatok részletes'!BT143</f>
        <v>13228650</v>
      </c>
      <c r="M143" s="413">
        <f>SUM(M144:M150)</f>
        <v>0</v>
      </c>
      <c r="N143" s="414">
        <f t="shared" ca="1" si="21"/>
        <v>13228650</v>
      </c>
    </row>
    <row r="144" spans="1:19" hidden="1" x14ac:dyDescent="0.25">
      <c r="A144" s="190" t="s">
        <v>252</v>
      </c>
      <c r="B144" s="180" t="s">
        <v>253</v>
      </c>
      <c r="C144" s="415"/>
      <c r="D144" s="415"/>
      <c r="E144" s="416">
        <f t="shared" si="15"/>
        <v>0</v>
      </c>
      <c r="F144" s="413">
        <f>'21 pályázatok részletes'!BR144</f>
        <v>0</v>
      </c>
      <c r="G144" s="415"/>
      <c r="H144" s="416">
        <f t="shared" si="19"/>
        <v>0</v>
      </c>
      <c r="I144" s="413">
        <f ca="1">'21 pályázatok részletes'!BS144</f>
        <v>0</v>
      </c>
      <c r="J144" s="415"/>
      <c r="K144" s="416">
        <f t="shared" ca="1" si="20"/>
        <v>0</v>
      </c>
      <c r="L144" s="413">
        <f ca="1">'21 pályázatok részletes'!BT144</f>
        <v>0</v>
      </c>
      <c r="M144" s="415"/>
      <c r="N144" s="416">
        <f t="shared" ca="1" si="21"/>
        <v>0</v>
      </c>
    </row>
    <row r="145" spans="1:19" hidden="1" x14ac:dyDescent="0.25">
      <c r="A145" s="190" t="s">
        <v>254</v>
      </c>
      <c r="B145" s="180" t="s">
        <v>255</v>
      </c>
      <c r="C145" s="415"/>
      <c r="D145" s="415"/>
      <c r="E145" s="416">
        <f t="shared" si="15"/>
        <v>0</v>
      </c>
      <c r="F145" s="413">
        <f>'21 pályázatok részletes'!BR145</f>
        <v>0</v>
      </c>
      <c r="G145" s="415"/>
      <c r="H145" s="416">
        <f t="shared" si="19"/>
        <v>0</v>
      </c>
      <c r="I145" s="413">
        <f ca="1">'21 pályázatok részletes'!BS145</f>
        <v>0</v>
      </c>
      <c r="J145" s="415"/>
      <c r="K145" s="416">
        <f t="shared" ca="1" si="20"/>
        <v>0</v>
      </c>
      <c r="L145" s="413">
        <f ca="1">'21 pályázatok részletes'!BT145</f>
        <v>0</v>
      </c>
      <c r="M145" s="415"/>
      <c r="N145" s="416">
        <f t="shared" ca="1" si="21"/>
        <v>0</v>
      </c>
    </row>
    <row r="146" spans="1:19" hidden="1" x14ac:dyDescent="0.25">
      <c r="A146" s="190" t="s">
        <v>541</v>
      </c>
      <c r="B146" s="180" t="s">
        <v>542</v>
      </c>
      <c r="C146" s="415"/>
      <c r="D146" s="415"/>
      <c r="E146" s="416"/>
      <c r="F146" s="413">
        <f>'21 pályázatok részletes'!BR146</f>
        <v>0</v>
      </c>
      <c r="G146" s="415"/>
      <c r="H146" s="416"/>
      <c r="I146" s="413">
        <f ca="1">'21 pályázatok részletes'!BS146</f>
        <v>0</v>
      </c>
      <c r="J146" s="415"/>
      <c r="K146" s="416"/>
      <c r="L146" s="413">
        <f ca="1">'21 pályázatok részletes'!BT146</f>
        <v>0</v>
      </c>
      <c r="M146" s="415"/>
      <c r="N146" s="416"/>
    </row>
    <row r="147" spans="1:19" ht="15.75" thickBot="1" x14ac:dyDescent="0.3">
      <c r="A147" s="190" t="s">
        <v>256</v>
      </c>
      <c r="B147" s="180" t="s">
        <v>257</v>
      </c>
      <c r="C147" s="415">
        <v>13228650</v>
      </c>
      <c r="D147" s="415"/>
      <c r="E147" s="416">
        <f t="shared" si="15"/>
        <v>13228650</v>
      </c>
      <c r="F147" s="413">
        <f>'21 pályázatok részletes'!BR147</f>
        <v>13228650</v>
      </c>
      <c r="G147" s="415"/>
      <c r="H147" s="416">
        <f t="shared" ref="H147:H150" si="22">SUM(F147:G147)</f>
        <v>13228650</v>
      </c>
      <c r="I147" s="413">
        <f ca="1">'21 pályázatok részletes'!BS147</f>
        <v>13228650</v>
      </c>
      <c r="J147" s="415"/>
      <c r="K147" s="416">
        <f t="shared" ref="K147:K150" ca="1" si="23">SUM(I147:J147)</f>
        <v>13228650</v>
      </c>
      <c r="L147" s="413">
        <f ca="1">'21 pályázatok részletes'!BT147</f>
        <v>13228650</v>
      </c>
      <c r="M147" s="415"/>
      <c r="N147" s="416">
        <f t="shared" ref="N147:N150" ca="1" si="24">SUM(L147:M147)</f>
        <v>13228650</v>
      </c>
    </row>
    <row r="148" spans="1:19" ht="15.75" hidden="1" thickBot="1" x14ac:dyDescent="0.3">
      <c r="A148" s="190" t="s">
        <v>258</v>
      </c>
      <c r="B148" s="180" t="s">
        <v>259</v>
      </c>
      <c r="C148" s="415"/>
      <c r="D148" s="415"/>
      <c r="E148" s="416">
        <f t="shared" si="15"/>
        <v>0</v>
      </c>
      <c r="F148" s="413">
        <f>'21 pályázatok részletes'!BR148</f>
        <v>0</v>
      </c>
      <c r="G148" s="415"/>
      <c r="H148" s="416">
        <f t="shared" si="22"/>
        <v>0</v>
      </c>
      <c r="I148" s="413">
        <f ca="1">'21 pályázatok részletes'!BS148</f>
        <v>0</v>
      </c>
      <c r="J148" s="415"/>
      <c r="K148" s="416">
        <f t="shared" ca="1" si="23"/>
        <v>0</v>
      </c>
      <c r="L148" s="413">
        <f ca="1">'21 pályázatok részletes'!BT148</f>
        <v>0</v>
      </c>
      <c r="M148" s="415"/>
      <c r="N148" s="416">
        <f t="shared" ca="1" si="24"/>
        <v>0</v>
      </c>
    </row>
    <row r="149" spans="1:19" ht="15.75" hidden="1" thickBot="1" x14ac:dyDescent="0.3">
      <c r="A149" s="190" t="s">
        <v>260</v>
      </c>
      <c r="B149" s="180" t="s">
        <v>261</v>
      </c>
      <c r="C149" s="415"/>
      <c r="D149" s="415"/>
      <c r="E149" s="416">
        <f t="shared" si="15"/>
        <v>0</v>
      </c>
      <c r="F149" s="413">
        <f>'21 pályázatok részletes'!BR149</f>
        <v>0</v>
      </c>
      <c r="G149" s="415"/>
      <c r="H149" s="416">
        <f t="shared" si="22"/>
        <v>0</v>
      </c>
      <c r="I149" s="413">
        <f ca="1">'21 pályázatok részletes'!BS149</f>
        <v>0</v>
      </c>
      <c r="J149" s="415"/>
      <c r="K149" s="416">
        <f t="shared" ca="1" si="23"/>
        <v>0</v>
      </c>
      <c r="L149" s="413">
        <f ca="1">'21 pályázatok részletes'!BT149</f>
        <v>0</v>
      </c>
      <c r="M149" s="415"/>
      <c r="N149" s="416">
        <f t="shared" ca="1" si="24"/>
        <v>0</v>
      </c>
    </row>
    <row r="150" spans="1:19" ht="15.75" hidden="1" thickBot="1" x14ac:dyDescent="0.3">
      <c r="A150" s="191"/>
      <c r="B150" s="192" t="s">
        <v>262</v>
      </c>
      <c r="C150" s="428"/>
      <c r="D150" s="417"/>
      <c r="E150" s="418">
        <f t="shared" si="15"/>
        <v>0</v>
      </c>
      <c r="F150" s="413">
        <f>'21 pályázatok részletes'!BR150</f>
        <v>0</v>
      </c>
      <c r="G150" s="417"/>
      <c r="H150" s="418">
        <f t="shared" si="22"/>
        <v>0</v>
      </c>
      <c r="I150" s="413">
        <f ca="1">'21 pályázatok részletes'!BS150</f>
        <v>0</v>
      </c>
      <c r="J150" s="417"/>
      <c r="K150" s="418">
        <f t="shared" ca="1" si="23"/>
        <v>0</v>
      </c>
      <c r="L150" s="413">
        <f ca="1">'21 pályázatok részletes'!BT150</f>
        <v>0</v>
      </c>
      <c r="M150" s="417"/>
      <c r="N150" s="418">
        <f t="shared" ca="1" si="24"/>
        <v>0</v>
      </c>
    </row>
    <row r="151" spans="1:19" ht="15.75" thickBot="1" x14ac:dyDescent="0.3">
      <c r="A151" s="193" t="s">
        <v>265</v>
      </c>
      <c r="B151" s="194" t="s">
        <v>263</v>
      </c>
      <c r="C151" s="429">
        <f>C143+C142</f>
        <v>3477253641</v>
      </c>
      <c r="D151" s="430">
        <f>D143+D142</f>
        <v>0</v>
      </c>
      <c r="E151" s="431">
        <f>SUM(C151:D151)</f>
        <v>3477253641</v>
      </c>
      <c r="F151" s="413">
        <f>'21 pályázatok részletes'!BR151</f>
        <v>3518674702</v>
      </c>
      <c r="G151" s="430">
        <f>G143+G142</f>
        <v>0</v>
      </c>
      <c r="H151" s="431">
        <f>SUM(F151:G151)</f>
        <v>3518674702</v>
      </c>
      <c r="I151" s="413">
        <f ca="1">'21 pályázatok részletes'!BS151</f>
        <v>3522260796</v>
      </c>
      <c r="J151" s="430">
        <f>J143+J142</f>
        <v>0</v>
      </c>
      <c r="K151" s="431">
        <f ca="1">SUM(I151:J151)</f>
        <v>3522260796</v>
      </c>
      <c r="L151" s="413">
        <f ca="1">'21 pályázatok részletes'!BT151</f>
        <v>2231791662</v>
      </c>
      <c r="M151" s="430">
        <f>M143+M142</f>
        <v>0</v>
      </c>
      <c r="N151" s="431">
        <f ca="1">SUM(L151:M151)</f>
        <v>2231791662</v>
      </c>
    </row>
    <row r="152" spans="1:19" x14ac:dyDescent="0.25"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</row>
    <row r="153" spans="1:19" x14ac:dyDescent="0.25">
      <c r="E153" s="148">
        <f>E85-E151</f>
        <v>-117270843</v>
      </c>
      <c r="H153" s="148">
        <f>H85-H151</f>
        <v>-154993475</v>
      </c>
      <c r="K153" s="148">
        <f ca="1">K85-K151</f>
        <v>-154993475</v>
      </c>
      <c r="N153" s="148">
        <f ca="1">N85-N151</f>
        <v>1026936365</v>
      </c>
    </row>
    <row r="155" spans="1:19" x14ac:dyDescent="0.25">
      <c r="S155" s="148"/>
    </row>
    <row r="162" spans="3:14" x14ac:dyDescent="0.25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</row>
    <row r="163" spans="3:14" x14ac:dyDescent="0.25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</row>
    <row r="164" spans="3:14" x14ac:dyDescent="0.25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</row>
    <row r="165" spans="3:14" x14ac:dyDescent="0.25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</row>
    <row r="166" spans="3:14" x14ac:dyDescent="0.25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</row>
  </sheetData>
  <mergeCells count="2">
    <mergeCell ref="A1:E1"/>
    <mergeCell ref="A2:E2"/>
  </mergeCells>
  <pageMargins left="0.26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  <rowBreaks count="1" manualBreakCount="1">
    <brk id="15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R20"/>
  <sheetViews>
    <sheetView zoomScaleNormal="100" workbookViewId="0">
      <selection activeCell="B17" sqref="B17:B19"/>
    </sheetView>
  </sheetViews>
  <sheetFormatPr defaultRowHeight="15" x14ac:dyDescent="0.25"/>
  <cols>
    <col min="1" max="1" width="5.85546875" style="44" customWidth="1"/>
    <col min="2" max="2" width="24.140625" style="44" customWidth="1"/>
    <col min="3" max="3" width="9" style="44" customWidth="1"/>
    <col min="4" max="4" width="13.42578125" style="44" customWidth="1"/>
    <col min="5" max="5" width="20.140625" style="44" customWidth="1"/>
    <col min="6" max="6" width="12.28515625" style="44" customWidth="1"/>
    <col min="7" max="7" width="12.85546875" style="44" customWidth="1"/>
    <col min="8" max="8" width="11.42578125" style="44" bestFit="1" customWidth="1"/>
    <col min="9" max="9" width="12.85546875" style="44" bestFit="1" customWidth="1"/>
    <col min="10" max="16" width="11" style="179" customWidth="1"/>
    <col min="17" max="17" width="13" style="44" customWidth="1"/>
    <col min="18" max="263" width="9.140625" style="44"/>
    <col min="264" max="264" width="4.5703125" style="44" customWidth="1"/>
    <col min="265" max="265" width="24.140625" style="44" customWidth="1"/>
    <col min="266" max="266" width="9" style="44" customWidth="1"/>
    <col min="267" max="267" width="13.42578125" style="44" customWidth="1"/>
    <col min="268" max="268" width="15.7109375" style="44" customWidth="1"/>
    <col min="269" max="269" width="12.28515625" style="44" customWidth="1"/>
    <col min="270" max="270" width="12.85546875" style="44" customWidth="1"/>
    <col min="271" max="271" width="10.7109375" style="44" customWidth="1"/>
    <col min="272" max="272" width="11" style="44" customWidth="1"/>
    <col min="273" max="273" width="13" style="44" customWidth="1"/>
    <col min="274" max="519" width="9.140625" style="44"/>
    <col min="520" max="520" width="4.5703125" style="44" customWidth="1"/>
    <col min="521" max="521" width="24.140625" style="44" customWidth="1"/>
    <col min="522" max="522" width="9" style="44" customWidth="1"/>
    <col min="523" max="523" width="13.42578125" style="44" customWidth="1"/>
    <col min="524" max="524" width="15.7109375" style="44" customWidth="1"/>
    <col min="525" max="525" width="12.28515625" style="44" customWidth="1"/>
    <col min="526" max="526" width="12.85546875" style="44" customWidth="1"/>
    <col min="527" max="527" width="10.7109375" style="44" customWidth="1"/>
    <col min="528" max="528" width="11" style="44" customWidth="1"/>
    <col min="529" max="529" width="13" style="44" customWidth="1"/>
    <col min="530" max="775" width="9.140625" style="44"/>
    <col min="776" max="776" width="4.5703125" style="44" customWidth="1"/>
    <col min="777" max="777" width="24.140625" style="44" customWidth="1"/>
    <col min="778" max="778" width="9" style="44" customWidth="1"/>
    <col min="779" max="779" width="13.42578125" style="44" customWidth="1"/>
    <col min="780" max="780" width="15.7109375" style="44" customWidth="1"/>
    <col min="781" max="781" width="12.28515625" style="44" customWidth="1"/>
    <col min="782" max="782" width="12.85546875" style="44" customWidth="1"/>
    <col min="783" max="783" width="10.7109375" style="44" customWidth="1"/>
    <col min="784" max="784" width="11" style="44" customWidth="1"/>
    <col min="785" max="785" width="13" style="44" customWidth="1"/>
    <col min="786" max="1031" width="9.140625" style="44"/>
    <col min="1032" max="1032" width="4.5703125" style="44" customWidth="1"/>
    <col min="1033" max="1033" width="24.140625" style="44" customWidth="1"/>
    <col min="1034" max="1034" width="9" style="44" customWidth="1"/>
    <col min="1035" max="1035" width="13.42578125" style="44" customWidth="1"/>
    <col min="1036" max="1036" width="15.7109375" style="44" customWidth="1"/>
    <col min="1037" max="1037" width="12.28515625" style="44" customWidth="1"/>
    <col min="1038" max="1038" width="12.85546875" style="44" customWidth="1"/>
    <col min="1039" max="1039" width="10.7109375" style="44" customWidth="1"/>
    <col min="1040" max="1040" width="11" style="44" customWidth="1"/>
    <col min="1041" max="1041" width="13" style="44" customWidth="1"/>
    <col min="1042" max="1287" width="9.140625" style="44"/>
    <col min="1288" max="1288" width="4.5703125" style="44" customWidth="1"/>
    <col min="1289" max="1289" width="24.140625" style="44" customWidth="1"/>
    <col min="1290" max="1290" width="9" style="44" customWidth="1"/>
    <col min="1291" max="1291" width="13.42578125" style="44" customWidth="1"/>
    <col min="1292" max="1292" width="15.7109375" style="44" customWidth="1"/>
    <col min="1293" max="1293" width="12.28515625" style="44" customWidth="1"/>
    <col min="1294" max="1294" width="12.85546875" style="44" customWidth="1"/>
    <col min="1295" max="1295" width="10.7109375" style="44" customWidth="1"/>
    <col min="1296" max="1296" width="11" style="44" customWidth="1"/>
    <col min="1297" max="1297" width="13" style="44" customWidth="1"/>
    <col min="1298" max="1543" width="9.140625" style="44"/>
    <col min="1544" max="1544" width="4.5703125" style="44" customWidth="1"/>
    <col min="1545" max="1545" width="24.140625" style="44" customWidth="1"/>
    <col min="1546" max="1546" width="9" style="44" customWidth="1"/>
    <col min="1547" max="1547" width="13.42578125" style="44" customWidth="1"/>
    <col min="1548" max="1548" width="15.7109375" style="44" customWidth="1"/>
    <col min="1549" max="1549" width="12.28515625" style="44" customWidth="1"/>
    <col min="1550" max="1550" width="12.85546875" style="44" customWidth="1"/>
    <col min="1551" max="1551" width="10.7109375" style="44" customWidth="1"/>
    <col min="1552" max="1552" width="11" style="44" customWidth="1"/>
    <col min="1553" max="1553" width="13" style="44" customWidth="1"/>
    <col min="1554" max="1799" width="9.140625" style="44"/>
    <col min="1800" max="1800" width="4.5703125" style="44" customWidth="1"/>
    <col min="1801" max="1801" width="24.140625" style="44" customWidth="1"/>
    <col min="1802" max="1802" width="9" style="44" customWidth="1"/>
    <col min="1803" max="1803" width="13.42578125" style="44" customWidth="1"/>
    <col min="1804" max="1804" width="15.7109375" style="44" customWidth="1"/>
    <col min="1805" max="1805" width="12.28515625" style="44" customWidth="1"/>
    <col min="1806" max="1806" width="12.85546875" style="44" customWidth="1"/>
    <col min="1807" max="1807" width="10.7109375" style="44" customWidth="1"/>
    <col min="1808" max="1808" width="11" style="44" customWidth="1"/>
    <col min="1809" max="1809" width="13" style="44" customWidth="1"/>
    <col min="1810" max="2055" width="9.140625" style="44"/>
    <col min="2056" max="2056" width="4.5703125" style="44" customWidth="1"/>
    <col min="2057" max="2057" width="24.140625" style="44" customWidth="1"/>
    <col min="2058" max="2058" width="9" style="44" customWidth="1"/>
    <col min="2059" max="2059" width="13.42578125" style="44" customWidth="1"/>
    <col min="2060" max="2060" width="15.7109375" style="44" customWidth="1"/>
    <col min="2061" max="2061" width="12.28515625" style="44" customWidth="1"/>
    <col min="2062" max="2062" width="12.85546875" style="44" customWidth="1"/>
    <col min="2063" max="2063" width="10.7109375" style="44" customWidth="1"/>
    <col min="2064" max="2064" width="11" style="44" customWidth="1"/>
    <col min="2065" max="2065" width="13" style="44" customWidth="1"/>
    <col min="2066" max="2311" width="9.140625" style="44"/>
    <col min="2312" max="2312" width="4.5703125" style="44" customWidth="1"/>
    <col min="2313" max="2313" width="24.140625" style="44" customWidth="1"/>
    <col min="2314" max="2314" width="9" style="44" customWidth="1"/>
    <col min="2315" max="2315" width="13.42578125" style="44" customWidth="1"/>
    <col min="2316" max="2316" width="15.7109375" style="44" customWidth="1"/>
    <col min="2317" max="2317" width="12.28515625" style="44" customWidth="1"/>
    <col min="2318" max="2318" width="12.85546875" style="44" customWidth="1"/>
    <col min="2319" max="2319" width="10.7109375" style="44" customWidth="1"/>
    <col min="2320" max="2320" width="11" style="44" customWidth="1"/>
    <col min="2321" max="2321" width="13" style="44" customWidth="1"/>
    <col min="2322" max="2567" width="9.140625" style="44"/>
    <col min="2568" max="2568" width="4.5703125" style="44" customWidth="1"/>
    <col min="2569" max="2569" width="24.140625" style="44" customWidth="1"/>
    <col min="2570" max="2570" width="9" style="44" customWidth="1"/>
    <col min="2571" max="2571" width="13.42578125" style="44" customWidth="1"/>
    <col min="2572" max="2572" width="15.7109375" style="44" customWidth="1"/>
    <col min="2573" max="2573" width="12.28515625" style="44" customWidth="1"/>
    <col min="2574" max="2574" width="12.85546875" style="44" customWidth="1"/>
    <col min="2575" max="2575" width="10.7109375" style="44" customWidth="1"/>
    <col min="2576" max="2576" width="11" style="44" customWidth="1"/>
    <col min="2577" max="2577" width="13" style="44" customWidth="1"/>
    <col min="2578" max="2823" width="9.140625" style="44"/>
    <col min="2824" max="2824" width="4.5703125" style="44" customWidth="1"/>
    <col min="2825" max="2825" width="24.140625" style="44" customWidth="1"/>
    <col min="2826" max="2826" width="9" style="44" customWidth="1"/>
    <col min="2827" max="2827" width="13.42578125" style="44" customWidth="1"/>
    <col min="2828" max="2828" width="15.7109375" style="44" customWidth="1"/>
    <col min="2829" max="2829" width="12.28515625" style="44" customWidth="1"/>
    <col min="2830" max="2830" width="12.85546875" style="44" customWidth="1"/>
    <col min="2831" max="2831" width="10.7109375" style="44" customWidth="1"/>
    <col min="2832" max="2832" width="11" style="44" customWidth="1"/>
    <col min="2833" max="2833" width="13" style="44" customWidth="1"/>
    <col min="2834" max="3079" width="9.140625" style="44"/>
    <col min="3080" max="3080" width="4.5703125" style="44" customWidth="1"/>
    <col min="3081" max="3081" width="24.140625" style="44" customWidth="1"/>
    <col min="3082" max="3082" width="9" style="44" customWidth="1"/>
    <col min="3083" max="3083" width="13.42578125" style="44" customWidth="1"/>
    <col min="3084" max="3084" width="15.7109375" style="44" customWidth="1"/>
    <col min="3085" max="3085" width="12.28515625" style="44" customWidth="1"/>
    <col min="3086" max="3086" width="12.85546875" style="44" customWidth="1"/>
    <col min="3087" max="3087" width="10.7109375" style="44" customWidth="1"/>
    <col min="3088" max="3088" width="11" style="44" customWidth="1"/>
    <col min="3089" max="3089" width="13" style="44" customWidth="1"/>
    <col min="3090" max="3335" width="9.140625" style="44"/>
    <col min="3336" max="3336" width="4.5703125" style="44" customWidth="1"/>
    <col min="3337" max="3337" width="24.140625" style="44" customWidth="1"/>
    <col min="3338" max="3338" width="9" style="44" customWidth="1"/>
    <col min="3339" max="3339" width="13.42578125" style="44" customWidth="1"/>
    <col min="3340" max="3340" width="15.7109375" style="44" customWidth="1"/>
    <col min="3341" max="3341" width="12.28515625" style="44" customWidth="1"/>
    <col min="3342" max="3342" width="12.85546875" style="44" customWidth="1"/>
    <col min="3343" max="3343" width="10.7109375" style="44" customWidth="1"/>
    <col min="3344" max="3344" width="11" style="44" customWidth="1"/>
    <col min="3345" max="3345" width="13" style="44" customWidth="1"/>
    <col min="3346" max="3591" width="9.140625" style="44"/>
    <col min="3592" max="3592" width="4.5703125" style="44" customWidth="1"/>
    <col min="3593" max="3593" width="24.140625" style="44" customWidth="1"/>
    <col min="3594" max="3594" width="9" style="44" customWidth="1"/>
    <col min="3595" max="3595" width="13.42578125" style="44" customWidth="1"/>
    <col min="3596" max="3596" width="15.7109375" style="44" customWidth="1"/>
    <col min="3597" max="3597" width="12.28515625" style="44" customWidth="1"/>
    <col min="3598" max="3598" width="12.85546875" style="44" customWidth="1"/>
    <col min="3599" max="3599" width="10.7109375" style="44" customWidth="1"/>
    <col min="3600" max="3600" width="11" style="44" customWidth="1"/>
    <col min="3601" max="3601" width="13" style="44" customWidth="1"/>
    <col min="3602" max="3847" width="9.140625" style="44"/>
    <col min="3848" max="3848" width="4.5703125" style="44" customWidth="1"/>
    <col min="3849" max="3849" width="24.140625" style="44" customWidth="1"/>
    <col min="3850" max="3850" width="9" style="44" customWidth="1"/>
    <col min="3851" max="3851" width="13.42578125" style="44" customWidth="1"/>
    <col min="3852" max="3852" width="15.7109375" style="44" customWidth="1"/>
    <col min="3853" max="3853" width="12.28515625" style="44" customWidth="1"/>
    <col min="3854" max="3854" width="12.85546875" style="44" customWidth="1"/>
    <col min="3855" max="3855" width="10.7109375" style="44" customWidth="1"/>
    <col min="3856" max="3856" width="11" style="44" customWidth="1"/>
    <col min="3857" max="3857" width="13" style="44" customWidth="1"/>
    <col min="3858" max="4103" width="9.140625" style="44"/>
    <col min="4104" max="4104" width="4.5703125" style="44" customWidth="1"/>
    <col min="4105" max="4105" width="24.140625" style="44" customWidth="1"/>
    <col min="4106" max="4106" width="9" style="44" customWidth="1"/>
    <col min="4107" max="4107" width="13.42578125" style="44" customWidth="1"/>
    <col min="4108" max="4108" width="15.7109375" style="44" customWidth="1"/>
    <col min="4109" max="4109" width="12.28515625" style="44" customWidth="1"/>
    <col min="4110" max="4110" width="12.85546875" style="44" customWidth="1"/>
    <col min="4111" max="4111" width="10.7109375" style="44" customWidth="1"/>
    <col min="4112" max="4112" width="11" style="44" customWidth="1"/>
    <col min="4113" max="4113" width="13" style="44" customWidth="1"/>
    <col min="4114" max="4359" width="9.140625" style="44"/>
    <col min="4360" max="4360" width="4.5703125" style="44" customWidth="1"/>
    <col min="4361" max="4361" width="24.140625" style="44" customWidth="1"/>
    <col min="4362" max="4362" width="9" style="44" customWidth="1"/>
    <col min="4363" max="4363" width="13.42578125" style="44" customWidth="1"/>
    <col min="4364" max="4364" width="15.7109375" style="44" customWidth="1"/>
    <col min="4365" max="4365" width="12.28515625" style="44" customWidth="1"/>
    <col min="4366" max="4366" width="12.85546875" style="44" customWidth="1"/>
    <col min="4367" max="4367" width="10.7109375" style="44" customWidth="1"/>
    <col min="4368" max="4368" width="11" style="44" customWidth="1"/>
    <col min="4369" max="4369" width="13" style="44" customWidth="1"/>
    <col min="4370" max="4615" width="9.140625" style="44"/>
    <col min="4616" max="4616" width="4.5703125" style="44" customWidth="1"/>
    <col min="4617" max="4617" width="24.140625" style="44" customWidth="1"/>
    <col min="4618" max="4618" width="9" style="44" customWidth="1"/>
    <col min="4619" max="4619" width="13.42578125" style="44" customWidth="1"/>
    <col min="4620" max="4620" width="15.7109375" style="44" customWidth="1"/>
    <col min="4621" max="4621" width="12.28515625" style="44" customWidth="1"/>
    <col min="4622" max="4622" width="12.85546875" style="44" customWidth="1"/>
    <col min="4623" max="4623" width="10.7109375" style="44" customWidth="1"/>
    <col min="4624" max="4624" width="11" style="44" customWidth="1"/>
    <col min="4625" max="4625" width="13" style="44" customWidth="1"/>
    <col min="4626" max="4871" width="9.140625" style="44"/>
    <col min="4872" max="4872" width="4.5703125" style="44" customWidth="1"/>
    <col min="4873" max="4873" width="24.140625" style="44" customWidth="1"/>
    <col min="4874" max="4874" width="9" style="44" customWidth="1"/>
    <col min="4875" max="4875" width="13.42578125" style="44" customWidth="1"/>
    <col min="4876" max="4876" width="15.7109375" style="44" customWidth="1"/>
    <col min="4877" max="4877" width="12.28515625" style="44" customWidth="1"/>
    <col min="4878" max="4878" width="12.85546875" style="44" customWidth="1"/>
    <col min="4879" max="4879" width="10.7109375" style="44" customWidth="1"/>
    <col min="4880" max="4880" width="11" style="44" customWidth="1"/>
    <col min="4881" max="4881" width="13" style="44" customWidth="1"/>
    <col min="4882" max="5127" width="9.140625" style="44"/>
    <col min="5128" max="5128" width="4.5703125" style="44" customWidth="1"/>
    <col min="5129" max="5129" width="24.140625" style="44" customWidth="1"/>
    <col min="5130" max="5130" width="9" style="44" customWidth="1"/>
    <col min="5131" max="5131" width="13.42578125" style="44" customWidth="1"/>
    <col min="5132" max="5132" width="15.7109375" style="44" customWidth="1"/>
    <col min="5133" max="5133" width="12.28515625" style="44" customWidth="1"/>
    <col min="5134" max="5134" width="12.85546875" style="44" customWidth="1"/>
    <col min="5135" max="5135" width="10.7109375" style="44" customWidth="1"/>
    <col min="5136" max="5136" width="11" style="44" customWidth="1"/>
    <col min="5137" max="5137" width="13" style="44" customWidth="1"/>
    <col min="5138" max="5383" width="9.140625" style="44"/>
    <col min="5384" max="5384" width="4.5703125" style="44" customWidth="1"/>
    <col min="5385" max="5385" width="24.140625" style="44" customWidth="1"/>
    <col min="5386" max="5386" width="9" style="44" customWidth="1"/>
    <col min="5387" max="5387" width="13.42578125" style="44" customWidth="1"/>
    <col min="5388" max="5388" width="15.7109375" style="44" customWidth="1"/>
    <col min="5389" max="5389" width="12.28515625" style="44" customWidth="1"/>
    <col min="5390" max="5390" width="12.85546875" style="44" customWidth="1"/>
    <col min="5391" max="5391" width="10.7109375" style="44" customWidth="1"/>
    <col min="5392" max="5392" width="11" style="44" customWidth="1"/>
    <col min="5393" max="5393" width="13" style="44" customWidth="1"/>
    <col min="5394" max="5639" width="9.140625" style="44"/>
    <col min="5640" max="5640" width="4.5703125" style="44" customWidth="1"/>
    <col min="5641" max="5641" width="24.140625" style="44" customWidth="1"/>
    <col min="5642" max="5642" width="9" style="44" customWidth="1"/>
    <col min="5643" max="5643" width="13.42578125" style="44" customWidth="1"/>
    <col min="5644" max="5644" width="15.7109375" style="44" customWidth="1"/>
    <col min="5645" max="5645" width="12.28515625" style="44" customWidth="1"/>
    <col min="5646" max="5646" width="12.85546875" style="44" customWidth="1"/>
    <col min="5647" max="5647" width="10.7109375" style="44" customWidth="1"/>
    <col min="5648" max="5648" width="11" style="44" customWidth="1"/>
    <col min="5649" max="5649" width="13" style="44" customWidth="1"/>
    <col min="5650" max="5895" width="9.140625" style="44"/>
    <col min="5896" max="5896" width="4.5703125" style="44" customWidth="1"/>
    <col min="5897" max="5897" width="24.140625" style="44" customWidth="1"/>
    <col min="5898" max="5898" width="9" style="44" customWidth="1"/>
    <col min="5899" max="5899" width="13.42578125" style="44" customWidth="1"/>
    <col min="5900" max="5900" width="15.7109375" style="44" customWidth="1"/>
    <col min="5901" max="5901" width="12.28515625" style="44" customWidth="1"/>
    <col min="5902" max="5902" width="12.85546875" style="44" customWidth="1"/>
    <col min="5903" max="5903" width="10.7109375" style="44" customWidth="1"/>
    <col min="5904" max="5904" width="11" style="44" customWidth="1"/>
    <col min="5905" max="5905" width="13" style="44" customWidth="1"/>
    <col min="5906" max="6151" width="9.140625" style="44"/>
    <col min="6152" max="6152" width="4.5703125" style="44" customWidth="1"/>
    <col min="6153" max="6153" width="24.140625" style="44" customWidth="1"/>
    <col min="6154" max="6154" width="9" style="44" customWidth="1"/>
    <col min="6155" max="6155" width="13.42578125" style="44" customWidth="1"/>
    <col min="6156" max="6156" width="15.7109375" style="44" customWidth="1"/>
    <col min="6157" max="6157" width="12.28515625" style="44" customWidth="1"/>
    <col min="6158" max="6158" width="12.85546875" style="44" customWidth="1"/>
    <col min="6159" max="6159" width="10.7109375" style="44" customWidth="1"/>
    <col min="6160" max="6160" width="11" style="44" customWidth="1"/>
    <col min="6161" max="6161" width="13" style="44" customWidth="1"/>
    <col min="6162" max="6407" width="9.140625" style="44"/>
    <col min="6408" max="6408" width="4.5703125" style="44" customWidth="1"/>
    <col min="6409" max="6409" width="24.140625" style="44" customWidth="1"/>
    <col min="6410" max="6410" width="9" style="44" customWidth="1"/>
    <col min="6411" max="6411" width="13.42578125" style="44" customWidth="1"/>
    <col min="6412" max="6412" width="15.7109375" style="44" customWidth="1"/>
    <col min="6413" max="6413" width="12.28515625" style="44" customWidth="1"/>
    <col min="6414" max="6414" width="12.85546875" style="44" customWidth="1"/>
    <col min="6415" max="6415" width="10.7109375" style="44" customWidth="1"/>
    <col min="6416" max="6416" width="11" style="44" customWidth="1"/>
    <col min="6417" max="6417" width="13" style="44" customWidth="1"/>
    <col min="6418" max="6663" width="9.140625" style="44"/>
    <col min="6664" max="6664" width="4.5703125" style="44" customWidth="1"/>
    <col min="6665" max="6665" width="24.140625" style="44" customWidth="1"/>
    <col min="6666" max="6666" width="9" style="44" customWidth="1"/>
    <col min="6667" max="6667" width="13.42578125" style="44" customWidth="1"/>
    <col min="6668" max="6668" width="15.7109375" style="44" customWidth="1"/>
    <col min="6669" max="6669" width="12.28515625" style="44" customWidth="1"/>
    <col min="6670" max="6670" width="12.85546875" style="44" customWidth="1"/>
    <col min="6671" max="6671" width="10.7109375" style="44" customWidth="1"/>
    <col min="6672" max="6672" width="11" style="44" customWidth="1"/>
    <col min="6673" max="6673" width="13" style="44" customWidth="1"/>
    <col min="6674" max="6919" width="9.140625" style="44"/>
    <col min="6920" max="6920" width="4.5703125" style="44" customWidth="1"/>
    <col min="6921" max="6921" width="24.140625" style="44" customWidth="1"/>
    <col min="6922" max="6922" width="9" style="44" customWidth="1"/>
    <col min="6923" max="6923" width="13.42578125" style="44" customWidth="1"/>
    <col min="6924" max="6924" width="15.7109375" style="44" customWidth="1"/>
    <col min="6925" max="6925" width="12.28515625" style="44" customWidth="1"/>
    <col min="6926" max="6926" width="12.85546875" style="44" customWidth="1"/>
    <col min="6927" max="6927" width="10.7109375" style="44" customWidth="1"/>
    <col min="6928" max="6928" width="11" style="44" customWidth="1"/>
    <col min="6929" max="6929" width="13" style="44" customWidth="1"/>
    <col min="6930" max="7175" width="9.140625" style="44"/>
    <col min="7176" max="7176" width="4.5703125" style="44" customWidth="1"/>
    <col min="7177" max="7177" width="24.140625" style="44" customWidth="1"/>
    <col min="7178" max="7178" width="9" style="44" customWidth="1"/>
    <col min="7179" max="7179" width="13.42578125" style="44" customWidth="1"/>
    <col min="7180" max="7180" width="15.7109375" style="44" customWidth="1"/>
    <col min="7181" max="7181" width="12.28515625" style="44" customWidth="1"/>
    <col min="7182" max="7182" width="12.85546875" style="44" customWidth="1"/>
    <col min="7183" max="7183" width="10.7109375" style="44" customWidth="1"/>
    <col min="7184" max="7184" width="11" style="44" customWidth="1"/>
    <col min="7185" max="7185" width="13" style="44" customWidth="1"/>
    <col min="7186" max="7431" width="9.140625" style="44"/>
    <col min="7432" max="7432" width="4.5703125" style="44" customWidth="1"/>
    <col min="7433" max="7433" width="24.140625" style="44" customWidth="1"/>
    <col min="7434" max="7434" width="9" style="44" customWidth="1"/>
    <col min="7435" max="7435" width="13.42578125" style="44" customWidth="1"/>
    <col min="7436" max="7436" width="15.7109375" style="44" customWidth="1"/>
    <col min="7437" max="7437" width="12.28515625" style="44" customWidth="1"/>
    <col min="7438" max="7438" width="12.85546875" style="44" customWidth="1"/>
    <col min="7439" max="7439" width="10.7109375" style="44" customWidth="1"/>
    <col min="7440" max="7440" width="11" style="44" customWidth="1"/>
    <col min="7441" max="7441" width="13" style="44" customWidth="1"/>
    <col min="7442" max="7687" width="9.140625" style="44"/>
    <col min="7688" max="7688" width="4.5703125" style="44" customWidth="1"/>
    <col min="7689" max="7689" width="24.140625" style="44" customWidth="1"/>
    <col min="7690" max="7690" width="9" style="44" customWidth="1"/>
    <col min="7691" max="7691" width="13.42578125" style="44" customWidth="1"/>
    <col min="7692" max="7692" width="15.7109375" style="44" customWidth="1"/>
    <col min="7693" max="7693" width="12.28515625" style="44" customWidth="1"/>
    <col min="7694" max="7694" width="12.85546875" style="44" customWidth="1"/>
    <col min="7695" max="7695" width="10.7109375" style="44" customWidth="1"/>
    <col min="7696" max="7696" width="11" style="44" customWidth="1"/>
    <col min="7697" max="7697" width="13" style="44" customWidth="1"/>
    <col min="7698" max="7943" width="9.140625" style="44"/>
    <col min="7944" max="7944" width="4.5703125" style="44" customWidth="1"/>
    <col min="7945" max="7945" width="24.140625" style="44" customWidth="1"/>
    <col min="7946" max="7946" width="9" style="44" customWidth="1"/>
    <col min="7947" max="7947" width="13.42578125" style="44" customWidth="1"/>
    <col min="7948" max="7948" width="15.7109375" style="44" customWidth="1"/>
    <col min="7949" max="7949" width="12.28515625" style="44" customWidth="1"/>
    <col min="7950" max="7950" width="12.85546875" style="44" customWidth="1"/>
    <col min="7951" max="7951" width="10.7109375" style="44" customWidth="1"/>
    <col min="7952" max="7952" width="11" style="44" customWidth="1"/>
    <col min="7953" max="7953" width="13" style="44" customWidth="1"/>
    <col min="7954" max="8199" width="9.140625" style="44"/>
    <col min="8200" max="8200" width="4.5703125" style="44" customWidth="1"/>
    <col min="8201" max="8201" width="24.140625" style="44" customWidth="1"/>
    <col min="8202" max="8202" width="9" style="44" customWidth="1"/>
    <col min="8203" max="8203" width="13.42578125" style="44" customWidth="1"/>
    <col min="8204" max="8204" width="15.7109375" style="44" customWidth="1"/>
    <col min="8205" max="8205" width="12.28515625" style="44" customWidth="1"/>
    <col min="8206" max="8206" width="12.85546875" style="44" customWidth="1"/>
    <col min="8207" max="8207" width="10.7109375" style="44" customWidth="1"/>
    <col min="8208" max="8208" width="11" style="44" customWidth="1"/>
    <col min="8209" max="8209" width="13" style="44" customWidth="1"/>
    <col min="8210" max="8455" width="9.140625" style="44"/>
    <col min="8456" max="8456" width="4.5703125" style="44" customWidth="1"/>
    <col min="8457" max="8457" width="24.140625" style="44" customWidth="1"/>
    <col min="8458" max="8458" width="9" style="44" customWidth="1"/>
    <col min="8459" max="8459" width="13.42578125" style="44" customWidth="1"/>
    <col min="8460" max="8460" width="15.7109375" style="44" customWidth="1"/>
    <col min="8461" max="8461" width="12.28515625" style="44" customWidth="1"/>
    <col min="8462" max="8462" width="12.85546875" style="44" customWidth="1"/>
    <col min="8463" max="8463" width="10.7109375" style="44" customWidth="1"/>
    <col min="8464" max="8464" width="11" style="44" customWidth="1"/>
    <col min="8465" max="8465" width="13" style="44" customWidth="1"/>
    <col min="8466" max="8711" width="9.140625" style="44"/>
    <col min="8712" max="8712" width="4.5703125" style="44" customWidth="1"/>
    <col min="8713" max="8713" width="24.140625" style="44" customWidth="1"/>
    <col min="8714" max="8714" width="9" style="44" customWidth="1"/>
    <col min="8715" max="8715" width="13.42578125" style="44" customWidth="1"/>
    <col min="8716" max="8716" width="15.7109375" style="44" customWidth="1"/>
    <col min="8717" max="8717" width="12.28515625" style="44" customWidth="1"/>
    <col min="8718" max="8718" width="12.85546875" style="44" customWidth="1"/>
    <col min="8719" max="8719" width="10.7109375" style="44" customWidth="1"/>
    <col min="8720" max="8720" width="11" style="44" customWidth="1"/>
    <col min="8721" max="8721" width="13" style="44" customWidth="1"/>
    <col min="8722" max="8967" width="9.140625" style="44"/>
    <col min="8968" max="8968" width="4.5703125" style="44" customWidth="1"/>
    <col min="8969" max="8969" width="24.140625" style="44" customWidth="1"/>
    <col min="8970" max="8970" width="9" style="44" customWidth="1"/>
    <col min="8971" max="8971" width="13.42578125" style="44" customWidth="1"/>
    <col min="8972" max="8972" width="15.7109375" style="44" customWidth="1"/>
    <col min="8973" max="8973" width="12.28515625" style="44" customWidth="1"/>
    <col min="8974" max="8974" width="12.85546875" style="44" customWidth="1"/>
    <col min="8975" max="8975" width="10.7109375" style="44" customWidth="1"/>
    <col min="8976" max="8976" width="11" style="44" customWidth="1"/>
    <col min="8977" max="8977" width="13" style="44" customWidth="1"/>
    <col min="8978" max="9223" width="9.140625" style="44"/>
    <col min="9224" max="9224" width="4.5703125" style="44" customWidth="1"/>
    <col min="9225" max="9225" width="24.140625" style="44" customWidth="1"/>
    <col min="9226" max="9226" width="9" style="44" customWidth="1"/>
    <col min="9227" max="9227" width="13.42578125" style="44" customWidth="1"/>
    <col min="9228" max="9228" width="15.7109375" style="44" customWidth="1"/>
    <col min="9229" max="9229" width="12.28515625" style="44" customWidth="1"/>
    <col min="9230" max="9230" width="12.85546875" style="44" customWidth="1"/>
    <col min="9231" max="9231" width="10.7109375" style="44" customWidth="1"/>
    <col min="9232" max="9232" width="11" style="44" customWidth="1"/>
    <col min="9233" max="9233" width="13" style="44" customWidth="1"/>
    <col min="9234" max="9479" width="9.140625" style="44"/>
    <col min="9480" max="9480" width="4.5703125" style="44" customWidth="1"/>
    <col min="9481" max="9481" width="24.140625" style="44" customWidth="1"/>
    <col min="9482" max="9482" width="9" style="44" customWidth="1"/>
    <col min="9483" max="9483" width="13.42578125" style="44" customWidth="1"/>
    <col min="9484" max="9484" width="15.7109375" style="44" customWidth="1"/>
    <col min="9485" max="9485" width="12.28515625" style="44" customWidth="1"/>
    <col min="9486" max="9486" width="12.85546875" style="44" customWidth="1"/>
    <col min="9487" max="9487" width="10.7109375" style="44" customWidth="1"/>
    <col min="9488" max="9488" width="11" style="44" customWidth="1"/>
    <col min="9489" max="9489" width="13" style="44" customWidth="1"/>
    <col min="9490" max="9735" width="9.140625" style="44"/>
    <col min="9736" max="9736" width="4.5703125" style="44" customWidth="1"/>
    <col min="9737" max="9737" width="24.140625" style="44" customWidth="1"/>
    <col min="9738" max="9738" width="9" style="44" customWidth="1"/>
    <col min="9739" max="9739" width="13.42578125" style="44" customWidth="1"/>
    <col min="9740" max="9740" width="15.7109375" style="44" customWidth="1"/>
    <col min="9741" max="9741" width="12.28515625" style="44" customWidth="1"/>
    <col min="9742" max="9742" width="12.85546875" style="44" customWidth="1"/>
    <col min="9743" max="9743" width="10.7109375" style="44" customWidth="1"/>
    <col min="9744" max="9744" width="11" style="44" customWidth="1"/>
    <col min="9745" max="9745" width="13" style="44" customWidth="1"/>
    <col min="9746" max="9991" width="9.140625" style="44"/>
    <col min="9992" max="9992" width="4.5703125" style="44" customWidth="1"/>
    <col min="9993" max="9993" width="24.140625" style="44" customWidth="1"/>
    <col min="9994" max="9994" width="9" style="44" customWidth="1"/>
    <col min="9995" max="9995" width="13.42578125" style="44" customWidth="1"/>
    <col min="9996" max="9996" width="15.7109375" style="44" customWidth="1"/>
    <col min="9997" max="9997" width="12.28515625" style="44" customWidth="1"/>
    <col min="9998" max="9998" width="12.85546875" style="44" customWidth="1"/>
    <col min="9999" max="9999" width="10.7109375" style="44" customWidth="1"/>
    <col min="10000" max="10000" width="11" style="44" customWidth="1"/>
    <col min="10001" max="10001" width="13" style="44" customWidth="1"/>
    <col min="10002" max="10247" width="9.140625" style="44"/>
    <col min="10248" max="10248" width="4.5703125" style="44" customWidth="1"/>
    <col min="10249" max="10249" width="24.140625" style="44" customWidth="1"/>
    <col min="10250" max="10250" width="9" style="44" customWidth="1"/>
    <col min="10251" max="10251" width="13.42578125" style="44" customWidth="1"/>
    <col min="10252" max="10252" width="15.7109375" style="44" customWidth="1"/>
    <col min="10253" max="10253" width="12.28515625" style="44" customWidth="1"/>
    <col min="10254" max="10254" width="12.85546875" style="44" customWidth="1"/>
    <col min="10255" max="10255" width="10.7109375" style="44" customWidth="1"/>
    <col min="10256" max="10256" width="11" style="44" customWidth="1"/>
    <col min="10257" max="10257" width="13" style="44" customWidth="1"/>
    <col min="10258" max="10503" width="9.140625" style="44"/>
    <col min="10504" max="10504" width="4.5703125" style="44" customWidth="1"/>
    <col min="10505" max="10505" width="24.140625" style="44" customWidth="1"/>
    <col min="10506" max="10506" width="9" style="44" customWidth="1"/>
    <col min="10507" max="10507" width="13.42578125" style="44" customWidth="1"/>
    <col min="10508" max="10508" width="15.7109375" style="44" customWidth="1"/>
    <col min="10509" max="10509" width="12.28515625" style="44" customWidth="1"/>
    <col min="10510" max="10510" width="12.85546875" style="44" customWidth="1"/>
    <col min="10511" max="10511" width="10.7109375" style="44" customWidth="1"/>
    <col min="10512" max="10512" width="11" style="44" customWidth="1"/>
    <col min="10513" max="10513" width="13" style="44" customWidth="1"/>
    <col min="10514" max="10759" width="9.140625" style="44"/>
    <col min="10760" max="10760" width="4.5703125" style="44" customWidth="1"/>
    <col min="10761" max="10761" width="24.140625" style="44" customWidth="1"/>
    <col min="10762" max="10762" width="9" style="44" customWidth="1"/>
    <col min="10763" max="10763" width="13.42578125" style="44" customWidth="1"/>
    <col min="10764" max="10764" width="15.7109375" style="44" customWidth="1"/>
    <col min="10765" max="10765" width="12.28515625" style="44" customWidth="1"/>
    <col min="10766" max="10766" width="12.85546875" style="44" customWidth="1"/>
    <col min="10767" max="10767" width="10.7109375" style="44" customWidth="1"/>
    <col min="10768" max="10768" width="11" style="44" customWidth="1"/>
    <col min="10769" max="10769" width="13" style="44" customWidth="1"/>
    <col min="10770" max="11015" width="9.140625" style="44"/>
    <col min="11016" max="11016" width="4.5703125" style="44" customWidth="1"/>
    <col min="11017" max="11017" width="24.140625" style="44" customWidth="1"/>
    <col min="11018" max="11018" width="9" style="44" customWidth="1"/>
    <col min="11019" max="11019" width="13.42578125" style="44" customWidth="1"/>
    <col min="11020" max="11020" width="15.7109375" style="44" customWidth="1"/>
    <col min="11021" max="11021" width="12.28515625" style="44" customWidth="1"/>
    <col min="11022" max="11022" width="12.85546875" style="44" customWidth="1"/>
    <col min="11023" max="11023" width="10.7109375" style="44" customWidth="1"/>
    <col min="11024" max="11024" width="11" style="44" customWidth="1"/>
    <col min="11025" max="11025" width="13" style="44" customWidth="1"/>
    <col min="11026" max="11271" width="9.140625" style="44"/>
    <col min="11272" max="11272" width="4.5703125" style="44" customWidth="1"/>
    <col min="11273" max="11273" width="24.140625" style="44" customWidth="1"/>
    <col min="11274" max="11274" width="9" style="44" customWidth="1"/>
    <col min="11275" max="11275" width="13.42578125" style="44" customWidth="1"/>
    <col min="11276" max="11276" width="15.7109375" style="44" customWidth="1"/>
    <col min="11277" max="11277" width="12.28515625" style="44" customWidth="1"/>
    <col min="11278" max="11278" width="12.85546875" style="44" customWidth="1"/>
    <col min="11279" max="11279" width="10.7109375" style="44" customWidth="1"/>
    <col min="11280" max="11280" width="11" style="44" customWidth="1"/>
    <col min="11281" max="11281" width="13" style="44" customWidth="1"/>
    <col min="11282" max="11527" width="9.140625" style="44"/>
    <col min="11528" max="11528" width="4.5703125" style="44" customWidth="1"/>
    <col min="11529" max="11529" width="24.140625" style="44" customWidth="1"/>
    <col min="11530" max="11530" width="9" style="44" customWidth="1"/>
    <col min="11531" max="11531" width="13.42578125" style="44" customWidth="1"/>
    <col min="11532" max="11532" width="15.7109375" style="44" customWidth="1"/>
    <col min="11533" max="11533" width="12.28515625" style="44" customWidth="1"/>
    <col min="11534" max="11534" width="12.85546875" style="44" customWidth="1"/>
    <col min="11535" max="11535" width="10.7109375" style="44" customWidth="1"/>
    <col min="11536" max="11536" width="11" style="44" customWidth="1"/>
    <col min="11537" max="11537" width="13" style="44" customWidth="1"/>
    <col min="11538" max="11783" width="9.140625" style="44"/>
    <col min="11784" max="11784" width="4.5703125" style="44" customWidth="1"/>
    <col min="11785" max="11785" width="24.140625" style="44" customWidth="1"/>
    <col min="11786" max="11786" width="9" style="44" customWidth="1"/>
    <col min="11787" max="11787" width="13.42578125" style="44" customWidth="1"/>
    <col min="11788" max="11788" width="15.7109375" style="44" customWidth="1"/>
    <col min="11789" max="11789" width="12.28515625" style="44" customWidth="1"/>
    <col min="11790" max="11790" width="12.85546875" style="44" customWidth="1"/>
    <col min="11791" max="11791" width="10.7109375" style="44" customWidth="1"/>
    <col min="11792" max="11792" width="11" style="44" customWidth="1"/>
    <col min="11793" max="11793" width="13" style="44" customWidth="1"/>
    <col min="11794" max="12039" width="9.140625" style="44"/>
    <col min="12040" max="12040" width="4.5703125" style="44" customWidth="1"/>
    <col min="12041" max="12041" width="24.140625" style="44" customWidth="1"/>
    <col min="12042" max="12042" width="9" style="44" customWidth="1"/>
    <col min="12043" max="12043" width="13.42578125" style="44" customWidth="1"/>
    <col min="12044" max="12044" width="15.7109375" style="44" customWidth="1"/>
    <col min="12045" max="12045" width="12.28515625" style="44" customWidth="1"/>
    <col min="12046" max="12046" width="12.85546875" style="44" customWidth="1"/>
    <col min="12047" max="12047" width="10.7109375" style="44" customWidth="1"/>
    <col min="12048" max="12048" width="11" style="44" customWidth="1"/>
    <col min="12049" max="12049" width="13" style="44" customWidth="1"/>
    <col min="12050" max="12295" width="9.140625" style="44"/>
    <col min="12296" max="12296" width="4.5703125" style="44" customWidth="1"/>
    <col min="12297" max="12297" width="24.140625" style="44" customWidth="1"/>
    <col min="12298" max="12298" width="9" style="44" customWidth="1"/>
    <col min="12299" max="12299" width="13.42578125" style="44" customWidth="1"/>
    <col min="12300" max="12300" width="15.7109375" style="44" customWidth="1"/>
    <col min="12301" max="12301" width="12.28515625" style="44" customWidth="1"/>
    <col min="12302" max="12302" width="12.85546875" style="44" customWidth="1"/>
    <col min="12303" max="12303" width="10.7109375" style="44" customWidth="1"/>
    <col min="12304" max="12304" width="11" style="44" customWidth="1"/>
    <col min="12305" max="12305" width="13" style="44" customWidth="1"/>
    <col min="12306" max="12551" width="9.140625" style="44"/>
    <col min="12552" max="12552" width="4.5703125" style="44" customWidth="1"/>
    <col min="12553" max="12553" width="24.140625" style="44" customWidth="1"/>
    <col min="12554" max="12554" width="9" style="44" customWidth="1"/>
    <col min="12555" max="12555" width="13.42578125" style="44" customWidth="1"/>
    <col min="12556" max="12556" width="15.7109375" style="44" customWidth="1"/>
    <col min="12557" max="12557" width="12.28515625" style="44" customWidth="1"/>
    <col min="12558" max="12558" width="12.85546875" style="44" customWidth="1"/>
    <col min="12559" max="12559" width="10.7109375" style="44" customWidth="1"/>
    <col min="12560" max="12560" width="11" style="44" customWidth="1"/>
    <col min="12561" max="12561" width="13" style="44" customWidth="1"/>
    <col min="12562" max="12807" width="9.140625" style="44"/>
    <col min="12808" max="12808" width="4.5703125" style="44" customWidth="1"/>
    <col min="12809" max="12809" width="24.140625" style="44" customWidth="1"/>
    <col min="12810" max="12810" width="9" style="44" customWidth="1"/>
    <col min="12811" max="12811" width="13.42578125" style="44" customWidth="1"/>
    <col min="12812" max="12812" width="15.7109375" style="44" customWidth="1"/>
    <col min="12813" max="12813" width="12.28515625" style="44" customWidth="1"/>
    <col min="12814" max="12814" width="12.85546875" style="44" customWidth="1"/>
    <col min="12815" max="12815" width="10.7109375" style="44" customWidth="1"/>
    <col min="12816" max="12816" width="11" style="44" customWidth="1"/>
    <col min="12817" max="12817" width="13" style="44" customWidth="1"/>
    <col min="12818" max="13063" width="9.140625" style="44"/>
    <col min="13064" max="13064" width="4.5703125" style="44" customWidth="1"/>
    <col min="13065" max="13065" width="24.140625" style="44" customWidth="1"/>
    <col min="13066" max="13066" width="9" style="44" customWidth="1"/>
    <col min="13067" max="13067" width="13.42578125" style="44" customWidth="1"/>
    <col min="13068" max="13068" width="15.7109375" style="44" customWidth="1"/>
    <col min="13069" max="13069" width="12.28515625" style="44" customWidth="1"/>
    <col min="13070" max="13070" width="12.85546875" style="44" customWidth="1"/>
    <col min="13071" max="13071" width="10.7109375" style="44" customWidth="1"/>
    <col min="13072" max="13072" width="11" style="44" customWidth="1"/>
    <col min="13073" max="13073" width="13" style="44" customWidth="1"/>
    <col min="13074" max="13319" width="9.140625" style="44"/>
    <col min="13320" max="13320" width="4.5703125" style="44" customWidth="1"/>
    <col min="13321" max="13321" width="24.140625" style="44" customWidth="1"/>
    <col min="13322" max="13322" width="9" style="44" customWidth="1"/>
    <col min="13323" max="13323" width="13.42578125" style="44" customWidth="1"/>
    <col min="13324" max="13324" width="15.7109375" style="44" customWidth="1"/>
    <col min="13325" max="13325" width="12.28515625" style="44" customWidth="1"/>
    <col min="13326" max="13326" width="12.85546875" style="44" customWidth="1"/>
    <col min="13327" max="13327" width="10.7109375" style="44" customWidth="1"/>
    <col min="13328" max="13328" width="11" style="44" customWidth="1"/>
    <col min="13329" max="13329" width="13" style="44" customWidth="1"/>
    <col min="13330" max="13575" width="9.140625" style="44"/>
    <col min="13576" max="13576" width="4.5703125" style="44" customWidth="1"/>
    <col min="13577" max="13577" width="24.140625" style="44" customWidth="1"/>
    <col min="13578" max="13578" width="9" style="44" customWidth="1"/>
    <col min="13579" max="13579" width="13.42578125" style="44" customWidth="1"/>
    <col min="13580" max="13580" width="15.7109375" style="44" customWidth="1"/>
    <col min="13581" max="13581" width="12.28515625" style="44" customWidth="1"/>
    <col min="13582" max="13582" width="12.85546875" style="44" customWidth="1"/>
    <col min="13583" max="13583" width="10.7109375" style="44" customWidth="1"/>
    <col min="13584" max="13584" width="11" style="44" customWidth="1"/>
    <col min="13585" max="13585" width="13" style="44" customWidth="1"/>
    <col min="13586" max="13831" width="9.140625" style="44"/>
    <col min="13832" max="13832" width="4.5703125" style="44" customWidth="1"/>
    <col min="13833" max="13833" width="24.140625" style="44" customWidth="1"/>
    <col min="13834" max="13834" width="9" style="44" customWidth="1"/>
    <col min="13835" max="13835" width="13.42578125" style="44" customWidth="1"/>
    <col min="13836" max="13836" width="15.7109375" style="44" customWidth="1"/>
    <col min="13837" max="13837" width="12.28515625" style="44" customWidth="1"/>
    <col min="13838" max="13838" width="12.85546875" style="44" customWidth="1"/>
    <col min="13839" max="13839" width="10.7109375" style="44" customWidth="1"/>
    <col min="13840" max="13840" width="11" style="44" customWidth="1"/>
    <col min="13841" max="13841" width="13" style="44" customWidth="1"/>
    <col min="13842" max="14087" width="9.140625" style="44"/>
    <col min="14088" max="14088" width="4.5703125" style="44" customWidth="1"/>
    <col min="14089" max="14089" width="24.140625" style="44" customWidth="1"/>
    <col min="14090" max="14090" width="9" style="44" customWidth="1"/>
    <col min="14091" max="14091" width="13.42578125" style="44" customWidth="1"/>
    <col min="14092" max="14092" width="15.7109375" style="44" customWidth="1"/>
    <col min="14093" max="14093" width="12.28515625" style="44" customWidth="1"/>
    <col min="14094" max="14094" width="12.85546875" style="44" customWidth="1"/>
    <col min="14095" max="14095" width="10.7109375" style="44" customWidth="1"/>
    <col min="14096" max="14096" width="11" style="44" customWidth="1"/>
    <col min="14097" max="14097" width="13" style="44" customWidth="1"/>
    <col min="14098" max="14343" width="9.140625" style="44"/>
    <col min="14344" max="14344" width="4.5703125" style="44" customWidth="1"/>
    <col min="14345" max="14345" width="24.140625" style="44" customWidth="1"/>
    <col min="14346" max="14346" width="9" style="44" customWidth="1"/>
    <col min="14347" max="14347" width="13.42578125" style="44" customWidth="1"/>
    <col min="14348" max="14348" width="15.7109375" style="44" customWidth="1"/>
    <col min="14349" max="14349" width="12.28515625" style="44" customWidth="1"/>
    <col min="14350" max="14350" width="12.85546875" style="44" customWidth="1"/>
    <col min="14351" max="14351" width="10.7109375" style="44" customWidth="1"/>
    <col min="14352" max="14352" width="11" style="44" customWidth="1"/>
    <col min="14353" max="14353" width="13" style="44" customWidth="1"/>
    <col min="14354" max="14599" width="9.140625" style="44"/>
    <col min="14600" max="14600" width="4.5703125" style="44" customWidth="1"/>
    <col min="14601" max="14601" width="24.140625" style="44" customWidth="1"/>
    <col min="14602" max="14602" width="9" style="44" customWidth="1"/>
    <col min="14603" max="14603" width="13.42578125" style="44" customWidth="1"/>
    <col min="14604" max="14604" width="15.7109375" style="44" customWidth="1"/>
    <col min="14605" max="14605" width="12.28515625" style="44" customWidth="1"/>
    <col min="14606" max="14606" width="12.85546875" style="44" customWidth="1"/>
    <col min="14607" max="14607" width="10.7109375" style="44" customWidth="1"/>
    <col min="14608" max="14608" width="11" style="44" customWidth="1"/>
    <col min="14609" max="14609" width="13" style="44" customWidth="1"/>
    <col min="14610" max="14855" width="9.140625" style="44"/>
    <col min="14856" max="14856" width="4.5703125" style="44" customWidth="1"/>
    <col min="14857" max="14857" width="24.140625" style="44" customWidth="1"/>
    <col min="14858" max="14858" width="9" style="44" customWidth="1"/>
    <col min="14859" max="14859" width="13.42578125" style="44" customWidth="1"/>
    <col min="14860" max="14860" width="15.7109375" style="44" customWidth="1"/>
    <col min="14861" max="14861" width="12.28515625" style="44" customWidth="1"/>
    <col min="14862" max="14862" width="12.85546875" style="44" customWidth="1"/>
    <col min="14863" max="14863" width="10.7109375" style="44" customWidth="1"/>
    <col min="14864" max="14864" width="11" style="44" customWidth="1"/>
    <col min="14865" max="14865" width="13" style="44" customWidth="1"/>
    <col min="14866" max="15111" width="9.140625" style="44"/>
    <col min="15112" max="15112" width="4.5703125" style="44" customWidth="1"/>
    <col min="15113" max="15113" width="24.140625" style="44" customWidth="1"/>
    <col min="15114" max="15114" width="9" style="44" customWidth="1"/>
    <col min="15115" max="15115" width="13.42578125" style="44" customWidth="1"/>
    <col min="15116" max="15116" width="15.7109375" style="44" customWidth="1"/>
    <col min="15117" max="15117" width="12.28515625" style="44" customWidth="1"/>
    <col min="15118" max="15118" width="12.85546875" style="44" customWidth="1"/>
    <col min="15119" max="15119" width="10.7109375" style="44" customWidth="1"/>
    <col min="15120" max="15120" width="11" style="44" customWidth="1"/>
    <col min="15121" max="15121" width="13" style="44" customWidth="1"/>
    <col min="15122" max="15367" width="9.140625" style="44"/>
    <col min="15368" max="15368" width="4.5703125" style="44" customWidth="1"/>
    <col min="15369" max="15369" width="24.140625" style="44" customWidth="1"/>
    <col min="15370" max="15370" width="9" style="44" customWidth="1"/>
    <col min="15371" max="15371" width="13.42578125" style="44" customWidth="1"/>
    <col min="15372" max="15372" width="15.7109375" style="44" customWidth="1"/>
    <col min="15373" max="15373" width="12.28515625" style="44" customWidth="1"/>
    <col min="15374" max="15374" width="12.85546875" style="44" customWidth="1"/>
    <col min="15375" max="15375" width="10.7109375" style="44" customWidth="1"/>
    <col min="15376" max="15376" width="11" style="44" customWidth="1"/>
    <col min="15377" max="15377" width="13" style="44" customWidth="1"/>
    <col min="15378" max="15623" width="9.140625" style="44"/>
    <col min="15624" max="15624" width="4.5703125" style="44" customWidth="1"/>
    <col min="15625" max="15625" width="24.140625" style="44" customWidth="1"/>
    <col min="15626" max="15626" width="9" style="44" customWidth="1"/>
    <col min="15627" max="15627" width="13.42578125" style="44" customWidth="1"/>
    <col min="15628" max="15628" width="15.7109375" style="44" customWidth="1"/>
    <col min="15629" max="15629" width="12.28515625" style="44" customWidth="1"/>
    <col min="15630" max="15630" width="12.85546875" style="44" customWidth="1"/>
    <col min="15631" max="15631" width="10.7109375" style="44" customWidth="1"/>
    <col min="15632" max="15632" width="11" style="44" customWidth="1"/>
    <col min="15633" max="15633" width="13" style="44" customWidth="1"/>
    <col min="15634" max="15879" width="9.140625" style="44"/>
    <col min="15880" max="15880" width="4.5703125" style="44" customWidth="1"/>
    <col min="15881" max="15881" width="24.140625" style="44" customWidth="1"/>
    <col min="15882" max="15882" width="9" style="44" customWidth="1"/>
    <col min="15883" max="15883" width="13.42578125" style="44" customWidth="1"/>
    <col min="15884" max="15884" width="15.7109375" style="44" customWidth="1"/>
    <col min="15885" max="15885" width="12.28515625" style="44" customWidth="1"/>
    <col min="15886" max="15886" width="12.85546875" style="44" customWidth="1"/>
    <col min="15887" max="15887" width="10.7109375" style="44" customWidth="1"/>
    <col min="15888" max="15888" width="11" style="44" customWidth="1"/>
    <col min="15889" max="15889" width="13" style="44" customWidth="1"/>
    <col min="15890" max="16135" width="9.140625" style="44"/>
    <col min="16136" max="16136" width="4.5703125" style="44" customWidth="1"/>
    <col min="16137" max="16137" width="24.140625" style="44" customWidth="1"/>
    <col min="16138" max="16138" width="9" style="44" customWidth="1"/>
    <col min="16139" max="16139" width="13.42578125" style="44" customWidth="1"/>
    <col min="16140" max="16140" width="15.7109375" style="44" customWidth="1"/>
    <col min="16141" max="16141" width="12.28515625" style="44" customWidth="1"/>
    <col min="16142" max="16142" width="12.85546875" style="44" customWidth="1"/>
    <col min="16143" max="16143" width="10.7109375" style="44" customWidth="1"/>
    <col min="16144" max="16144" width="11" style="44" customWidth="1"/>
    <col min="16145" max="16145" width="13" style="44" customWidth="1"/>
    <col min="16146" max="16384" width="9.140625" style="44"/>
  </cols>
  <sheetData>
    <row r="1" spans="1:18" x14ac:dyDescent="0.25">
      <c r="A1" s="127"/>
      <c r="B1" s="128"/>
      <c r="C1" s="129"/>
      <c r="D1" s="129"/>
      <c r="E1" s="129"/>
      <c r="F1" s="129"/>
      <c r="G1" s="129"/>
      <c r="H1" s="129"/>
      <c r="I1" s="129"/>
      <c r="J1" s="129"/>
      <c r="L1" s="45"/>
      <c r="M1" s="45"/>
      <c r="N1" s="45"/>
      <c r="O1" s="45" t="str">
        <f>'7.33 pályázatok összesen'!C4</f>
        <v xml:space="preserve"> 12 / 2020. (VI.15) sz rendelet</v>
      </c>
      <c r="P1" s="45"/>
      <c r="Q1" s="45"/>
      <c r="R1" s="130"/>
    </row>
    <row r="2" spans="1:18" ht="15.75" x14ac:dyDescent="0.25">
      <c r="A2" s="925" t="s">
        <v>273</v>
      </c>
      <c r="B2" s="925"/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  <c r="O2" s="925"/>
      <c r="P2" s="925"/>
      <c r="Q2" s="925"/>
      <c r="R2" s="925"/>
    </row>
    <row r="3" spans="1:18" ht="15.75" x14ac:dyDescent="0.25">
      <c r="A3" s="926" t="s">
        <v>460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</row>
    <row r="4" spans="1:18" s="179" customFormat="1" ht="15.7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601"/>
      <c r="K4" s="601"/>
      <c r="L4" s="601"/>
      <c r="M4" s="601"/>
      <c r="N4" s="601"/>
      <c r="O4" s="601"/>
      <c r="P4" s="601"/>
      <c r="Q4" s="242"/>
      <c r="R4" s="242"/>
    </row>
    <row r="5" spans="1:18" s="179" customFormat="1" ht="15.75" x14ac:dyDescent="0.25">
      <c r="A5" s="242"/>
      <c r="B5" s="242"/>
      <c r="C5" s="242"/>
      <c r="D5" s="242"/>
      <c r="E5" s="242"/>
      <c r="F5" s="242"/>
      <c r="G5" s="537"/>
      <c r="H5" s="599"/>
      <c r="I5" s="599"/>
      <c r="J5" s="599"/>
      <c r="K5" s="599"/>
      <c r="L5" s="599"/>
      <c r="M5" s="613" t="s">
        <v>293</v>
      </c>
      <c r="N5" s="838" t="str">
        <f>'7.33 pályázatok összesen'!D6</f>
        <v xml:space="preserve"> melléklet az 12/2020. (VI.15.) rendelethez</v>
      </c>
      <c r="O5" s="599"/>
      <c r="P5" s="599"/>
      <c r="Q5" s="599"/>
      <c r="R5" s="242"/>
    </row>
    <row r="6" spans="1:18" ht="20.25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</row>
    <row r="7" spans="1:18" x14ac:dyDescent="0.25">
      <c r="A7" s="127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33" t="s">
        <v>317</v>
      </c>
      <c r="R7" s="133"/>
    </row>
    <row r="8" spans="1:18" ht="15.75" thickBot="1" x14ac:dyDescent="0.3">
      <c r="A8" s="611"/>
      <c r="B8" s="612"/>
      <c r="C8" s="136"/>
      <c r="D8" s="137"/>
      <c r="E8" s="136"/>
      <c r="F8" s="136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4"/>
    </row>
    <row r="9" spans="1:18" x14ac:dyDescent="0.25">
      <c r="A9" s="928" t="s">
        <v>461</v>
      </c>
      <c r="B9" s="921" t="s">
        <v>462</v>
      </c>
      <c r="C9" s="923" t="s">
        <v>463</v>
      </c>
      <c r="D9" s="923" t="s">
        <v>464</v>
      </c>
      <c r="E9" s="923" t="s">
        <v>465</v>
      </c>
      <c r="F9" s="919" t="s">
        <v>777</v>
      </c>
      <c r="G9" s="930">
        <v>2019</v>
      </c>
      <c r="H9" s="930">
        <v>2020</v>
      </c>
      <c r="I9" s="930">
        <v>2021</v>
      </c>
      <c r="J9" s="919">
        <v>2022</v>
      </c>
      <c r="K9" s="919">
        <v>2023</v>
      </c>
      <c r="L9" s="919">
        <v>2024</v>
      </c>
      <c r="M9" s="919">
        <v>2025</v>
      </c>
      <c r="N9" s="919">
        <v>2026</v>
      </c>
      <c r="O9" s="919">
        <v>2027</v>
      </c>
      <c r="P9" s="919">
        <v>2028</v>
      </c>
      <c r="Q9" s="923" t="s">
        <v>466</v>
      </c>
      <c r="R9" s="134"/>
    </row>
    <row r="10" spans="1:18" ht="15.75" thickBot="1" x14ac:dyDescent="0.3">
      <c r="A10" s="929"/>
      <c r="B10" s="922"/>
      <c r="C10" s="924"/>
      <c r="D10" s="924"/>
      <c r="E10" s="924"/>
      <c r="F10" s="920"/>
      <c r="G10" s="931"/>
      <c r="H10" s="931"/>
      <c r="I10" s="931"/>
      <c r="J10" s="920"/>
      <c r="K10" s="920"/>
      <c r="L10" s="920"/>
      <c r="M10" s="920"/>
      <c r="N10" s="920"/>
      <c r="O10" s="920"/>
      <c r="P10" s="920"/>
      <c r="Q10" s="927"/>
      <c r="R10" s="134"/>
    </row>
    <row r="11" spans="1:18" x14ac:dyDescent="0.25">
      <c r="A11" s="608" t="s">
        <v>616</v>
      </c>
      <c r="B11" s="605" t="s">
        <v>410</v>
      </c>
      <c r="C11" s="139"/>
      <c r="D11" s="140"/>
      <c r="E11" s="140"/>
      <c r="F11" s="141">
        <f>SUM(F12:F14)</f>
        <v>54781798</v>
      </c>
      <c r="G11" s="141">
        <f>SUM(G12:G14)</f>
        <v>31269643</v>
      </c>
      <c r="H11" s="141">
        <f>SUM(H12:H20)</f>
        <v>997290612</v>
      </c>
      <c r="I11" s="141">
        <f t="shared" ref="I11:P11" si="0">SUM(I12:I20)</f>
        <v>1018319435</v>
      </c>
      <c r="J11" s="141">
        <f t="shared" si="0"/>
        <v>17926888</v>
      </c>
      <c r="K11" s="141">
        <f t="shared" si="0"/>
        <v>16272888</v>
      </c>
      <c r="L11" s="141">
        <f t="shared" si="0"/>
        <v>16272888</v>
      </c>
      <c r="M11" s="141">
        <f t="shared" si="0"/>
        <v>16272888</v>
      </c>
      <c r="N11" s="141">
        <f t="shared" si="0"/>
        <v>16272888</v>
      </c>
      <c r="O11" s="141">
        <f t="shared" si="0"/>
        <v>16272888</v>
      </c>
      <c r="P11" s="141">
        <f t="shared" si="0"/>
        <v>16272888</v>
      </c>
      <c r="Q11" s="142">
        <f>SUM(F11:P11)</f>
        <v>2217225704</v>
      </c>
      <c r="R11" s="135"/>
    </row>
    <row r="12" spans="1:18" ht="42" customHeight="1" x14ac:dyDescent="0.25">
      <c r="A12" s="609" t="s">
        <v>866</v>
      </c>
      <c r="B12" s="606" t="s">
        <v>1183</v>
      </c>
      <c r="C12" s="592" t="s">
        <v>271</v>
      </c>
      <c r="D12" s="593">
        <v>44043</v>
      </c>
      <c r="E12" s="594" t="s">
        <v>776</v>
      </c>
      <c r="F12" s="595">
        <v>0</v>
      </c>
      <c r="G12" s="595">
        <v>7106360</v>
      </c>
      <c r="H12" s="596">
        <v>3340957</v>
      </c>
      <c r="I12" s="596"/>
      <c r="J12" s="610"/>
      <c r="K12" s="610"/>
      <c r="L12" s="610"/>
      <c r="M12" s="610"/>
      <c r="N12" s="610"/>
      <c r="O12" s="610"/>
      <c r="P12" s="610"/>
      <c r="Q12" s="142">
        <f>G12+H12+I12+F12</f>
        <v>10447317</v>
      </c>
    </row>
    <row r="13" spans="1:18" ht="38.25" x14ac:dyDescent="0.25">
      <c r="A13" s="609" t="s">
        <v>867</v>
      </c>
      <c r="B13" s="607" t="s">
        <v>812</v>
      </c>
      <c r="C13" s="592">
        <v>2019</v>
      </c>
      <c r="D13" s="593">
        <v>44255</v>
      </c>
      <c r="E13" s="126" t="s">
        <v>813</v>
      </c>
      <c r="F13" s="594">
        <v>0</v>
      </c>
      <c r="G13" s="596">
        <v>8000000</v>
      </c>
      <c r="H13" s="596">
        <v>8000000</v>
      </c>
      <c r="I13" s="596">
        <v>4000000</v>
      </c>
      <c r="J13" s="610"/>
      <c r="K13" s="610"/>
      <c r="L13" s="610"/>
      <c r="M13" s="610"/>
      <c r="N13" s="610"/>
      <c r="O13" s="610"/>
      <c r="P13" s="610"/>
      <c r="Q13" s="142">
        <f>G13+H13+I13+F13</f>
        <v>20000000</v>
      </c>
    </row>
    <row r="14" spans="1:18" s="147" customFormat="1" ht="39" customHeight="1" x14ac:dyDescent="0.25">
      <c r="A14" s="609" t="s">
        <v>868</v>
      </c>
      <c r="B14" s="794" t="s">
        <v>817</v>
      </c>
      <c r="C14" s="653" t="s">
        <v>820</v>
      </c>
      <c r="D14" s="654">
        <v>47098</v>
      </c>
      <c r="E14" s="655" t="s">
        <v>816</v>
      </c>
      <c r="F14" s="596">
        <v>54781798</v>
      </c>
      <c r="G14" s="795">
        <v>16163283</v>
      </c>
      <c r="H14" s="795">
        <v>16227168</v>
      </c>
      <c r="I14" s="795">
        <v>16227168</v>
      </c>
      <c r="J14" s="795">
        <v>16227168</v>
      </c>
      <c r="K14" s="795">
        <v>16227168</v>
      </c>
      <c r="L14" s="795">
        <v>16227168</v>
      </c>
      <c r="M14" s="795">
        <v>16227168</v>
      </c>
      <c r="N14" s="795">
        <v>16227168</v>
      </c>
      <c r="O14" s="795">
        <v>16227168</v>
      </c>
      <c r="P14" s="795">
        <v>16227168</v>
      </c>
      <c r="Q14" s="656">
        <f>G14+H14+I14+F14+J14+K14+L14+M14+N14+O14+P14</f>
        <v>216989593</v>
      </c>
    </row>
    <row r="15" spans="1:18" ht="43.5" customHeight="1" x14ac:dyDescent="0.25">
      <c r="A15" s="609" t="s">
        <v>869</v>
      </c>
      <c r="B15" s="606" t="s">
        <v>872</v>
      </c>
      <c r="C15" s="657">
        <v>2019</v>
      </c>
      <c r="D15" s="658">
        <v>44620</v>
      </c>
      <c r="E15" s="143" t="s">
        <v>876</v>
      </c>
      <c r="F15" s="594">
        <v>0</v>
      </c>
      <c r="G15" s="145">
        <v>4572000</v>
      </c>
      <c r="H15" s="145">
        <v>6096000</v>
      </c>
      <c r="I15" s="145">
        <v>6096000</v>
      </c>
      <c r="J15" s="145">
        <v>1654000</v>
      </c>
      <c r="K15" s="145"/>
      <c r="L15" s="145"/>
      <c r="M15" s="145"/>
      <c r="N15" s="145"/>
      <c r="O15" s="145"/>
      <c r="P15" s="145"/>
      <c r="Q15" s="656">
        <f>G15+H15+I15+F15+J15+K15+L15+M15+N15+O15+P15</f>
        <v>18418000</v>
      </c>
    </row>
    <row r="16" spans="1:18" ht="45.75" customHeight="1" x14ac:dyDescent="0.25">
      <c r="A16" s="609" t="s">
        <v>870</v>
      </c>
      <c r="B16" s="606" t="s">
        <v>873</v>
      </c>
      <c r="C16" s="659">
        <v>2019</v>
      </c>
      <c r="D16" s="660">
        <v>44286</v>
      </c>
      <c r="E16" s="661" t="s">
        <v>877</v>
      </c>
      <c r="F16" s="594">
        <v>0</v>
      </c>
      <c r="G16" s="662">
        <v>215254902</v>
      </c>
      <c r="H16" s="662">
        <v>947121567</v>
      </c>
      <c r="I16" s="662">
        <v>990172547</v>
      </c>
      <c r="J16" s="662"/>
      <c r="K16" s="662"/>
      <c r="L16" s="662"/>
      <c r="M16" s="662"/>
      <c r="N16" s="662"/>
      <c r="O16" s="662"/>
      <c r="P16" s="662"/>
      <c r="Q16" s="656">
        <f>G16+H16+I16+F16+J16+K16+L16+M16+N16+O16+P16</f>
        <v>2152549016</v>
      </c>
    </row>
    <row r="17" spans="1:17" s="179" customFormat="1" ht="45.75" customHeight="1" x14ac:dyDescent="0.25">
      <c r="A17" s="609" t="s">
        <v>871</v>
      </c>
      <c r="B17" s="867" t="s">
        <v>873</v>
      </c>
      <c r="C17" s="659">
        <v>2019</v>
      </c>
      <c r="D17" s="790"/>
      <c r="E17" s="791" t="s">
        <v>1184</v>
      </c>
      <c r="F17" s="792"/>
      <c r="G17" s="793">
        <v>3670000</v>
      </c>
      <c r="H17" s="793">
        <v>14681200</v>
      </c>
      <c r="I17" s="793"/>
      <c r="J17" s="793"/>
      <c r="K17" s="793"/>
      <c r="L17" s="793"/>
      <c r="M17" s="793"/>
      <c r="N17" s="793"/>
      <c r="O17" s="793"/>
      <c r="P17" s="793"/>
      <c r="Q17" s="656">
        <f t="shared" ref="Q17:Q19" si="1">G17+H17+I17+F17+J17+K17+L17+M17+N17+O17+P17</f>
        <v>18351200</v>
      </c>
    </row>
    <row r="18" spans="1:17" s="179" customFormat="1" ht="45.75" customHeight="1" x14ac:dyDescent="0.25">
      <c r="A18" s="609" t="s">
        <v>1217</v>
      </c>
      <c r="B18" s="867" t="s">
        <v>1183</v>
      </c>
      <c r="C18" s="659">
        <v>2019</v>
      </c>
      <c r="D18" s="790">
        <v>44439</v>
      </c>
      <c r="E18" s="791" t="s">
        <v>1185</v>
      </c>
      <c r="F18" s="792"/>
      <c r="G18" s="793">
        <v>254000</v>
      </c>
      <c r="H18" s="793">
        <v>889000</v>
      </c>
      <c r="I18" s="793">
        <v>889000</v>
      </c>
      <c r="J18" s="793"/>
      <c r="K18" s="793"/>
      <c r="L18" s="793"/>
      <c r="M18" s="793"/>
      <c r="N18" s="793"/>
      <c r="O18" s="793"/>
      <c r="P18" s="793"/>
      <c r="Q18" s="656">
        <f t="shared" si="1"/>
        <v>2032000</v>
      </c>
    </row>
    <row r="19" spans="1:17" s="179" customFormat="1" ht="45.75" customHeight="1" x14ac:dyDescent="0.25">
      <c r="A19" s="609" t="s">
        <v>1218</v>
      </c>
      <c r="B19" s="867" t="s">
        <v>1183</v>
      </c>
      <c r="C19" s="659">
        <v>2019</v>
      </c>
      <c r="D19" s="790">
        <v>44439</v>
      </c>
      <c r="E19" s="791" t="s">
        <v>1186</v>
      </c>
      <c r="F19" s="792"/>
      <c r="G19" s="866"/>
      <c r="H19" s="866">
        <v>889000</v>
      </c>
      <c r="I19" s="866">
        <v>889000</v>
      </c>
      <c r="J19" s="793"/>
      <c r="K19" s="793"/>
      <c r="L19" s="793"/>
      <c r="M19" s="793"/>
      <c r="N19" s="793"/>
      <c r="O19" s="793"/>
      <c r="P19" s="793"/>
      <c r="Q19" s="656">
        <f t="shared" si="1"/>
        <v>1778000</v>
      </c>
    </row>
    <row r="20" spans="1:17" ht="18.75" customHeight="1" thickBot="1" x14ac:dyDescent="0.3">
      <c r="A20" s="609" t="s">
        <v>1219</v>
      </c>
      <c r="B20" s="663" t="s">
        <v>875</v>
      </c>
      <c r="C20" s="664">
        <v>2019</v>
      </c>
      <c r="D20" s="665" t="s">
        <v>874</v>
      </c>
      <c r="E20" s="666" t="s">
        <v>878</v>
      </c>
      <c r="F20" s="668">
        <v>0</v>
      </c>
      <c r="G20" s="667">
        <v>45720</v>
      </c>
      <c r="H20" s="667">
        <v>45720</v>
      </c>
      <c r="I20" s="667">
        <v>45720</v>
      </c>
      <c r="J20" s="667">
        <v>45720</v>
      </c>
      <c r="K20" s="667">
        <v>45720</v>
      </c>
      <c r="L20" s="667">
        <v>45720</v>
      </c>
      <c r="M20" s="667">
        <v>45720</v>
      </c>
      <c r="N20" s="667">
        <v>45720</v>
      </c>
      <c r="O20" s="667">
        <v>45720</v>
      </c>
      <c r="P20" s="667">
        <v>45720</v>
      </c>
      <c r="Q20" s="604">
        <f>G20+H20+I20+F20+J20+K20+L20+M20+N20+O20+P20</f>
        <v>457200</v>
      </c>
    </row>
  </sheetData>
  <mergeCells count="19">
    <mergeCell ref="A2:R2"/>
    <mergeCell ref="A3:R3"/>
    <mergeCell ref="Q9:Q10"/>
    <mergeCell ref="A9:A10"/>
    <mergeCell ref="G9:G10"/>
    <mergeCell ref="H9:H10"/>
    <mergeCell ref="I9:I10"/>
    <mergeCell ref="P9:P10"/>
    <mergeCell ref="O9:O10"/>
    <mergeCell ref="J9:J10"/>
    <mergeCell ref="K9:K10"/>
    <mergeCell ref="L9:L10"/>
    <mergeCell ref="M9:M10"/>
    <mergeCell ref="N9:N10"/>
    <mergeCell ref="B9:B10"/>
    <mergeCell ref="C9:C10"/>
    <mergeCell ref="D9:D10"/>
    <mergeCell ref="E9:E10"/>
    <mergeCell ref="F9:F10"/>
  </mergeCells>
  <phoneticPr fontId="56" type="noConversion"/>
  <pageMargins left="0.23622047244094491" right="0.15748031496062992" top="0.74" bottom="0.43307086614173229" header="0.65" footer="0.31496062992125984"/>
  <pageSetup paperSize="9" scale="69" fitToHeight="0" orientation="landscape" horizontalDpi="300" verticalDpi="300" r:id="rId1"/>
  <headerFooter>
    <oddFooter>&amp;R&amp;P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2B9ED-3021-4C16-9094-660F912ED8BF}">
  <sheetPr>
    <pageSetUpPr fitToPage="1"/>
  </sheetPr>
  <dimension ref="A1:J24"/>
  <sheetViews>
    <sheetView workbookViewId="0">
      <selection activeCell="H6" sqref="H6"/>
    </sheetView>
  </sheetViews>
  <sheetFormatPr defaultRowHeight="15" x14ac:dyDescent="0.25"/>
  <cols>
    <col min="1" max="1" width="9.28515625" style="179" bestFit="1" customWidth="1"/>
    <col min="2" max="2" width="26" style="179" customWidth="1"/>
    <col min="3" max="3" width="9.28515625" style="179" bestFit="1" customWidth="1"/>
    <col min="4" max="4" width="12" style="179" bestFit="1" customWidth="1"/>
    <col min="5" max="5" width="12.28515625" style="179" customWidth="1"/>
    <col min="6" max="8" width="11.85546875" style="179" bestFit="1" customWidth="1"/>
    <col min="9" max="9" width="10.42578125" style="179" customWidth="1"/>
    <col min="10" max="10" width="12.42578125" style="179" customWidth="1"/>
    <col min="11" max="16384" width="9.140625" style="179"/>
  </cols>
  <sheetData>
    <row r="1" spans="1:10" x14ac:dyDescent="0.25">
      <c r="H1" s="179" t="str">
        <f>'8 többéves'!O1</f>
        <v xml:space="preserve"> 12 / 2020. (VI.15) sz rendelet</v>
      </c>
    </row>
    <row r="2" spans="1:10" x14ac:dyDescent="0.25">
      <c r="A2" s="92"/>
      <c r="B2" s="802"/>
      <c r="C2" s="92"/>
      <c r="D2" s="92"/>
      <c r="E2" s="92"/>
      <c r="F2" s="92"/>
      <c r="G2" s="92"/>
      <c r="H2" s="92"/>
      <c r="I2" s="92"/>
      <c r="J2" s="803"/>
    </row>
    <row r="3" spans="1:10" ht="18" x14ac:dyDescent="0.25">
      <c r="A3" s="934" t="s">
        <v>4</v>
      </c>
      <c r="B3" s="934"/>
      <c r="C3" s="934"/>
      <c r="D3" s="934"/>
      <c r="E3" s="934"/>
      <c r="F3" s="934"/>
      <c r="G3" s="934"/>
      <c r="H3" s="934"/>
      <c r="I3" s="934"/>
      <c r="J3" s="804"/>
    </row>
    <row r="4" spans="1:10" ht="18" x14ac:dyDescent="0.25">
      <c r="A4" s="935" t="s">
        <v>1189</v>
      </c>
      <c r="B4" s="935"/>
      <c r="C4" s="935"/>
      <c r="D4" s="935"/>
      <c r="E4" s="935"/>
      <c r="F4" s="935"/>
      <c r="G4" s="935"/>
      <c r="H4" s="935"/>
      <c r="I4" s="935"/>
      <c r="J4" s="805"/>
    </row>
    <row r="5" spans="1:10" ht="18" x14ac:dyDescent="0.25">
      <c r="A5" s="832"/>
      <c r="B5" s="832"/>
      <c r="C5" s="832"/>
      <c r="D5" s="832"/>
      <c r="E5" s="832"/>
      <c r="F5" s="832"/>
      <c r="G5" s="832"/>
      <c r="H5" s="832"/>
      <c r="I5" s="832"/>
      <c r="J5" s="832"/>
    </row>
    <row r="6" spans="1:10" s="81" customFormat="1" ht="12.75" x14ac:dyDescent="0.2">
      <c r="A6" s="833"/>
      <c r="B6" s="833"/>
      <c r="C6" s="833"/>
      <c r="D6" s="833"/>
      <c r="E6" s="833"/>
      <c r="F6" s="833"/>
      <c r="G6" s="834" t="s">
        <v>1201</v>
      </c>
      <c r="H6" s="298" t="str">
        <f>'8 többéves'!N5</f>
        <v xml:space="preserve"> melléklet az 12/2020. (VI.15.) rendelethez</v>
      </c>
      <c r="I6" s="833"/>
      <c r="J6" s="833"/>
    </row>
    <row r="7" spans="1:10" ht="15.75" thickBot="1" x14ac:dyDescent="0.3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ht="15.75" customHeight="1" thickBot="1" x14ac:dyDescent="0.3">
      <c r="A8" s="936" t="s">
        <v>461</v>
      </c>
      <c r="B8" s="938" t="s">
        <v>462</v>
      </c>
      <c r="C8" s="936" t="s">
        <v>463</v>
      </c>
      <c r="D8" s="936" t="s">
        <v>1190</v>
      </c>
      <c r="E8" s="936" t="s">
        <v>465</v>
      </c>
      <c r="F8" s="940" t="s">
        <v>1191</v>
      </c>
      <c r="G8" s="941"/>
      <c r="H8" s="941"/>
      <c r="I8" s="941"/>
      <c r="J8" s="942"/>
    </row>
    <row r="9" spans="1:10" ht="15.75" thickBot="1" x14ac:dyDescent="0.3">
      <c r="A9" s="937"/>
      <c r="B9" s="939"/>
      <c r="C9" s="937"/>
      <c r="D9" s="937"/>
      <c r="E9" s="937"/>
      <c r="F9" s="806">
        <v>2019</v>
      </c>
      <c r="G9" s="806">
        <v>2020</v>
      </c>
      <c r="H9" s="806">
        <v>2021</v>
      </c>
      <c r="I9" s="806">
        <v>2022</v>
      </c>
      <c r="J9" s="806">
        <v>2023</v>
      </c>
    </row>
    <row r="10" spans="1:10" ht="15.75" thickBot="1" x14ac:dyDescent="0.3">
      <c r="A10" s="807">
        <v>1</v>
      </c>
      <c r="B10" s="807">
        <v>2</v>
      </c>
      <c r="C10" s="807">
        <v>3</v>
      </c>
      <c r="D10" s="807">
        <v>4</v>
      </c>
      <c r="E10" s="807">
        <v>5</v>
      </c>
      <c r="F10" s="807">
        <v>6</v>
      </c>
      <c r="G10" s="807">
        <v>7</v>
      </c>
      <c r="H10" s="807">
        <v>8</v>
      </c>
      <c r="I10" s="807">
        <v>9</v>
      </c>
      <c r="J10" s="807">
        <v>10</v>
      </c>
    </row>
    <row r="11" spans="1:10" ht="28.5" x14ac:dyDescent="0.25">
      <c r="A11" s="808" t="s">
        <v>287</v>
      </c>
      <c r="B11" s="809" t="s">
        <v>1192</v>
      </c>
      <c r="C11" s="810"/>
      <c r="D11" s="98"/>
      <c r="E11" s="98"/>
      <c r="F11" s="811">
        <f>SUM(F12:F12)</f>
        <v>0</v>
      </c>
      <c r="G11" s="811">
        <f>SUM(G12:G12)</f>
        <v>0</v>
      </c>
      <c r="H11" s="811">
        <f>SUM(H12:H12)</f>
        <v>0</v>
      </c>
      <c r="I11" s="812">
        <f>SUM(I12:I12)</f>
        <v>0</v>
      </c>
      <c r="J11" s="812">
        <f>SUM(J12:J12)</f>
        <v>0</v>
      </c>
    </row>
    <row r="12" spans="1:10" x14ac:dyDescent="0.25">
      <c r="A12" s="813"/>
      <c r="B12" s="814"/>
      <c r="C12" s="98"/>
      <c r="D12" s="815"/>
      <c r="E12" s="98"/>
      <c r="F12" s="99"/>
      <c r="G12" s="99"/>
      <c r="H12" s="99"/>
      <c r="I12" s="816"/>
      <c r="J12" s="817"/>
    </row>
    <row r="13" spans="1:10" x14ac:dyDescent="0.25">
      <c r="A13" s="813"/>
      <c r="B13" s="814"/>
      <c r="C13" s="98"/>
      <c r="D13" s="815"/>
      <c r="E13" s="98"/>
      <c r="F13" s="99"/>
      <c r="G13" s="99"/>
      <c r="H13" s="99"/>
      <c r="I13" s="818"/>
      <c r="J13" s="99"/>
    </row>
    <row r="14" spans="1:10" ht="28.5" x14ac:dyDescent="0.25">
      <c r="A14" s="819" t="s">
        <v>288</v>
      </c>
      <c r="B14" s="809" t="s">
        <v>1193</v>
      </c>
      <c r="C14" s="810"/>
      <c r="D14" s="98"/>
      <c r="E14" s="98"/>
      <c r="F14" s="811">
        <f>SUM(F15:F15)</f>
        <v>0</v>
      </c>
      <c r="G14" s="811">
        <f>SUM(G15:G15)</f>
        <v>0</v>
      </c>
      <c r="H14" s="811">
        <f>SUM(H15:H15)</f>
        <v>0</v>
      </c>
      <c r="I14" s="812">
        <f>SUM(I15:I15)</f>
        <v>0</v>
      </c>
      <c r="J14" s="811">
        <v>0</v>
      </c>
    </row>
    <row r="15" spans="1:10" x14ac:dyDescent="0.25">
      <c r="A15" s="813"/>
      <c r="B15" s="814"/>
      <c r="C15" s="98"/>
      <c r="D15" s="815"/>
      <c r="E15" s="98"/>
      <c r="F15" s="99"/>
      <c r="G15" s="99"/>
      <c r="H15" s="99"/>
      <c r="I15" s="818"/>
      <c r="J15" s="99"/>
    </row>
    <row r="16" spans="1:10" x14ac:dyDescent="0.25">
      <c r="A16" s="813"/>
      <c r="B16" s="814"/>
      <c r="C16" s="98"/>
      <c r="D16" s="98"/>
      <c r="E16" s="98"/>
      <c r="F16" s="99"/>
      <c r="G16" s="99"/>
      <c r="H16" s="99"/>
      <c r="I16" s="818"/>
      <c r="J16" s="99"/>
    </row>
    <row r="17" spans="1:10" x14ac:dyDescent="0.25">
      <c r="A17" s="819" t="s">
        <v>41</v>
      </c>
      <c r="B17" s="809" t="s">
        <v>1194</v>
      </c>
      <c r="C17" s="810"/>
      <c r="D17" s="98"/>
      <c r="E17" s="98"/>
      <c r="F17" s="99"/>
      <c r="G17" s="99"/>
      <c r="H17" s="99"/>
      <c r="I17" s="818"/>
      <c r="J17" s="99"/>
    </row>
    <row r="18" spans="1:10" x14ac:dyDescent="0.25">
      <c r="A18" s="808"/>
      <c r="B18" s="820" t="s">
        <v>1195</v>
      </c>
      <c r="C18" s="98"/>
      <c r="D18" s="98"/>
      <c r="E18" s="98"/>
      <c r="F18" s="99"/>
      <c r="G18" s="99"/>
      <c r="H18" s="99"/>
      <c r="I18" s="818"/>
      <c r="J18" s="99"/>
    </row>
    <row r="19" spans="1:10" x14ac:dyDescent="0.25">
      <c r="A19" s="819" t="s">
        <v>289</v>
      </c>
      <c r="B19" s="809" t="s">
        <v>1196</v>
      </c>
      <c r="C19" s="98"/>
      <c r="D19" s="98"/>
      <c r="E19" s="98"/>
      <c r="F19" s="99"/>
      <c r="G19" s="99"/>
      <c r="H19" s="99"/>
      <c r="I19" s="818"/>
      <c r="J19" s="99"/>
    </row>
    <row r="20" spans="1:10" x14ac:dyDescent="0.25">
      <c r="A20" s="808"/>
      <c r="B20" s="820" t="s">
        <v>1197</v>
      </c>
      <c r="C20" s="98"/>
      <c r="D20" s="98"/>
      <c r="E20" s="98"/>
      <c r="F20" s="99"/>
      <c r="G20" s="99"/>
      <c r="H20" s="99"/>
      <c r="I20" s="818"/>
      <c r="J20" s="99"/>
    </row>
    <row r="21" spans="1:10" x14ac:dyDescent="0.25">
      <c r="A21" s="819" t="s">
        <v>291</v>
      </c>
      <c r="B21" s="809" t="s">
        <v>480</v>
      </c>
      <c r="C21" s="98"/>
      <c r="D21" s="98"/>
      <c r="E21" s="98"/>
      <c r="F21" s="811">
        <f>SUM(F22:F23)</f>
        <v>0</v>
      </c>
      <c r="G21" s="811">
        <f>SUM(G22:G23)</f>
        <v>0</v>
      </c>
      <c r="H21" s="811">
        <f>SUM(H22:H23)</f>
        <v>0</v>
      </c>
      <c r="I21" s="812">
        <f>SUM(I22:I23)</f>
        <v>0</v>
      </c>
      <c r="J21" s="811">
        <v>0</v>
      </c>
    </row>
    <row r="22" spans="1:10" x14ac:dyDescent="0.25">
      <c r="A22" s="813"/>
      <c r="B22" s="821"/>
      <c r="C22" s="100"/>
      <c r="D22" s="822"/>
      <c r="E22" s="100"/>
      <c r="F22" s="101"/>
      <c r="G22" s="101"/>
      <c r="H22" s="101"/>
      <c r="I22" s="823"/>
      <c r="J22" s="99"/>
    </row>
    <row r="23" spans="1:10" ht="30" customHeight="1" thickBot="1" x14ac:dyDescent="0.3">
      <c r="A23" s="813"/>
      <c r="B23" s="821"/>
      <c r="C23" s="100"/>
      <c r="D23" s="822"/>
      <c r="E23" s="100"/>
      <c r="F23" s="101"/>
      <c r="G23" s="101"/>
      <c r="H23" s="101"/>
      <c r="I23" s="823"/>
      <c r="J23" s="101"/>
    </row>
    <row r="24" spans="1:10" ht="21" customHeight="1" thickBot="1" x14ac:dyDescent="0.3">
      <c r="A24" s="932" t="s">
        <v>1198</v>
      </c>
      <c r="B24" s="933"/>
      <c r="C24" s="824"/>
      <c r="D24" s="825"/>
      <c r="E24" s="825"/>
      <c r="F24" s="826">
        <f>F11+F14+F21</f>
        <v>0</v>
      </c>
      <c r="G24" s="826">
        <f>G11+G14+G21</f>
        <v>0</v>
      </c>
      <c r="H24" s="826">
        <f>H11+H14+H21</f>
        <v>0</v>
      </c>
      <c r="I24" s="827">
        <f>I11+I14+I21</f>
        <v>0</v>
      </c>
      <c r="J24" s="827">
        <f>J11+J14+J21</f>
        <v>0</v>
      </c>
    </row>
  </sheetData>
  <mergeCells count="9">
    <mergeCell ref="A24:B24"/>
    <mergeCell ref="A3:I3"/>
    <mergeCell ref="A4:I4"/>
    <mergeCell ref="A8:A9"/>
    <mergeCell ref="B8:B9"/>
    <mergeCell ref="C8:C9"/>
    <mergeCell ref="D8:D9"/>
    <mergeCell ref="E8:E9"/>
    <mergeCell ref="F8:J8"/>
  </mergeCells>
  <pageMargins left="0.44" right="0.16" top="0.75" bottom="0.75" header="0.3" footer="0.3"/>
  <pageSetup paperSize="9" scale="78" fitToHeight="0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35"/>
  <sheetViews>
    <sheetView zoomScaleNormal="100" workbookViewId="0">
      <selection activeCell="J17" sqref="J17"/>
    </sheetView>
  </sheetViews>
  <sheetFormatPr defaultRowHeight="12.75" x14ac:dyDescent="0.2"/>
  <cols>
    <col min="1" max="1" width="9.140625" style="509"/>
    <col min="2" max="2" width="60.28515625" style="510" customWidth="1"/>
    <col min="3" max="3" width="16.42578125" style="510" customWidth="1"/>
    <col min="4" max="4" width="17.140625" style="510" customWidth="1"/>
    <col min="5" max="5" width="16.85546875" style="511" customWidth="1"/>
    <col min="6" max="6" width="16.42578125" style="511" customWidth="1"/>
    <col min="7" max="256" width="9.140625" style="509"/>
    <col min="257" max="257" width="60.28515625" style="509" customWidth="1"/>
    <col min="258" max="258" width="0" style="509" hidden="1" customWidth="1"/>
    <col min="259" max="259" width="13.7109375" style="509" customWidth="1"/>
    <col min="260" max="260" width="12.42578125" style="509" customWidth="1"/>
    <col min="261" max="261" width="12.85546875" style="509" customWidth="1"/>
    <col min="262" max="512" width="9.140625" style="509"/>
    <col min="513" max="513" width="60.28515625" style="509" customWidth="1"/>
    <col min="514" max="514" width="0" style="509" hidden="1" customWidth="1"/>
    <col min="515" max="515" width="13.7109375" style="509" customWidth="1"/>
    <col min="516" max="516" width="12.42578125" style="509" customWidth="1"/>
    <col min="517" max="517" width="12.85546875" style="509" customWidth="1"/>
    <col min="518" max="768" width="9.140625" style="509"/>
    <col min="769" max="769" width="60.28515625" style="509" customWidth="1"/>
    <col min="770" max="770" width="0" style="509" hidden="1" customWidth="1"/>
    <col min="771" max="771" width="13.7109375" style="509" customWidth="1"/>
    <col min="772" max="772" width="12.42578125" style="509" customWidth="1"/>
    <col min="773" max="773" width="12.85546875" style="509" customWidth="1"/>
    <col min="774" max="1024" width="9.140625" style="509"/>
    <col min="1025" max="1025" width="60.28515625" style="509" customWidth="1"/>
    <col min="1026" max="1026" width="0" style="509" hidden="1" customWidth="1"/>
    <col min="1027" max="1027" width="13.7109375" style="509" customWidth="1"/>
    <col min="1028" max="1028" width="12.42578125" style="509" customWidth="1"/>
    <col min="1029" max="1029" width="12.85546875" style="509" customWidth="1"/>
    <col min="1030" max="1280" width="9.140625" style="509"/>
    <col min="1281" max="1281" width="60.28515625" style="509" customWidth="1"/>
    <col min="1282" max="1282" width="0" style="509" hidden="1" customWidth="1"/>
    <col min="1283" max="1283" width="13.7109375" style="509" customWidth="1"/>
    <col min="1284" max="1284" width="12.42578125" style="509" customWidth="1"/>
    <col min="1285" max="1285" width="12.85546875" style="509" customWidth="1"/>
    <col min="1286" max="1536" width="9.140625" style="509"/>
    <col min="1537" max="1537" width="60.28515625" style="509" customWidth="1"/>
    <col min="1538" max="1538" width="0" style="509" hidden="1" customWidth="1"/>
    <col min="1539" max="1539" width="13.7109375" style="509" customWidth="1"/>
    <col min="1540" max="1540" width="12.42578125" style="509" customWidth="1"/>
    <col min="1541" max="1541" width="12.85546875" style="509" customWidth="1"/>
    <col min="1542" max="1792" width="9.140625" style="509"/>
    <col min="1793" max="1793" width="60.28515625" style="509" customWidth="1"/>
    <col min="1794" max="1794" width="0" style="509" hidden="1" customWidth="1"/>
    <col min="1795" max="1795" width="13.7109375" style="509" customWidth="1"/>
    <col min="1796" max="1796" width="12.42578125" style="509" customWidth="1"/>
    <col min="1797" max="1797" width="12.85546875" style="509" customWidth="1"/>
    <col min="1798" max="2048" width="9.140625" style="509"/>
    <col min="2049" max="2049" width="60.28515625" style="509" customWidth="1"/>
    <col min="2050" max="2050" width="0" style="509" hidden="1" customWidth="1"/>
    <col min="2051" max="2051" width="13.7109375" style="509" customWidth="1"/>
    <col min="2052" max="2052" width="12.42578125" style="509" customWidth="1"/>
    <col min="2053" max="2053" width="12.85546875" style="509" customWidth="1"/>
    <col min="2054" max="2304" width="9.140625" style="509"/>
    <col min="2305" max="2305" width="60.28515625" style="509" customWidth="1"/>
    <col min="2306" max="2306" width="0" style="509" hidden="1" customWidth="1"/>
    <col min="2307" max="2307" width="13.7109375" style="509" customWidth="1"/>
    <col min="2308" max="2308" width="12.42578125" style="509" customWidth="1"/>
    <col min="2309" max="2309" width="12.85546875" style="509" customWidth="1"/>
    <col min="2310" max="2560" width="9.140625" style="509"/>
    <col min="2561" max="2561" width="60.28515625" style="509" customWidth="1"/>
    <col min="2562" max="2562" width="0" style="509" hidden="1" customWidth="1"/>
    <col min="2563" max="2563" width="13.7109375" style="509" customWidth="1"/>
    <col min="2564" max="2564" width="12.42578125" style="509" customWidth="1"/>
    <col min="2565" max="2565" width="12.85546875" style="509" customWidth="1"/>
    <col min="2566" max="2816" width="9.140625" style="509"/>
    <col min="2817" max="2817" width="60.28515625" style="509" customWidth="1"/>
    <col min="2818" max="2818" width="0" style="509" hidden="1" customWidth="1"/>
    <col min="2819" max="2819" width="13.7109375" style="509" customWidth="1"/>
    <col min="2820" max="2820" width="12.42578125" style="509" customWidth="1"/>
    <col min="2821" max="2821" width="12.85546875" style="509" customWidth="1"/>
    <col min="2822" max="3072" width="9.140625" style="509"/>
    <col min="3073" max="3073" width="60.28515625" style="509" customWidth="1"/>
    <col min="3074" max="3074" width="0" style="509" hidden="1" customWidth="1"/>
    <col min="3075" max="3075" width="13.7109375" style="509" customWidth="1"/>
    <col min="3076" max="3076" width="12.42578125" style="509" customWidth="1"/>
    <col min="3077" max="3077" width="12.85546875" style="509" customWidth="1"/>
    <col min="3078" max="3328" width="9.140625" style="509"/>
    <col min="3329" max="3329" width="60.28515625" style="509" customWidth="1"/>
    <col min="3330" max="3330" width="0" style="509" hidden="1" customWidth="1"/>
    <col min="3331" max="3331" width="13.7109375" style="509" customWidth="1"/>
    <col min="3332" max="3332" width="12.42578125" style="509" customWidth="1"/>
    <col min="3333" max="3333" width="12.85546875" style="509" customWidth="1"/>
    <col min="3334" max="3584" width="9.140625" style="509"/>
    <col min="3585" max="3585" width="60.28515625" style="509" customWidth="1"/>
    <col min="3586" max="3586" width="0" style="509" hidden="1" customWidth="1"/>
    <col min="3587" max="3587" width="13.7109375" style="509" customWidth="1"/>
    <col min="3588" max="3588" width="12.42578125" style="509" customWidth="1"/>
    <col min="3589" max="3589" width="12.85546875" style="509" customWidth="1"/>
    <col min="3590" max="3840" width="9.140625" style="509"/>
    <col min="3841" max="3841" width="60.28515625" style="509" customWidth="1"/>
    <col min="3842" max="3842" width="0" style="509" hidden="1" customWidth="1"/>
    <col min="3843" max="3843" width="13.7109375" style="509" customWidth="1"/>
    <col min="3844" max="3844" width="12.42578125" style="509" customWidth="1"/>
    <col min="3845" max="3845" width="12.85546875" style="509" customWidth="1"/>
    <col min="3846" max="4096" width="9.140625" style="509"/>
    <col min="4097" max="4097" width="60.28515625" style="509" customWidth="1"/>
    <col min="4098" max="4098" width="0" style="509" hidden="1" customWidth="1"/>
    <col min="4099" max="4099" width="13.7109375" style="509" customWidth="1"/>
    <col min="4100" max="4100" width="12.42578125" style="509" customWidth="1"/>
    <col min="4101" max="4101" width="12.85546875" style="509" customWidth="1"/>
    <col min="4102" max="4352" width="9.140625" style="509"/>
    <col min="4353" max="4353" width="60.28515625" style="509" customWidth="1"/>
    <col min="4354" max="4354" width="0" style="509" hidden="1" customWidth="1"/>
    <col min="4355" max="4355" width="13.7109375" style="509" customWidth="1"/>
    <col min="4356" max="4356" width="12.42578125" style="509" customWidth="1"/>
    <col min="4357" max="4357" width="12.85546875" style="509" customWidth="1"/>
    <col min="4358" max="4608" width="9.140625" style="509"/>
    <col min="4609" max="4609" width="60.28515625" style="509" customWidth="1"/>
    <col min="4610" max="4610" width="0" style="509" hidden="1" customWidth="1"/>
    <col min="4611" max="4611" width="13.7109375" style="509" customWidth="1"/>
    <col min="4612" max="4612" width="12.42578125" style="509" customWidth="1"/>
    <col min="4613" max="4613" width="12.85546875" style="509" customWidth="1"/>
    <col min="4614" max="4864" width="9.140625" style="509"/>
    <col min="4865" max="4865" width="60.28515625" style="509" customWidth="1"/>
    <col min="4866" max="4866" width="0" style="509" hidden="1" customWidth="1"/>
    <col min="4867" max="4867" width="13.7109375" style="509" customWidth="1"/>
    <col min="4868" max="4868" width="12.42578125" style="509" customWidth="1"/>
    <col min="4869" max="4869" width="12.85546875" style="509" customWidth="1"/>
    <col min="4870" max="5120" width="9.140625" style="509"/>
    <col min="5121" max="5121" width="60.28515625" style="509" customWidth="1"/>
    <col min="5122" max="5122" width="0" style="509" hidden="1" customWidth="1"/>
    <col min="5123" max="5123" width="13.7109375" style="509" customWidth="1"/>
    <col min="5124" max="5124" width="12.42578125" style="509" customWidth="1"/>
    <col min="5125" max="5125" width="12.85546875" style="509" customWidth="1"/>
    <col min="5126" max="5376" width="9.140625" style="509"/>
    <col min="5377" max="5377" width="60.28515625" style="509" customWidth="1"/>
    <col min="5378" max="5378" width="0" style="509" hidden="1" customWidth="1"/>
    <col min="5379" max="5379" width="13.7109375" style="509" customWidth="1"/>
    <col min="5380" max="5380" width="12.42578125" style="509" customWidth="1"/>
    <col min="5381" max="5381" width="12.85546875" style="509" customWidth="1"/>
    <col min="5382" max="5632" width="9.140625" style="509"/>
    <col min="5633" max="5633" width="60.28515625" style="509" customWidth="1"/>
    <col min="5634" max="5634" width="0" style="509" hidden="1" customWidth="1"/>
    <col min="5635" max="5635" width="13.7109375" style="509" customWidth="1"/>
    <col min="5636" max="5636" width="12.42578125" style="509" customWidth="1"/>
    <col min="5637" max="5637" width="12.85546875" style="509" customWidth="1"/>
    <col min="5638" max="5888" width="9.140625" style="509"/>
    <col min="5889" max="5889" width="60.28515625" style="509" customWidth="1"/>
    <col min="5890" max="5890" width="0" style="509" hidden="1" customWidth="1"/>
    <col min="5891" max="5891" width="13.7109375" style="509" customWidth="1"/>
    <col min="5892" max="5892" width="12.42578125" style="509" customWidth="1"/>
    <col min="5893" max="5893" width="12.85546875" style="509" customWidth="1"/>
    <col min="5894" max="6144" width="9.140625" style="509"/>
    <col min="6145" max="6145" width="60.28515625" style="509" customWidth="1"/>
    <col min="6146" max="6146" width="0" style="509" hidden="1" customWidth="1"/>
    <col min="6147" max="6147" width="13.7109375" style="509" customWidth="1"/>
    <col min="6148" max="6148" width="12.42578125" style="509" customWidth="1"/>
    <col min="6149" max="6149" width="12.85546875" style="509" customWidth="1"/>
    <col min="6150" max="6400" width="9.140625" style="509"/>
    <col min="6401" max="6401" width="60.28515625" style="509" customWidth="1"/>
    <col min="6402" max="6402" width="0" style="509" hidden="1" customWidth="1"/>
    <col min="6403" max="6403" width="13.7109375" style="509" customWidth="1"/>
    <col min="6404" max="6404" width="12.42578125" style="509" customWidth="1"/>
    <col min="6405" max="6405" width="12.85546875" style="509" customWidth="1"/>
    <col min="6406" max="6656" width="9.140625" style="509"/>
    <col min="6657" max="6657" width="60.28515625" style="509" customWidth="1"/>
    <col min="6658" max="6658" width="0" style="509" hidden="1" customWidth="1"/>
    <col min="6659" max="6659" width="13.7109375" style="509" customWidth="1"/>
    <col min="6660" max="6660" width="12.42578125" style="509" customWidth="1"/>
    <col min="6661" max="6661" width="12.85546875" style="509" customWidth="1"/>
    <col min="6662" max="6912" width="9.140625" style="509"/>
    <col min="6913" max="6913" width="60.28515625" style="509" customWidth="1"/>
    <col min="6914" max="6914" width="0" style="509" hidden="1" customWidth="1"/>
    <col min="6915" max="6915" width="13.7109375" style="509" customWidth="1"/>
    <col min="6916" max="6916" width="12.42578125" style="509" customWidth="1"/>
    <col min="6917" max="6917" width="12.85546875" style="509" customWidth="1"/>
    <col min="6918" max="7168" width="9.140625" style="509"/>
    <col min="7169" max="7169" width="60.28515625" style="509" customWidth="1"/>
    <col min="7170" max="7170" width="0" style="509" hidden="1" customWidth="1"/>
    <col min="7171" max="7171" width="13.7109375" style="509" customWidth="1"/>
    <col min="7172" max="7172" width="12.42578125" style="509" customWidth="1"/>
    <col min="7173" max="7173" width="12.85546875" style="509" customWidth="1"/>
    <col min="7174" max="7424" width="9.140625" style="509"/>
    <col min="7425" max="7425" width="60.28515625" style="509" customWidth="1"/>
    <col min="7426" max="7426" width="0" style="509" hidden="1" customWidth="1"/>
    <col min="7427" max="7427" width="13.7109375" style="509" customWidth="1"/>
    <col min="7428" max="7428" width="12.42578125" style="509" customWidth="1"/>
    <col min="7429" max="7429" width="12.85546875" style="509" customWidth="1"/>
    <col min="7430" max="7680" width="9.140625" style="509"/>
    <col min="7681" max="7681" width="60.28515625" style="509" customWidth="1"/>
    <col min="7682" max="7682" width="0" style="509" hidden="1" customWidth="1"/>
    <col min="7683" max="7683" width="13.7109375" style="509" customWidth="1"/>
    <col min="7684" max="7684" width="12.42578125" style="509" customWidth="1"/>
    <col min="7685" max="7685" width="12.85546875" style="509" customWidth="1"/>
    <col min="7686" max="7936" width="9.140625" style="509"/>
    <col min="7937" max="7937" width="60.28515625" style="509" customWidth="1"/>
    <col min="7938" max="7938" width="0" style="509" hidden="1" customWidth="1"/>
    <col min="7939" max="7939" width="13.7109375" style="509" customWidth="1"/>
    <col min="7940" max="7940" width="12.42578125" style="509" customWidth="1"/>
    <col min="7941" max="7941" width="12.85546875" style="509" customWidth="1"/>
    <col min="7942" max="8192" width="9.140625" style="509"/>
    <col min="8193" max="8193" width="60.28515625" style="509" customWidth="1"/>
    <col min="8194" max="8194" width="0" style="509" hidden="1" customWidth="1"/>
    <col min="8195" max="8195" width="13.7109375" style="509" customWidth="1"/>
    <col min="8196" max="8196" width="12.42578125" style="509" customWidth="1"/>
    <col min="8197" max="8197" width="12.85546875" style="509" customWidth="1"/>
    <col min="8198" max="8448" width="9.140625" style="509"/>
    <col min="8449" max="8449" width="60.28515625" style="509" customWidth="1"/>
    <col min="8450" max="8450" width="0" style="509" hidden="1" customWidth="1"/>
    <col min="8451" max="8451" width="13.7109375" style="509" customWidth="1"/>
    <col min="8452" max="8452" width="12.42578125" style="509" customWidth="1"/>
    <col min="8453" max="8453" width="12.85546875" style="509" customWidth="1"/>
    <col min="8454" max="8704" width="9.140625" style="509"/>
    <col min="8705" max="8705" width="60.28515625" style="509" customWidth="1"/>
    <col min="8706" max="8706" width="0" style="509" hidden="1" customWidth="1"/>
    <col min="8707" max="8707" width="13.7109375" style="509" customWidth="1"/>
    <col min="8708" max="8708" width="12.42578125" style="509" customWidth="1"/>
    <col min="8709" max="8709" width="12.85546875" style="509" customWidth="1"/>
    <col min="8710" max="8960" width="9.140625" style="509"/>
    <col min="8961" max="8961" width="60.28515625" style="509" customWidth="1"/>
    <col min="8962" max="8962" width="0" style="509" hidden="1" customWidth="1"/>
    <col min="8963" max="8963" width="13.7109375" style="509" customWidth="1"/>
    <col min="8964" max="8964" width="12.42578125" style="509" customWidth="1"/>
    <col min="8965" max="8965" width="12.85546875" style="509" customWidth="1"/>
    <col min="8966" max="9216" width="9.140625" style="509"/>
    <col min="9217" max="9217" width="60.28515625" style="509" customWidth="1"/>
    <col min="9218" max="9218" width="0" style="509" hidden="1" customWidth="1"/>
    <col min="9219" max="9219" width="13.7109375" style="509" customWidth="1"/>
    <col min="9220" max="9220" width="12.42578125" style="509" customWidth="1"/>
    <col min="9221" max="9221" width="12.85546875" style="509" customWidth="1"/>
    <col min="9222" max="9472" width="9.140625" style="509"/>
    <col min="9473" max="9473" width="60.28515625" style="509" customWidth="1"/>
    <col min="9474" max="9474" width="0" style="509" hidden="1" customWidth="1"/>
    <col min="9475" max="9475" width="13.7109375" style="509" customWidth="1"/>
    <col min="9476" max="9476" width="12.42578125" style="509" customWidth="1"/>
    <col min="9477" max="9477" width="12.85546875" style="509" customWidth="1"/>
    <col min="9478" max="9728" width="9.140625" style="509"/>
    <col min="9729" max="9729" width="60.28515625" style="509" customWidth="1"/>
    <col min="9730" max="9730" width="0" style="509" hidden="1" customWidth="1"/>
    <col min="9731" max="9731" width="13.7109375" style="509" customWidth="1"/>
    <col min="9732" max="9732" width="12.42578125" style="509" customWidth="1"/>
    <col min="9733" max="9733" width="12.85546875" style="509" customWidth="1"/>
    <col min="9734" max="9984" width="9.140625" style="509"/>
    <col min="9985" max="9985" width="60.28515625" style="509" customWidth="1"/>
    <col min="9986" max="9986" width="0" style="509" hidden="1" customWidth="1"/>
    <col min="9987" max="9987" width="13.7109375" style="509" customWidth="1"/>
    <col min="9988" max="9988" width="12.42578125" style="509" customWidth="1"/>
    <col min="9989" max="9989" width="12.85546875" style="509" customWidth="1"/>
    <col min="9990" max="10240" width="9.140625" style="509"/>
    <col min="10241" max="10241" width="60.28515625" style="509" customWidth="1"/>
    <col min="10242" max="10242" width="0" style="509" hidden="1" customWidth="1"/>
    <col min="10243" max="10243" width="13.7109375" style="509" customWidth="1"/>
    <col min="10244" max="10244" width="12.42578125" style="509" customWidth="1"/>
    <col min="10245" max="10245" width="12.85546875" style="509" customWidth="1"/>
    <col min="10246" max="10496" width="9.140625" style="509"/>
    <col min="10497" max="10497" width="60.28515625" style="509" customWidth="1"/>
    <col min="10498" max="10498" width="0" style="509" hidden="1" customWidth="1"/>
    <col min="10499" max="10499" width="13.7109375" style="509" customWidth="1"/>
    <col min="10500" max="10500" width="12.42578125" style="509" customWidth="1"/>
    <col min="10501" max="10501" width="12.85546875" style="509" customWidth="1"/>
    <col min="10502" max="10752" width="9.140625" style="509"/>
    <col min="10753" max="10753" width="60.28515625" style="509" customWidth="1"/>
    <col min="10754" max="10754" width="0" style="509" hidden="1" customWidth="1"/>
    <col min="10755" max="10755" width="13.7109375" style="509" customWidth="1"/>
    <col min="10756" max="10756" width="12.42578125" style="509" customWidth="1"/>
    <col min="10757" max="10757" width="12.85546875" style="509" customWidth="1"/>
    <col min="10758" max="11008" width="9.140625" style="509"/>
    <col min="11009" max="11009" width="60.28515625" style="509" customWidth="1"/>
    <col min="11010" max="11010" width="0" style="509" hidden="1" customWidth="1"/>
    <col min="11011" max="11011" width="13.7109375" style="509" customWidth="1"/>
    <col min="11012" max="11012" width="12.42578125" style="509" customWidth="1"/>
    <col min="11013" max="11013" width="12.85546875" style="509" customWidth="1"/>
    <col min="11014" max="11264" width="9.140625" style="509"/>
    <col min="11265" max="11265" width="60.28515625" style="509" customWidth="1"/>
    <col min="11266" max="11266" width="0" style="509" hidden="1" customWidth="1"/>
    <col min="11267" max="11267" width="13.7109375" style="509" customWidth="1"/>
    <col min="11268" max="11268" width="12.42578125" style="509" customWidth="1"/>
    <col min="11269" max="11269" width="12.85546875" style="509" customWidth="1"/>
    <col min="11270" max="11520" width="9.140625" style="509"/>
    <col min="11521" max="11521" width="60.28515625" style="509" customWidth="1"/>
    <col min="11522" max="11522" width="0" style="509" hidden="1" customWidth="1"/>
    <col min="11523" max="11523" width="13.7109375" style="509" customWidth="1"/>
    <col min="11524" max="11524" width="12.42578125" style="509" customWidth="1"/>
    <col min="11525" max="11525" width="12.85546875" style="509" customWidth="1"/>
    <col min="11526" max="11776" width="9.140625" style="509"/>
    <col min="11777" max="11777" width="60.28515625" style="509" customWidth="1"/>
    <col min="11778" max="11778" width="0" style="509" hidden="1" customWidth="1"/>
    <col min="11779" max="11779" width="13.7109375" style="509" customWidth="1"/>
    <col min="11780" max="11780" width="12.42578125" style="509" customWidth="1"/>
    <col min="11781" max="11781" width="12.85546875" style="509" customWidth="1"/>
    <col min="11782" max="12032" width="9.140625" style="509"/>
    <col min="12033" max="12033" width="60.28515625" style="509" customWidth="1"/>
    <col min="12034" max="12034" width="0" style="509" hidden="1" customWidth="1"/>
    <col min="12035" max="12035" width="13.7109375" style="509" customWidth="1"/>
    <col min="12036" max="12036" width="12.42578125" style="509" customWidth="1"/>
    <col min="12037" max="12037" width="12.85546875" style="509" customWidth="1"/>
    <col min="12038" max="12288" width="9.140625" style="509"/>
    <col min="12289" max="12289" width="60.28515625" style="509" customWidth="1"/>
    <col min="12290" max="12290" width="0" style="509" hidden="1" customWidth="1"/>
    <col min="12291" max="12291" width="13.7109375" style="509" customWidth="1"/>
    <col min="12292" max="12292" width="12.42578125" style="509" customWidth="1"/>
    <col min="12293" max="12293" width="12.85546875" style="509" customWidth="1"/>
    <col min="12294" max="12544" width="9.140625" style="509"/>
    <col min="12545" max="12545" width="60.28515625" style="509" customWidth="1"/>
    <col min="12546" max="12546" width="0" style="509" hidden="1" customWidth="1"/>
    <col min="12547" max="12547" width="13.7109375" style="509" customWidth="1"/>
    <col min="12548" max="12548" width="12.42578125" style="509" customWidth="1"/>
    <col min="12549" max="12549" width="12.85546875" style="509" customWidth="1"/>
    <col min="12550" max="12800" width="9.140625" style="509"/>
    <col min="12801" max="12801" width="60.28515625" style="509" customWidth="1"/>
    <col min="12802" max="12802" width="0" style="509" hidden="1" customWidth="1"/>
    <col min="12803" max="12803" width="13.7109375" style="509" customWidth="1"/>
    <col min="12804" max="12804" width="12.42578125" style="509" customWidth="1"/>
    <col min="12805" max="12805" width="12.85546875" style="509" customWidth="1"/>
    <col min="12806" max="13056" width="9.140625" style="509"/>
    <col min="13057" max="13057" width="60.28515625" style="509" customWidth="1"/>
    <col min="13058" max="13058" width="0" style="509" hidden="1" customWidth="1"/>
    <col min="13059" max="13059" width="13.7109375" style="509" customWidth="1"/>
    <col min="13060" max="13060" width="12.42578125" style="509" customWidth="1"/>
    <col min="13061" max="13061" width="12.85546875" style="509" customWidth="1"/>
    <col min="13062" max="13312" width="9.140625" style="509"/>
    <col min="13313" max="13313" width="60.28515625" style="509" customWidth="1"/>
    <col min="13314" max="13314" width="0" style="509" hidden="1" customWidth="1"/>
    <col min="13315" max="13315" width="13.7109375" style="509" customWidth="1"/>
    <col min="13316" max="13316" width="12.42578125" style="509" customWidth="1"/>
    <col min="13317" max="13317" width="12.85546875" style="509" customWidth="1"/>
    <col min="13318" max="13568" width="9.140625" style="509"/>
    <col min="13569" max="13569" width="60.28515625" style="509" customWidth="1"/>
    <col min="13570" max="13570" width="0" style="509" hidden="1" customWidth="1"/>
    <col min="13571" max="13571" width="13.7109375" style="509" customWidth="1"/>
    <col min="13572" max="13572" width="12.42578125" style="509" customWidth="1"/>
    <col min="13573" max="13573" width="12.85546875" style="509" customWidth="1"/>
    <col min="13574" max="13824" width="9.140625" style="509"/>
    <col min="13825" max="13825" width="60.28515625" style="509" customWidth="1"/>
    <col min="13826" max="13826" width="0" style="509" hidden="1" customWidth="1"/>
    <col min="13827" max="13827" width="13.7109375" style="509" customWidth="1"/>
    <col min="13828" max="13828" width="12.42578125" style="509" customWidth="1"/>
    <col min="13829" max="13829" width="12.85546875" style="509" customWidth="1"/>
    <col min="13830" max="14080" width="9.140625" style="509"/>
    <col min="14081" max="14081" width="60.28515625" style="509" customWidth="1"/>
    <col min="14082" max="14082" width="0" style="509" hidden="1" customWidth="1"/>
    <col min="14083" max="14083" width="13.7109375" style="509" customWidth="1"/>
    <col min="14084" max="14084" width="12.42578125" style="509" customWidth="1"/>
    <col min="14085" max="14085" width="12.85546875" style="509" customWidth="1"/>
    <col min="14086" max="14336" width="9.140625" style="509"/>
    <col min="14337" max="14337" width="60.28515625" style="509" customWidth="1"/>
    <col min="14338" max="14338" width="0" style="509" hidden="1" customWidth="1"/>
    <col min="14339" max="14339" width="13.7109375" style="509" customWidth="1"/>
    <col min="14340" max="14340" width="12.42578125" style="509" customWidth="1"/>
    <col min="14341" max="14341" width="12.85546875" style="509" customWidth="1"/>
    <col min="14342" max="14592" width="9.140625" style="509"/>
    <col min="14593" max="14593" width="60.28515625" style="509" customWidth="1"/>
    <col min="14594" max="14594" width="0" style="509" hidden="1" customWidth="1"/>
    <col min="14595" max="14595" width="13.7109375" style="509" customWidth="1"/>
    <col min="14596" max="14596" width="12.42578125" style="509" customWidth="1"/>
    <col min="14597" max="14597" width="12.85546875" style="509" customWidth="1"/>
    <col min="14598" max="14848" width="9.140625" style="509"/>
    <col min="14849" max="14849" width="60.28515625" style="509" customWidth="1"/>
    <col min="14850" max="14850" width="0" style="509" hidden="1" customWidth="1"/>
    <col min="14851" max="14851" width="13.7109375" style="509" customWidth="1"/>
    <col min="14852" max="14852" width="12.42578125" style="509" customWidth="1"/>
    <col min="14853" max="14853" width="12.85546875" style="509" customWidth="1"/>
    <col min="14854" max="15104" width="9.140625" style="509"/>
    <col min="15105" max="15105" width="60.28515625" style="509" customWidth="1"/>
    <col min="15106" max="15106" width="0" style="509" hidden="1" customWidth="1"/>
    <col min="15107" max="15107" width="13.7109375" style="509" customWidth="1"/>
    <col min="15108" max="15108" width="12.42578125" style="509" customWidth="1"/>
    <col min="15109" max="15109" width="12.85546875" style="509" customWidth="1"/>
    <col min="15110" max="15360" width="9.140625" style="509"/>
    <col min="15361" max="15361" width="60.28515625" style="509" customWidth="1"/>
    <col min="15362" max="15362" width="0" style="509" hidden="1" customWidth="1"/>
    <col min="15363" max="15363" width="13.7109375" style="509" customWidth="1"/>
    <col min="15364" max="15364" width="12.42578125" style="509" customWidth="1"/>
    <col min="15365" max="15365" width="12.85546875" style="509" customWidth="1"/>
    <col min="15366" max="15616" width="9.140625" style="509"/>
    <col min="15617" max="15617" width="60.28515625" style="509" customWidth="1"/>
    <col min="15618" max="15618" width="0" style="509" hidden="1" customWidth="1"/>
    <col min="15619" max="15619" width="13.7109375" style="509" customWidth="1"/>
    <col min="15620" max="15620" width="12.42578125" style="509" customWidth="1"/>
    <col min="15621" max="15621" width="12.85546875" style="509" customWidth="1"/>
    <col min="15622" max="15872" width="9.140625" style="509"/>
    <col min="15873" max="15873" width="60.28515625" style="509" customWidth="1"/>
    <col min="15874" max="15874" width="0" style="509" hidden="1" customWidth="1"/>
    <col min="15875" max="15875" width="13.7109375" style="509" customWidth="1"/>
    <col min="15876" max="15876" width="12.42578125" style="509" customWidth="1"/>
    <col min="15877" max="15877" width="12.85546875" style="509" customWidth="1"/>
    <col min="15878" max="16128" width="9.140625" style="509"/>
    <col min="16129" max="16129" width="60.28515625" style="509" customWidth="1"/>
    <col min="16130" max="16130" width="0" style="509" hidden="1" customWidth="1"/>
    <col min="16131" max="16131" width="13.7109375" style="509" customWidth="1"/>
    <col min="16132" max="16132" width="12.42578125" style="509" customWidth="1"/>
    <col min="16133" max="16133" width="12.85546875" style="509" customWidth="1"/>
    <col min="16134" max="16384" width="9.140625" style="509"/>
  </cols>
  <sheetData>
    <row r="1" spans="1:6" x14ac:dyDescent="0.2">
      <c r="B1" s="873" t="str">
        <f>'7.33 pályázatok összesen'!C4</f>
        <v xml:space="preserve"> 12 / 2020. (VI.15) sz rendelet</v>
      </c>
      <c r="C1" s="873"/>
      <c r="D1" s="873"/>
      <c r="E1" s="873"/>
      <c r="F1" s="873"/>
    </row>
    <row r="3" spans="1:6" ht="51" customHeight="1" x14ac:dyDescent="0.2">
      <c r="A3" s="943" t="s">
        <v>815</v>
      </c>
      <c r="B3" s="943"/>
      <c r="C3" s="943"/>
      <c r="D3" s="943"/>
      <c r="E3" s="943"/>
      <c r="F3" s="943"/>
    </row>
    <row r="4" spans="1:6" ht="21" customHeight="1" x14ac:dyDescent="0.2">
      <c r="A4" s="514"/>
      <c r="B4" s="514"/>
      <c r="C4" s="649"/>
      <c r="D4" s="649"/>
      <c r="E4" s="514"/>
      <c r="F4" s="514"/>
    </row>
    <row r="5" spans="1:6" ht="21" customHeight="1" x14ac:dyDescent="0.2">
      <c r="A5" s="514"/>
      <c r="B5" s="514"/>
      <c r="C5" s="649"/>
      <c r="D5" s="649"/>
      <c r="E5" s="514"/>
      <c r="F5" s="514"/>
    </row>
    <row r="6" spans="1:6" ht="21" customHeight="1" x14ac:dyDescent="0.2">
      <c r="A6" s="514"/>
      <c r="B6" s="514"/>
      <c r="C6" s="649"/>
      <c r="D6" s="520" t="s">
        <v>295</v>
      </c>
      <c r="E6" s="829" t="str">
        <f>'9 adosságáll'!H6</f>
        <v xml:space="preserve"> melléklet az 12/2020. (VI.15.) rendelethez</v>
      </c>
      <c r="F6" s="717"/>
    </row>
    <row r="7" spans="1:6" ht="18.75" customHeight="1" x14ac:dyDescent="0.2">
      <c r="A7" s="495"/>
      <c r="B7" s="495"/>
      <c r="C7" s="650"/>
      <c r="D7" s="650"/>
      <c r="E7" s="509"/>
      <c r="F7" s="716"/>
    </row>
    <row r="8" spans="1:6" x14ac:dyDescent="0.2">
      <c r="A8" s="496" t="s">
        <v>318</v>
      </c>
      <c r="B8" s="496" t="s">
        <v>319</v>
      </c>
      <c r="C8" s="496">
        <v>2019</v>
      </c>
      <c r="D8" s="496">
        <v>2020</v>
      </c>
      <c r="E8" s="496">
        <v>2021</v>
      </c>
      <c r="F8" s="496">
        <v>2022</v>
      </c>
    </row>
    <row r="9" spans="1:6" x14ac:dyDescent="0.2">
      <c r="A9" s="497" t="s">
        <v>688</v>
      </c>
      <c r="B9" s="498" t="s">
        <v>689</v>
      </c>
      <c r="C9" s="651">
        <v>502464187</v>
      </c>
      <c r="D9" s="864">
        <v>478000000</v>
      </c>
      <c r="E9" s="865">
        <v>478000000</v>
      </c>
      <c r="F9" s="865">
        <v>478000000</v>
      </c>
    </row>
    <row r="10" spans="1:6" x14ac:dyDescent="0.2">
      <c r="A10" s="497" t="s">
        <v>690</v>
      </c>
      <c r="B10" s="498" t="s">
        <v>102</v>
      </c>
      <c r="C10" s="651"/>
      <c r="D10" s="864"/>
      <c r="E10" s="865"/>
      <c r="F10" s="865"/>
    </row>
    <row r="11" spans="1:6" x14ac:dyDescent="0.2">
      <c r="A11" s="497" t="s">
        <v>691</v>
      </c>
      <c r="B11" s="498" t="s">
        <v>692</v>
      </c>
      <c r="C11" s="499">
        <v>13089268</v>
      </c>
      <c r="D11" s="865">
        <v>12000000</v>
      </c>
      <c r="E11" s="865">
        <v>12000000</v>
      </c>
      <c r="F11" s="865">
        <v>12000000</v>
      </c>
    </row>
    <row r="12" spans="1:6" x14ac:dyDescent="0.2">
      <c r="A12" s="497" t="s">
        <v>693</v>
      </c>
      <c r="B12" s="498" t="s">
        <v>718</v>
      </c>
      <c r="C12" s="499">
        <v>9298826</v>
      </c>
      <c r="D12" s="499"/>
      <c r="E12" s="499"/>
      <c r="F12" s="499"/>
    </row>
    <row r="13" spans="1:6" ht="25.5" x14ac:dyDescent="0.2">
      <c r="A13" s="497" t="s">
        <v>694</v>
      </c>
      <c r="B13" s="498" t="s">
        <v>695</v>
      </c>
      <c r="C13" s="651"/>
      <c r="D13" s="651"/>
      <c r="E13" s="499"/>
      <c r="F13" s="499"/>
    </row>
    <row r="14" spans="1:6" x14ac:dyDescent="0.2">
      <c r="A14" s="497" t="s">
        <v>696</v>
      </c>
      <c r="B14" s="498" t="s">
        <v>697</v>
      </c>
      <c r="C14" s="651"/>
      <c r="D14" s="651"/>
      <c r="E14" s="499"/>
      <c r="F14" s="499"/>
    </row>
    <row r="15" spans="1:6" x14ac:dyDescent="0.2">
      <c r="A15" s="497" t="s">
        <v>698</v>
      </c>
      <c r="B15" s="498" t="s">
        <v>699</v>
      </c>
      <c r="C15" s="651"/>
      <c r="D15" s="651"/>
      <c r="E15" s="499"/>
      <c r="F15" s="499"/>
    </row>
    <row r="16" spans="1:6" x14ac:dyDescent="0.2">
      <c r="A16" s="500" t="s">
        <v>700</v>
      </c>
      <c r="B16" s="501" t="s">
        <v>701</v>
      </c>
      <c r="C16" s="502">
        <f t="shared" ref="C16:D16" si="0">SUM(C9:C15)</f>
        <v>524852281</v>
      </c>
      <c r="D16" s="502">
        <f t="shared" si="0"/>
        <v>490000000</v>
      </c>
      <c r="E16" s="502">
        <f>SUM(E9:E15)</f>
        <v>490000000</v>
      </c>
      <c r="F16" s="502">
        <f>SUM(F9:F15)</f>
        <v>490000000</v>
      </c>
    </row>
    <row r="17" spans="1:6" x14ac:dyDescent="0.2">
      <c r="A17" s="503" t="s">
        <v>702</v>
      </c>
      <c r="B17" s="504" t="s">
        <v>703</v>
      </c>
      <c r="C17" s="505">
        <f t="shared" ref="C17:D17" si="1">C16*0.5</f>
        <v>262426140.5</v>
      </c>
      <c r="D17" s="505">
        <f t="shared" si="1"/>
        <v>245000000</v>
      </c>
      <c r="E17" s="505">
        <f>E16*0.5</f>
        <v>245000000</v>
      </c>
      <c r="F17" s="505">
        <f>F16*0.5</f>
        <v>245000000</v>
      </c>
    </row>
    <row r="18" spans="1:6" ht="25.5" x14ac:dyDescent="0.2">
      <c r="A18" s="500" t="s">
        <v>499</v>
      </c>
      <c r="B18" s="501" t="s">
        <v>704</v>
      </c>
      <c r="C18" s="502">
        <f t="shared" ref="C18:D18" si="2">SUM(C19:C25)</f>
        <v>0</v>
      </c>
      <c r="D18" s="502">
        <f t="shared" si="2"/>
        <v>0</v>
      </c>
      <c r="E18" s="502">
        <f>SUM(E19:E25)</f>
        <v>0</v>
      </c>
      <c r="F18" s="502">
        <f>SUM(F19:F25)</f>
        <v>0</v>
      </c>
    </row>
    <row r="19" spans="1:6" x14ac:dyDescent="0.2">
      <c r="A19" s="497" t="s">
        <v>500</v>
      </c>
      <c r="B19" s="498" t="s">
        <v>705</v>
      </c>
      <c r="C19" s="651"/>
      <c r="D19" s="651"/>
      <c r="E19" s="499"/>
      <c r="F19" s="499"/>
    </row>
    <row r="20" spans="1:6" x14ac:dyDescent="0.2">
      <c r="A20" s="497" t="s">
        <v>501</v>
      </c>
      <c r="B20" s="498" t="s">
        <v>706</v>
      </c>
      <c r="C20" s="651"/>
      <c r="D20" s="651"/>
      <c r="E20" s="499"/>
      <c r="F20" s="499"/>
    </row>
    <row r="21" spans="1:6" x14ac:dyDescent="0.2">
      <c r="A21" s="497" t="s">
        <v>502</v>
      </c>
      <c r="B21" s="498" t="s">
        <v>707</v>
      </c>
      <c r="C21" s="651"/>
      <c r="D21" s="651"/>
      <c r="E21" s="499"/>
      <c r="F21" s="499"/>
    </row>
    <row r="22" spans="1:6" x14ac:dyDescent="0.2">
      <c r="A22" s="497" t="s">
        <v>617</v>
      </c>
      <c r="B22" s="498" t="s">
        <v>708</v>
      </c>
      <c r="C22" s="651"/>
      <c r="D22" s="651"/>
      <c r="E22" s="499"/>
      <c r="F22" s="499"/>
    </row>
    <row r="23" spans="1:6" x14ac:dyDescent="0.2">
      <c r="A23" s="497" t="s">
        <v>503</v>
      </c>
      <c r="B23" s="498" t="s">
        <v>709</v>
      </c>
      <c r="C23" s="651"/>
      <c r="D23" s="651"/>
      <c r="E23" s="499"/>
      <c r="F23" s="499"/>
    </row>
    <row r="24" spans="1:6" x14ac:dyDescent="0.2">
      <c r="A24" s="497" t="s">
        <v>504</v>
      </c>
      <c r="B24" s="498" t="s">
        <v>710</v>
      </c>
      <c r="C24" s="651"/>
      <c r="D24" s="651"/>
      <c r="E24" s="499"/>
      <c r="F24" s="499"/>
    </row>
    <row r="25" spans="1:6" x14ac:dyDescent="0.2">
      <c r="A25" s="497" t="s">
        <v>505</v>
      </c>
      <c r="B25" s="498" t="s">
        <v>711</v>
      </c>
      <c r="C25" s="651"/>
      <c r="D25" s="651"/>
      <c r="E25" s="499"/>
      <c r="F25" s="499"/>
    </row>
    <row r="26" spans="1:6" ht="25.5" x14ac:dyDescent="0.2">
      <c r="A26" s="500" t="s">
        <v>506</v>
      </c>
      <c r="B26" s="501" t="s">
        <v>712</v>
      </c>
      <c r="C26" s="652"/>
      <c r="D26" s="652"/>
      <c r="E26" s="502">
        <f>SUM(E27:E33)</f>
        <v>0</v>
      </c>
      <c r="F26" s="502">
        <f>SUM(F27:F33)</f>
        <v>0</v>
      </c>
    </row>
    <row r="27" spans="1:6" x14ac:dyDescent="0.2">
      <c r="A27" s="497" t="s">
        <v>507</v>
      </c>
      <c r="B27" s="498" t="s">
        <v>705</v>
      </c>
      <c r="C27" s="651"/>
      <c r="D27" s="651"/>
      <c r="E27" s="499"/>
      <c r="F27" s="499"/>
    </row>
    <row r="28" spans="1:6" x14ac:dyDescent="0.2">
      <c r="A28" s="497" t="s">
        <v>508</v>
      </c>
      <c r="B28" s="498" t="s">
        <v>706</v>
      </c>
      <c r="C28" s="651"/>
      <c r="D28" s="651"/>
      <c r="E28" s="499"/>
      <c r="F28" s="499"/>
    </row>
    <row r="29" spans="1:6" x14ac:dyDescent="0.2">
      <c r="A29" s="497" t="s">
        <v>509</v>
      </c>
      <c r="B29" s="498" t="s">
        <v>707</v>
      </c>
      <c r="C29" s="651"/>
      <c r="D29" s="651"/>
      <c r="E29" s="499"/>
      <c r="F29" s="499"/>
    </row>
    <row r="30" spans="1:6" x14ac:dyDescent="0.2">
      <c r="A30" s="497" t="s">
        <v>510</v>
      </c>
      <c r="B30" s="498" t="s">
        <v>708</v>
      </c>
      <c r="C30" s="651"/>
      <c r="D30" s="651"/>
      <c r="E30" s="499"/>
      <c r="F30" s="499"/>
    </row>
    <row r="31" spans="1:6" x14ac:dyDescent="0.2">
      <c r="A31" s="497" t="s">
        <v>511</v>
      </c>
      <c r="B31" s="498" t="s">
        <v>709</v>
      </c>
      <c r="C31" s="651"/>
      <c r="D31" s="651"/>
      <c r="E31" s="499"/>
      <c r="F31" s="499"/>
    </row>
    <row r="32" spans="1:6" x14ac:dyDescent="0.2">
      <c r="A32" s="497" t="s">
        <v>713</v>
      </c>
      <c r="B32" s="498" t="s">
        <v>710</v>
      </c>
      <c r="C32" s="651"/>
      <c r="D32" s="651"/>
      <c r="E32" s="499"/>
      <c r="F32" s="499"/>
    </row>
    <row r="33" spans="1:6" x14ac:dyDescent="0.2">
      <c r="A33" s="497" t="s">
        <v>714</v>
      </c>
      <c r="B33" s="498" t="s">
        <v>715</v>
      </c>
      <c r="C33" s="651"/>
      <c r="D33" s="651"/>
      <c r="E33" s="499"/>
      <c r="F33" s="499"/>
    </row>
    <row r="34" spans="1:6" x14ac:dyDescent="0.2">
      <c r="A34" s="503" t="s">
        <v>512</v>
      </c>
      <c r="B34" s="504" t="s">
        <v>716</v>
      </c>
      <c r="C34" s="505">
        <f t="shared" ref="C34:D34" si="3">C18+C26</f>
        <v>0</v>
      </c>
      <c r="D34" s="505">
        <f t="shared" si="3"/>
        <v>0</v>
      </c>
      <c r="E34" s="505">
        <f>E18+E26</f>
        <v>0</v>
      </c>
      <c r="F34" s="505">
        <f>F18+F26</f>
        <v>0</v>
      </c>
    </row>
    <row r="35" spans="1:6" x14ac:dyDescent="0.2">
      <c r="A35" s="506" t="s">
        <v>513</v>
      </c>
      <c r="B35" s="507" t="s">
        <v>717</v>
      </c>
      <c r="C35" s="508">
        <f t="shared" ref="C35:D35" si="4">C17-C34</f>
        <v>262426140.5</v>
      </c>
      <c r="D35" s="508">
        <f t="shared" si="4"/>
        <v>245000000</v>
      </c>
      <c r="E35" s="508">
        <f>E17-E34</f>
        <v>245000000</v>
      </c>
      <c r="F35" s="508">
        <f>F17-F34</f>
        <v>245000000</v>
      </c>
    </row>
  </sheetData>
  <mergeCells count="2">
    <mergeCell ref="A3:F3"/>
    <mergeCell ref="B1:F1"/>
  </mergeCells>
  <phoneticPr fontId="56" type="noConversion"/>
  <pageMargins left="1.35" right="0.15748031496062992" top="0.6" bottom="0.43307086614173229" header="0.48" footer="0.31496062992125984"/>
  <pageSetup paperSize="9" scale="80" orientation="landscape" horizontalDpi="300" verticalDpi="300" r:id="rId1"/>
  <headerFooter>
    <oddFooter>&amp;R&amp;P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73"/>
  <sheetViews>
    <sheetView zoomScaleNormal="100" workbookViewId="0">
      <selection activeCell="H27" sqref="H27:H28"/>
    </sheetView>
  </sheetViews>
  <sheetFormatPr defaultRowHeight="12.75" x14ac:dyDescent="0.2"/>
  <cols>
    <col min="1" max="1" width="50.140625" style="79" customWidth="1"/>
    <col min="2" max="2" width="18.7109375" style="79" customWidth="1"/>
    <col min="3" max="3" width="12.140625" style="79" customWidth="1"/>
    <col min="4" max="4" width="14.42578125" style="79" customWidth="1"/>
    <col min="5" max="8" width="15.5703125" style="79" customWidth="1"/>
    <col min="9" max="9" width="10.85546875" style="676" bestFit="1" customWidth="1"/>
    <col min="10" max="10" width="10.42578125" style="676" customWidth="1"/>
    <col min="11" max="12" width="9.5703125" style="676" bestFit="1" customWidth="1"/>
    <col min="13" max="13" width="9.140625" style="676"/>
    <col min="14" max="17" width="9.140625" style="677"/>
    <col min="18" max="18" width="11.7109375" style="677" customWidth="1"/>
    <col min="19" max="21" width="9.140625" style="677"/>
    <col min="22" max="16384" width="9.140625" style="79"/>
  </cols>
  <sheetData>
    <row r="1" spans="1:8" x14ac:dyDescent="0.2">
      <c r="E1" s="45"/>
      <c r="F1" s="45" t="str">
        <f>'9 adosságáll'!H1</f>
        <v xml:space="preserve"> 12 / 2020. (VI.15) sz rendelet</v>
      </c>
      <c r="G1" s="45"/>
      <c r="H1" s="676"/>
    </row>
    <row r="2" spans="1:8" ht="14.25" x14ac:dyDescent="0.2">
      <c r="A2" s="944" t="s">
        <v>391</v>
      </c>
      <c r="B2" s="944"/>
      <c r="C2" s="944"/>
      <c r="D2" s="944"/>
      <c r="E2" s="944"/>
      <c r="F2" s="669"/>
    </row>
    <row r="3" spans="1:8" ht="12.75" customHeight="1" x14ac:dyDescent="0.2">
      <c r="A3" s="945" t="s">
        <v>526</v>
      </c>
      <c r="B3" s="945"/>
      <c r="C3" s="945"/>
      <c r="D3" s="945"/>
      <c r="E3" s="945"/>
      <c r="F3" s="670"/>
    </row>
    <row r="4" spans="1:8" ht="12.75" customHeight="1" x14ac:dyDescent="0.2">
      <c r="A4" s="945"/>
      <c r="B4" s="945"/>
      <c r="C4" s="945"/>
      <c r="D4" s="945"/>
      <c r="E4" s="945"/>
      <c r="F4" s="670"/>
    </row>
    <row r="5" spans="1:8" ht="14.25" x14ac:dyDescent="0.2">
      <c r="A5" s="178"/>
      <c r="B5" s="178"/>
      <c r="C5" s="178"/>
      <c r="D5" s="178"/>
    </row>
    <row r="6" spans="1:8" ht="14.25" x14ac:dyDescent="0.2">
      <c r="A6" s="178"/>
      <c r="B6" s="178"/>
      <c r="C6" s="178"/>
      <c r="F6" s="535" t="s">
        <v>296</v>
      </c>
      <c r="G6" s="715" t="str">
        <f>'10 stabilitás'!E6</f>
        <v xml:space="preserve"> melléklet az 12/2020. (VI.15.) rendelethez</v>
      </c>
    </row>
    <row r="7" spans="1:8" ht="14.25" x14ac:dyDescent="0.2">
      <c r="A7" s="178"/>
      <c r="B7" s="178"/>
      <c r="C7" s="178"/>
      <c r="D7" s="178"/>
    </row>
    <row r="8" spans="1:8" ht="71.25" x14ac:dyDescent="0.2">
      <c r="A8" s="456" t="s">
        <v>412</v>
      </c>
      <c r="B8" s="456" t="s">
        <v>394</v>
      </c>
      <c r="C8" s="456" t="s">
        <v>395</v>
      </c>
      <c r="D8" s="456" t="s">
        <v>1200</v>
      </c>
      <c r="E8" s="456" t="s">
        <v>639</v>
      </c>
      <c r="F8" s="456" t="s">
        <v>822</v>
      </c>
      <c r="G8" s="456" t="s">
        <v>848</v>
      </c>
      <c r="H8" s="456" t="s">
        <v>924</v>
      </c>
    </row>
    <row r="9" spans="1:8" ht="14.25" x14ac:dyDescent="0.2">
      <c r="A9" s="107">
        <v>1</v>
      </c>
      <c r="B9" s="107">
        <v>2</v>
      </c>
      <c r="C9" s="107">
        <v>3</v>
      </c>
      <c r="D9" s="107">
        <v>4</v>
      </c>
      <c r="E9" s="107">
        <v>7</v>
      </c>
      <c r="F9" s="107">
        <v>8</v>
      </c>
      <c r="G9" s="107">
        <v>9</v>
      </c>
      <c r="H9" s="107">
        <v>9</v>
      </c>
    </row>
    <row r="10" spans="1:8" ht="14.25" x14ac:dyDescent="0.2">
      <c r="A10" s="457" t="s">
        <v>413</v>
      </c>
      <c r="B10" s="115"/>
      <c r="C10" s="458"/>
      <c r="D10" s="115"/>
      <c r="E10" s="115"/>
      <c r="F10" s="115"/>
      <c r="G10" s="115"/>
      <c r="H10" s="115"/>
    </row>
    <row r="11" spans="1:8" ht="28.5" x14ac:dyDescent="0.2">
      <c r="A11" s="459" t="s">
        <v>397</v>
      </c>
      <c r="B11" s="440">
        <v>681200800</v>
      </c>
      <c r="C11" s="458" t="s">
        <v>414</v>
      </c>
      <c r="D11" s="115">
        <v>46101000</v>
      </c>
      <c r="E11" s="115">
        <v>635099800</v>
      </c>
      <c r="F11" s="115">
        <v>784569661</v>
      </c>
      <c r="G11" s="114">
        <f>635099800+149469861-29356578</f>
        <v>755213083</v>
      </c>
      <c r="H11" s="114">
        <v>722208349</v>
      </c>
    </row>
    <row r="12" spans="1:8" ht="28.5" x14ac:dyDescent="0.2">
      <c r="A12" s="459" t="s">
        <v>657</v>
      </c>
      <c r="B12" s="115">
        <v>791199975</v>
      </c>
      <c r="C12" s="458" t="s">
        <v>414</v>
      </c>
      <c r="D12" s="115">
        <f>292100+513645592</f>
        <v>513937692</v>
      </c>
      <c r="E12" s="115">
        <v>277262283</v>
      </c>
      <c r="F12" s="115">
        <v>277262283</v>
      </c>
      <c r="G12" s="114">
        <f>277262283</f>
        <v>277262283</v>
      </c>
      <c r="H12" s="114">
        <f>277262283</f>
        <v>277262283</v>
      </c>
    </row>
    <row r="13" spans="1:8" ht="28.5" x14ac:dyDescent="0.2">
      <c r="A13" s="460" t="s">
        <v>658</v>
      </c>
      <c r="B13" s="115"/>
      <c r="C13" s="458"/>
      <c r="D13" s="115"/>
      <c r="E13" s="115">
        <v>37716535</v>
      </c>
      <c r="F13" s="115">
        <v>37716535</v>
      </c>
      <c r="G13" s="114">
        <v>37716535</v>
      </c>
      <c r="H13" s="114">
        <v>37716535</v>
      </c>
    </row>
    <row r="14" spans="1:8" ht="14.25" x14ac:dyDescent="0.2">
      <c r="A14" s="460" t="s">
        <v>659</v>
      </c>
      <c r="B14" s="115"/>
      <c r="C14" s="458"/>
      <c r="D14" s="115"/>
      <c r="E14" s="115">
        <v>498250000</v>
      </c>
      <c r="F14" s="115">
        <v>464214000</v>
      </c>
      <c r="G14" s="114">
        <f>498250000-34036000</f>
        <v>464214000</v>
      </c>
      <c r="H14" s="114">
        <v>171700028</v>
      </c>
    </row>
    <row r="15" spans="1:8" ht="28.5" x14ac:dyDescent="0.2">
      <c r="A15" s="460" t="s">
        <v>660</v>
      </c>
      <c r="B15" s="115"/>
      <c r="C15" s="458"/>
      <c r="D15" s="115"/>
      <c r="E15" s="115">
        <v>454474500</v>
      </c>
      <c r="F15" s="115">
        <v>454474500</v>
      </c>
      <c r="G15" s="115">
        <v>454474500</v>
      </c>
      <c r="H15" s="115">
        <v>26339800</v>
      </c>
    </row>
    <row r="16" spans="1:8" ht="28.5" x14ac:dyDescent="0.2">
      <c r="A16" s="461" t="s">
        <v>415</v>
      </c>
      <c r="B16" s="440">
        <v>14478000</v>
      </c>
      <c r="C16" s="458" t="s">
        <v>414</v>
      </c>
      <c r="D16" s="115">
        <v>708000</v>
      </c>
      <c r="E16" s="115">
        <v>13770000</v>
      </c>
      <c r="F16" s="115">
        <v>16970000</v>
      </c>
      <c r="G16" s="114">
        <f>13770000+3200000-77831+100000</f>
        <v>16992169</v>
      </c>
      <c r="H16" s="114">
        <f>13770000+3200000-77831+100000</f>
        <v>16992169</v>
      </c>
    </row>
    <row r="17" spans="1:24" ht="28.5" x14ac:dyDescent="0.2">
      <c r="A17" s="462" t="s">
        <v>416</v>
      </c>
      <c r="B17" s="480">
        <v>10048107</v>
      </c>
      <c r="C17" s="458" t="s">
        <v>414</v>
      </c>
      <c r="D17" s="115">
        <v>0</v>
      </c>
      <c r="E17" s="115">
        <v>10048107</v>
      </c>
      <c r="F17" s="115">
        <v>10048107</v>
      </c>
      <c r="G17" s="114">
        <v>10048107</v>
      </c>
      <c r="H17" s="114">
        <v>8640597</v>
      </c>
    </row>
    <row r="18" spans="1:24" ht="28.5" x14ac:dyDescent="0.2">
      <c r="A18" s="461" t="s">
        <v>417</v>
      </c>
      <c r="B18" s="481">
        <v>16541900</v>
      </c>
      <c r="C18" s="458" t="s">
        <v>414</v>
      </c>
      <c r="D18" s="115">
        <v>5041900</v>
      </c>
      <c r="E18" s="115">
        <v>11500000</v>
      </c>
      <c r="F18" s="115">
        <v>11500000</v>
      </c>
      <c r="G18" s="114">
        <v>11500000</v>
      </c>
      <c r="H18" s="114">
        <v>4784430</v>
      </c>
    </row>
    <row r="19" spans="1:24" ht="14.25" x14ac:dyDescent="0.2">
      <c r="A19" s="118" t="s">
        <v>418</v>
      </c>
      <c r="B19" s="481">
        <v>6834000</v>
      </c>
      <c r="C19" s="458" t="s">
        <v>414</v>
      </c>
      <c r="D19" s="115"/>
      <c r="E19" s="115">
        <v>6834000</v>
      </c>
      <c r="F19" s="115">
        <v>6834000</v>
      </c>
      <c r="G19" s="114">
        <v>8224807</v>
      </c>
      <c r="H19" s="114">
        <v>8224807</v>
      </c>
    </row>
    <row r="20" spans="1:24" ht="14.25" x14ac:dyDescent="0.2">
      <c r="A20" s="461" t="s">
        <v>419</v>
      </c>
      <c r="B20" s="440">
        <v>6023400</v>
      </c>
      <c r="C20" s="458" t="s">
        <v>414</v>
      </c>
      <c r="D20" s="115"/>
      <c r="E20" s="115">
        <v>6023400</v>
      </c>
      <c r="F20" s="115">
        <v>6023400</v>
      </c>
      <c r="G20" s="114">
        <v>7720051</v>
      </c>
      <c r="H20" s="114">
        <v>7720051</v>
      </c>
    </row>
    <row r="21" spans="1:24" ht="28.5" x14ac:dyDescent="0.2">
      <c r="A21" s="461" t="s">
        <v>420</v>
      </c>
      <c r="B21" s="481">
        <v>297440970</v>
      </c>
      <c r="C21" s="458" t="s">
        <v>414</v>
      </c>
      <c r="D21" s="115">
        <v>10783824</v>
      </c>
      <c r="E21" s="115">
        <v>286657146</v>
      </c>
      <c r="F21" s="115">
        <v>286657146</v>
      </c>
      <c r="G21" s="114">
        <v>286657146</v>
      </c>
      <c r="H21" s="114">
        <v>15513905</v>
      </c>
    </row>
    <row r="22" spans="1:24" ht="14.25" x14ac:dyDescent="0.2">
      <c r="A22" s="462" t="s">
        <v>421</v>
      </c>
      <c r="B22" s="440">
        <v>50778801</v>
      </c>
      <c r="C22" s="458" t="s">
        <v>414</v>
      </c>
      <c r="D22" s="115">
        <f>285750+6985000</f>
        <v>7270750</v>
      </c>
      <c r="E22" s="115">
        <v>36523051</v>
      </c>
      <c r="F22" s="115">
        <v>34258308</v>
      </c>
      <c r="G22" s="114">
        <f>43508051-9249743</f>
        <v>34258308</v>
      </c>
      <c r="H22" s="114">
        <v>0</v>
      </c>
    </row>
    <row r="23" spans="1:24" ht="28.5" x14ac:dyDescent="0.2">
      <c r="A23" s="462" t="s">
        <v>832</v>
      </c>
      <c r="B23" s="440"/>
      <c r="C23" s="458"/>
      <c r="D23" s="115"/>
      <c r="E23" s="115"/>
      <c r="F23" s="115">
        <v>12504660</v>
      </c>
      <c r="G23" s="114">
        <v>12504660</v>
      </c>
      <c r="H23" s="114">
        <v>0</v>
      </c>
    </row>
    <row r="24" spans="1:24" ht="14.25" x14ac:dyDescent="0.2">
      <c r="A24" s="462" t="s">
        <v>399</v>
      </c>
      <c r="B24" s="440">
        <v>48124431</v>
      </c>
      <c r="C24" s="458" t="s">
        <v>422</v>
      </c>
      <c r="D24" s="115"/>
      <c r="E24" s="115">
        <v>48124431</v>
      </c>
      <c r="F24" s="115">
        <v>48124431</v>
      </c>
      <c r="G24" s="114">
        <v>48124431</v>
      </c>
      <c r="H24" s="114">
        <v>43890258</v>
      </c>
    </row>
    <row r="25" spans="1:24" ht="14.25" x14ac:dyDescent="0.2">
      <c r="A25" s="484" t="s">
        <v>676</v>
      </c>
      <c r="B25" s="110"/>
      <c r="C25" s="485"/>
      <c r="D25" s="114"/>
      <c r="E25" s="114">
        <v>18630101</v>
      </c>
      <c r="F25" s="114">
        <v>18630101</v>
      </c>
      <c r="G25" s="114">
        <f>18630101-1000000</f>
        <v>17630101</v>
      </c>
      <c r="H25" s="114">
        <v>15963101</v>
      </c>
    </row>
    <row r="26" spans="1:24" ht="28.5" x14ac:dyDescent="0.2">
      <c r="A26" s="484" t="s">
        <v>661</v>
      </c>
      <c r="B26" s="110"/>
      <c r="C26" s="485"/>
      <c r="D26" s="114"/>
      <c r="E26" s="114">
        <v>41732283</v>
      </c>
      <c r="F26" s="114">
        <v>99581714</v>
      </c>
      <c r="G26" s="114">
        <f>41732283+11267717+46581714</f>
        <v>99581714</v>
      </c>
      <c r="H26" s="114">
        <v>91410638</v>
      </c>
    </row>
    <row r="27" spans="1:24" ht="14.25" x14ac:dyDescent="0.2">
      <c r="A27" s="466" t="s">
        <v>663</v>
      </c>
      <c r="B27" s="482"/>
      <c r="C27" s="482"/>
      <c r="D27" s="482"/>
      <c r="E27" s="486">
        <f>4320000*1.27</f>
        <v>5486400</v>
      </c>
      <c r="F27" s="486">
        <v>12981563</v>
      </c>
      <c r="G27" s="486">
        <f>5486400+7495163</f>
        <v>12981563</v>
      </c>
      <c r="H27" s="486">
        <v>10411703</v>
      </c>
      <c r="K27" s="678"/>
      <c r="L27" s="678"/>
      <c r="M27" s="678"/>
      <c r="N27" s="678"/>
      <c r="O27" s="678"/>
      <c r="P27" s="678"/>
      <c r="Q27" s="678"/>
      <c r="R27" s="678"/>
      <c r="S27" s="678"/>
      <c r="T27" s="678"/>
      <c r="U27" s="678"/>
      <c r="V27" s="89"/>
      <c r="W27" s="89"/>
      <c r="X27" s="89"/>
    </row>
    <row r="28" spans="1:24" ht="14.25" x14ac:dyDescent="0.2">
      <c r="A28" s="466" t="s">
        <v>834</v>
      </c>
      <c r="B28" s="482"/>
      <c r="C28" s="482"/>
      <c r="D28" s="482"/>
      <c r="E28" s="486"/>
      <c r="F28" s="486">
        <v>8255000</v>
      </c>
      <c r="G28" s="486">
        <v>8255000</v>
      </c>
      <c r="H28" s="486">
        <v>8255000</v>
      </c>
      <c r="N28" s="676"/>
      <c r="O28" s="676"/>
      <c r="P28" s="676"/>
      <c r="Q28" s="676"/>
      <c r="R28" s="676"/>
      <c r="S28" s="676"/>
    </row>
    <row r="29" spans="1:24" ht="28.5" x14ac:dyDescent="0.2">
      <c r="A29" s="484" t="s">
        <v>833</v>
      </c>
      <c r="B29" s="110"/>
      <c r="C29" s="485"/>
      <c r="D29" s="114"/>
      <c r="E29" s="114"/>
      <c r="F29" s="114">
        <v>83757</v>
      </c>
      <c r="G29" s="114">
        <v>7176385</v>
      </c>
      <c r="H29" s="114">
        <v>7176385</v>
      </c>
    </row>
    <row r="30" spans="1:24" ht="28.5" x14ac:dyDescent="0.2">
      <c r="A30" s="484" t="s">
        <v>662</v>
      </c>
      <c r="B30" s="110">
        <v>311782</v>
      </c>
      <c r="C30" s="485"/>
      <c r="D30" s="114"/>
      <c r="E30" s="114">
        <v>311782</v>
      </c>
      <c r="F30" s="114">
        <v>311782</v>
      </c>
      <c r="G30" s="114">
        <v>311782</v>
      </c>
      <c r="H30" s="114"/>
    </row>
    <row r="31" spans="1:24" ht="14.25" x14ac:dyDescent="0.2">
      <c r="A31" s="484" t="s">
        <v>879</v>
      </c>
      <c r="B31" s="671"/>
      <c r="C31" s="485"/>
      <c r="D31" s="114"/>
      <c r="E31" s="114"/>
      <c r="F31" s="114"/>
      <c r="G31" s="114">
        <f>3505783+946562</f>
        <v>4452345</v>
      </c>
      <c r="H31" s="114"/>
    </row>
    <row r="32" spans="1:24" ht="28.5" x14ac:dyDescent="0.2">
      <c r="A32" s="463" t="s">
        <v>423</v>
      </c>
      <c r="B32" s="464">
        <f>SUM(B11:B30)</f>
        <v>1922982166</v>
      </c>
      <c r="C32" s="465"/>
      <c r="D32" s="444">
        <f>SUM(D11:D24)</f>
        <v>583843166</v>
      </c>
      <c r="E32" s="444">
        <f>SUM(E11:E30)</f>
        <v>2388443819</v>
      </c>
      <c r="F32" s="444">
        <f>SUM(F11:F30)</f>
        <v>2591000948</v>
      </c>
      <c r="G32" s="444">
        <f>SUM(G11:G31)</f>
        <v>2575298970</v>
      </c>
      <c r="H32" s="444">
        <f>SUM(H11:H31)</f>
        <v>1474210039</v>
      </c>
    </row>
    <row r="33" spans="1:20" ht="14.25" x14ac:dyDescent="0.2">
      <c r="A33" s="459" t="s">
        <v>424</v>
      </c>
      <c r="B33" s="440">
        <f>SUM(E33:E33)</f>
        <v>1364460</v>
      </c>
      <c r="C33" s="458"/>
      <c r="D33" s="115"/>
      <c r="E33" s="115">
        <v>1364460</v>
      </c>
      <c r="F33" s="115">
        <v>1364460</v>
      </c>
      <c r="G33" s="115">
        <v>1364460</v>
      </c>
      <c r="H33" s="114">
        <v>1364459</v>
      </c>
      <c r="R33" s="676"/>
    </row>
    <row r="34" spans="1:20" ht="14.25" x14ac:dyDescent="0.2">
      <c r="A34" s="462" t="s">
        <v>425</v>
      </c>
      <c r="B34" s="440">
        <v>2500000</v>
      </c>
      <c r="C34" s="458">
        <v>2018</v>
      </c>
      <c r="D34" s="115"/>
      <c r="E34" s="115">
        <v>2500000</v>
      </c>
      <c r="F34" s="115">
        <v>2500000</v>
      </c>
      <c r="G34" s="115"/>
      <c r="H34" s="114"/>
    </row>
    <row r="35" spans="1:20" ht="14.25" x14ac:dyDescent="0.2">
      <c r="A35" s="462" t="s">
        <v>835</v>
      </c>
      <c r="B35" s="440"/>
      <c r="C35" s="458"/>
      <c r="D35" s="115"/>
      <c r="E35" s="115"/>
      <c r="F35" s="115">
        <v>2540000</v>
      </c>
      <c r="G35" s="115">
        <v>2540000</v>
      </c>
      <c r="H35" s="114">
        <v>2540000</v>
      </c>
      <c r="R35" s="676"/>
    </row>
    <row r="36" spans="1:20" ht="14.25" x14ac:dyDescent="0.2">
      <c r="A36" s="116" t="s">
        <v>426</v>
      </c>
      <c r="B36" s="440">
        <v>4000000</v>
      </c>
      <c r="C36" s="458">
        <v>2018</v>
      </c>
      <c r="D36" s="117"/>
      <c r="E36" s="115">
        <f>15000000*1.27</f>
        <v>19050000</v>
      </c>
      <c r="F36" s="115">
        <v>16950000</v>
      </c>
      <c r="G36" s="115"/>
      <c r="H36" s="114"/>
    </row>
    <row r="37" spans="1:20" ht="14.25" x14ac:dyDescent="0.2">
      <c r="A37" s="118" t="s">
        <v>664</v>
      </c>
      <c r="B37" s="115"/>
      <c r="C37" s="442"/>
      <c r="D37" s="115"/>
      <c r="E37" s="115">
        <v>5625000</v>
      </c>
      <c r="F37" s="115">
        <v>5625000</v>
      </c>
      <c r="G37" s="115">
        <v>6754165</v>
      </c>
      <c r="H37" s="114">
        <v>6754165</v>
      </c>
    </row>
    <row r="38" spans="1:20" ht="14.25" x14ac:dyDescent="0.2">
      <c r="A38" s="116" t="s">
        <v>665</v>
      </c>
      <c r="B38" s="440">
        <v>55000000</v>
      </c>
      <c r="C38" s="458"/>
      <c r="D38" s="117"/>
      <c r="E38" s="114">
        <v>2500000</v>
      </c>
      <c r="F38" s="114">
        <v>600000</v>
      </c>
      <c r="G38" s="114">
        <v>600000</v>
      </c>
      <c r="H38" s="114">
        <v>599785</v>
      </c>
      <c r="T38" s="676"/>
    </row>
    <row r="39" spans="1:20" ht="14.25" x14ac:dyDescent="0.2">
      <c r="A39" s="116" t="s">
        <v>836</v>
      </c>
      <c r="B39" s="440"/>
      <c r="C39" s="458"/>
      <c r="D39" s="117"/>
      <c r="E39" s="114"/>
      <c r="F39" s="114">
        <v>731000</v>
      </c>
      <c r="G39" s="114">
        <v>731000</v>
      </c>
      <c r="H39" s="114">
        <v>730145</v>
      </c>
    </row>
    <row r="40" spans="1:20" ht="14.25" x14ac:dyDescent="0.2">
      <c r="A40" s="118" t="s">
        <v>427</v>
      </c>
      <c r="B40" s="440">
        <v>3000000</v>
      </c>
      <c r="C40" s="458">
        <v>2019</v>
      </c>
      <c r="D40" s="115"/>
      <c r="E40" s="115">
        <f>1270000+3000000</f>
        <v>4270000</v>
      </c>
      <c r="F40" s="115">
        <v>4270000</v>
      </c>
      <c r="G40" s="115">
        <f>1270000+3000000</f>
        <v>4270000</v>
      </c>
      <c r="H40" s="114"/>
      <c r="T40" s="676"/>
    </row>
    <row r="41" spans="1:20" ht="14.25" x14ac:dyDescent="0.2">
      <c r="A41" s="118" t="s">
        <v>428</v>
      </c>
      <c r="B41" s="440">
        <f>30000000-5000000-3000000</f>
        <v>22000000</v>
      </c>
      <c r="C41" s="458">
        <v>2019</v>
      </c>
      <c r="D41" s="115"/>
      <c r="E41" s="115">
        <v>16000000</v>
      </c>
      <c r="F41" s="115">
        <v>5805917</v>
      </c>
      <c r="G41" s="115">
        <f>16000000-7377840-2000000+83757-900000</f>
        <v>5805917</v>
      </c>
      <c r="H41" s="114"/>
    </row>
    <row r="42" spans="1:20" ht="14.25" x14ac:dyDescent="0.2">
      <c r="A42" s="118" t="s">
        <v>666</v>
      </c>
      <c r="B42" s="440"/>
      <c r="C42" s="458"/>
      <c r="D42" s="115"/>
      <c r="E42" s="115">
        <v>4000000</v>
      </c>
      <c r="F42" s="115">
        <v>4000000</v>
      </c>
      <c r="G42" s="115"/>
      <c r="H42" s="114"/>
    </row>
    <row r="43" spans="1:20" ht="14.25" x14ac:dyDescent="0.2">
      <c r="A43" s="118" t="s">
        <v>667</v>
      </c>
      <c r="B43" s="440">
        <v>1000000</v>
      </c>
      <c r="C43" s="458">
        <v>2019</v>
      </c>
      <c r="D43" s="115"/>
      <c r="E43" s="114">
        <v>500000</v>
      </c>
      <c r="F43" s="114">
        <v>1400000</v>
      </c>
      <c r="G43" s="114">
        <f>500000+900000</f>
        <v>1400000</v>
      </c>
      <c r="H43" s="114"/>
    </row>
    <row r="44" spans="1:20" ht="28.5" x14ac:dyDescent="0.2">
      <c r="A44" s="118" t="s">
        <v>668</v>
      </c>
      <c r="B44" s="440">
        <v>2000000</v>
      </c>
      <c r="C44" s="458">
        <v>2019</v>
      </c>
      <c r="D44" s="115"/>
      <c r="E44" s="114">
        <v>3000000</v>
      </c>
      <c r="F44" s="114">
        <v>3000000</v>
      </c>
      <c r="G44" s="114">
        <f>3000000-1230864</f>
        <v>1769136</v>
      </c>
      <c r="H44" s="114"/>
    </row>
    <row r="45" spans="1:20" ht="14.25" x14ac:dyDescent="0.2">
      <c r="A45" s="467" t="s">
        <v>669</v>
      </c>
      <c r="B45" s="440">
        <v>2000000</v>
      </c>
      <c r="C45" s="458">
        <v>2018</v>
      </c>
      <c r="D45" s="115"/>
      <c r="E45" s="114">
        <v>5000000</v>
      </c>
      <c r="F45" s="114">
        <v>5000000</v>
      </c>
      <c r="G45" s="114">
        <v>6000000</v>
      </c>
      <c r="H45" s="114">
        <v>5960979</v>
      </c>
    </row>
    <row r="46" spans="1:20" ht="14.25" x14ac:dyDescent="0.2">
      <c r="A46" s="118" t="s">
        <v>680</v>
      </c>
      <c r="B46" s="440"/>
      <c r="C46" s="458"/>
      <c r="D46" s="115"/>
      <c r="E46" s="115">
        <v>1000000</v>
      </c>
      <c r="F46" s="115">
        <v>1000000</v>
      </c>
      <c r="G46" s="115"/>
      <c r="H46" s="114"/>
    </row>
    <row r="47" spans="1:20" ht="14.25" x14ac:dyDescent="0.2">
      <c r="A47" s="118" t="s">
        <v>670</v>
      </c>
      <c r="B47" s="440"/>
      <c r="C47" s="458"/>
      <c r="D47" s="115"/>
      <c r="E47" s="115">
        <v>500000</v>
      </c>
      <c r="F47" s="115">
        <v>500000</v>
      </c>
      <c r="G47" s="115"/>
      <c r="H47" s="114"/>
    </row>
    <row r="48" spans="1:20" ht="14.25" x14ac:dyDescent="0.2">
      <c r="A48" s="118" t="s">
        <v>837</v>
      </c>
      <c r="B48" s="440"/>
      <c r="C48" s="458"/>
      <c r="D48" s="115"/>
      <c r="E48" s="115"/>
      <c r="F48" s="115">
        <v>4132326</v>
      </c>
      <c r="G48" s="115">
        <v>4132326</v>
      </c>
      <c r="H48" s="114">
        <v>4132326</v>
      </c>
    </row>
    <row r="49" spans="1:8" ht="14.25" x14ac:dyDescent="0.2">
      <c r="A49" s="118" t="s">
        <v>838</v>
      </c>
      <c r="B49" s="440"/>
      <c r="C49" s="458"/>
      <c r="D49" s="115"/>
      <c r="E49" s="115"/>
      <c r="F49" s="115">
        <v>5100000</v>
      </c>
      <c r="G49" s="115">
        <v>6000000</v>
      </c>
      <c r="H49" s="114">
        <v>5680269</v>
      </c>
    </row>
    <row r="50" spans="1:8" ht="14.25" x14ac:dyDescent="0.2">
      <c r="A50" s="118" t="s">
        <v>839</v>
      </c>
      <c r="B50" s="440"/>
      <c r="C50" s="458"/>
      <c r="D50" s="115"/>
      <c r="E50" s="115"/>
      <c r="F50" s="115">
        <v>1333500</v>
      </c>
      <c r="G50" s="115">
        <v>1333500</v>
      </c>
      <c r="H50" s="114">
        <v>1333500</v>
      </c>
    </row>
    <row r="51" spans="1:8" ht="14.25" x14ac:dyDescent="0.2">
      <c r="A51" s="118" t="s">
        <v>889</v>
      </c>
      <c r="B51" s="440"/>
      <c r="C51" s="458"/>
      <c r="D51" s="115"/>
      <c r="E51" s="115"/>
      <c r="F51" s="115"/>
      <c r="G51" s="115">
        <v>482350</v>
      </c>
      <c r="H51" s="114">
        <v>482350</v>
      </c>
    </row>
    <row r="52" spans="1:8" ht="14.25" x14ac:dyDescent="0.2">
      <c r="A52" s="118" t="s">
        <v>890</v>
      </c>
      <c r="B52" s="440"/>
      <c r="C52" s="458"/>
      <c r="D52" s="115"/>
      <c r="E52" s="115"/>
      <c r="F52" s="115"/>
      <c r="G52" s="115">
        <v>201793</v>
      </c>
      <c r="H52" s="114">
        <v>201793</v>
      </c>
    </row>
    <row r="53" spans="1:8" ht="14.25" x14ac:dyDescent="0.2">
      <c r="A53" s="118" t="s">
        <v>891</v>
      </c>
      <c r="B53" s="440"/>
      <c r="C53" s="458"/>
      <c r="D53" s="115"/>
      <c r="E53" s="115"/>
      <c r="F53" s="115"/>
      <c r="G53" s="115">
        <v>14899129</v>
      </c>
      <c r="H53" s="114">
        <v>14899129</v>
      </c>
    </row>
    <row r="54" spans="1:8" ht="14.25" x14ac:dyDescent="0.2">
      <c r="A54" s="118" t="s">
        <v>892</v>
      </c>
      <c r="B54" s="440"/>
      <c r="C54" s="458"/>
      <c r="D54" s="115"/>
      <c r="E54" s="115"/>
      <c r="F54" s="115"/>
      <c r="G54" s="115">
        <v>863600</v>
      </c>
      <c r="H54" s="114">
        <v>863600</v>
      </c>
    </row>
    <row r="55" spans="1:8" ht="14.25" x14ac:dyDescent="0.2">
      <c r="A55" s="118"/>
      <c r="B55" s="440"/>
      <c r="C55" s="458"/>
      <c r="D55" s="115"/>
      <c r="E55" s="115"/>
      <c r="F55" s="115"/>
      <c r="G55" s="115"/>
      <c r="H55" s="114"/>
    </row>
    <row r="56" spans="1:8" ht="14.25" x14ac:dyDescent="0.2">
      <c r="A56" s="118"/>
      <c r="B56" s="440"/>
      <c r="C56" s="458"/>
      <c r="D56" s="115"/>
      <c r="E56" s="115"/>
      <c r="F56" s="115"/>
      <c r="G56" s="115"/>
      <c r="H56" s="115"/>
    </row>
    <row r="57" spans="1:8" ht="30.75" customHeight="1" x14ac:dyDescent="0.2">
      <c r="A57" s="468" t="s">
        <v>429</v>
      </c>
      <c r="B57" s="444">
        <f>SUM(B27:B45)</f>
        <v>2016158408</v>
      </c>
      <c r="C57" s="465"/>
      <c r="D57" s="444">
        <f>SUM(D27:D45)</f>
        <v>583843166</v>
      </c>
      <c r="E57" s="444">
        <f>SUM(E27:E47)</f>
        <v>2459551461</v>
      </c>
      <c r="F57" s="444">
        <f>SUM(F27:F50)</f>
        <v>2678485253</v>
      </c>
      <c r="G57" s="444">
        <f>SUM(G27:G54)</f>
        <v>2667623421</v>
      </c>
      <c r="H57" s="444">
        <f>SUM(H27:H54)</f>
        <v>1545595627</v>
      </c>
    </row>
    <row r="58" spans="1:8" ht="14.25" x14ac:dyDescent="0.2">
      <c r="A58" s="469" t="s">
        <v>430</v>
      </c>
      <c r="B58" s="470">
        <f>B32+B57</f>
        <v>3939140574</v>
      </c>
      <c r="C58" s="470"/>
      <c r="D58" s="470">
        <f>D32+D57</f>
        <v>1167686332</v>
      </c>
      <c r="E58" s="470">
        <f>E32+E57</f>
        <v>4847995280</v>
      </c>
      <c r="F58" s="470">
        <f>F32+F57</f>
        <v>5269486201</v>
      </c>
      <c r="G58" s="470">
        <f>G32+G57</f>
        <v>5242922391</v>
      </c>
      <c r="H58" s="470">
        <f>H32+H57</f>
        <v>3019805666</v>
      </c>
    </row>
    <row r="59" spans="1:8" ht="14.25" x14ac:dyDescent="0.2">
      <c r="A59" s="471" t="s">
        <v>431</v>
      </c>
      <c r="B59" s="483"/>
      <c r="C59" s="483"/>
      <c r="D59" s="483"/>
      <c r="E59" s="115"/>
      <c r="F59" s="115"/>
      <c r="G59" s="115"/>
      <c r="H59" s="115"/>
    </row>
    <row r="60" spans="1:8" ht="14.25" x14ac:dyDescent="0.2">
      <c r="A60" s="467" t="s">
        <v>671</v>
      </c>
      <c r="B60" s="108">
        <v>2000000</v>
      </c>
      <c r="C60" s="458">
        <v>2019</v>
      </c>
      <c r="D60" s="472"/>
      <c r="E60" s="115">
        <v>2000000</v>
      </c>
      <c r="F60" s="115">
        <v>2000000</v>
      </c>
      <c r="G60" s="115">
        <v>2000000</v>
      </c>
      <c r="H60" s="115">
        <v>1639565</v>
      </c>
    </row>
    <row r="61" spans="1:8" ht="28.5" x14ac:dyDescent="0.2">
      <c r="A61" s="109" t="s">
        <v>432</v>
      </c>
      <c r="B61" s="108">
        <v>2000000</v>
      </c>
      <c r="C61" s="458">
        <v>2019</v>
      </c>
      <c r="D61" s="472"/>
      <c r="E61" s="115">
        <v>2000000</v>
      </c>
      <c r="F61" s="115">
        <v>2000000</v>
      </c>
      <c r="G61" s="115">
        <f>2000000-1300000</f>
        <v>700000</v>
      </c>
      <c r="H61" s="115">
        <v>685212</v>
      </c>
    </row>
    <row r="62" spans="1:8" ht="28.5" x14ac:dyDescent="0.2">
      <c r="A62" s="467" t="s">
        <v>678</v>
      </c>
      <c r="B62" s="108"/>
      <c r="C62" s="458">
        <v>2019</v>
      </c>
      <c r="D62" s="472"/>
      <c r="E62" s="115">
        <v>2000000</v>
      </c>
      <c r="F62" s="115">
        <v>2000000</v>
      </c>
      <c r="G62" s="115">
        <f>2000000+1300000</f>
        <v>3300000</v>
      </c>
      <c r="H62" s="115">
        <v>3122596</v>
      </c>
    </row>
    <row r="63" spans="1:8" ht="28.5" x14ac:dyDescent="0.2">
      <c r="A63" s="467" t="s">
        <v>679</v>
      </c>
      <c r="B63" s="108">
        <v>2000000</v>
      </c>
      <c r="C63" s="458">
        <v>2019</v>
      </c>
      <c r="D63" s="107"/>
      <c r="E63" s="108">
        <v>2000000</v>
      </c>
      <c r="F63" s="115">
        <v>2000000</v>
      </c>
      <c r="G63" s="108">
        <v>2000000</v>
      </c>
      <c r="H63" s="108"/>
    </row>
    <row r="64" spans="1:8" ht="14.25" x14ac:dyDescent="0.2">
      <c r="A64" s="473"/>
      <c r="B64" s="473">
        <f>SUM(B60:B63)</f>
        <v>6000000</v>
      </c>
      <c r="C64" s="474"/>
      <c r="D64" s="474"/>
      <c r="E64" s="473">
        <f>SUM(E59:E63)</f>
        <v>8000000</v>
      </c>
      <c r="F64" s="473">
        <f>SUM(F59:F63)</f>
        <v>8000000</v>
      </c>
      <c r="G64" s="473">
        <f>SUM(G59:G63)</f>
        <v>8000000</v>
      </c>
      <c r="H64" s="473">
        <f>SUM(H59:H63)</f>
        <v>5447373</v>
      </c>
    </row>
    <row r="65" spans="1:8" ht="30" customHeight="1" x14ac:dyDescent="0.2">
      <c r="A65" s="462" t="s">
        <v>677</v>
      </c>
      <c r="B65" s="119"/>
      <c r="C65" s="445"/>
      <c r="D65" s="119"/>
      <c r="E65" s="115">
        <v>6000000</v>
      </c>
      <c r="F65" s="115">
        <v>6000000</v>
      </c>
      <c r="G65" s="115">
        <v>5791200</v>
      </c>
      <c r="H65" s="115">
        <v>5791200</v>
      </c>
    </row>
    <row r="66" spans="1:8" ht="28.5" x14ac:dyDescent="0.2">
      <c r="A66" s="458" t="s">
        <v>672</v>
      </c>
      <c r="B66" s="476"/>
      <c r="C66" s="458">
        <v>2019</v>
      </c>
      <c r="D66" s="477"/>
      <c r="E66" s="440">
        <v>317500</v>
      </c>
      <c r="F66" s="440">
        <v>317500</v>
      </c>
      <c r="G66" s="440"/>
      <c r="H66" s="440"/>
    </row>
    <row r="67" spans="1:8" ht="28.5" x14ac:dyDescent="0.2">
      <c r="A67" s="467" t="s">
        <v>673</v>
      </c>
      <c r="B67" s="108">
        <v>2200000</v>
      </c>
      <c r="C67" s="458">
        <v>2019</v>
      </c>
      <c r="D67" s="108"/>
      <c r="E67" s="108">
        <v>1250000</v>
      </c>
      <c r="F67" s="108">
        <v>2750000</v>
      </c>
      <c r="G67" s="108">
        <f>1250000+1500000</f>
        <v>2750000</v>
      </c>
      <c r="H67" s="110">
        <f>1250000+1500000-6587</f>
        <v>2743413</v>
      </c>
    </row>
    <row r="68" spans="1:8" ht="14.25" x14ac:dyDescent="0.2">
      <c r="A68" s="467" t="s">
        <v>674</v>
      </c>
      <c r="B68" s="108"/>
      <c r="C68" s="458"/>
      <c r="D68" s="108"/>
      <c r="E68" s="108">
        <v>1250000</v>
      </c>
      <c r="F68" s="108">
        <v>1250000</v>
      </c>
      <c r="G68" s="108">
        <v>2106212</v>
      </c>
      <c r="H68" s="110">
        <v>2106212</v>
      </c>
    </row>
    <row r="69" spans="1:8" ht="14.25" x14ac:dyDescent="0.2">
      <c r="A69" s="467" t="s">
        <v>433</v>
      </c>
      <c r="B69" s="108">
        <v>350000</v>
      </c>
      <c r="C69" s="458">
        <v>2018</v>
      </c>
      <c r="D69" s="108"/>
      <c r="E69" s="108">
        <v>500000</v>
      </c>
      <c r="F69" s="108">
        <v>500000</v>
      </c>
      <c r="G69" s="108">
        <v>503200</v>
      </c>
      <c r="H69" s="108">
        <v>503200</v>
      </c>
    </row>
    <row r="70" spans="1:8" ht="28.5" x14ac:dyDescent="0.2">
      <c r="A70" s="478" t="s">
        <v>681</v>
      </c>
      <c r="B70" s="475">
        <f>SUM(B65:B69)</f>
        <v>2550000</v>
      </c>
      <c r="C70" s="474"/>
      <c r="D70" s="474"/>
      <c r="E70" s="473">
        <f>SUM(E65:E69)</f>
        <v>9317500</v>
      </c>
      <c r="F70" s="473">
        <f>SUM(F65:F69)</f>
        <v>10817500</v>
      </c>
      <c r="G70" s="473">
        <f>SUM(G65:G69)</f>
        <v>11150612</v>
      </c>
      <c r="H70" s="473">
        <f>SUM(H65:H69)</f>
        <v>11144025</v>
      </c>
    </row>
    <row r="71" spans="1:8" ht="14.25" x14ac:dyDescent="0.2">
      <c r="A71" s="478" t="s">
        <v>675</v>
      </c>
      <c r="B71" s="475"/>
      <c r="C71" s="474"/>
      <c r="D71" s="474"/>
      <c r="E71" s="473">
        <f>E57+E64+E70</f>
        <v>2476868961</v>
      </c>
      <c r="F71" s="473">
        <f>F57+F64+F70</f>
        <v>2697302753</v>
      </c>
      <c r="G71" s="473">
        <f>G57+G64+G70</f>
        <v>2686774033</v>
      </c>
      <c r="H71" s="473">
        <f>H57+H64+H70</f>
        <v>1562187025</v>
      </c>
    </row>
    <row r="72" spans="1:8" ht="14.25" x14ac:dyDescent="0.2">
      <c r="A72" s="120" t="s">
        <v>410</v>
      </c>
      <c r="B72" s="473">
        <f>B58+B64+B70</f>
        <v>3947690574</v>
      </c>
      <c r="C72" s="474"/>
      <c r="D72" s="473">
        <f t="shared" ref="D72:G72" si="0">D58+D64+D70</f>
        <v>1167686332</v>
      </c>
      <c r="E72" s="473">
        <f t="shared" si="0"/>
        <v>4865312780</v>
      </c>
      <c r="F72" s="473">
        <f t="shared" si="0"/>
        <v>5288303701</v>
      </c>
      <c r="G72" s="473">
        <f t="shared" si="0"/>
        <v>5262073003</v>
      </c>
      <c r="H72" s="473">
        <f t="shared" ref="H72" si="1">H58+H64+H70</f>
        <v>3036397064</v>
      </c>
    </row>
    <row r="73" spans="1:8" ht="14.25" x14ac:dyDescent="0.2">
      <c r="A73" s="479" t="s">
        <v>434</v>
      </c>
      <c r="B73" s="107"/>
      <c r="C73" s="107"/>
      <c r="D73" s="107"/>
      <c r="E73" s="107">
        <v>0</v>
      </c>
      <c r="F73" s="107"/>
      <c r="G73" s="107">
        <v>0</v>
      </c>
      <c r="H73" s="107">
        <v>0</v>
      </c>
    </row>
  </sheetData>
  <mergeCells count="2">
    <mergeCell ref="A2:E2"/>
    <mergeCell ref="A3:E4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8" orientation="portrait" horizontalDpi="300" verticalDpi="300" r:id="rId1"/>
  <headerFooter>
    <oddFooter>&amp;R&amp;P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C51"/>
  <sheetViews>
    <sheetView zoomScaleNormal="100" workbookViewId="0">
      <pane xSplit="1" ySplit="8" topLeftCell="B45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J18" sqref="J18:J19"/>
    </sheetView>
  </sheetViews>
  <sheetFormatPr defaultRowHeight="15" x14ac:dyDescent="0.25"/>
  <cols>
    <col min="1" max="1" width="52.140625" customWidth="1"/>
    <col min="2" max="2" width="13.7109375" customWidth="1"/>
    <col min="3" max="3" width="14" customWidth="1"/>
    <col min="4" max="4" width="15.42578125" hidden="1" customWidth="1"/>
    <col min="5" max="5" width="14.7109375" hidden="1" customWidth="1"/>
    <col min="6" max="6" width="12.7109375" hidden="1" customWidth="1"/>
    <col min="7" max="7" width="14.7109375" customWidth="1"/>
    <col min="8" max="10" width="14.7109375" style="179" customWidth="1"/>
    <col min="11" max="11" width="13.28515625" style="147" customWidth="1"/>
    <col min="12" max="12" width="11.85546875" style="147" customWidth="1"/>
    <col min="13" max="13" width="10.7109375" style="147" customWidth="1"/>
    <col min="14" max="14" width="9.85546875" style="147" bestFit="1" customWidth="1"/>
    <col min="15" max="29" width="9.140625" style="147"/>
  </cols>
  <sheetData>
    <row r="1" spans="1:29" x14ac:dyDescent="0.25">
      <c r="C1" s="45"/>
      <c r="D1" s="45"/>
      <c r="E1" s="45"/>
      <c r="F1" s="45"/>
      <c r="G1" s="45"/>
      <c r="H1" s="45" t="str">
        <f>'11 beruházások'!F1</f>
        <v xml:space="preserve"> 12 / 2020. (VI.15) sz rendelet</v>
      </c>
      <c r="I1" s="45"/>
      <c r="J1" s="674"/>
    </row>
    <row r="2" spans="1:29" ht="18" x14ac:dyDescent="0.25">
      <c r="A2" s="946" t="s">
        <v>391</v>
      </c>
      <c r="B2" s="946"/>
      <c r="C2" s="946"/>
      <c r="D2" s="946"/>
      <c r="E2" s="946"/>
      <c r="F2" s="946"/>
      <c r="G2" s="946"/>
      <c r="H2"/>
    </row>
    <row r="3" spans="1:29" ht="18" customHeight="1" x14ac:dyDescent="0.25">
      <c r="A3" s="947" t="s">
        <v>525</v>
      </c>
      <c r="B3" s="947"/>
      <c r="C3" s="947"/>
      <c r="D3" s="947"/>
      <c r="E3" s="947"/>
      <c r="F3" s="947"/>
      <c r="G3" s="947"/>
      <c r="H3"/>
    </row>
    <row r="4" spans="1:29" s="44" customFormat="1" ht="18" x14ac:dyDescent="0.25">
      <c r="A4" s="123"/>
      <c r="B4" s="123"/>
      <c r="C4" s="123"/>
      <c r="D4" s="123"/>
      <c r="E4" s="123"/>
      <c r="F4" s="123"/>
      <c r="H4" s="179"/>
      <c r="I4" s="179"/>
      <c r="J4" s="179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</row>
    <row r="5" spans="1:29" s="44" customFormat="1" ht="18" x14ac:dyDescent="0.25">
      <c r="A5" s="123"/>
      <c r="B5" s="123"/>
      <c r="C5" s="123"/>
      <c r="D5" s="123"/>
      <c r="E5" s="123"/>
      <c r="F5" s="123"/>
      <c r="H5" s="179"/>
      <c r="I5" s="179"/>
      <c r="J5" s="179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</row>
    <row r="6" spans="1:29" s="44" customFormat="1" ht="18" x14ac:dyDescent="0.25">
      <c r="A6" s="123"/>
      <c r="B6" s="123"/>
      <c r="C6" s="123"/>
      <c r="F6" s="177"/>
      <c r="G6" s="535" t="s">
        <v>297</v>
      </c>
      <c r="H6" s="715" t="str">
        <f>'11 beruházások'!G6</f>
        <v xml:space="preserve"> melléklet az 12/2020. (VI.15.) rendelethez</v>
      </c>
      <c r="I6" s="179"/>
      <c r="J6" s="179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</row>
    <row r="7" spans="1:29" ht="18.75" thickBot="1" x14ac:dyDescent="0.3">
      <c r="A7" s="102"/>
      <c r="B7" s="102"/>
      <c r="C7" s="102"/>
      <c r="D7" s="102"/>
      <c r="E7" s="102"/>
      <c r="F7" s="102"/>
    </row>
    <row r="8" spans="1:29" ht="57" x14ac:dyDescent="0.25">
      <c r="A8" s="103" t="s">
        <v>393</v>
      </c>
      <c r="B8" s="104" t="s">
        <v>394</v>
      </c>
      <c r="C8" s="105" t="s">
        <v>395</v>
      </c>
      <c r="D8" s="105" t="s">
        <v>396</v>
      </c>
      <c r="E8" s="105" t="s">
        <v>637</v>
      </c>
      <c r="F8" s="105" t="s">
        <v>638</v>
      </c>
      <c r="G8" s="106" t="s">
        <v>639</v>
      </c>
      <c r="H8" s="106" t="s">
        <v>822</v>
      </c>
      <c r="I8" s="106" t="s">
        <v>848</v>
      </c>
      <c r="J8" s="106" t="s">
        <v>1199</v>
      </c>
    </row>
    <row r="9" spans="1:29" x14ac:dyDescent="0.25">
      <c r="A9" s="107">
        <v>1</v>
      </c>
      <c r="B9" s="107">
        <v>2</v>
      </c>
      <c r="C9" s="107">
        <v>3</v>
      </c>
      <c r="D9" s="107">
        <v>4</v>
      </c>
      <c r="E9" s="107">
        <v>5</v>
      </c>
      <c r="F9" s="107">
        <v>6</v>
      </c>
      <c r="G9" s="107">
        <v>7</v>
      </c>
      <c r="H9" s="107">
        <v>8</v>
      </c>
      <c r="I9" s="107">
        <v>9</v>
      </c>
      <c r="J9" s="107">
        <v>9</v>
      </c>
    </row>
    <row r="10" spans="1:29" x14ac:dyDescent="0.25">
      <c r="A10" s="446" t="s">
        <v>397</v>
      </c>
      <c r="B10" s="440">
        <f>D10+F10+G10</f>
        <v>97472500</v>
      </c>
      <c r="C10" s="441">
        <v>2018</v>
      </c>
      <c r="D10" s="441"/>
      <c r="E10" s="440">
        <v>97472500</v>
      </c>
      <c r="F10" s="440">
        <v>0</v>
      </c>
      <c r="G10" s="440">
        <v>97472500</v>
      </c>
      <c r="H10" s="440">
        <f>97472500-50673000</f>
        <v>46799500</v>
      </c>
      <c r="I10" s="440">
        <v>76156078</v>
      </c>
      <c r="J10" s="440">
        <v>76156078</v>
      </c>
    </row>
    <row r="11" spans="1:29" x14ac:dyDescent="0.25">
      <c r="A11" s="447" t="s">
        <v>640</v>
      </c>
      <c r="B11" s="440">
        <v>37338000</v>
      </c>
      <c r="C11" s="441">
        <v>2018</v>
      </c>
      <c r="D11" s="441"/>
      <c r="E11" s="440">
        <v>38154400</v>
      </c>
      <c r="F11" s="440">
        <v>1511300</v>
      </c>
      <c r="G11" s="440">
        <f>B11-F11</f>
        <v>35826700</v>
      </c>
      <c r="H11" s="440">
        <v>35826700</v>
      </c>
      <c r="I11" s="440">
        <v>36175950</v>
      </c>
      <c r="J11" s="440">
        <v>36175950</v>
      </c>
    </row>
    <row r="12" spans="1:29" x14ac:dyDescent="0.25">
      <c r="A12" s="448" t="s">
        <v>398</v>
      </c>
      <c r="B12" s="440">
        <v>225298000</v>
      </c>
      <c r="C12" s="441">
        <v>2018</v>
      </c>
      <c r="D12" s="441"/>
      <c r="E12" s="440">
        <v>225298000</v>
      </c>
      <c r="F12" s="440">
        <v>0</v>
      </c>
      <c r="G12" s="440">
        <v>225298000</v>
      </c>
      <c r="H12" s="440">
        <f>225298000-47898000</f>
        <v>177400000</v>
      </c>
      <c r="I12" s="440">
        <v>177400000</v>
      </c>
      <c r="J12" s="440">
        <v>175197495</v>
      </c>
    </row>
    <row r="13" spans="1:29" ht="25.5" x14ac:dyDescent="0.25">
      <c r="A13" s="447" t="s">
        <v>641</v>
      </c>
      <c r="B13" s="111"/>
      <c r="C13" s="112"/>
      <c r="D13" s="111"/>
      <c r="E13" s="111">
        <v>0</v>
      </c>
      <c r="F13" s="111">
        <v>0</v>
      </c>
      <c r="G13" s="115">
        <v>3902564</v>
      </c>
      <c r="H13" s="115">
        <v>3902564</v>
      </c>
      <c r="I13" s="115">
        <v>3902564</v>
      </c>
      <c r="J13" s="115">
        <v>3902564</v>
      </c>
    </row>
    <row r="14" spans="1:29" s="179" customFormat="1" x14ac:dyDescent="0.25">
      <c r="A14" s="118" t="s">
        <v>879</v>
      </c>
      <c r="B14" s="440"/>
      <c r="C14" s="442"/>
      <c r="D14" s="115"/>
      <c r="E14" s="115"/>
      <c r="F14" s="115"/>
      <c r="G14" s="115"/>
      <c r="H14" s="115"/>
      <c r="I14" s="115">
        <v>383500</v>
      </c>
      <c r="J14" s="115">
        <v>383500</v>
      </c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</row>
    <row r="15" spans="1:29" ht="27" customHeight="1" x14ac:dyDescent="0.25">
      <c r="A15" s="449" t="s">
        <v>400</v>
      </c>
      <c r="B15" s="111">
        <f>SUM(B10:B13)</f>
        <v>360108500</v>
      </c>
      <c r="C15" s="112"/>
      <c r="D15" s="111">
        <f>SUM(D10:D13)</f>
        <v>0</v>
      </c>
      <c r="E15" s="111">
        <f>SUM(E10:E13)</f>
        <v>360924900</v>
      </c>
      <c r="F15" s="111">
        <f>SUM(F10:F13)</f>
        <v>1511300</v>
      </c>
      <c r="G15" s="111">
        <f>SUM(G10:G13)</f>
        <v>362499764</v>
      </c>
      <c r="H15" s="111">
        <f>SUM(H10:H13)</f>
        <v>263928764</v>
      </c>
      <c r="I15" s="111">
        <f>SUM(I10:I14)</f>
        <v>294018092</v>
      </c>
      <c r="J15" s="111">
        <f>SUM(J10:J14)</f>
        <v>291815587</v>
      </c>
    </row>
    <row r="16" spans="1:29" x14ac:dyDescent="0.25">
      <c r="A16" s="449"/>
      <c r="B16" s="111"/>
      <c r="C16" s="112"/>
      <c r="D16" s="111"/>
      <c r="E16" s="111"/>
      <c r="F16" s="111"/>
      <c r="G16" s="111"/>
      <c r="H16" s="111"/>
      <c r="I16" s="111"/>
      <c r="J16" s="111"/>
    </row>
    <row r="17" spans="1:20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20" x14ac:dyDescent="0.25">
      <c r="A18" s="118" t="s">
        <v>401</v>
      </c>
      <c r="B18" s="440">
        <f>D18+E18+G18</f>
        <v>9607000</v>
      </c>
      <c r="C18" s="442">
        <v>2018</v>
      </c>
      <c r="D18" s="115"/>
      <c r="E18" s="440">
        <v>4407000</v>
      </c>
      <c r="F18" s="440">
        <v>7160772</v>
      </c>
      <c r="G18" s="115">
        <v>5200000</v>
      </c>
      <c r="H18" s="115">
        <f>5200000-3300000</f>
        <v>1900000</v>
      </c>
      <c r="I18" s="115">
        <v>3929412</v>
      </c>
      <c r="J18" s="114">
        <v>3929412</v>
      </c>
    </row>
    <row r="19" spans="1:20" x14ac:dyDescent="0.25">
      <c r="A19" s="118" t="s">
        <v>402</v>
      </c>
      <c r="B19" s="440">
        <f t="shared" ref="B19:B36" si="0">F19+G19</f>
        <v>10885443</v>
      </c>
      <c r="C19" s="442">
        <v>2018</v>
      </c>
      <c r="D19" s="115"/>
      <c r="E19" s="440">
        <v>5000000</v>
      </c>
      <c r="F19" s="440">
        <v>4285443</v>
      </c>
      <c r="G19" s="115">
        <v>6600000</v>
      </c>
      <c r="H19" s="115">
        <f>6600000-4195000</f>
        <v>2405000</v>
      </c>
      <c r="I19" s="115">
        <v>0</v>
      </c>
      <c r="J19" s="114">
        <v>0</v>
      </c>
      <c r="M19" s="646"/>
      <c r="N19" s="646"/>
      <c r="O19" s="646"/>
      <c r="P19" s="646"/>
      <c r="Q19" s="646"/>
      <c r="R19" s="646"/>
      <c r="S19" s="646"/>
      <c r="T19" s="646"/>
    </row>
    <row r="20" spans="1:20" x14ac:dyDescent="0.25">
      <c r="A20" s="118" t="s">
        <v>403</v>
      </c>
      <c r="B20" s="440">
        <f t="shared" si="0"/>
        <v>500000</v>
      </c>
      <c r="C20" s="442"/>
      <c r="D20" s="115"/>
      <c r="E20" s="440">
        <v>1000000</v>
      </c>
      <c r="F20" s="440">
        <v>0</v>
      </c>
      <c r="G20" s="115">
        <v>500000</v>
      </c>
      <c r="H20" s="115">
        <f>2500000+1000000</f>
        <v>3500000</v>
      </c>
      <c r="I20" s="115">
        <f>2500000+1000000</f>
        <v>3500000</v>
      </c>
      <c r="J20" s="114">
        <v>3137040</v>
      </c>
    </row>
    <row r="21" spans="1:20" x14ac:dyDescent="0.25">
      <c r="A21" s="116" t="s">
        <v>404</v>
      </c>
      <c r="B21" s="440">
        <f t="shared" si="0"/>
        <v>15000000</v>
      </c>
      <c r="C21" s="442"/>
      <c r="D21" s="117"/>
      <c r="E21" s="443">
        <f>13000000+5094151</f>
        <v>18094151</v>
      </c>
      <c r="F21" s="443">
        <v>0</v>
      </c>
      <c r="G21" s="115">
        <v>15000000</v>
      </c>
      <c r="H21" s="115">
        <f>15000000-1000000</f>
        <v>14000000</v>
      </c>
      <c r="I21" s="115">
        <f>15000000-1000000</f>
        <v>14000000</v>
      </c>
      <c r="J21" s="114">
        <v>9216250</v>
      </c>
    </row>
    <row r="22" spans="1:20" ht="28.5" x14ac:dyDescent="0.25">
      <c r="A22" s="116" t="s">
        <v>642</v>
      </c>
      <c r="B22" s="440">
        <f t="shared" si="0"/>
        <v>3305800</v>
      </c>
      <c r="C22" s="442"/>
      <c r="D22" s="115"/>
      <c r="E22" s="115">
        <v>1955800</v>
      </c>
      <c r="F22" s="115">
        <v>1955800</v>
      </c>
      <c r="G22" s="115">
        <v>1350000</v>
      </c>
      <c r="H22" s="115">
        <v>1500000</v>
      </c>
      <c r="I22" s="115">
        <v>1500000</v>
      </c>
      <c r="J22" s="114">
        <v>1498600</v>
      </c>
    </row>
    <row r="23" spans="1:20" ht="28.5" x14ac:dyDescent="0.25">
      <c r="A23" s="116" t="s">
        <v>656</v>
      </c>
      <c r="B23" s="440">
        <f t="shared" si="0"/>
        <v>3000000</v>
      </c>
      <c r="C23" s="442"/>
      <c r="D23" s="115"/>
      <c r="E23" s="115"/>
      <c r="F23" s="115"/>
      <c r="G23" s="115">
        <v>3000000</v>
      </c>
      <c r="H23" s="115">
        <v>3450000</v>
      </c>
      <c r="I23" s="115">
        <v>3450000</v>
      </c>
      <c r="J23" s="114">
        <v>842010</v>
      </c>
    </row>
    <row r="24" spans="1:20" x14ac:dyDescent="0.25">
      <c r="A24" s="116" t="s">
        <v>405</v>
      </c>
      <c r="B24" s="440">
        <f t="shared" si="0"/>
        <v>5205858</v>
      </c>
      <c r="C24" s="442"/>
      <c r="D24" s="117"/>
      <c r="E24" s="443">
        <v>1000000</v>
      </c>
      <c r="F24" s="443">
        <v>1205858</v>
      </c>
      <c r="G24" s="114">
        <v>4000000</v>
      </c>
      <c r="H24" s="114">
        <v>2000000</v>
      </c>
      <c r="I24" s="114">
        <v>2000000</v>
      </c>
      <c r="J24" s="114">
        <f>717029-5</f>
        <v>717024</v>
      </c>
    </row>
    <row r="25" spans="1:20" s="147" customFormat="1" x14ac:dyDescent="0.25">
      <c r="A25" s="451" t="s">
        <v>643</v>
      </c>
      <c r="B25" s="110">
        <f t="shared" si="0"/>
        <v>14240000</v>
      </c>
      <c r="C25" s="113"/>
      <c r="D25" s="114"/>
      <c r="E25" s="110"/>
      <c r="F25" s="110"/>
      <c r="G25" s="114">
        <f>12000000*1.27-1000000</f>
        <v>14240000</v>
      </c>
      <c r="H25" s="114">
        <f>12000000*1.27-1000000</f>
        <v>14240000</v>
      </c>
      <c r="I25" s="114">
        <v>14240000</v>
      </c>
      <c r="J25" s="114">
        <v>100000</v>
      </c>
    </row>
    <row r="26" spans="1:20" s="147" customFormat="1" x14ac:dyDescent="0.25">
      <c r="A26" s="452" t="s">
        <v>406</v>
      </c>
      <c r="B26" s="110">
        <f t="shared" si="0"/>
        <v>4500000</v>
      </c>
      <c r="C26" s="113"/>
      <c r="D26" s="114"/>
      <c r="E26" s="110">
        <v>0</v>
      </c>
      <c r="F26" s="110">
        <v>0</v>
      </c>
      <c r="G26" s="114">
        <v>4500000</v>
      </c>
      <c r="H26" s="114">
        <v>4939450</v>
      </c>
      <c r="I26" s="114">
        <f>4939450-553870-1200000</f>
        <v>3185580</v>
      </c>
      <c r="J26" s="114">
        <v>171450</v>
      </c>
    </row>
    <row r="27" spans="1:20" s="147" customFormat="1" x14ac:dyDescent="0.25">
      <c r="A27" s="452" t="s">
        <v>644</v>
      </c>
      <c r="B27" s="110">
        <f t="shared" si="0"/>
        <v>20000000</v>
      </c>
      <c r="C27" s="113"/>
      <c r="D27" s="114"/>
      <c r="E27" s="110"/>
      <c r="F27" s="110"/>
      <c r="G27" s="114">
        <v>20000000</v>
      </c>
      <c r="H27" s="114">
        <f>20000000-16583700</f>
        <v>3416300</v>
      </c>
      <c r="I27" s="114">
        <f>20000000-16583700</f>
        <v>3416300</v>
      </c>
      <c r="J27" s="114">
        <f>20000000-16583700</f>
        <v>3416300</v>
      </c>
    </row>
    <row r="28" spans="1:20" s="147" customFormat="1" x14ac:dyDescent="0.25">
      <c r="A28" s="452" t="s">
        <v>645</v>
      </c>
      <c r="B28" s="110">
        <f t="shared" si="0"/>
        <v>6620000</v>
      </c>
      <c r="C28" s="113"/>
      <c r="D28" s="114"/>
      <c r="E28" s="110"/>
      <c r="F28" s="110"/>
      <c r="G28" s="114">
        <f>6000000*1.27-1000000</f>
        <v>6620000</v>
      </c>
      <c r="H28" s="114">
        <f>6000000*1.27-1000000</f>
        <v>6620000</v>
      </c>
      <c r="I28" s="114">
        <v>6620000</v>
      </c>
      <c r="J28" s="114"/>
    </row>
    <row r="29" spans="1:20" s="147" customFormat="1" x14ac:dyDescent="0.25">
      <c r="A29" s="451" t="s">
        <v>646</v>
      </c>
      <c r="B29" s="110">
        <f t="shared" si="0"/>
        <v>4432321</v>
      </c>
      <c r="C29" s="113">
        <v>2018</v>
      </c>
      <c r="D29" s="114">
        <v>0</v>
      </c>
      <c r="E29" s="110">
        <v>1000000</v>
      </c>
      <c r="F29" s="110">
        <v>1892981</v>
      </c>
      <c r="G29" s="114">
        <v>2539340</v>
      </c>
      <c r="H29" s="114">
        <v>2539340</v>
      </c>
      <c r="I29" s="114">
        <v>2539340</v>
      </c>
      <c r="J29" s="114">
        <v>2539340</v>
      </c>
    </row>
    <row r="30" spans="1:20" s="147" customFormat="1" x14ac:dyDescent="0.25">
      <c r="A30" s="451" t="s">
        <v>647</v>
      </c>
      <c r="B30" s="110">
        <f t="shared" si="0"/>
        <v>2500000</v>
      </c>
      <c r="C30" s="113"/>
      <c r="D30" s="114"/>
      <c r="E30" s="110"/>
      <c r="F30" s="110"/>
      <c r="G30" s="114">
        <v>2500000</v>
      </c>
      <c r="H30" s="114">
        <v>2500000</v>
      </c>
      <c r="I30" s="114">
        <v>3700000</v>
      </c>
      <c r="J30" s="114">
        <f>3631303</f>
        <v>3631303</v>
      </c>
    </row>
    <row r="31" spans="1:20" x14ac:dyDescent="0.25">
      <c r="A31" s="118" t="s">
        <v>407</v>
      </c>
      <c r="B31" s="440">
        <f t="shared" si="0"/>
        <v>9550000</v>
      </c>
      <c r="C31" s="442"/>
      <c r="D31" s="115">
        <v>0</v>
      </c>
      <c r="E31" s="440">
        <v>9550000</v>
      </c>
      <c r="F31" s="440">
        <v>0</v>
      </c>
      <c r="G31" s="114">
        <v>9550000</v>
      </c>
      <c r="H31" s="114">
        <v>9550000</v>
      </c>
      <c r="I31" s="114">
        <v>9550000</v>
      </c>
      <c r="J31" s="114">
        <v>0</v>
      </c>
    </row>
    <row r="32" spans="1:20" x14ac:dyDescent="0.25">
      <c r="A32" s="118" t="s">
        <v>408</v>
      </c>
      <c r="B32" s="440">
        <f t="shared" si="0"/>
        <v>15000000</v>
      </c>
      <c r="C32" s="442"/>
      <c r="D32" s="115"/>
      <c r="E32" s="115">
        <v>5000000</v>
      </c>
      <c r="F32" s="115">
        <v>0</v>
      </c>
      <c r="G32" s="114">
        <v>15000000</v>
      </c>
      <c r="H32" s="114">
        <v>15000000</v>
      </c>
      <c r="I32" s="114">
        <v>17312846</v>
      </c>
      <c r="J32" s="114">
        <v>17312846</v>
      </c>
    </row>
    <row r="33" spans="1:29" x14ac:dyDescent="0.25">
      <c r="A33" s="118" t="s">
        <v>648</v>
      </c>
      <c r="B33" s="440">
        <f t="shared" si="0"/>
        <v>7903340</v>
      </c>
      <c r="C33" s="442"/>
      <c r="D33" s="115"/>
      <c r="E33" s="115">
        <v>252000</v>
      </c>
      <c r="F33" s="115">
        <v>316740</v>
      </c>
      <c r="G33" s="114">
        <v>7586600</v>
      </c>
      <c r="H33" s="114">
        <f>7586600+700000</f>
        <v>8286600</v>
      </c>
      <c r="I33" s="114">
        <f>7586600+700000</f>
        <v>8286600</v>
      </c>
      <c r="J33" s="114">
        <v>7074965</v>
      </c>
    </row>
    <row r="34" spans="1:29" x14ac:dyDescent="0.25">
      <c r="A34" s="118" t="s">
        <v>649</v>
      </c>
      <c r="B34" s="440">
        <f t="shared" si="0"/>
        <v>935100</v>
      </c>
      <c r="C34" s="442"/>
      <c r="D34" s="115"/>
      <c r="E34" s="115"/>
      <c r="F34" s="115"/>
      <c r="G34" s="114">
        <v>935100</v>
      </c>
      <c r="H34" s="114">
        <f>935100+276000</f>
        <v>1211100</v>
      </c>
      <c r="I34" s="114">
        <f>935100+276000</f>
        <v>1211100</v>
      </c>
      <c r="J34" s="114">
        <v>1070599</v>
      </c>
    </row>
    <row r="35" spans="1:29" x14ac:dyDescent="0.25">
      <c r="A35" s="118" t="s">
        <v>655</v>
      </c>
      <c r="B35" s="440">
        <f t="shared" si="0"/>
        <v>700000</v>
      </c>
      <c r="C35" s="442"/>
      <c r="D35" s="115"/>
      <c r="E35" s="115"/>
      <c r="F35" s="115"/>
      <c r="G35" s="114">
        <v>700000</v>
      </c>
      <c r="H35" s="114">
        <v>890000</v>
      </c>
      <c r="I35" s="114">
        <v>890000</v>
      </c>
      <c r="J35" s="114">
        <v>889000</v>
      </c>
    </row>
    <row r="36" spans="1:29" x14ac:dyDescent="0.25">
      <c r="A36" s="118" t="s">
        <v>650</v>
      </c>
      <c r="B36" s="440">
        <f t="shared" si="0"/>
        <v>14000000</v>
      </c>
      <c r="C36" s="442"/>
      <c r="D36" s="115"/>
      <c r="E36" s="115"/>
      <c r="F36" s="115"/>
      <c r="G36" s="114">
        <f>15000000-1000000</f>
        <v>14000000</v>
      </c>
      <c r="H36" s="114">
        <f>15000000-1000000+552335</f>
        <v>14552335</v>
      </c>
      <c r="I36" s="114">
        <f>14552335-2647800</f>
        <v>11904535</v>
      </c>
      <c r="J36" s="114">
        <v>4498000</v>
      </c>
    </row>
    <row r="37" spans="1:29" s="179" customFormat="1" x14ac:dyDescent="0.25">
      <c r="A37" s="118" t="s">
        <v>880</v>
      </c>
      <c r="B37" s="440"/>
      <c r="C37" s="442"/>
      <c r="D37" s="115"/>
      <c r="E37" s="115"/>
      <c r="F37" s="115"/>
      <c r="G37" s="114"/>
      <c r="H37" s="114"/>
      <c r="I37" s="114">
        <v>850900</v>
      </c>
      <c r="J37" s="114">
        <v>850900</v>
      </c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</row>
    <row r="38" spans="1:29" s="179" customFormat="1" x14ac:dyDescent="0.25">
      <c r="A38" s="118" t="s">
        <v>881</v>
      </c>
      <c r="B38" s="440"/>
      <c r="C38" s="442"/>
      <c r="D38" s="115"/>
      <c r="E38" s="115"/>
      <c r="F38" s="115"/>
      <c r="G38" s="114"/>
      <c r="H38" s="114"/>
      <c r="I38" s="114">
        <v>2438400</v>
      </c>
      <c r="J38" s="114">
        <v>2438400</v>
      </c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</row>
    <row r="39" spans="1:29" s="179" customFormat="1" x14ac:dyDescent="0.25">
      <c r="A39" s="118" t="s">
        <v>882</v>
      </c>
      <c r="B39" s="440"/>
      <c r="C39" s="442"/>
      <c r="D39" s="115"/>
      <c r="E39" s="115"/>
      <c r="F39" s="115"/>
      <c r="G39" s="114"/>
      <c r="H39" s="114"/>
      <c r="I39" s="114">
        <v>1219200</v>
      </c>
      <c r="J39" s="114">
        <v>1219200</v>
      </c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</row>
    <row r="40" spans="1:29" s="179" customFormat="1" x14ac:dyDescent="0.25">
      <c r="A40" s="118" t="s">
        <v>883</v>
      </c>
      <c r="B40" s="440"/>
      <c r="C40" s="442"/>
      <c r="D40" s="115"/>
      <c r="E40" s="115"/>
      <c r="F40" s="115"/>
      <c r="G40" s="114"/>
      <c r="H40" s="114"/>
      <c r="I40" s="114">
        <v>8915</v>
      </c>
      <c r="J40" s="114">
        <v>8915</v>
      </c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</row>
    <row r="41" spans="1:29" s="179" customFormat="1" x14ac:dyDescent="0.25">
      <c r="A41" s="118" t="s">
        <v>884</v>
      </c>
      <c r="B41" s="440"/>
      <c r="C41" s="442"/>
      <c r="D41" s="115"/>
      <c r="E41" s="115"/>
      <c r="F41" s="115"/>
      <c r="G41" s="114"/>
      <c r="H41" s="114"/>
      <c r="I41" s="114">
        <v>45000</v>
      </c>
      <c r="J41" s="114">
        <v>45000</v>
      </c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</row>
    <row r="42" spans="1:29" s="179" customFormat="1" x14ac:dyDescent="0.25">
      <c r="A42" s="118" t="s">
        <v>885</v>
      </c>
      <c r="B42" s="440"/>
      <c r="C42" s="442"/>
      <c r="D42" s="115"/>
      <c r="E42" s="115"/>
      <c r="F42" s="115"/>
      <c r="G42" s="114"/>
      <c r="H42" s="114"/>
      <c r="I42" s="114">
        <v>117680</v>
      </c>
      <c r="J42" s="114">
        <v>117680</v>
      </c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</row>
    <row r="43" spans="1:29" s="179" customFormat="1" x14ac:dyDescent="0.25">
      <c r="A43" s="118" t="s">
        <v>886</v>
      </c>
      <c r="B43" s="440"/>
      <c r="C43" s="442"/>
      <c r="D43" s="115"/>
      <c r="E43" s="115"/>
      <c r="F43" s="115"/>
      <c r="G43" s="114"/>
      <c r="H43" s="114"/>
      <c r="I43" s="114">
        <v>67094</v>
      </c>
      <c r="J43" s="114">
        <v>67094</v>
      </c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</row>
    <row r="44" spans="1:29" s="179" customFormat="1" ht="28.5" x14ac:dyDescent="0.25">
      <c r="A44" s="118" t="s">
        <v>887</v>
      </c>
      <c r="B44" s="440"/>
      <c r="C44" s="442"/>
      <c r="D44" s="115"/>
      <c r="E44" s="115"/>
      <c r="F44" s="115"/>
      <c r="G44" s="114"/>
      <c r="H44" s="114"/>
      <c r="I44" s="114">
        <v>50800</v>
      </c>
      <c r="J44" s="114">
        <v>50800</v>
      </c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</row>
    <row r="45" spans="1:29" x14ac:dyDescent="0.25">
      <c r="A45" s="449" t="s">
        <v>409</v>
      </c>
      <c r="B45" s="444">
        <f>F45+G45</f>
        <v>150638634</v>
      </c>
      <c r="C45" s="445"/>
      <c r="D45" s="119">
        <f>SUM(D16:D35)</f>
        <v>0</v>
      </c>
      <c r="E45" s="119">
        <f>SUM(E16:E35)</f>
        <v>47258951</v>
      </c>
      <c r="F45" s="119">
        <f>SUM(F16:F35)</f>
        <v>16817594</v>
      </c>
      <c r="G45" s="119">
        <f>SUM(G16:G36)</f>
        <v>133821040</v>
      </c>
      <c r="H45" s="119">
        <f>SUM(H16:H36)</f>
        <v>112500125</v>
      </c>
      <c r="I45" s="119">
        <f>SUM(I16:I44)</f>
        <v>116033702</v>
      </c>
      <c r="J45" s="119">
        <f>SUM(J16:J44)</f>
        <v>64842128</v>
      </c>
      <c r="K45" s="646"/>
      <c r="L45" s="646"/>
      <c r="M45" s="646"/>
    </row>
    <row r="46" spans="1:29" x14ac:dyDescent="0.25">
      <c r="A46" s="453" t="s">
        <v>651</v>
      </c>
      <c r="B46" s="440">
        <f>F46+G46</f>
        <v>400000</v>
      </c>
      <c r="C46" s="92"/>
      <c r="D46" s="92"/>
      <c r="E46" s="92"/>
      <c r="F46" s="92"/>
      <c r="G46" s="115">
        <v>400000</v>
      </c>
      <c r="H46" s="115">
        <v>550000</v>
      </c>
      <c r="I46" s="115">
        <v>0</v>
      </c>
      <c r="J46" s="115">
        <v>0</v>
      </c>
    </row>
    <row r="47" spans="1:29" ht="29.25" x14ac:dyDescent="0.25">
      <c r="A47" s="450" t="s">
        <v>652</v>
      </c>
      <c r="B47" s="440">
        <f>F47+G47</f>
        <v>3048000</v>
      </c>
      <c r="C47" s="442"/>
      <c r="D47" s="115"/>
      <c r="E47" s="440"/>
      <c r="F47" s="440"/>
      <c r="G47" s="115">
        <v>3048000</v>
      </c>
      <c r="H47" s="115">
        <v>0</v>
      </c>
      <c r="I47" s="115">
        <v>0</v>
      </c>
      <c r="J47" s="115">
        <v>0</v>
      </c>
    </row>
    <row r="48" spans="1:29" s="179" customFormat="1" x14ac:dyDescent="0.25">
      <c r="A48" s="450" t="s">
        <v>888</v>
      </c>
      <c r="B48" s="440"/>
      <c r="C48" s="442"/>
      <c r="D48" s="115"/>
      <c r="E48" s="440"/>
      <c r="F48" s="440"/>
      <c r="G48" s="115"/>
      <c r="H48" s="115"/>
      <c r="I48" s="115">
        <v>322380</v>
      </c>
      <c r="J48" s="115">
        <v>254000</v>
      </c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</row>
    <row r="49" spans="1:29" s="455" customFormat="1" ht="28.5" x14ac:dyDescent="0.25">
      <c r="A49" s="454" t="s">
        <v>653</v>
      </c>
      <c r="B49" s="119">
        <f>SUM(B27:B47)</f>
        <v>235727395</v>
      </c>
      <c r="C49" s="119"/>
      <c r="D49" s="119">
        <f>SUM(D27:D47)</f>
        <v>0</v>
      </c>
      <c r="E49" s="119">
        <f>SUM(E27:E47)</f>
        <v>63060951</v>
      </c>
      <c r="F49" s="119">
        <f>SUM(F27:F47)</f>
        <v>19027315</v>
      </c>
      <c r="G49" s="119">
        <f>SUM(G46:G47)</f>
        <v>3448000</v>
      </c>
      <c r="H49" s="119">
        <f>SUM(H46:H47)</f>
        <v>550000</v>
      </c>
      <c r="I49" s="119">
        <f>SUM(I46:I48)</f>
        <v>322380</v>
      </c>
      <c r="J49" s="119">
        <f>SUM(J46:J48)</f>
        <v>254000</v>
      </c>
      <c r="K49" s="675"/>
      <c r="L49" s="675"/>
      <c r="M49" s="675"/>
      <c r="N49" s="675"/>
      <c r="O49" s="675"/>
      <c r="P49" s="675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</row>
    <row r="50" spans="1:29" x14ac:dyDescent="0.25">
      <c r="A50" s="454" t="s">
        <v>654</v>
      </c>
      <c r="B50" s="119">
        <f>B45+B49</f>
        <v>386366029</v>
      </c>
      <c r="C50" s="445"/>
      <c r="D50" s="119"/>
      <c r="E50" s="119"/>
      <c r="F50" s="119"/>
      <c r="G50" s="119">
        <f>G45+G49</f>
        <v>137269040</v>
      </c>
      <c r="H50" s="119">
        <f>H45+H49</f>
        <v>113050125</v>
      </c>
      <c r="I50" s="119">
        <f>I45+I49</f>
        <v>116356082</v>
      </c>
      <c r="J50" s="119">
        <f>J45+J49</f>
        <v>65096128</v>
      </c>
    </row>
    <row r="51" spans="1:29" x14ac:dyDescent="0.25">
      <c r="A51" s="120" t="s">
        <v>410</v>
      </c>
      <c r="B51" s="121">
        <f>B15+B45+B49</f>
        <v>746474529</v>
      </c>
      <c r="C51" s="122" t="s">
        <v>411</v>
      </c>
      <c r="D51" s="121">
        <f>D15+D45</f>
        <v>0</v>
      </c>
      <c r="E51" s="121">
        <f t="shared" ref="E51:J51" si="1">E15+E45+E49</f>
        <v>471244802</v>
      </c>
      <c r="F51" s="121">
        <f t="shared" si="1"/>
        <v>37356209</v>
      </c>
      <c r="G51" s="121">
        <f t="shared" si="1"/>
        <v>499768804</v>
      </c>
      <c r="H51" s="121">
        <f t="shared" si="1"/>
        <v>376978889</v>
      </c>
      <c r="I51" s="121">
        <f t="shared" si="1"/>
        <v>410374174</v>
      </c>
      <c r="J51" s="121">
        <f t="shared" si="1"/>
        <v>356911715</v>
      </c>
    </row>
  </sheetData>
  <mergeCells count="2">
    <mergeCell ref="A2:G2"/>
    <mergeCell ref="A3:G3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60" orientation="portrait" horizontalDpi="300" verticalDpi="300" r:id="rId1"/>
  <headerFooter>
    <oddFooter>&amp;R&amp;P</oddFooter>
  </headerFooter>
  <colBreaks count="1" manualBreakCount="1">
    <brk id="9" max="50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K70"/>
  <sheetViews>
    <sheetView view="pageBreakPreview" zoomScaleNormal="100" zoomScaleSheetLayoutView="100" workbookViewId="0">
      <pane ySplit="11" topLeftCell="A12" activePane="bottomLeft" state="frozen"/>
      <selection activeCell="AB159" sqref="AB159"/>
      <selection pane="bottomLeft" activeCell="G14" sqref="G14:G15"/>
    </sheetView>
  </sheetViews>
  <sheetFormatPr defaultRowHeight="15" x14ac:dyDescent="0.25"/>
  <cols>
    <col min="1" max="1" width="9.140625" style="124"/>
    <col min="2" max="2" width="39.28515625" style="124" customWidth="1"/>
    <col min="3" max="3" width="15.85546875" style="124" customWidth="1"/>
    <col min="4" max="4" width="13.7109375" style="318" customWidth="1"/>
    <col min="5" max="7" width="14.42578125" style="124" customWidth="1"/>
    <col min="8" max="8" width="10.85546875" style="679" bestFit="1" customWidth="1"/>
    <col min="9" max="9" width="11.140625" style="679" bestFit="1" customWidth="1"/>
    <col min="10" max="10" width="9.140625" style="124"/>
    <col min="11" max="11" width="11.140625" style="124" bestFit="1" customWidth="1"/>
    <col min="12" max="16384" width="9.140625" style="124"/>
  </cols>
  <sheetData>
    <row r="1" spans="1:7" x14ac:dyDescent="0.25">
      <c r="E1" s="124" t="str">
        <f>'12 felújítás'!H1</f>
        <v xml:space="preserve"> 12 / 2020. (VI.15) sz rendelet</v>
      </c>
    </row>
    <row r="3" spans="1:7" x14ac:dyDescent="0.25">
      <c r="A3" s="951" t="s">
        <v>4</v>
      </c>
      <c r="B3" s="951"/>
      <c r="C3" s="951"/>
      <c r="D3" s="951"/>
      <c r="E3" s="951"/>
      <c r="F3" s="951"/>
      <c r="G3" s="951"/>
    </row>
    <row r="4" spans="1:7" ht="15" customHeight="1" x14ac:dyDescent="0.25">
      <c r="A4" s="952" t="s">
        <v>459</v>
      </c>
      <c r="B4" s="952"/>
      <c r="C4" s="952"/>
      <c r="D4" s="952"/>
      <c r="E4" s="952"/>
      <c r="F4" s="952"/>
      <c r="G4" s="952"/>
    </row>
    <row r="5" spans="1:7" x14ac:dyDescent="0.25">
      <c r="A5" s="952"/>
      <c r="B5" s="952"/>
      <c r="C5" s="952"/>
      <c r="D5" s="952"/>
      <c r="E5" s="952"/>
      <c r="F5" s="952"/>
      <c r="G5" s="952"/>
    </row>
    <row r="6" spans="1:7" x14ac:dyDescent="0.25">
      <c r="A6" s="207"/>
      <c r="B6" s="207"/>
      <c r="C6" s="45"/>
      <c r="D6" s="45"/>
      <c r="E6" s="45"/>
    </row>
    <row r="7" spans="1:7" x14ac:dyDescent="0.25">
      <c r="A7" s="207"/>
      <c r="B7" s="207"/>
    </row>
    <row r="8" spans="1:7" x14ac:dyDescent="0.25">
      <c r="A8" s="125"/>
      <c r="B8" s="125"/>
      <c r="C8" s="536" t="s">
        <v>298</v>
      </c>
      <c r="D8" s="949" t="str">
        <f>'12 felújítás'!H6</f>
        <v xml:space="preserve"> melléklet az 12/2020. (VI.15.) rendelethez</v>
      </c>
      <c r="E8" s="950"/>
      <c r="F8" s="950"/>
    </row>
    <row r="9" spans="1:7" ht="15.75" thickBot="1" x14ac:dyDescent="0.3"/>
    <row r="10" spans="1:7" ht="30.75" thickBot="1" x14ac:dyDescent="0.3">
      <c r="A10" s="208" t="s">
        <v>318</v>
      </c>
      <c r="B10" s="209" t="s">
        <v>435</v>
      </c>
      <c r="C10" s="208" t="s">
        <v>436</v>
      </c>
      <c r="D10" s="319" t="s">
        <v>531</v>
      </c>
      <c r="E10" s="319" t="s">
        <v>822</v>
      </c>
      <c r="F10" s="319" t="s">
        <v>848</v>
      </c>
      <c r="G10" s="319" t="s">
        <v>924</v>
      </c>
    </row>
    <row r="11" spans="1:7" x14ac:dyDescent="0.25">
      <c r="A11" s="210">
        <v>1</v>
      </c>
      <c r="B11" s="211">
        <v>2</v>
      </c>
      <c r="C11" s="211">
        <v>3</v>
      </c>
      <c r="D11" s="211">
        <v>4</v>
      </c>
      <c r="E11" s="211">
        <v>5</v>
      </c>
      <c r="F11" s="211">
        <v>6</v>
      </c>
      <c r="G11" s="211">
        <v>7</v>
      </c>
    </row>
    <row r="12" spans="1:7" x14ac:dyDescent="0.25">
      <c r="A12" s="212">
        <v>1</v>
      </c>
      <c r="B12" s="213" t="s">
        <v>437</v>
      </c>
      <c r="C12" s="213"/>
      <c r="D12" s="320">
        <v>204256637</v>
      </c>
      <c r="E12" s="320">
        <f>204256637+4479982</f>
        <v>208736619</v>
      </c>
      <c r="F12" s="320">
        <f>204256637+4479982</f>
        <v>208736619</v>
      </c>
      <c r="G12" s="324">
        <v>205925049</v>
      </c>
    </row>
    <row r="13" spans="1:7" ht="30" x14ac:dyDescent="0.25">
      <c r="A13" s="212">
        <v>2</v>
      </c>
      <c r="B13" s="213" t="s">
        <v>438</v>
      </c>
      <c r="C13" s="213"/>
      <c r="D13" s="320">
        <v>4474707</v>
      </c>
      <c r="E13" s="320">
        <v>4474707</v>
      </c>
      <c r="F13" s="320">
        <v>4474707</v>
      </c>
      <c r="G13" s="324">
        <v>4474708</v>
      </c>
    </row>
    <row r="14" spans="1:7" ht="30" x14ac:dyDescent="0.25">
      <c r="A14" s="215">
        <v>3</v>
      </c>
      <c r="B14" s="213" t="s">
        <v>527</v>
      </c>
      <c r="C14" s="213" t="s">
        <v>819</v>
      </c>
      <c r="D14" s="320">
        <v>8926650</v>
      </c>
      <c r="E14" s="320">
        <v>8926650</v>
      </c>
      <c r="F14" s="320">
        <v>8926650</v>
      </c>
      <c r="G14" s="324">
        <v>8926650</v>
      </c>
    </row>
    <row r="15" spans="1:7" ht="30" x14ac:dyDescent="0.25">
      <c r="A15" s="215" t="s">
        <v>289</v>
      </c>
      <c r="B15" s="213" t="s">
        <v>528</v>
      </c>
      <c r="C15" s="213" t="s">
        <v>819</v>
      </c>
      <c r="D15" s="320">
        <v>4302000</v>
      </c>
      <c r="E15" s="320">
        <v>4302000</v>
      </c>
      <c r="F15" s="320">
        <v>4302000</v>
      </c>
      <c r="G15" s="324">
        <v>4302000</v>
      </c>
    </row>
    <row r="16" spans="1:7" x14ac:dyDescent="0.25">
      <c r="A16" s="215" t="s">
        <v>290</v>
      </c>
      <c r="B16" s="437" t="s">
        <v>633</v>
      </c>
      <c r="C16" s="437"/>
      <c r="D16" s="438">
        <v>2000000</v>
      </c>
      <c r="E16" s="438">
        <v>2000000</v>
      </c>
      <c r="F16" s="438">
        <v>2000000</v>
      </c>
      <c r="G16" s="839">
        <v>1600000</v>
      </c>
    </row>
    <row r="17" spans="1:7" ht="15.75" thickBot="1" x14ac:dyDescent="0.3">
      <c r="A17" s="216" t="s">
        <v>18</v>
      </c>
      <c r="B17" s="217"/>
      <c r="C17" s="218"/>
      <c r="D17" s="219">
        <f>SUM(D12:D16)</f>
        <v>223959994</v>
      </c>
      <c r="E17" s="219">
        <f>SUM(E12:E16)</f>
        <v>228439976</v>
      </c>
      <c r="F17" s="219">
        <f>SUM(F12:F16)</f>
        <v>228439976</v>
      </c>
      <c r="G17" s="219">
        <f>SUM(G12:G16)</f>
        <v>225228407</v>
      </c>
    </row>
    <row r="18" spans="1:7" x14ac:dyDescent="0.25">
      <c r="E18" s="318"/>
      <c r="F18" s="318"/>
      <c r="G18" s="318"/>
    </row>
    <row r="19" spans="1:7" x14ac:dyDescent="0.25">
      <c r="A19" s="948" t="s">
        <v>439</v>
      </c>
      <c r="B19" s="948"/>
      <c r="C19" s="948"/>
      <c r="E19" s="318"/>
      <c r="F19" s="318"/>
      <c r="G19" s="318"/>
    </row>
    <row r="20" spans="1:7" ht="15.75" thickBot="1" x14ac:dyDescent="0.3">
      <c r="A20" s="125"/>
      <c r="B20" s="125"/>
      <c r="C20" s="125"/>
      <c r="E20" s="318"/>
      <c r="F20" s="318"/>
      <c r="G20" s="318"/>
    </row>
    <row r="21" spans="1:7" ht="15.75" thickBot="1" x14ac:dyDescent="0.3">
      <c r="A21" s="220" t="s">
        <v>318</v>
      </c>
      <c r="B21" s="221" t="s">
        <v>435</v>
      </c>
      <c r="C21" s="220" t="s">
        <v>436</v>
      </c>
      <c r="D21" s="321" t="s">
        <v>531</v>
      </c>
      <c r="E21" s="319" t="s">
        <v>822</v>
      </c>
      <c r="F21" s="319" t="s">
        <v>822</v>
      </c>
      <c r="G21" s="319" t="s">
        <v>924</v>
      </c>
    </row>
    <row r="22" spans="1:7" x14ac:dyDescent="0.25">
      <c r="A22" s="222">
        <v>1</v>
      </c>
      <c r="B22" s="223">
        <v>2</v>
      </c>
      <c r="C22" s="223">
        <v>3</v>
      </c>
      <c r="D22" s="223">
        <v>4</v>
      </c>
      <c r="E22" s="223">
        <v>5</v>
      </c>
      <c r="F22" s="223">
        <v>6</v>
      </c>
      <c r="G22" s="223">
        <v>7</v>
      </c>
    </row>
    <row r="23" spans="1:7" x14ac:dyDescent="0.25">
      <c r="A23" s="224">
        <v>1</v>
      </c>
      <c r="B23" s="225" t="s">
        <v>440</v>
      </c>
      <c r="C23" s="226"/>
      <c r="D23" s="320">
        <v>170400000</v>
      </c>
      <c r="E23" s="320">
        <v>170400000</v>
      </c>
      <c r="F23" s="320">
        <v>170400000</v>
      </c>
      <c r="G23" s="324">
        <v>170400000</v>
      </c>
    </row>
    <row r="24" spans="1:7" x14ac:dyDescent="0.25">
      <c r="A24" s="224">
        <v>2</v>
      </c>
      <c r="B24" s="227" t="s">
        <v>441</v>
      </c>
      <c r="C24" s="228"/>
      <c r="D24" s="320">
        <v>48502082</v>
      </c>
      <c r="E24" s="320">
        <v>48502082</v>
      </c>
      <c r="F24" s="320">
        <v>48502082</v>
      </c>
      <c r="G24" s="324">
        <v>48502000</v>
      </c>
    </row>
    <row r="25" spans="1:7" x14ac:dyDescent="0.25">
      <c r="A25" s="224">
        <v>3</v>
      </c>
      <c r="B25" s="229" t="s">
        <v>442</v>
      </c>
      <c r="C25" s="230"/>
      <c r="D25" s="320">
        <f>7800000-D26-D27-D28</f>
        <v>7050000</v>
      </c>
      <c r="E25" s="320">
        <f>7800000-E26-E27-E28</f>
        <v>7050000</v>
      </c>
      <c r="F25" s="320">
        <f>7800000-F26-F27-F28</f>
        <v>7050000</v>
      </c>
      <c r="G25" s="324">
        <f>7800000-G26-G27-G28</f>
        <v>7050000</v>
      </c>
    </row>
    <row r="26" spans="1:7" ht="17.25" customHeight="1" x14ac:dyDescent="0.25">
      <c r="A26" s="224">
        <v>4</v>
      </c>
      <c r="B26" s="227" t="s">
        <v>443</v>
      </c>
      <c r="C26" s="228"/>
      <c r="D26" s="320">
        <v>300000</v>
      </c>
      <c r="E26" s="320">
        <v>300000</v>
      </c>
      <c r="F26" s="320">
        <v>300000</v>
      </c>
      <c r="G26" s="324">
        <v>300000</v>
      </c>
    </row>
    <row r="27" spans="1:7" ht="17.25" customHeight="1" x14ac:dyDescent="0.25">
      <c r="A27" s="224">
        <v>5</v>
      </c>
      <c r="B27" s="227" t="s">
        <v>444</v>
      </c>
      <c r="C27" s="228"/>
      <c r="D27" s="320">
        <v>100000</v>
      </c>
      <c r="E27" s="320">
        <v>100000</v>
      </c>
      <c r="F27" s="320">
        <v>100000</v>
      </c>
      <c r="G27" s="324">
        <v>100000</v>
      </c>
    </row>
    <row r="28" spans="1:7" ht="15" customHeight="1" x14ac:dyDescent="0.25">
      <c r="A28" s="224">
        <v>6</v>
      </c>
      <c r="B28" s="227" t="s">
        <v>445</v>
      </c>
      <c r="C28" s="228"/>
      <c r="D28" s="320">
        <v>350000</v>
      </c>
      <c r="E28" s="320">
        <v>350000</v>
      </c>
      <c r="F28" s="320">
        <v>350000</v>
      </c>
      <c r="G28" s="324">
        <v>350000</v>
      </c>
    </row>
    <row r="29" spans="1:7" x14ac:dyDescent="0.25">
      <c r="A29" s="224">
        <v>7</v>
      </c>
      <c r="B29" s="227" t="s">
        <v>821</v>
      </c>
      <c r="C29" s="228"/>
      <c r="D29" s="320">
        <v>300000</v>
      </c>
      <c r="E29" s="320">
        <v>300000</v>
      </c>
      <c r="F29" s="320">
        <v>300000</v>
      </c>
      <c r="G29" s="324">
        <v>300000</v>
      </c>
    </row>
    <row r="30" spans="1:7" x14ac:dyDescent="0.25">
      <c r="A30" s="224"/>
      <c r="B30" s="227" t="s">
        <v>571</v>
      </c>
      <c r="C30" s="228"/>
      <c r="D30" s="320">
        <f>SUM(D25:D29)</f>
        <v>8100000</v>
      </c>
      <c r="E30" s="320">
        <f>SUM(E25:E29)</f>
        <v>8100000</v>
      </c>
      <c r="F30" s="320">
        <f>SUM(F25:F29)</f>
        <v>8100000</v>
      </c>
      <c r="G30" s="324">
        <f>SUM(G25:G29)</f>
        <v>8100000</v>
      </c>
    </row>
    <row r="31" spans="1:7" x14ac:dyDescent="0.25">
      <c r="A31" s="224">
        <v>8</v>
      </c>
      <c r="B31" s="227" t="s">
        <v>446</v>
      </c>
      <c r="C31" s="228"/>
      <c r="D31" s="320">
        <v>1700000</v>
      </c>
      <c r="E31" s="320">
        <v>1700000</v>
      </c>
      <c r="F31" s="320">
        <v>1700000</v>
      </c>
      <c r="G31" s="324">
        <v>1700000</v>
      </c>
    </row>
    <row r="32" spans="1:7" x14ac:dyDescent="0.25">
      <c r="A32" s="224">
        <v>9</v>
      </c>
      <c r="B32" s="227" t="s">
        <v>447</v>
      </c>
      <c r="C32" s="228"/>
      <c r="D32" s="320">
        <v>0</v>
      </c>
      <c r="E32" s="320">
        <v>0</v>
      </c>
      <c r="F32" s="320">
        <v>0</v>
      </c>
      <c r="G32" s="324">
        <v>0</v>
      </c>
    </row>
    <row r="33" spans="1:11" ht="30" x14ac:dyDescent="0.25">
      <c r="A33" s="224">
        <v>10</v>
      </c>
      <c r="B33" s="227" t="s">
        <v>448</v>
      </c>
      <c r="C33" s="228"/>
      <c r="D33" s="320">
        <v>500000</v>
      </c>
      <c r="E33" s="320">
        <v>500000</v>
      </c>
      <c r="F33" s="320">
        <v>500000</v>
      </c>
      <c r="G33" s="324">
        <v>500000</v>
      </c>
    </row>
    <row r="34" spans="1:11" x14ac:dyDescent="0.25">
      <c r="A34" s="224">
        <v>11</v>
      </c>
      <c r="B34" s="227" t="s">
        <v>449</v>
      </c>
      <c r="C34" s="228"/>
      <c r="D34" s="320">
        <v>2710000</v>
      </c>
      <c r="E34" s="320">
        <v>2710000</v>
      </c>
      <c r="F34" s="320">
        <v>2710000</v>
      </c>
      <c r="G34" s="324">
        <v>2710000</v>
      </c>
    </row>
    <row r="35" spans="1:11" x14ac:dyDescent="0.25">
      <c r="A35" s="224">
        <v>12</v>
      </c>
      <c r="B35" s="227" t="s">
        <v>450</v>
      </c>
      <c r="C35" s="228"/>
      <c r="D35" s="320">
        <v>1500000</v>
      </c>
      <c r="E35" s="320">
        <v>1500000</v>
      </c>
      <c r="F35" s="320">
        <v>1500000</v>
      </c>
      <c r="G35" s="324"/>
    </row>
    <row r="36" spans="1:11" x14ac:dyDescent="0.25">
      <c r="A36" s="224">
        <v>13</v>
      </c>
      <c r="B36" s="227" t="s">
        <v>451</v>
      </c>
      <c r="C36" s="228"/>
      <c r="D36" s="320">
        <v>400000</v>
      </c>
      <c r="E36" s="320">
        <v>400000</v>
      </c>
      <c r="F36" s="320">
        <v>400000</v>
      </c>
      <c r="G36" s="798">
        <v>400000</v>
      </c>
    </row>
    <row r="37" spans="1:11" x14ac:dyDescent="0.25">
      <c r="A37" s="224">
        <v>14</v>
      </c>
      <c r="B37" s="227" t="s">
        <v>452</v>
      </c>
      <c r="C37" s="228"/>
      <c r="D37" s="320">
        <v>400000</v>
      </c>
      <c r="E37" s="320">
        <v>400000</v>
      </c>
      <c r="F37" s="320">
        <v>400000</v>
      </c>
      <c r="G37" s="798">
        <v>400000</v>
      </c>
    </row>
    <row r="38" spans="1:11" x14ac:dyDescent="0.25">
      <c r="A38" s="224">
        <v>15</v>
      </c>
      <c r="B38" s="227" t="s">
        <v>453</v>
      </c>
      <c r="C38" s="228"/>
      <c r="D38" s="320">
        <v>500000</v>
      </c>
      <c r="E38" s="320">
        <v>500000</v>
      </c>
      <c r="F38" s="320">
        <v>500000</v>
      </c>
      <c r="G38" s="324">
        <v>500000</v>
      </c>
    </row>
    <row r="39" spans="1:11" x14ac:dyDescent="0.25">
      <c r="A39" s="224">
        <v>16</v>
      </c>
      <c r="B39" s="225" t="s">
        <v>454</v>
      </c>
      <c r="C39" s="226"/>
      <c r="D39" s="320">
        <v>600000</v>
      </c>
      <c r="E39" s="320">
        <v>600000</v>
      </c>
      <c r="F39" s="320">
        <v>600000</v>
      </c>
      <c r="G39" s="324">
        <v>600000</v>
      </c>
    </row>
    <row r="40" spans="1:11" x14ac:dyDescent="0.25">
      <c r="A40" s="224">
        <v>17</v>
      </c>
      <c r="B40" s="225" t="s">
        <v>455</v>
      </c>
      <c r="C40" s="226"/>
      <c r="D40" s="320">
        <v>300000</v>
      </c>
      <c r="E40" s="320">
        <v>300000</v>
      </c>
      <c r="F40" s="320">
        <v>300000</v>
      </c>
      <c r="G40" s="324">
        <v>300000</v>
      </c>
    </row>
    <row r="41" spans="1:11" ht="30" customHeight="1" x14ac:dyDescent="0.25">
      <c r="A41" s="224">
        <v>18</v>
      </c>
      <c r="B41" s="227" t="s">
        <v>907</v>
      </c>
      <c r="C41" s="228"/>
      <c r="D41" s="320">
        <v>4200000</v>
      </c>
      <c r="E41" s="320">
        <f>4200000</f>
        <v>4200000</v>
      </c>
      <c r="F41" s="320">
        <f>4200000</f>
        <v>4200000</v>
      </c>
      <c r="G41" s="324">
        <f>SUM(G42:G49)</f>
        <v>4100000</v>
      </c>
      <c r="J41" s="624"/>
      <c r="K41" s="624"/>
    </row>
    <row r="42" spans="1:11" x14ac:dyDescent="0.25">
      <c r="A42" s="224"/>
      <c r="B42" s="227" t="s">
        <v>865</v>
      </c>
      <c r="C42" s="228"/>
      <c r="D42" s="320"/>
      <c r="E42" s="324">
        <v>600000</v>
      </c>
      <c r="F42" s="324">
        <v>600000</v>
      </c>
      <c r="G42" s="324">
        <v>600000</v>
      </c>
      <c r="H42" s="680"/>
    </row>
    <row r="43" spans="1:11" x14ac:dyDescent="0.25">
      <c r="A43" s="224"/>
      <c r="B43" s="227" t="s">
        <v>529</v>
      </c>
      <c r="C43" s="228"/>
      <c r="D43" s="320"/>
      <c r="E43" s="324">
        <v>50000</v>
      </c>
      <c r="F43" s="324">
        <v>50000</v>
      </c>
      <c r="G43" s="324">
        <v>50000</v>
      </c>
    </row>
    <row r="44" spans="1:11" x14ac:dyDescent="0.25">
      <c r="A44" s="224"/>
      <c r="B44" s="227" t="s">
        <v>530</v>
      </c>
      <c r="C44" s="228"/>
      <c r="D44" s="320"/>
      <c r="E44" s="324">
        <v>100000</v>
      </c>
      <c r="F44" s="324">
        <v>100000</v>
      </c>
      <c r="G44" s="324">
        <v>100000</v>
      </c>
    </row>
    <row r="45" spans="1:11" x14ac:dyDescent="0.25">
      <c r="A45" s="224"/>
      <c r="B45" s="227" t="s">
        <v>569</v>
      </c>
      <c r="C45" s="228"/>
      <c r="D45" s="320"/>
      <c r="E45" s="324">
        <v>600000</v>
      </c>
      <c r="F45" s="324">
        <v>600000</v>
      </c>
      <c r="G45" s="324">
        <v>600000</v>
      </c>
    </row>
    <row r="46" spans="1:11" x14ac:dyDescent="0.25">
      <c r="A46" s="224"/>
      <c r="B46" s="227" t="s">
        <v>844</v>
      </c>
      <c r="C46" s="228"/>
      <c r="D46" s="320"/>
      <c r="E46" s="324">
        <v>1000000</v>
      </c>
      <c r="F46" s="324">
        <v>1000000</v>
      </c>
      <c r="G46" s="798">
        <v>1000000</v>
      </c>
    </row>
    <row r="47" spans="1:11" x14ac:dyDescent="0.25">
      <c r="A47" s="224"/>
      <c r="B47" s="227" t="s">
        <v>845</v>
      </c>
      <c r="C47" s="228"/>
      <c r="D47" s="320"/>
      <c r="E47" s="324">
        <v>400000</v>
      </c>
      <c r="F47" s="324">
        <v>400000</v>
      </c>
      <c r="G47" s="324">
        <v>400000</v>
      </c>
    </row>
    <row r="48" spans="1:11" x14ac:dyDescent="0.25">
      <c r="A48" s="224"/>
      <c r="B48" s="227" t="s">
        <v>846</v>
      </c>
      <c r="C48" s="228"/>
      <c r="D48" s="320"/>
      <c r="E48" s="324">
        <v>200000</v>
      </c>
      <c r="F48" s="324">
        <v>200000</v>
      </c>
      <c r="G48" s="324">
        <v>200000</v>
      </c>
    </row>
    <row r="49" spans="1:11" x14ac:dyDescent="0.25">
      <c r="A49" s="224"/>
      <c r="B49" s="227" t="s">
        <v>905</v>
      </c>
      <c r="C49" s="228"/>
      <c r="D49" s="320"/>
      <c r="E49" s="324"/>
      <c r="F49" s="324">
        <v>1150000</v>
      </c>
      <c r="G49" s="324">
        <v>1150000</v>
      </c>
    </row>
    <row r="50" spans="1:11" x14ac:dyDescent="0.25">
      <c r="A50" s="224">
        <v>19</v>
      </c>
      <c r="B50" s="227" t="s">
        <v>570</v>
      </c>
      <c r="C50" s="228"/>
      <c r="D50" s="320">
        <v>2000000</v>
      </c>
      <c r="E50" s="320">
        <f>2000000</f>
        <v>2000000</v>
      </c>
      <c r="F50" s="320">
        <f>2000000</f>
        <v>2000000</v>
      </c>
      <c r="G50" s="324">
        <f>SUM(G51:G55)</f>
        <v>1030000</v>
      </c>
    </row>
    <row r="51" spans="1:11" ht="30" x14ac:dyDescent="0.25">
      <c r="A51" s="224"/>
      <c r="B51" s="227" t="s">
        <v>840</v>
      </c>
      <c r="C51" s="228"/>
      <c r="D51" s="320"/>
      <c r="E51" s="320">
        <v>250000</v>
      </c>
      <c r="F51" s="320">
        <v>250000</v>
      </c>
      <c r="G51" s="324">
        <v>250000</v>
      </c>
    </row>
    <row r="52" spans="1:11" x14ac:dyDescent="0.25">
      <c r="A52" s="224"/>
      <c r="B52" s="227" t="s">
        <v>843</v>
      </c>
      <c r="C52" s="213"/>
      <c r="D52" s="320"/>
      <c r="E52" s="320">
        <v>50000</v>
      </c>
      <c r="F52" s="320">
        <v>50000</v>
      </c>
      <c r="G52" s="324">
        <v>50000</v>
      </c>
    </row>
    <row r="53" spans="1:11" x14ac:dyDescent="0.25">
      <c r="A53" s="224"/>
      <c r="B53" s="227" t="s">
        <v>1202</v>
      </c>
      <c r="C53" s="213"/>
      <c r="D53" s="320"/>
      <c r="E53" s="320">
        <v>400000</v>
      </c>
      <c r="F53" s="320">
        <v>400000</v>
      </c>
      <c r="G53" s="324">
        <v>400000</v>
      </c>
    </row>
    <row r="54" spans="1:11" x14ac:dyDescent="0.25">
      <c r="A54" s="224"/>
      <c r="B54" s="227" t="s">
        <v>847</v>
      </c>
      <c r="C54" s="213"/>
      <c r="D54" s="320"/>
      <c r="E54" s="320">
        <v>250000</v>
      </c>
      <c r="F54" s="320">
        <v>250000</v>
      </c>
      <c r="G54" s="324">
        <v>250000</v>
      </c>
    </row>
    <row r="55" spans="1:11" x14ac:dyDescent="0.25">
      <c r="A55" s="224"/>
      <c r="B55" s="227" t="s">
        <v>906</v>
      </c>
      <c r="C55" s="213"/>
      <c r="D55" s="320"/>
      <c r="E55" s="320"/>
      <c r="F55" s="320">
        <v>80000</v>
      </c>
      <c r="G55" s="324">
        <v>80000</v>
      </c>
    </row>
    <row r="56" spans="1:11" x14ac:dyDescent="0.25">
      <c r="A56" s="224">
        <v>20</v>
      </c>
      <c r="B56" s="227" t="s">
        <v>615</v>
      </c>
      <c r="C56" s="228"/>
      <c r="D56" s="320">
        <v>150000</v>
      </c>
      <c r="E56" s="320">
        <v>150000</v>
      </c>
      <c r="F56" s="320">
        <v>150000</v>
      </c>
      <c r="G56" s="324">
        <v>150000</v>
      </c>
    </row>
    <row r="57" spans="1:11" ht="15.75" thickBot="1" x14ac:dyDescent="0.3">
      <c r="A57" s="216" t="s">
        <v>18</v>
      </c>
      <c r="B57" s="218"/>
      <c r="C57" s="218"/>
      <c r="D57" s="350">
        <f>SUM(D23:D56)-D30</f>
        <v>241962082</v>
      </c>
      <c r="E57" s="350">
        <f>SUM(E23:E56)-E30-E42-E43-E44-E45-E51-E52-E46-E47-E48-E53-E54</f>
        <v>241962082</v>
      </c>
      <c r="F57" s="350">
        <f>SUM(F23:F56)-F30-F42-F43-F44-F45-F51-F52-F46-F47-F48-F53-F54-F55-F49</f>
        <v>241962082</v>
      </c>
      <c r="G57" s="350">
        <f>SUM(G23:G56)-G30-G42-G43-G44-G45-G51-G52-G46-G47-G48-G53-G54-G55-G49</f>
        <v>239392000</v>
      </c>
      <c r="I57" s="681"/>
      <c r="K57" s="318"/>
    </row>
    <row r="58" spans="1:11" s="92" customFormat="1" ht="12.75" x14ac:dyDescent="0.2">
      <c r="A58" s="143"/>
      <c r="B58" s="143" t="s">
        <v>635</v>
      </c>
      <c r="C58" s="143"/>
      <c r="D58" s="143"/>
      <c r="E58" s="143"/>
      <c r="F58" s="143"/>
      <c r="G58" s="143"/>
      <c r="H58" s="682"/>
      <c r="I58" s="682"/>
    </row>
    <row r="59" spans="1:11" s="92" customFormat="1" ht="12.75" x14ac:dyDescent="0.2">
      <c r="A59" s="143"/>
      <c r="B59" s="143" t="s">
        <v>634</v>
      </c>
      <c r="C59" s="143"/>
      <c r="D59" s="439">
        <v>790000</v>
      </c>
      <c r="E59" s="439">
        <v>1030000</v>
      </c>
      <c r="F59" s="685">
        <v>866918</v>
      </c>
      <c r="G59" s="685"/>
      <c r="H59" s="683"/>
      <c r="I59" s="682"/>
    </row>
    <row r="60" spans="1:11" s="92" customFormat="1" ht="25.5" x14ac:dyDescent="0.2">
      <c r="A60" s="347"/>
      <c r="B60" s="619" t="s">
        <v>823</v>
      </c>
      <c r="C60" s="347"/>
      <c r="D60" s="144"/>
      <c r="E60" s="144">
        <v>245000</v>
      </c>
      <c r="F60" s="144">
        <v>245000</v>
      </c>
      <c r="G60" s="144">
        <v>245000</v>
      </c>
      <c r="H60" s="683"/>
      <c r="I60" s="682"/>
    </row>
    <row r="61" spans="1:11" s="92" customFormat="1" ht="12.75" x14ac:dyDescent="0.2">
      <c r="A61" s="348"/>
      <c r="B61" s="348" t="s">
        <v>410</v>
      </c>
      <c r="C61" s="348"/>
      <c r="D61" s="349">
        <f>SUM(D59:D60)</f>
        <v>790000</v>
      </c>
      <c r="E61" s="349">
        <f>SUM(E59:E60)</f>
        <v>1275000</v>
      </c>
      <c r="F61" s="349">
        <f>SUM(F59:F60)</f>
        <v>1111918</v>
      </c>
      <c r="G61" s="349">
        <f>SUM(G59:G60)</f>
        <v>245000</v>
      </c>
      <c r="H61" s="682"/>
      <c r="I61" s="682"/>
    </row>
    <row r="62" spans="1:11" x14ac:dyDescent="0.25">
      <c r="A62" s="231"/>
      <c r="B62" s="231"/>
      <c r="C62" s="231"/>
      <c r="E62" s="318"/>
      <c r="F62" s="318"/>
      <c r="G62" s="318"/>
    </row>
    <row r="63" spans="1:11" ht="15.75" thickBot="1" x14ac:dyDescent="0.3">
      <c r="A63" s="948" t="s">
        <v>532</v>
      </c>
      <c r="B63" s="948"/>
      <c r="C63" s="948"/>
      <c r="E63" s="318"/>
      <c r="F63" s="318"/>
      <c r="G63" s="318"/>
    </row>
    <row r="64" spans="1:11" ht="15.75" thickBot="1" x14ac:dyDescent="0.3">
      <c r="A64" s="208" t="s">
        <v>318</v>
      </c>
      <c r="B64" s="209" t="s">
        <v>435</v>
      </c>
      <c r="C64" s="208" t="s">
        <v>456</v>
      </c>
      <c r="D64" s="321" t="s">
        <v>531</v>
      </c>
      <c r="E64" s="319" t="s">
        <v>822</v>
      </c>
      <c r="F64" s="319" t="s">
        <v>822</v>
      </c>
      <c r="G64" s="319" t="s">
        <v>822</v>
      </c>
    </row>
    <row r="65" spans="1:8" ht="15.75" thickBot="1" x14ac:dyDescent="0.3">
      <c r="A65" s="232">
        <v>1</v>
      </c>
      <c r="B65" s="233">
        <v>2</v>
      </c>
      <c r="C65" s="234">
        <v>3</v>
      </c>
      <c r="D65" s="322">
        <v>6</v>
      </c>
      <c r="E65" s="322">
        <v>6</v>
      </c>
      <c r="F65" s="322">
        <v>6</v>
      </c>
      <c r="G65" s="322">
        <v>6</v>
      </c>
    </row>
    <row r="66" spans="1:8" ht="75" x14ac:dyDescent="0.25">
      <c r="A66" s="235">
        <v>1</v>
      </c>
      <c r="B66" s="236" t="s">
        <v>457</v>
      </c>
      <c r="C66" s="237" t="s">
        <v>636</v>
      </c>
      <c r="D66" s="345">
        <v>2912000</v>
      </c>
      <c r="E66" s="345">
        <v>2912000</v>
      </c>
      <c r="F66" s="345">
        <v>2912000</v>
      </c>
      <c r="G66" s="799">
        <v>2912000</v>
      </c>
    </row>
    <row r="67" spans="1:8" ht="15.75" thickBot="1" x14ac:dyDescent="0.3">
      <c r="A67" s="235">
        <v>2</v>
      </c>
      <c r="B67" s="238" t="s">
        <v>440</v>
      </c>
      <c r="C67" s="239" t="s">
        <v>458</v>
      </c>
      <c r="D67" s="323">
        <v>15000000</v>
      </c>
      <c r="E67" s="323">
        <v>15000000</v>
      </c>
      <c r="F67" s="323">
        <v>15000000</v>
      </c>
      <c r="G67" s="800">
        <v>15000000</v>
      </c>
    </row>
    <row r="68" spans="1:8" ht="30.75" thickBot="1" x14ac:dyDescent="0.3">
      <c r="A68" s="235">
        <v>3</v>
      </c>
      <c r="B68" s="227" t="s">
        <v>1187</v>
      </c>
      <c r="C68" s="796" t="s">
        <v>1188</v>
      </c>
      <c r="D68" s="797"/>
      <c r="E68" s="797"/>
      <c r="F68" s="797">
        <v>2000000</v>
      </c>
      <c r="G68" s="801">
        <v>2000000</v>
      </c>
    </row>
    <row r="69" spans="1:8" ht="15.75" thickBot="1" x14ac:dyDescent="0.3">
      <c r="A69" s="216" t="s">
        <v>18</v>
      </c>
      <c r="B69" s="240"/>
      <c r="C69" s="240"/>
      <c r="D69" s="241">
        <f t="shared" ref="D69" si="0">SUM(D66:D67)</f>
        <v>17912000</v>
      </c>
      <c r="E69" s="241">
        <f t="shared" ref="E69" si="1">SUM(E66:E67)</f>
        <v>17912000</v>
      </c>
      <c r="F69" s="241">
        <f>SUM(F66:F68)</f>
        <v>19912000</v>
      </c>
      <c r="G69" s="241">
        <f>SUM(G66:G68)</f>
        <v>19912000</v>
      </c>
      <c r="H69" s="684"/>
    </row>
    <row r="70" spans="1:8" x14ac:dyDescent="0.25">
      <c r="H70" s="684"/>
    </row>
  </sheetData>
  <mergeCells count="5">
    <mergeCell ref="A19:C19"/>
    <mergeCell ref="A63:C63"/>
    <mergeCell ref="D8:F8"/>
    <mergeCell ref="A3:G3"/>
    <mergeCell ref="A4:G5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74" orientation="portrait" horizontalDpi="300" verticalDpi="300" r:id="rId1"/>
  <headerFooter>
    <oddFooter>&amp;R&amp;P</oddFooter>
  </headerFooter>
  <rowBreaks count="1" manualBreakCount="1">
    <brk id="61" max="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45"/>
  <sheetViews>
    <sheetView zoomScaleNormal="100" workbookViewId="0">
      <selection activeCell="C8" sqref="C8"/>
    </sheetView>
  </sheetViews>
  <sheetFormatPr defaultRowHeight="15" x14ac:dyDescent="0.25"/>
  <cols>
    <col min="1" max="1" width="12.85546875" customWidth="1"/>
    <col min="2" max="2" width="50.7109375" customWidth="1"/>
    <col min="3" max="3" width="15.28515625" customWidth="1"/>
    <col min="4" max="4" width="17" customWidth="1"/>
  </cols>
  <sheetData>
    <row r="1" spans="1:6" s="179" customFormat="1" x14ac:dyDescent="0.25">
      <c r="B1" s="45"/>
      <c r="C1" s="45" t="str">
        <f>'13 támogatások'!E1</f>
        <v xml:space="preserve"> 12 / 2020. (VI.15) sz rendelet</v>
      </c>
      <c r="D1" s="45"/>
      <c r="E1" s="45"/>
      <c r="F1" s="45"/>
    </row>
    <row r="3" spans="1:6" x14ac:dyDescent="0.25">
      <c r="A3" s="957" t="s">
        <v>273</v>
      </c>
      <c r="B3" s="957"/>
      <c r="C3" s="957"/>
      <c r="D3" s="957"/>
    </row>
    <row r="4" spans="1:6" x14ac:dyDescent="0.25">
      <c r="A4" s="958" t="s">
        <v>762</v>
      </c>
      <c r="B4" s="958"/>
      <c r="C4" s="958"/>
      <c r="D4" s="958"/>
    </row>
    <row r="5" spans="1:6" ht="6" customHeight="1" x14ac:dyDescent="0.25">
      <c r="A5" s="958"/>
      <c r="B5" s="958"/>
      <c r="C5" s="958"/>
      <c r="D5" s="958"/>
    </row>
    <row r="6" spans="1:6" s="44" customFormat="1" ht="9" customHeight="1" x14ac:dyDescent="0.25">
      <c r="A6" s="176"/>
      <c r="B6" s="176"/>
      <c r="C6" s="176"/>
      <c r="D6" s="176"/>
    </row>
    <row r="7" spans="1:6" s="44" customFormat="1" ht="20.25" x14ac:dyDescent="0.25">
      <c r="A7" s="176"/>
      <c r="B7" s="544" t="s">
        <v>299</v>
      </c>
      <c r="C7" s="918" t="str">
        <f>'13 támogatások'!D8</f>
        <v xml:space="preserve"> melléklet az 12/2020. (VI.15.) rendelethez</v>
      </c>
      <c r="D7" s="917"/>
      <c r="E7" s="177"/>
      <c r="F7" s="177"/>
    </row>
    <row r="8" spans="1:6" x14ac:dyDescent="0.25">
      <c r="A8" s="92"/>
      <c r="B8" s="92"/>
      <c r="C8" s="92"/>
      <c r="D8" s="93" t="s">
        <v>317</v>
      </c>
    </row>
    <row r="9" spans="1:6" ht="9.75" customHeight="1" thickBot="1" x14ac:dyDescent="0.3"/>
    <row r="10" spans="1:6" ht="60" customHeight="1" thickBot="1" x14ac:dyDescent="0.3">
      <c r="A10" s="522" t="s">
        <v>376</v>
      </c>
      <c r="B10" s="522" t="s">
        <v>377</v>
      </c>
      <c r="C10" s="522" t="s">
        <v>378</v>
      </c>
      <c r="D10" s="522" t="s">
        <v>379</v>
      </c>
    </row>
    <row r="11" spans="1:6" ht="15.75" thickBot="1" x14ac:dyDescent="0.3">
      <c r="A11" s="94">
        <v>1</v>
      </c>
      <c r="B11" s="95">
        <v>2</v>
      </c>
      <c r="C11" s="95">
        <v>3</v>
      </c>
      <c r="D11" s="95">
        <v>4</v>
      </c>
    </row>
    <row r="12" spans="1:6" x14ac:dyDescent="0.25">
      <c r="A12" s="96" t="s">
        <v>287</v>
      </c>
      <c r="B12" s="97" t="s">
        <v>380</v>
      </c>
      <c r="C12" s="523"/>
      <c r="D12" s="523"/>
    </row>
    <row r="13" spans="1:6" x14ac:dyDescent="0.25">
      <c r="A13" s="96" t="s">
        <v>288</v>
      </c>
      <c r="B13" s="98" t="s">
        <v>381</v>
      </c>
      <c r="C13" s="99"/>
      <c r="D13" s="99"/>
    </row>
    <row r="14" spans="1:6" ht="28.5" x14ac:dyDescent="0.25">
      <c r="A14" s="96" t="s">
        <v>41</v>
      </c>
      <c r="B14" s="98" t="s">
        <v>382</v>
      </c>
      <c r="C14" s="99"/>
      <c r="D14" s="99"/>
    </row>
    <row r="15" spans="1:6" ht="28.5" x14ac:dyDescent="0.25">
      <c r="A15" s="96" t="s">
        <v>289</v>
      </c>
      <c r="B15" s="98" t="s">
        <v>383</v>
      </c>
      <c r="C15" s="99"/>
      <c r="D15" s="99"/>
    </row>
    <row r="16" spans="1:6" x14ac:dyDescent="0.25">
      <c r="A16" s="96" t="s">
        <v>290</v>
      </c>
      <c r="B16" s="98" t="s">
        <v>384</v>
      </c>
      <c r="C16" s="99"/>
      <c r="D16" s="524">
        <v>22241</v>
      </c>
    </row>
    <row r="17" spans="1:4" x14ac:dyDescent="0.25">
      <c r="A17" s="96" t="s">
        <v>291</v>
      </c>
      <c r="B17" s="98" t="s">
        <v>385</v>
      </c>
      <c r="C17" s="99"/>
      <c r="D17" s="524">
        <v>1867</v>
      </c>
    </row>
    <row r="18" spans="1:4" ht="28.5" x14ac:dyDescent="0.25">
      <c r="A18" s="96" t="s">
        <v>292</v>
      </c>
      <c r="B18" s="98" t="s">
        <v>763</v>
      </c>
      <c r="C18" s="99"/>
      <c r="D18" s="524"/>
    </row>
    <row r="19" spans="1:4" x14ac:dyDescent="0.25">
      <c r="A19" s="96" t="s">
        <v>293</v>
      </c>
      <c r="B19" s="98" t="s">
        <v>386</v>
      </c>
      <c r="C19" s="99"/>
      <c r="D19" s="524"/>
    </row>
    <row r="20" spans="1:4" ht="28.5" x14ac:dyDescent="0.25">
      <c r="A20" s="96" t="s">
        <v>294</v>
      </c>
      <c r="B20" s="98" t="s">
        <v>764</v>
      </c>
      <c r="C20" s="99"/>
      <c r="D20" s="524"/>
    </row>
    <row r="21" spans="1:4" ht="28.5" x14ac:dyDescent="0.25">
      <c r="A21" s="96" t="s">
        <v>295</v>
      </c>
      <c r="B21" s="98" t="s">
        <v>765</v>
      </c>
      <c r="C21" s="99"/>
      <c r="D21" s="524"/>
    </row>
    <row r="22" spans="1:4" ht="28.5" x14ac:dyDescent="0.25">
      <c r="A22" s="96" t="s">
        <v>296</v>
      </c>
      <c r="B22" s="98" t="s">
        <v>766</v>
      </c>
      <c r="C22" s="99"/>
      <c r="D22" s="524">
        <v>4200</v>
      </c>
    </row>
    <row r="23" spans="1:4" ht="28.5" x14ac:dyDescent="0.25">
      <c r="A23" s="96" t="s">
        <v>297</v>
      </c>
      <c r="B23" s="98" t="s">
        <v>387</v>
      </c>
      <c r="C23" s="99"/>
      <c r="D23" s="524">
        <v>236</v>
      </c>
    </row>
    <row r="24" spans="1:4" ht="28.5" x14ac:dyDescent="0.25">
      <c r="A24" s="96" t="s">
        <v>298</v>
      </c>
      <c r="B24" s="98" t="s">
        <v>388</v>
      </c>
      <c r="C24" s="99"/>
      <c r="D24" s="99"/>
    </row>
    <row r="25" spans="1:4" x14ac:dyDescent="0.25">
      <c r="A25" s="96" t="s">
        <v>299</v>
      </c>
      <c r="B25" s="98" t="s">
        <v>389</v>
      </c>
      <c r="C25" s="99"/>
      <c r="D25" s="99"/>
    </row>
    <row r="26" spans="1:4" x14ac:dyDescent="0.25">
      <c r="A26" s="96" t="s">
        <v>300</v>
      </c>
      <c r="B26" s="98" t="s">
        <v>775</v>
      </c>
      <c r="C26" s="99"/>
      <c r="D26" s="524">
        <v>6716</v>
      </c>
    </row>
    <row r="27" spans="1:4" ht="15.75" thickBot="1" x14ac:dyDescent="0.3">
      <c r="A27" s="96" t="s">
        <v>301</v>
      </c>
      <c r="B27" s="100" t="s">
        <v>390</v>
      </c>
      <c r="C27" s="101"/>
      <c r="D27" s="101"/>
    </row>
    <row r="28" spans="1:4" ht="15.75" thickBot="1" x14ac:dyDescent="0.3">
      <c r="A28" s="525"/>
      <c r="B28" s="526" t="s">
        <v>18</v>
      </c>
      <c r="C28" s="527">
        <f>SUM(C12:C27)</f>
        <v>0</v>
      </c>
      <c r="D28" s="528">
        <f>SUM(D12:D27)</f>
        <v>35260</v>
      </c>
    </row>
    <row r="29" spans="1:4" ht="28.5" customHeight="1" x14ac:dyDescent="0.25">
      <c r="A29" s="955" t="s">
        <v>767</v>
      </c>
      <c r="B29" s="956"/>
      <c r="C29" s="529"/>
      <c r="D29" s="529"/>
    </row>
    <row r="30" spans="1:4" x14ac:dyDescent="0.25">
      <c r="A30" s="953" t="s">
        <v>290</v>
      </c>
      <c r="B30" s="532" t="s">
        <v>814</v>
      </c>
      <c r="C30" s="545"/>
      <c r="D30" s="546" t="s">
        <v>893</v>
      </c>
    </row>
    <row r="31" spans="1:4" s="179" customFormat="1" x14ac:dyDescent="0.25">
      <c r="A31" s="959"/>
      <c r="B31" s="346" t="s">
        <v>773</v>
      </c>
      <c r="C31" s="547"/>
      <c r="D31" s="548" t="s">
        <v>894</v>
      </c>
    </row>
    <row r="32" spans="1:4" ht="25.5" x14ac:dyDescent="0.25">
      <c r="A32" s="954"/>
      <c r="B32" s="530" t="s">
        <v>768</v>
      </c>
      <c r="C32" s="530"/>
      <c r="D32" s="549" t="s">
        <v>895</v>
      </c>
    </row>
    <row r="33" spans="1:4" x14ac:dyDescent="0.25">
      <c r="A33" s="531"/>
      <c r="B33" s="550"/>
      <c r="C33" s="550"/>
      <c r="D33" s="551"/>
    </row>
    <row r="34" spans="1:4" s="179" customFormat="1" x14ac:dyDescent="0.25">
      <c r="A34" s="552" t="s">
        <v>291</v>
      </c>
      <c r="B34" s="543" t="s">
        <v>773</v>
      </c>
      <c r="C34" s="553"/>
      <c r="D34" s="554" t="s">
        <v>896</v>
      </c>
    </row>
    <row r="35" spans="1:4" s="179" customFormat="1" x14ac:dyDescent="0.25">
      <c r="A35" s="531"/>
      <c r="B35" s="550"/>
      <c r="C35" s="550"/>
      <c r="D35" s="551"/>
    </row>
    <row r="36" spans="1:4" x14ac:dyDescent="0.25">
      <c r="A36" s="953" t="s">
        <v>296</v>
      </c>
      <c r="B36" s="532" t="s">
        <v>814</v>
      </c>
      <c r="C36" s="532"/>
      <c r="D36" s="538" t="s">
        <v>897</v>
      </c>
    </row>
    <row r="37" spans="1:4" x14ac:dyDescent="0.25">
      <c r="A37" s="959"/>
      <c r="B37" s="346" t="s">
        <v>769</v>
      </c>
      <c r="C37" s="346"/>
      <c r="D37" s="539" t="s">
        <v>923</v>
      </c>
    </row>
    <row r="38" spans="1:4" s="179" customFormat="1" x14ac:dyDescent="0.25">
      <c r="A38" s="959"/>
      <c r="B38" s="346" t="s">
        <v>898</v>
      </c>
      <c r="C38" s="346"/>
      <c r="D38" s="539" t="s">
        <v>900</v>
      </c>
    </row>
    <row r="39" spans="1:4" s="179" customFormat="1" x14ac:dyDescent="0.25">
      <c r="A39" s="959"/>
      <c r="B39" s="346" t="s">
        <v>770</v>
      </c>
      <c r="C39" s="346"/>
      <c r="D39" s="539" t="s">
        <v>901</v>
      </c>
    </row>
    <row r="40" spans="1:4" x14ac:dyDescent="0.25">
      <c r="A40" s="954"/>
      <c r="B40" s="533" t="s">
        <v>899</v>
      </c>
      <c r="C40" s="533"/>
      <c r="D40" s="540" t="s">
        <v>902</v>
      </c>
    </row>
    <row r="41" spans="1:4" x14ac:dyDescent="0.25">
      <c r="A41" s="555"/>
      <c r="B41" s="550"/>
      <c r="C41" s="550"/>
      <c r="D41" s="551"/>
    </row>
    <row r="42" spans="1:4" x14ac:dyDescent="0.25">
      <c r="A42" s="953" t="s">
        <v>297</v>
      </c>
      <c r="B42" s="532" t="s">
        <v>774</v>
      </c>
      <c r="C42" s="532"/>
      <c r="D42" s="541" t="s">
        <v>903</v>
      </c>
    </row>
    <row r="43" spans="1:4" ht="26.25" x14ac:dyDescent="0.25">
      <c r="A43" s="954"/>
      <c r="B43" s="534" t="s">
        <v>771</v>
      </c>
      <c r="C43" s="533"/>
      <c r="D43" s="542" t="s">
        <v>772</v>
      </c>
    </row>
    <row r="44" spans="1:4" x14ac:dyDescent="0.25">
      <c r="A44" s="550"/>
      <c r="B44" s="550"/>
      <c r="C44" s="550"/>
      <c r="D44" s="550"/>
    </row>
    <row r="45" spans="1:4" x14ac:dyDescent="0.25">
      <c r="A45" s="556" t="s">
        <v>300</v>
      </c>
      <c r="B45" s="553" t="s">
        <v>778</v>
      </c>
      <c r="C45" s="553"/>
      <c r="D45" s="554" t="s">
        <v>904</v>
      </c>
    </row>
  </sheetData>
  <mergeCells count="7">
    <mergeCell ref="A42:A43"/>
    <mergeCell ref="A29:B29"/>
    <mergeCell ref="A3:D3"/>
    <mergeCell ref="A4:D5"/>
    <mergeCell ref="C7:D7"/>
    <mergeCell ref="A30:A32"/>
    <mergeCell ref="A36:A40"/>
  </mergeCells>
  <pageMargins left="0.55118110236220474" right="0.15748031496062992" top="0.27559055118110237" bottom="0.43307086614173229" header="0.31496062992125984" footer="0.31496062992125984"/>
  <pageSetup paperSize="9" scale="80" orientation="portrait" horizontalDpi="300" verticalDpi="300" r:id="rId1"/>
  <headerFooter>
    <oddFooter>&amp;R&amp;P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47291-8E83-4216-93B4-AD4304B5AA20}">
  <sheetPr>
    <pageSetUpPr fitToPage="1"/>
  </sheetPr>
  <dimension ref="A1:O31"/>
  <sheetViews>
    <sheetView workbookViewId="0">
      <selection activeCell="H17" sqref="H17"/>
    </sheetView>
  </sheetViews>
  <sheetFormatPr defaultRowHeight="15" x14ac:dyDescent="0.25"/>
  <cols>
    <col min="1" max="1" width="8.140625" style="179" customWidth="1"/>
    <col min="2" max="2" width="41" style="179" customWidth="1"/>
    <col min="3" max="3" width="17" style="179" bestFit="1" customWidth="1"/>
    <col min="4" max="4" width="21" style="179" bestFit="1" customWidth="1"/>
    <col min="5" max="5" width="16.85546875" style="179" bestFit="1" customWidth="1"/>
    <col min="6" max="6" width="13.140625" style="179" bestFit="1" customWidth="1"/>
    <col min="7" max="16384" width="9.140625" style="179"/>
  </cols>
  <sheetData>
    <row r="1" spans="1:15" x14ac:dyDescent="0.25">
      <c r="E1" s="179" t="str">
        <f>'14 közvetett támogatás'!C1</f>
        <v xml:space="preserve"> 12 / 2020. (VI.15) sz rendelet</v>
      </c>
    </row>
    <row r="3" spans="1:15" x14ac:dyDescent="0.25">
      <c r="A3" s="960" t="s">
        <v>4</v>
      </c>
      <c r="B3" s="960"/>
      <c r="C3" s="960"/>
      <c r="D3" s="960"/>
      <c r="E3" s="960"/>
      <c r="F3" s="960"/>
      <c r="G3" s="746"/>
      <c r="H3" s="746"/>
      <c r="I3" s="746"/>
      <c r="J3" s="746"/>
      <c r="K3" s="746"/>
      <c r="L3" s="746"/>
      <c r="M3" s="746"/>
      <c r="N3" s="746"/>
    </row>
    <row r="4" spans="1:15" x14ac:dyDescent="0.25">
      <c r="A4" s="961" t="s">
        <v>986</v>
      </c>
      <c r="B4" s="961"/>
      <c r="C4" s="961"/>
      <c r="D4" s="961"/>
      <c r="E4" s="961"/>
      <c r="F4" s="961"/>
      <c r="G4" s="745"/>
      <c r="H4" s="745"/>
      <c r="I4" s="745"/>
      <c r="J4" s="745"/>
      <c r="K4" s="745"/>
      <c r="L4" s="745"/>
      <c r="M4" s="745"/>
      <c r="N4" s="745"/>
      <c r="O4" s="745"/>
    </row>
    <row r="5" spans="1:15" x14ac:dyDescent="0.25">
      <c r="A5" s="960">
        <v>2019</v>
      </c>
      <c r="B5" s="960"/>
      <c r="C5" s="960"/>
      <c r="D5" s="960"/>
      <c r="E5" s="960"/>
      <c r="F5" s="960"/>
      <c r="G5" s="746"/>
      <c r="H5" s="746"/>
      <c r="I5" s="746"/>
      <c r="J5" s="746"/>
      <c r="K5" s="746"/>
      <c r="L5" s="746"/>
      <c r="M5" s="746"/>
      <c r="N5" s="746"/>
    </row>
    <row r="6" spans="1:15" x14ac:dyDescent="0.25">
      <c r="A6" s="960" t="s">
        <v>984</v>
      </c>
      <c r="B6" s="960"/>
      <c r="C6" s="960"/>
      <c r="D6" s="960"/>
      <c r="E6" s="960"/>
      <c r="F6" s="960"/>
      <c r="G6" s="746"/>
      <c r="H6" s="746"/>
      <c r="I6" s="746"/>
      <c r="J6" s="746"/>
      <c r="K6" s="746"/>
      <c r="L6" s="746"/>
      <c r="M6" s="746"/>
      <c r="N6" s="746"/>
    </row>
    <row r="8" spans="1:15" x14ac:dyDescent="0.25">
      <c r="D8" s="551" t="s">
        <v>300</v>
      </c>
      <c r="E8" s="715" t="str">
        <f>'14 közvetett támogatás'!C7</f>
        <v xml:space="preserve"> melléklet az 12/2020. (VI.15.) rendelethez</v>
      </c>
      <c r="F8" s="177"/>
    </row>
    <row r="10" spans="1:15" x14ac:dyDescent="0.25">
      <c r="F10" s="521" t="s">
        <v>392</v>
      </c>
    </row>
    <row r="11" spans="1:15" ht="47.25" x14ac:dyDescent="0.25">
      <c r="A11" s="758"/>
      <c r="B11" s="766" t="s">
        <v>319</v>
      </c>
      <c r="C11" s="766" t="s">
        <v>6</v>
      </c>
      <c r="D11" s="766" t="s">
        <v>952</v>
      </c>
      <c r="E11" s="766" t="s">
        <v>4</v>
      </c>
      <c r="F11" s="766" t="s">
        <v>18</v>
      </c>
    </row>
    <row r="12" spans="1:15" ht="15.75" x14ac:dyDescent="0.25">
      <c r="A12" s="758">
        <v>1</v>
      </c>
      <c r="B12" s="758">
        <v>2</v>
      </c>
      <c r="C12" s="758">
        <v>3</v>
      </c>
      <c r="D12" s="758">
        <v>4</v>
      </c>
      <c r="E12" s="758">
        <v>5</v>
      </c>
      <c r="F12" s="758">
        <v>6</v>
      </c>
    </row>
    <row r="13" spans="1:15" x14ac:dyDescent="0.25">
      <c r="A13" s="759" t="s">
        <v>688</v>
      </c>
      <c r="B13" s="760" t="s">
        <v>987</v>
      </c>
      <c r="C13" s="761">
        <v>6516038</v>
      </c>
      <c r="D13" s="761">
        <v>14808977</v>
      </c>
      <c r="E13" s="761">
        <v>2376426818</v>
      </c>
      <c r="F13" s="762">
        <f>SUM(C13:E13)</f>
        <v>2397751833</v>
      </c>
    </row>
    <row r="14" spans="1:15" x14ac:dyDescent="0.25">
      <c r="A14" s="759" t="s">
        <v>690</v>
      </c>
      <c r="B14" s="760" t="s">
        <v>988</v>
      </c>
      <c r="C14" s="761">
        <v>170753315</v>
      </c>
      <c r="D14" s="761">
        <v>119102256</v>
      </c>
      <c r="E14" s="761">
        <v>3138407502</v>
      </c>
      <c r="F14" s="762">
        <f t="shared" ref="F14:F31" si="0">SUM(C14:E14)</f>
        <v>3428263073</v>
      </c>
    </row>
    <row r="15" spans="1:15" ht="25.5" x14ac:dyDescent="0.25">
      <c r="A15" s="763" t="s">
        <v>691</v>
      </c>
      <c r="B15" s="764" t="s">
        <v>989</v>
      </c>
      <c r="C15" s="765">
        <v>-164237277</v>
      </c>
      <c r="D15" s="765">
        <v>-104293279</v>
      </c>
      <c r="E15" s="765">
        <v>-761980684</v>
      </c>
      <c r="F15" s="762">
        <f t="shared" si="0"/>
        <v>-1030511240</v>
      </c>
    </row>
    <row r="16" spans="1:15" x14ac:dyDescent="0.25">
      <c r="A16" s="759" t="s">
        <v>693</v>
      </c>
      <c r="B16" s="760" t="s">
        <v>990</v>
      </c>
      <c r="C16" s="761">
        <v>164907387</v>
      </c>
      <c r="D16" s="761">
        <v>106432643</v>
      </c>
      <c r="E16" s="761">
        <v>2492086160</v>
      </c>
      <c r="F16" s="762">
        <f t="shared" si="0"/>
        <v>2763426190</v>
      </c>
    </row>
    <row r="17" spans="1:6" x14ac:dyDescent="0.25">
      <c r="A17" s="759" t="s">
        <v>694</v>
      </c>
      <c r="B17" s="760" t="s">
        <v>991</v>
      </c>
      <c r="C17" s="761">
        <v>0</v>
      </c>
      <c r="D17" s="761">
        <v>0</v>
      </c>
      <c r="E17" s="761">
        <v>284997472</v>
      </c>
      <c r="F17" s="762">
        <f t="shared" si="0"/>
        <v>284997472</v>
      </c>
    </row>
    <row r="18" spans="1:6" ht="25.5" x14ac:dyDescent="0.25">
      <c r="A18" s="763" t="s">
        <v>696</v>
      </c>
      <c r="B18" s="764" t="s">
        <v>992</v>
      </c>
      <c r="C18" s="765">
        <v>164907387</v>
      </c>
      <c r="D18" s="765">
        <v>106432643</v>
      </c>
      <c r="E18" s="765">
        <v>2207088688</v>
      </c>
      <c r="F18" s="762">
        <f t="shared" si="0"/>
        <v>2478428718</v>
      </c>
    </row>
    <row r="19" spans="1:6" x14ac:dyDescent="0.25">
      <c r="A19" s="763" t="s">
        <v>698</v>
      </c>
      <c r="B19" s="764" t="s">
        <v>993</v>
      </c>
      <c r="C19" s="765">
        <v>670110</v>
      </c>
      <c r="D19" s="765">
        <v>2139364</v>
      </c>
      <c r="E19" s="765">
        <v>1445108004</v>
      </c>
      <c r="F19" s="762">
        <f t="shared" si="0"/>
        <v>1447917478</v>
      </c>
    </row>
    <row r="20" spans="1:6" ht="25.5" x14ac:dyDescent="0.25">
      <c r="A20" s="759" t="s">
        <v>700</v>
      </c>
      <c r="B20" s="760" t="s">
        <v>994</v>
      </c>
      <c r="C20" s="761">
        <v>0</v>
      </c>
      <c r="D20" s="761">
        <v>0</v>
      </c>
      <c r="E20" s="761">
        <v>0</v>
      </c>
      <c r="F20" s="762">
        <f t="shared" si="0"/>
        <v>0</v>
      </c>
    </row>
    <row r="21" spans="1:6" ht="25.5" x14ac:dyDescent="0.25">
      <c r="A21" s="759" t="s">
        <v>702</v>
      </c>
      <c r="B21" s="760" t="s">
        <v>995</v>
      </c>
      <c r="C21" s="761">
        <v>0</v>
      </c>
      <c r="D21" s="761">
        <v>0</v>
      </c>
      <c r="E21" s="761">
        <v>0</v>
      </c>
      <c r="F21" s="762">
        <f t="shared" si="0"/>
        <v>0</v>
      </c>
    </row>
    <row r="22" spans="1:6" ht="25.5" x14ac:dyDescent="0.25">
      <c r="A22" s="763" t="s">
        <v>499</v>
      </c>
      <c r="B22" s="764" t="s">
        <v>996</v>
      </c>
      <c r="C22" s="765">
        <v>0</v>
      </c>
      <c r="D22" s="765">
        <v>0</v>
      </c>
      <c r="E22" s="765">
        <v>0</v>
      </c>
      <c r="F22" s="762">
        <f t="shared" si="0"/>
        <v>0</v>
      </c>
    </row>
    <row r="23" spans="1:6" ht="25.5" x14ac:dyDescent="0.25">
      <c r="A23" s="759" t="s">
        <v>500</v>
      </c>
      <c r="B23" s="760" t="s">
        <v>997</v>
      </c>
      <c r="C23" s="761">
        <v>0</v>
      </c>
      <c r="D23" s="761">
        <v>0</v>
      </c>
      <c r="E23" s="761">
        <v>0</v>
      </c>
      <c r="F23" s="762">
        <f t="shared" si="0"/>
        <v>0</v>
      </c>
    </row>
    <row r="24" spans="1:6" ht="25.5" x14ac:dyDescent="0.25">
      <c r="A24" s="759" t="s">
        <v>501</v>
      </c>
      <c r="B24" s="760" t="s">
        <v>998</v>
      </c>
      <c r="C24" s="761">
        <v>0</v>
      </c>
      <c r="D24" s="761">
        <v>0</v>
      </c>
      <c r="E24" s="761">
        <v>0</v>
      </c>
      <c r="F24" s="762">
        <f t="shared" si="0"/>
        <v>0</v>
      </c>
    </row>
    <row r="25" spans="1:6" ht="25.5" x14ac:dyDescent="0.25">
      <c r="A25" s="763" t="s">
        <v>502</v>
      </c>
      <c r="B25" s="764" t="s">
        <v>999</v>
      </c>
      <c r="C25" s="765">
        <v>0</v>
      </c>
      <c r="D25" s="765">
        <v>0</v>
      </c>
      <c r="E25" s="765">
        <v>0</v>
      </c>
      <c r="F25" s="762">
        <f t="shared" si="0"/>
        <v>0</v>
      </c>
    </row>
    <row r="26" spans="1:6" ht="25.5" x14ac:dyDescent="0.25">
      <c r="A26" s="763" t="s">
        <v>617</v>
      </c>
      <c r="B26" s="764" t="s">
        <v>1000</v>
      </c>
      <c r="C26" s="765">
        <v>0</v>
      </c>
      <c r="D26" s="765">
        <v>0</v>
      </c>
      <c r="E26" s="765">
        <v>0</v>
      </c>
      <c r="F26" s="762">
        <f t="shared" si="0"/>
        <v>0</v>
      </c>
    </row>
    <row r="27" spans="1:6" x14ac:dyDescent="0.25">
      <c r="A27" s="763" t="s">
        <v>503</v>
      </c>
      <c r="B27" s="764" t="s">
        <v>1001</v>
      </c>
      <c r="C27" s="765">
        <v>670110</v>
      </c>
      <c r="D27" s="765">
        <v>2139364</v>
      </c>
      <c r="E27" s="765">
        <v>1445108004</v>
      </c>
      <c r="F27" s="762">
        <f t="shared" si="0"/>
        <v>1447917478</v>
      </c>
    </row>
    <row r="28" spans="1:6" ht="25.5" x14ac:dyDescent="0.25">
      <c r="A28" s="763" t="s">
        <v>504</v>
      </c>
      <c r="B28" s="764" t="s">
        <v>1002</v>
      </c>
      <c r="C28" s="765">
        <v>0</v>
      </c>
      <c r="D28" s="765">
        <v>0</v>
      </c>
      <c r="E28" s="765">
        <v>0</v>
      </c>
      <c r="F28" s="762">
        <f t="shared" si="0"/>
        <v>0</v>
      </c>
    </row>
    <row r="29" spans="1:6" x14ac:dyDescent="0.25">
      <c r="A29" s="763" t="s">
        <v>505</v>
      </c>
      <c r="B29" s="764" t="s">
        <v>1003</v>
      </c>
      <c r="C29" s="765">
        <v>670110</v>
      </c>
      <c r="D29" s="765">
        <v>2139364</v>
      </c>
      <c r="E29" s="765">
        <v>1445108004</v>
      </c>
      <c r="F29" s="762">
        <f t="shared" si="0"/>
        <v>1447917478</v>
      </c>
    </row>
    <row r="30" spans="1:6" ht="25.5" x14ac:dyDescent="0.25">
      <c r="A30" s="763" t="s">
        <v>506</v>
      </c>
      <c r="B30" s="764" t="s">
        <v>1004</v>
      </c>
      <c r="C30" s="765">
        <v>0</v>
      </c>
      <c r="D30" s="765">
        <v>0</v>
      </c>
      <c r="E30" s="765">
        <v>0</v>
      </c>
      <c r="F30" s="762">
        <f t="shared" si="0"/>
        <v>0</v>
      </c>
    </row>
    <row r="31" spans="1:6" ht="25.5" x14ac:dyDescent="0.25">
      <c r="A31" s="763" t="s">
        <v>507</v>
      </c>
      <c r="B31" s="764" t="s">
        <v>1005</v>
      </c>
      <c r="C31" s="765">
        <v>0</v>
      </c>
      <c r="D31" s="765">
        <v>0</v>
      </c>
      <c r="E31" s="765">
        <v>0</v>
      </c>
      <c r="F31" s="762">
        <f t="shared" si="0"/>
        <v>0</v>
      </c>
    </row>
  </sheetData>
  <mergeCells count="4">
    <mergeCell ref="A3:F3"/>
    <mergeCell ref="A4:F4"/>
    <mergeCell ref="A5:F5"/>
    <mergeCell ref="A6:F6"/>
  </mergeCells>
  <pageMargins left="0.7" right="0.22" top="0.75" bottom="0.75" header="0.3" footer="0.3"/>
  <pageSetup paperSize="9" scale="75" fitToHeight="0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09C1A-DE67-4ABE-879E-E16387A7B533}">
  <sheetPr>
    <pageSetUpPr fitToPage="1"/>
  </sheetPr>
  <dimension ref="A1:O34"/>
  <sheetViews>
    <sheetView workbookViewId="0">
      <selection activeCell="J15" sqref="J15"/>
    </sheetView>
  </sheetViews>
  <sheetFormatPr defaultRowHeight="15" x14ac:dyDescent="0.25"/>
  <cols>
    <col min="1" max="1" width="8.140625" style="179" customWidth="1"/>
    <col min="2" max="2" width="41" style="179" customWidth="1"/>
    <col min="3" max="3" width="14.140625" style="179" bestFit="1" customWidth="1"/>
    <col min="4" max="4" width="12.85546875" style="179" customWidth="1"/>
    <col min="5" max="5" width="14.5703125" style="179" bestFit="1" customWidth="1"/>
    <col min="6" max="6" width="11.28515625" style="179" customWidth="1"/>
    <col min="7" max="256" width="9.140625" style="179"/>
    <col min="257" max="257" width="8.140625" style="179" customWidth="1"/>
    <col min="258" max="258" width="41" style="179" customWidth="1"/>
    <col min="259" max="261" width="32.85546875" style="179" customWidth="1"/>
    <col min="262" max="512" width="9.140625" style="179"/>
    <col min="513" max="513" width="8.140625" style="179" customWidth="1"/>
    <col min="514" max="514" width="41" style="179" customWidth="1"/>
    <col min="515" max="517" width="32.85546875" style="179" customWidth="1"/>
    <col min="518" max="768" width="9.140625" style="179"/>
    <col min="769" max="769" width="8.140625" style="179" customWidth="1"/>
    <col min="770" max="770" width="41" style="179" customWidth="1"/>
    <col min="771" max="773" width="32.85546875" style="179" customWidth="1"/>
    <col min="774" max="1024" width="9.140625" style="179"/>
    <col min="1025" max="1025" width="8.140625" style="179" customWidth="1"/>
    <col min="1026" max="1026" width="41" style="179" customWidth="1"/>
    <col min="1027" max="1029" width="32.85546875" style="179" customWidth="1"/>
    <col min="1030" max="1280" width="9.140625" style="179"/>
    <col min="1281" max="1281" width="8.140625" style="179" customWidth="1"/>
    <col min="1282" max="1282" width="41" style="179" customWidth="1"/>
    <col min="1283" max="1285" width="32.85546875" style="179" customWidth="1"/>
    <col min="1286" max="1536" width="9.140625" style="179"/>
    <col min="1537" max="1537" width="8.140625" style="179" customWidth="1"/>
    <col min="1538" max="1538" width="41" style="179" customWidth="1"/>
    <col min="1539" max="1541" width="32.85546875" style="179" customWidth="1"/>
    <col min="1542" max="1792" width="9.140625" style="179"/>
    <col min="1793" max="1793" width="8.140625" style="179" customWidth="1"/>
    <col min="1794" max="1794" width="41" style="179" customWidth="1"/>
    <col min="1795" max="1797" width="32.85546875" style="179" customWidth="1"/>
    <col min="1798" max="2048" width="9.140625" style="179"/>
    <col min="2049" max="2049" width="8.140625" style="179" customWidth="1"/>
    <col min="2050" max="2050" width="41" style="179" customWidth="1"/>
    <col min="2051" max="2053" width="32.85546875" style="179" customWidth="1"/>
    <col min="2054" max="2304" width="9.140625" style="179"/>
    <col min="2305" max="2305" width="8.140625" style="179" customWidth="1"/>
    <col min="2306" max="2306" width="41" style="179" customWidth="1"/>
    <col min="2307" max="2309" width="32.85546875" style="179" customWidth="1"/>
    <col min="2310" max="2560" width="9.140625" style="179"/>
    <col min="2561" max="2561" width="8.140625" style="179" customWidth="1"/>
    <col min="2562" max="2562" width="41" style="179" customWidth="1"/>
    <col min="2563" max="2565" width="32.85546875" style="179" customWidth="1"/>
    <col min="2566" max="2816" width="9.140625" style="179"/>
    <col min="2817" max="2817" width="8.140625" style="179" customWidth="1"/>
    <col min="2818" max="2818" width="41" style="179" customWidth="1"/>
    <col min="2819" max="2821" width="32.85546875" style="179" customWidth="1"/>
    <col min="2822" max="3072" width="9.140625" style="179"/>
    <col min="3073" max="3073" width="8.140625" style="179" customWidth="1"/>
    <col min="3074" max="3074" width="41" style="179" customWidth="1"/>
    <col min="3075" max="3077" width="32.85546875" style="179" customWidth="1"/>
    <col min="3078" max="3328" width="9.140625" style="179"/>
    <col min="3329" max="3329" width="8.140625" style="179" customWidth="1"/>
    <col min="3330" max="3330" width="41" style="179" customWidth="1"/>
    <col min="3331" max="3333" width="32.85546875" style="179" customWidth="1"/>
    <col min="3334" max="3584" width="9.140625" style="179"/>
    <col min="3585" max="3585" width="8.140625" style="179" customWidth="1"/>
    <col min="3586" max="3586" width="41" style="179" customWidth="1"/>
    <col min="3587" max="3589" width="32.85546875" style="179" customWidth="1"/>
    <col min="3590" max="3840" width="9.140625" style="179"/>
    <col min="3841" max="3841" width="8.140625" style="179" customWidth="1"/>
    <col min="3842" max="3842" width="41" style="179" customWidth="1"/>
    <col min="3843" max="3845" width="32.85546875" style="179" customWidth="1"/>
    <col min="3846" max="4096" width="9.140625" style="179"/>
    <col min="4097" max="4097" width="8.140625" style="179" customWidth="1"/>
    <col min="4098" max="4098" width="41" style="179" customWidth="1"/>
    <col min="4099" max="4101" width="32.85546875" style="179" customWidth="1"/>
    <col min="4102" max="4352" width="9.140625" style="179"/>
    <col min="4353" max="4353" width="8.140625" style="179" customWidth="1"/>
    <col min="4354" max="4354" width="41" style="179" customWidth="1"/>
    <col min="4355" max="4357" width="32.85546875" style="179" customWidth="1"/>
    <col min="4358" max="4608" width="9.140625" style="179"/>
    <col min="4609" max="4609" width="8.140625" style="179" customWidth="1"/>
    <col min="4610" max="4610" width="41" style="179" customWidth="1"/>
    <col min="4611" max="4613" width="32.85546875" style="179" customWidth="1"/>
    <col min="4614" max="4864" width="9.140625" style="179"/>
    <col min="4865" max="4865" width="8.140625" style="179" customWidth="1"/>
    <col min="4866" max="4866" width="41" style="179" customWidth="1"/>
    <col min="4867" max="4869" width="32.85546875" style="179" customWidth="1"/>
    <col min="4870" max="5120" width="9.140625" style="179"/>
    <col min="5121" max="5121" width="8.140625" style="179" customWidth="1"/>
    <col min="5122" max="5122" width="41" style="179" customWidth="1"/>
    <col min="5123" max="5125" width="32.85546875" style="179" customWidth="1"/>
    <col min="5126" max="5376" width="9.140625" style="179"/>
    <col min="5377" max="5377" width="8.140625" style="179" customWidth="1"/>
    <col min="5378" max="5378" width="41" style="179" customWidth="1"/>
    <col min="5379" max="5381" width="32.85546875" style="179" customWidth="1"/>
    <col min="5382" max="5632" width="9.140625" style="179"/>
    <col min="5633" max="5633" width="8.140625" style="179" customWidth="1"/>
    <col min="5634" max="5634" width="41" style="179" customWidth="1"/>
    <col min="5635" max="5637" width="32.85546875" style="179" customWidth="1"/>
    <col min="5638" max="5888" width="9.140625" style="179"/>
    <col min="5889" max="5889" width="8.140625" style="179" customWidth="1"/>
    <col min="5890" max="5890" width="41" style="179" customWidth="1"/>
    <col min="5891" max="5893" width="32.85546875" style="179" customWidth="1"/>
    <col min="5894" max="6144" width="9.140625" style="179"/>
    <col min="6145" max="6145" width="8.140625" style="179" customWidth="1"/>
    <col min="6146" max="6146" width="41" style="179" customWidth="1"/>
    <col min="6147" max="6149" width="32.85546875" style="179" customWidth="1"/>
    <col min="6150" max="6400" width="9.140625" style="179"/>
    <col min="6401" max="6401" width="8.140625" style="179" customWidth="1"/>
    <col min="6402" max="6402" width="41" style="179" customWidth="1"/>
    <col min="6403" max="6405" width="32.85546875" style="179" customWidth="1"/>
    <col min="6406" max="6656" width="9.140625" style="179"/>
    <col min="6657" max="6657" width="8.140625" style="179" customWidth="1"/>
    <col min="6658" max="6658" width="41" style="179" customWidth="1"/>
    <col min="6659" max="6661" width="32.85546875" style="179" customWidth="1"/>
    <col min="6662" max="6912" width="9.140625" style="179"/>
    <col min="6913" max="6913" width="8.140625" style="179" customWidth="1"/>
    <col min="6914" max="6914" width="41" style="179" customWidth="1"/>
    <col min="6915" max="6917" width="32.85546875" style="179" customWidth="1"/>
    <col min="6918" max="7168" width="9.140625" style="179"/>
    <col min="7169" max="7169" width="8.140625" style="179" customWidth="1"/>
    <col min="7170" max="7170" width="41" style="179" customWidth="1"/>
    <col min="7171" max="7173" width="32.85546875" style="179" customWidth="1"/>
    <col min="7174" max="7424" width="9.140625" style="179"/>
    <col min="7425" max="7425" width="8.140625" style="179" customWidth="1"/>
    <col min="7426" max="7426" width="41" style="179" customWidth="1"/>
    <col min="7427" max="7429" width="32.85546875" style="179" customWidth="1"/>
    <col min="7430" max="7680" width="9.140625" style="179"/>
    <col min="7681" max="7681" width="8.140625" style="179" customWidth="1"/>
    <col min="7682" max="7682" width="41" style="179" customWidth="1"/>
    <col min="7683" max="7685" width="32.85546875" style="179" customWidth="1"/>
    <col min="7686" max="7936" width="9.140625" style="179"/>
    <col min="7937" max="7937" width="8.140625" style="179" customWidth="1"/>
    <col min="7938" max="7938" width="41" style="179" customWidth="1"/>
    <col min="7939" max="7941" width="32.85546875" style="179" customWidth="1"/>
    <col min="7942" max="8192" width="9.140625" style="179"/>
    <col min="8193" max="8193" width="8.140625" style="179" customWidth="1"/>
    <col min="8194" max="8194" width="41" style="179" customWidth="1"/>
    <col min="8195" max="8197" width="32.85546875" style="179" customWidth="1"/>
    <col min="8198" max="8448" width="9.140625" style="179"/>
    <col min="8449" max="8449" width="8.140625" style="179" customWidth="1"/>
    <col min="8450" max="8450" width="41" style="179" customWidth="1"/>
    <col min="8451" max="8453" width="32.85546875" style="179" customWidth="1"/>
    <col min="8454" max="8704" width="9.140625" style="179"/>
    <col min="8705" max="8705" width="8.140625" style="179" customWidth="1"/>
    <col min="8706" max="8706" width="41" style="179" customWidth="1"/>
    <col min="8707" max="8709" width="32.85546875" style="179" customWidth="1"/>
    <col min="8710" max="8960" width="9.140625" style="179"/>
    <col min="8961" max="8961" width="8.140625" style="179" customWidth="1"/>
    <col min="8962" max="8962" width="41" style="179" customWidth="1"/>
    <col min="8963" max="8965" width="32.85546875" style="179" customWidth="1"/>
    <col min="8966" max="9216" width="9.140625" style="179"/>
    <col min="9217" max="9217" width="8.140625" style="179" customWidth="1"/>
    <col min="9218" max="9218" width="41" style="179" customWidth="1"/>
    <col min="9219" max="9221" width="32.85546875" style="179" customWidth="1"/>
    <col min="9222" max="9472" width="9.140625" style="179"/>
    <col min="9473" max="9473" width="8.140625" style="179" customWidth="1"/>
    <col min="9474" max="9474" width="41" style="179" customWidth="1"/>
    <col min="9475" max="9477" width="32.85546875" style="179" customWidth="1"/>
    <col min="9478" max="9728" width="9.140625" style="179"/>
    <col min="9729" max="9729" width="8.140625" style="179" customWidth="1"/>
    <col min="9730" max="9730" width="41" style="179" customWidth="1"/>
    <col min="9731" max="9733" width="32.85546875" style="179" customWidth="1"/>
    <col min="9734" max="9984" width="9.140625" style="179"/>
    <col min="9985" max="9985" width="8.140625" style="179" customWidth="1"/>
    <col min="9986" max="9986" width="41" style="179" customWidth="1"/>
    <col min="9987" max="9989" width="32.85546875" style="179" customWidth="1"/>
    <col min="9990" max="10240" width="9.140625" style="179"/>
    <col min="10241" max="10241" width="8.140625" style="179" customWidth="1"/>
    <col min="10242" max="10242" width="41" style="179" customWidth="1"/>
    <col min="10243" max="10245" width="32.85546875" style="179" customWidth="1"/>
    <col min="10246" max="10496" width="9.140625" style="179"/>
    <col min="10497" max="10497" width="8.140625" style="179" customWidth="1"/>
    <col min="10498" max="10498" width="41" style="179" customWidth="1"/>
    <col min="10499" max="10501" width="32.85546875" style="179" customWidth="1"/>
    <col min="10502" max="10752" width="9.140625" style="179"/>
    <col min="10753" max="10753" width="8.140625" style="179" customWidth="1"/>
    <col min="10754" max="10754" width="41" style="179" customWidth="1"/>
    <col min="10755" max="10757" width="32.85546875" style="179" customWidth="1"/>
    <col min="10758" max="11008" width="9.140625" style="179"/>
    <col min="11009" max="11009" width="8.140625" style="179" customWidth="1"/>
    <col min="11010" max="11010" width="41" style="179" customWidth="1"/>
    <col min="11011" max="11013" width="32.85546875" style="179" customWidth="1"/>
    <col min="11014" max="11264" width="9.140625" style="179"/>
    <col min="11265" max="11265" width="8.140625" style="179" customWidth="1"/>
    <col min="11266" max="11266" width="41" style="179" customWidth="1"/>
    <col min="11267" max="11269" width="32.85546875" style="179" customWidth="1"/>
    <col min="11270" max="11520" width="9.140625" style="179"/>
    <col min="11521" max="11521" width="8.140625" style="179" customWidth="1"/>
    <col min="11522" max="11522" width="41" style="179" customWidth="1"/>
    <col min="11523" max="11525" width="32.85546875" style="179" customWidth="1"/>
    <col min="11526" max="11776" width="9.140625" style="179"/>
    <col min="11777" max="11777" width="8.140625" style="179" customWidth="1"/>
    <col min="11778" max="11778" width="41" style="179" customWidth="1"/>
    <col min="11779" max="11781" width="32.85546875" style="179" customWidth="1"/>
    <col min="11782" max="12032" width="9.140625" style="179"/>
    <col min="12033" max="12033" width="8.140625" style="179" customWidth="1"/>
    <col min="12034" max="12034" width="41" style="179" customWidth="1"/>
    <col min="12035" max="12037" width="32.85546875" style="179" customWidth="1"/>
    <col min="12038" max="12288" width="9.140625" style="179"/>
    <col min="12289" max="12289" width="8.140625" style="179" customWidth="1"/>
    <col min="12290" max="12290" width="41" style="179" customWidth="1"/>
    <col min="12291" max="12293" width="32.85546875" style="179" customWidth="1"/>
    <col min="12294" max="12544" width="9.140625" style="179"/>
    <col min="12545" max="12545" width="8.140625" style="179" customWidth="1"/>
    <col min="12546" max="12546" width="41" style="179" customWidth="1"/>
    <col min="12547" max="12549" width="32.85546875" style="179" customWidth="1"/>
    <col min="12550" max="12800" width="9.140625" style="179"/>
    <col min="12801" max="12801" width="8.140625" style="179" customWidth="1"/>
    <col min="12802" max="12802" width="41" style="179" customWidth="1"/>
    <col min="12803" max="12805" width="32.85546875" style="179" customWidth="1"/>
    <col min="12806" max="13056" width="9.140625" style="179"/>
    <col min="13057" max="13057" width="8.140625" style="179" customWidth="1"/>
    <col min="13058" max="13058" width="41" style="179" customWidth="1"/>
    <col min="13059" max="13061" width="32.85546875" style="179" customWidth="1"/>
    <col min="13062" max="13312" width="9.140625" style="179"/>
    <col min="13313" max="13313" width="8.140625" style="179" customWidth="1"/>
    <col min="13314" max="13314" width="41" style="179" customWidth="1"/>
    <col min="13315" max="13317" width="32.85546875" style="179" customWidth="1"/>
    <col min="13318" max="13568" width="9.140625" style="179"/>
    <col min="13569" max="13569" width="8.140625" style="179" customWidth="1"/>
    <col min="13570" max="13570" width="41" style="179" customWidth="1"/>
    <col min="13571" max="13573" width="32.85546875" style="179" customWidth="1"/>
    <col min="13574" max="13824" width="9.140625" style="179"/>
    <col min="13825" max="13825" width="8.140625" style="179" customWidth="1"/>
    <col min="13826" max="13826" width="41" style="179" customWidth="1"/>
    <col min="13827" max="13829" width="32.85546875" style="179" customWidth="1"/>
    <col min="13830" max="14080" width="9.140625" style="179"/>
    <col min="14081" max="14081" width="8.140625" style="179" customWidth="1"/>
    <col min="14082" max="14082" width="41" style="179" customWidth="1"/>
    <col min="14083" max="14085" width="32.85546875" style="179" customWidth="1"/>
    <col min="14086" max="14336" width="9.140625" style="179"/>
    <col min="14337" max="14337" width="8.140625" style="179" customWidth="1"/>
    <col min="14338" max="14338" width="41" style="179" customWidth="1"/>
    <col min="14339" max="14341" width="32.85546875" style="179" customWidth="1"/>
    <col min="14342" max="14592" width="9.140625" style="179"/>
    <col min="14593" max="14593" width="8.140625" style="179" customWidth="1"/>
    <col min="14594" max="14594" width="41" style="179" customWidth="1"/>
    <col min="14595" max="14597" width="32.85546875" style="179" customWidth="1"/>
    <col min="14598" max="14848" width="9.140625" style="179"/>
    <col min="14849" max="14849" width="8.140625" style="179" customWidth="1"/>
    <col min="14850" max="14850" width="41" style="179" customWidth="1"/>
    <col min="14851" max="14853" width="32.85546875" style="179" customWidth="1"/>
    <col min="14854" max="15104" width="9.140625" style="179"/>
    <col min="15105" max="15105" width="8.140625" style="179" customWidth="1"/>
    <col min="15106" max="15106" width="41" style="179" customWidth="1"/>
    <col min="15107" max="15109" width="32.85546875" style="179" customWidth="1"/>
    <col min="15110" max="15360" width="9.140625" style="179"/>
    <col min="15361" max="15361" width="8.140625" style="179" customWidth="1"/>
    <col min="15362" max="15362" width="41" style="179" customWidth="1"/>
    <col min="15363" max="15365" width="32.85546875" style="179" customWidth="1"/>
    <col min="15366" max="15616" width="9.140625" style="179"/>
    <col min="15617" max="15617" width="8.140625" style="179" customWidth="1"/>
    <col min="15618" max="15618" width="41" style="179" customWidth="1"/>
    <col min="15619" max="15621" width="32.85546875" style="179" customWidth="1"/>
    <col min="15622" max="15872" width="9.140625" style="179"/>
    <col min="15873" max="15873" width="8.140625" style="179" customWidth="1"/>
    <col min="15874" max="15874" width="41" style="179" customWidth="1"/>
    <col min="15875" max="15877" width="32.85546875" style="179" customWidth="1"/>
    <col min="15878" max="16128" width="9.140625" style="179"/>
    <col min="16129" max="16129" width="8.140625" style="179" customWidth="1"/>
    <col min="16130" max="16130" width="41" style="179" customWidth="1"/>
    <col min="16131" max="16133" width="32.85546875" style="179" customWidth="1"/>
    <col min="16134" max="16384" width="9.140625" style="179"/>
  </cols>
  <sheetData>
    <row r="1" spans="1:15" x14ac:dyDescent="0.25">
      <c r="E1" s="179" t="str">
        <f>'15 maradvány'!E1</f>
        <v xml:space="preserve"> 12 / 2020. (VI.15) sz rendelet</v>
      </c>
    </row>
    <row r="3" spans="1:15" x14ac:dyDescent="0.25">
      <c r="A3" s="961" t="s">
        <v>985</v>
      </c>
      <c r="B3" s="961"/>
      <c r="C3" s="961"/>
      <c r="D3" s="961"/>
      <c r="E3" s="961"/>
      <c r="F3" s="961"/>
      <c r="G3" s="745"/>
      <c r="H3" s="745"/>
      <c r="I3" s="745"/>
      <c r="J3" s="745"/>
      <c r="K3" s="745"/>
      <c r="L3" s="745"/>
      <c r="M3" s="745"/>
      <c r="N3" s="745"/>
      <c r="O3" s="745"/>
    </row>
    <row r="4" spans="1:15" x14ac:dyDescent="0.25">
      <c r="A4" s="961" t="s">
        <v>986</v>
      </c>
      <c r="B4" s="961"/>
      <c r="C4" s="961"/>
      <c r="D4" s="961"/>
      <c r="E4" s="961"/>
      <c r="F4" s="961"/>
      <c r="G4" s="745"/>
      <c r="H4" s="745"/>
      <c r="I4" s="745"/>
      <c r="J4" s="745"/>
      <c r="K4" s="745"/>
      <c r="L4" s="745"/>
      <c r="M4" s="745"/>
      <c r="N4" s="745"/>
      <c r="O4" s="745"/>
    </row>
    <row r="5" spans="1:15" x14ac:dyDescent="0.25">
      <c r="A5" s="962">
        <v>2019</v>
      </c>
      <c r="B5" s="962"/>
      <c r="C5" s="962"/>
      <c r="D5" s="962"/>
      <c r="E5" s="962"/>
      <c r="F5" s="962"/>
    </row>
    <row r="6" spans="1:15" x14ac:dyDescent="0.25">
      <c r="A6" s="960" t="s">
        <v>780</v>
      </c>
      <c r="B6" s="960"/>
      <c r="C6" s="960"/>
      <c r="D6" s="960"/>
      <c r="E6" s="960"/>
      <c r="F6" s="960"/>
      <c r="G6" s="746"/>
      <c r="H6" s="746"/>
      <c r="I6" s="746"/>
      <c r="J6" s="746"/>
      <c r="K6" s="746"/>
      <c r="L6" s="746"/>
      <c r="M6" s="746"/>
      <c r="N6" s="746"/>
      <c r="O6" s="746"/>
    </row>
    <row r="7" spans="1:15" x14ac:dyDescent="0.25">
      <c r="D7" s="521" t="s">
        <v>301</v>
      </c>
      <c r="E7" s="715" t="str">
        <f>'15 maradvány'!E8</f>
        <v xml:space="preserve"> melléklet az 12/2020. (VI.15.) rendelethez</v>
      </c>
      <c r="F7" s="177"/>
    </row>
    <row r="10" spans="1:15" ht="33" customHeight="1" x14ac:dyDescent="0.25">
      <c r="A10" s="755"/>
      <c r="B10" s="755" t="s">
        <v>319</v>
      </c>
      <c r="C10" s="756" t="s">
        <v>948</v>
      </c>
      <c r="D10" s="756" t="s">
        <v>949</v>
      </c>
      <c r="E10" s="756" t="s">
        <v>950</v>
      </c>
      <c r="F10" s="756" t="s">
        <v>951</v>
      </c>
    </row>
    <row r="11" spans="1:15" x14ac:dyDescent="0.25">
      <c r="A11" s="755">
        <v>1</v>
      </c>
      <c r="B11" s="755">
        <v>2</v>
      </c>
      <c r="C11" s="755">
        <v>3</v>
      </c>
      <c r="D11" s="755">
        <v>4</v>
      </c>
      <c r="E11" s="755">
        <v>5</v>
      </c>
      <c r="F11" s="755">
        <v>6</v>
      </c>
    </row>
    <row r="12" spans="1:15" x14ac:dyDescent="0.25">
      <c r="A12" s="747" t="s">
        <v>688</v>
      </c>
      <c r="B12" s="748" t="s">
        <v>925</v>
      </c>
      <c r="C12" s="749">
        <v>5804013</v>
      </c>
      <c r="D12" s="749">
        <v>0</v>
      </c>
      <c r="E12" s="749">
        <v>4312848</v>
      </c>
      <c r="F12" s="750">
        <f>E12/C12</f>
        <v>0.74308034802816603</v>
      </c>
    </row>
    <row r="13" spans="1:15" x14ac:dyDescent="0.25">
      <c r="A13" s="747" t="s">
        <v>690</v>
      </c>
      <c r="B13" s="748" t="s">
        <v>926</v>
      </c>
      <c r="C13" s="749">
        <v>7486294294</v>
      </c>
      <c r="D13" s="749">
        <v>0</v>
      </c>
      <c r="E13" s="749">
        <v>8816819083</v>
      </c>
      <c r="F13" s="750">
        <f t="shared" ref="F13:F34" si="0">E13/C13</f>
        <v>1.1777280903939842</v>
      </c>
    </row>
    <row r="14" spans="1:15" ht="25.5" x14ac:dyDescent="0.25">
      <c r="A14" s="747" t="s">
        <v>691</v>
      </c>
      <c r="B14" s="748" t="s">
        <v>927</v>
      </c>
      <c r="C14" s="749">
        <v>2138438056</v>
      </c>
      <c r="D14" s="749">
        <v>0</v>
      </c>
      <c r="E14" s="749">
        <v>2138370936</v>
      </c>
      <c r="F14" s="750">
        <f t="shared" si="0"/>
        <v>0.99996861260497505</v>
      </c>
    </row>
    <row r="15" spans="1:15" ht="38.25" x14ac:dyDescent="0.25">
      <c r="A15" s="751" t="s">
        <v>694</v>
      </c>
      <c r="B15" s="752" t="s">
        <v>928</v>
      </c>
      <c r="C15" s="753">
        <v>9630536363</v>
      </c>
      <c r="D15" s="753">
        <v>0</v>
      </c>
      <c r="E15" s="753">
        <v>10959502867</v>
      </c>
      <c r="F15" s="750">
        <f t="shared" si="0"/>
        <v>1.1379950663086449</v>
      </c>
    </row>
    <row r="16" spans="1:15" ht="25.5" x14ac:dyDescent="0.25">
      <c r="A16" s="747" t="s">
        <v>499</v>
      </c>
      <c r="B16" s="748" t="s">
        <v>929</v>
      </c>
      <c r="C16" s="749">
        <v>7046895</v>
      </c>
      <c r="D16" s="749">
        <v>0</v>
      </c>
      <c r="E16" s="749">
        <v>6416148</v>
      </c>
      <c r="F16" s="750">
        <f t="shared" si="0"/>
        <v>0.91049291922187003</v>
      </c>
    </row>
    <row r="17" spans="1:6" ht="25.5" x14ac:dyDescent="0.25">
      <c r="A17" s="747" t="s">
        <v>500</v>
      </c>
      <c r="B17" s="748" t="s">
        <v>930</v>
      </c>
      <c r="C17" s="749">
        <f>2436709672+59102684</f>
        <v>2495812356</v>
      </c>
      <c r="D17" s="749">
        <v>0</v>
      </c>
      <c r="E17" s="749">
        <v>1269448069</v>
      </c>
      <c r="F17" s="750">
        <f t="shared" si="0"/>
        <v>0.50863121418091095</v>
      </c>
    </row>
    <row r="18" spans="1:6" x14ac:dyDescent="0.25">
      <c r="A18" s="751" t="s">
        <v>501</v>
      </c>
      <c r="B18" s="752" t="s">
        <v>931</v>
      </c>
      <c r="C18" s="753">
        <v>2502859251</v>
      </c>
      <c r="D18" s="753">
        <v>0</v>
      </c>
      <c r="E18" s="753">
        <v>1275864217</v>
      </c>
      <c r="F18" s="750">
        <f t="shared" si="0"/>
        <v>0.50976267102923878</v>
      </c>
    </row>
    <row r="19" spans="1:6" ht="25.5" x14ac:dyDescent="0.25">
      <c r="A19" s="747" t="s">
        <v>502</v>
      </c>
      <c r="B19" s="748" t="s">
        <v>932</v>
      </c>
      <c r="C19" s="749">
        <v>206738008</v>
      </c>
      <c r="D19" s="749">
        <v>0</v>
      </c>
      <c r="E19" s="749">
        <v>291963240</v>
      </c>
      <c r="F19" s="750">
        <f t="shared" si="0"/>
        <v>1.4122378503327748</v>
      </c>
    </row>
    <row r="20" spans="1:6" ht="25.5" x14ac:dyDescent="0.25">
      <c r="A20" s="747" t="s">
        <v>617</v>
      </c>
      <c r="B20" s="748" t="s">
        <v>933</v>
      </c>
      <c r="C20" s="749">
        <v>2640000</v>
      </c>
      <c r="D20" s="749">
        <v>0</v>
      </c>
      <c r="E20" s="749">
        <v>13862767</v>
      </c>
      <c r="F20" s="750">
        <f t="shared" si="0"/>
        <v>5.2510481060606065</v>
      </c>
    </row>
    <row r="21" spans="1:6" ht="25.5" x14ac:dyDescent="0.25">
      <c r="A21" s="747" t="s">
        <v>503</v>
      </c>
      <c r="B21" s="748" t="s">
        <v>934</v>
      </c>
      <c r="C21" s="749">
        <v>5191369</v>
      </c>
      <c r="D21" s="749">
        <v>0</v>
      </c>
      <c r="E21" s="749">
        <v>202036719</v>
      </c>
      <c r="F21" s="750">
        <f t="shared" si="0"/>
        <v>38.917811274829432</v>
      </c>
    </row>
    <row r="22" spans="1:6" x14ac:dyDescent="0.25">
      <c r="A22" s="751" t="s">
        <v>504</v>
      </c>
      <c r="B22" s="752" t="s">
        <v>935</v>
      </c>
      <c r="C22" s="753">
        <v>214569377</v>
      </c>
      <c r="D22" s="753">
        <v>0</v>
      </c>
      <c r="E22" s="753">
        <v>507862726</v>
      </c>
      <c r="F22" s="750">
        <f t="shared" si="0"/>
        <v>2.3668928581546842</v>
      </c>
    </row>
    <row r="23" spans="1:6" ht="25.5" x14ac:dyDescent="0.25">
      <c r="A23" s="751" t="s">
        <v>505</v>
      </c>
      <c r="B23" s="752" t="s">
        <v>936</v>
      </c>
      <c r="C23" s="753">
        <v>-2349689</v>
      </c>
      <c r="D23" s="753">
        <v>0</v>
      </c>
      <c r="E23" s="753">
        <v>64607882</v>
      </c>
      <c r="F23" s="750">
        <f t="shared" si="0"/>
        <v>-27.49635462395236</v>
      </c>
    </row>
    <row r="24" spans="1:6" x14ac:dyDescent="0.25">
      <c r="A24" s="751" t="s">
        <v>507</v>
      </c>
      <c r="B24" s="752" t="s">
        <v>937</v>
      </c>
      <c r="C24" s="753">
        <v>12345615302</v>
      </c>
      <c r="D24" s="753">
        <v>0</v>
      </c>
      <c r="E24" s="753">
        <v>12807837692</v>
      </c>
      <c r="F24" s="750">
        <f t="shared" si="0"/>
        <v>1.03744020680161</v>
      </c>
    </row>
    <row r="25" spans="1:6" ht="25.5" x14ac:dyDescent="0.25">
      <c r="A25" s="747" t="s">
        <v>508</v>
      </c>
      <c r="B25" s="748" t="s">
        <v>938</v>
      </c>
      <c r="C25" s="749">
        <f>12312531034-165788594+70918190</f>
        <v>12217660630</v>
      </c>
      <c r="D25" s="749">
        <v>0</v>
      </c>
      <c r="E25" s="749">
        <v>12217660630</v>
      </c>
      <c r="F25" s="750">
        <f t="shared" si="0"/>
        <v>1</v>
      </c>
    </row>
    <row r="26" spans="1:6" x14ac:dyDescent="0.25">
      <c r="A26" s="747" t="s">
        <v>509</v>
      </c>
      <c r="B26" s="748" t="s">
        <v>939</v>
      </c>
      <c r="C26" s="749">
        <v>-2021475747</v>
      </c>
      <c r="D26" s="749">
        <v>0</v>
      </c>
      <c r="E26" s="749">
        <v>-2536315753</v>
      </c>
      <c r="F26" s="750">
        <f t="shared" si="0"/>
        <v>1.2546852252687453</v>
      </c>
    </row>
    <row r="27" spans="1:6" x14ac:dyDescent="0.25">
      <c r="A27" s="747" t="s">
        <v>511</v>
      </c>
      <c r="B27" s="748" t="s">
        <v>940</v>
      </c>
      <c r="C27" s="749">
        <v>-2984893</v>
      </c>
      <c r="D27" s="749">
        <v>0</v>
      </c>
      <c r="E27" s="749">
        <v>-191687636</v>
      </c>
      <c r="F27" s="750">
        <f t="shared" si="0"/>
        <v>64.219265481208211</v>
      </c>
    </row>
    <row r="28" spans="1:6" x14ac:dyDescent="0.25">
      <c r="A28" s="751" t="s">
        <v>713</v>
      </c>
      <c r="B28" s="752" t="s">
        <v>941</v>
      </c>
      <c r="C28" s="753">
        <v>10193199990</v>
      </c>
      <c r="D28" s="753">
        <v>0</v>
      </c>
      <c r="E28" s="753">
        <v>9489657241</v>
      </c>
      <c r="F28" s="750">
        <f t="shared" si="0"/>
        <v>0.93097920675644474</v>
      </c>
    </row>
    <row r="29" spans="1:6" ht="25.5" x14ac:dyDescent="0.25">
      <c r="A29" s="747" t="s">
        <v>714</v>
      </c>
      <c r="B29" s="748" t="s">
        <v>942</v>
      </c>
      <c r="C29" s="749">
        <v>18951913</v>
      </c>
      <c r="D29" s="749">
        <v>0</v>
      </c>
      <c r="E29" s="749">
        <v>32667029</v>
      </c>
      <c r="F29" s="750">
        <f t="shared" si="0"/>
        <v>1.723679767841906</v>
      </c>
    </row>
    <row r="30" spans="1:6" ht="25.5" x14ac:dyDescent="0.25">
      <c r="A30" s="747" t="s">
        <v>512</v>
      </c>
      <c r="B30" s="748" t="s">
        <v>943</v>
      </c>
      <c r="C30" s="749">
        <v>16920538</v>
      </c>
      <c r="D30" s="749">
        <v>0</v>
      </c>
      <c r="E30" s="749">
        <v>19068717</v>
      </c>
      <c r="F30" s="750">
        <f t="shared" si="0"/>
        <v>1.1269568969970103</v>
      </c>
    </row>
    <row r="31" spans="1:6" ht="25.5" x14ac:dyDescent="0.25">
      <c r="A31" s="747" t="s">
        <v>513</v>
      </c>
      <c r="B31" s="748" t="s">
        <v>944</v>
      </c>
      <c r="C31" s="749">
        <v>27586112</v>
      </c>
      <c r="D31" s="749">
        <v>0</v>
      </c>
      <c r="E31" s="749">
        <v>27033902</v>
      </c>
      <c r="F31" s="750">
        <f t="shared" si="0"/>
        <v>0.97998231863917606</v>
      </c>
    </row>
    <row r="32" spans="1:6" x14ac:dyDescent="0.25">
      <c r="A32" s="751" t="s">
        <v>514</v>
      </c>
      <c r="B32" s="752" t="s">
        <v>945</v>
      </c>
      <c r="C32" s="753">
        <v>63458563</v>
      </c>
      <c r="D32" s="753">
        <v>0</v>
      </c>
      <c r="E32" s="753">
        <v>78769648</v>
      </c>
      <c r="F32" s="750">
        <f t="shared" si="0"/>
        <v>1.2412768943412726</v>
      </c>
    </row>
    <row r="33" spans="1:6" ht="25.5" x14ac:dyDescent="0.25">
      <c r="A33" s="751" t="s">
        <v>515</v>
      </c>
      <c r="B33" s="752" t="s">
        <v>946</v>
      </c>
      <c r="C33" s="753">
        <v>2088956749</v>
      </c>
      <c r="D33" s="753">
        <v>0</v>
      </c>
      <c r="E33" s="753">
        <v>3239410803</v>
      </c>
      <c r="F33" s="750">
        <f t="shared" si="0"/>
        <v>1.5507313899872419</v>
      </c>
    </row>
    <row r="34" spans="1:6" x14ac:dyDescent="0.25">
      <c r="A34" s="751" t="s">
        <v>516</v>
      </c>
      <c r="B34" s="752" t="s">
        <v>947</v>
      </c>
      <c r="C34" s="753">
        <v>12345615302</v>
      </c>
      <c r="D34" s="753">
        <v>0</v>
      </c>
      <c r="E34" s="753">
        <v>12807837692</v>
      </c>
      <c r="F34" s="750">
        <f t="shared" si="0"/>
        <v>1.03744020680161</v>
      </c>
    </row>
  </sheetData>
  <mergeCells count="4">
    <mergeCell ref="A3:F3"/>
    <mergeCell ref="A4:F4"/>
    <mergeCell ref="A6:F6"/>
    <mergeCell ref="A5:F5"/>
  </mergeCells>
  <pageMargins left="0.66" right="0.16" top="0.75" bottom="0.75" header="0.3" footer="0.3"/>
  <pageSetup paperSize="9" scale="87" fitToHeight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pageSetUpPr fitToPage="1"/>
  </sheetPr>
  <dimension ref="A1:N153"/>
  <sheetViews>
    <sheetView zoomScaleNormal="100" workbookViewId="0">
      <pane xSplit="1" ySplit="8" topLeftCell="B25" activePane="bottomRight" state="frozen"/>
      <selection activeCell="AB159" sqref="AB159"/>
      <selection pane="topRight" activeCell="AB159" sqref="AB159"/>
      <selection pane="bottomLeft" activeCell="AB159" sqref="AB159"/>
      <selection pane="bottomRight" activeCell="I87" sqref="I87"/>
    </sheetView>
  </sheetViews>
  <sheetFormatPr defaultRowHeight="15" x14ac:dyDescent="0.25"/>
  <cols>
    <col min="1" max="1" width="8.42578125" style="44" bestFit="1" customWidth="1"/>
    <col min="2" max="2" width="57.85546875" style="44" customWidth="1"/>
    <col min="3" max="3" width="11.85546875" style="44" customWidth="1"/>
    <col min="4" max="4" width="9.140625" style="44" customWidth="1"/>
    <col min="5" max="5" width="11.28515625" style="44" customWidth="1"/>
    <col min="6" max="6" width="11.85546875" style="179" customWidth="1"/>
    <col min="7" max="7" width="9.140625" style="179" customWidth="1"/>
    <col min="8" max="8" width="11.28515625" style="179" customWidth="1"/>
    <col min="9" max="9" width="11.85546875" style="179" customWidth="1"/>
    <col min="10" max="10" width="9.140625" style="179" customWidth="1"/>
    <col min="11" max="11" width="11.28515625" style="179" customWidth="1"/>
    <col min="12" max="12" width="11.85546875" style="179" customWidth="1"/>
    <col min="13" max="13" width="9.140625" style="179" customWidth="1"/>
    <col min="14" max="14" width="11.28515625" style="179" customWidth="1"/>
  </cols>
  <sheetData>
    <row r="1" spans="1:14" x14ac:dyDescent="0.25">
      <c r="A1" s="912" t="s">
        <v>723</v>
      </c>
      <c r="B1" s="912"/>
      <c r="C1" s="912"/>
      <c r="D1" s="912"/>
      <c r="E1" s="912"/>
      <c r="F1"/>
      <c r="G1"/>
      <c r="H1"/>
    </row>
    <row r="2" spans="1:14" s="44" customFormat="1" x14ac:dyDescent="0.25">
      <c r="A2" s="912" t="s">
        <v>271</v>
      </c>
      <c r="B2" s="912"/>
      <c r="C2" s="912"/>
      <c r="D2" s="912"/>
      <c r="E2" s="912"/>
      <c r="I2" s="179"/>
      <c r="J2" s="179"/>
      <c r="K2" s="179"/>
      <c r="L2" s="179"/>
      <c r="M2" s="179"/>
      <c r="N2" s="179"/>
    </row>
    <row r="3" spans="1:14" s="44" customFormat="1" ht="6" customHeight="1" x14ac:dyDescent="0.25">
      <c r="F3" s="179"/>
      <c r="G3" s="179"/>
      <c r="H3" s="179"/>
      <c r="I3" s="179"/>
      <c r="J3" s="179"/>
      <c r="K3" s="179"/>
      <c r="L3" s="179"/>
      <c r="M3" s="179"/>
      <c r="N3" s="179"/>
    </row>
    <row r="4" spans="1:14" x14ac:dyDescent="0.25">
      <c r="C4" s="45" t="str">
        <f>'1 címrend'!B1</f>
        <v xml:space="preserve"> 12 / 2020. (VI.15) sz rendelet</v>
      </c>
    </row>
    <row r="5" spans="1:14" s="44" customFormat="1" x14ac:dyDescent="0.25">
      <c r="B5" s="386" t="s">
        <v>18</v>
      </c>
      <c r="F5" s="179"/>
      <c r="G5" s="179"/>
      <c r="H5" s="179"/>
      <c r="I5" s="179"/>
      <c r="J5" s="179"/>
      <c r="K5" s="179"/>
      <c r="L5" s="179"/>
      <c r="M5" s="179"/>
      <c r="N5" s="179"/>
    </row>
    <row r="6" spans="1:14" x14ac:dyDescent="0.25">
      <c r="C6" s="45"/>
      <c r="D6" s="45"/>
      <c r="E6" s="518" t="s">
        <v>808</v>
      </c>
      <c r="F6" s="914" t="str">
        <f>'4. Önkormányzat+int összesen'!AO3</f>
        <v xml:space="preserve"> melléklet az 12/2020. (VI.15.) rendelethez</v>
      </c>
      <c r="G6" s="883"/>
      <c r="H6" s="883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6">
        <f>'5.1 igazgatás cofog'!C9+'5.2 adó cofog'!C9+'5.3 pályázat'!C9</f>
        <v>0</v>
      </c>
      <c r="D9" s="246">
        <f>'5.1 igazgatás cofog'!D9+'5.2 adó cofog'!D9+'5.3 pályázat'!D9</f>
        <v>0</v>
      </c>
      <c r="E9" s="246">
        <f>'5.1 igazgatás cofog'!E9+'5.2 adó cofog'!E9+'5.3 pályázat'!E9</f>
        <v>0</v>
      </c>
      <c r="F9" s="246">
        <f>'5.1 igazgatás cofog'!F9+'5.2 adó cofog'!F9+'5.3 pályázat'!F9+'5.4 ogy, ep választás'!F9</f>
        <v>2298693</v>
      </c>
      <c r="G9" s="246">
        <f>'5.1 igazgatás cofog'!G9+'5.2 adó cofog'!G9+'5.3 pályázat'!G9+'5.4 ogy, ep választás'!G9</f>
        <v>0</v>
      </c>
      <c r="H9" s="246">
        <f>'5.1 igazgatás cofog'!H9+'5.2 adó cofog'!H9+'5.3 pályázat'!H9+'5.4 ogy, ep választás'!H9</f>
        <v>2298693</v>
      </c>
      <c r="I9" s="246">
        <f>'5.1 igazgatás cofog'!I9+'5.2 adó cofog'!I9+'5.3 pályázat'!I9+'5.4 ogy, ep választás'!I9</f>
        <v>2347102</v>
      </c>
      <c r="J9" s="246">
        <f>'5.1 igazgatás cofog'!J9+'5.2 adó cofog'!J9+'5.3 pályázat'!J9+'5.4 ogy, ep választás'!J9</f>
        <v>0</v>
      </c>
      <c r="K9" s="246">
        <f>'5.1 igazgatás cofog'!K9+'5.2 adó cofog'!K9+'5.3 pályázat'!K9+'5.4 ogy, ep választás'!K9</f>
        <v>2347102</v>
      </c>
      <c r="L9" s="246">
        <f>'5.1 igazgatás cofog'!L9+'5.2 adó cofog'!L9+'5.3 pályázat'!L9+'5.4 ogy, ep választás'!L9</f>
        <v>6357076</v>
      </c>
      <c r="M9" s="246">
        <f>'5.1 igazgatás cofog'!M9+'5.2 adó cofog'!M9+'5.3 pályázat'!M9+'5.4 ogy, ep választás'!M9</f>
        <v>0</v>
      </c>
      <c r="N9" s="246">
        <f>'5.1 igazgatás cofog'!N9+'5.2 adó cofog'!N9+'5.3 pályázat'!N9+'5.4 ogy, ep választás'!N9</f>
        <v>6357076</v>
      </c>
    </row>
    <row r="10" spans="1:14" x14ac:dyDescent="0.25">
      <c r="A10" s="53" t="s">
        <v>45</v>
      </c>
      <c r="B10" s="62" t="s">
        <v>46</v>
      </c>
      <c r="C10" s="246">
        <f>'5.1 igazgatás cofog'!C10+'5.2 adó cofog'!C10+'5.3 pályázat'!C10</f>
        <v>0</v>
      </c>
      <c r="D10" s="246">
        <f>'5.1 igazgatás cofog'!D10+'5.2 adó cofog'!D10+'5.3 pályázat'!D10</f>
        <v>0</v>
      </c>
      <c r="E10" s="246">
        <f>'5.1 igazgatás cofog'!E10+'5.2 adó cofog'!E10+'5.3 pályázat'!E10</f>
        <v>0</v>
      </c>
      <c r="F10" s="246">
        <f>'5.1 igazgatás cofog'!F10+'5.2 adó cofog'!F10+'5.3 pályázat'!F10+'5.4 ogy, ep választás'!F10</f>
        <v>92644</v>
      </c>
      <c r="G10" s="246">
        <f>'5.1 igazgatás cofog'!G10+'5.2 adó cofog'!G10+'5.3 pályázat'!G10+'5.4 ogy, ep választás'!G10</f>
        <v>0</v>
      </c>
      <c r="H10" s="246">
        <f>'5.1 igazgatás cofog'!H10+'5.2 adó cofog'!H10+'5.3 pályázat'!H10+'5.4 ogy, ep választás'!H10</f>
        <v>92644</v>
      </c>
      <c r="I10" s="246">
        <f>'5.1 igazgatás cofog'!I10+'5.2 adó cofog'!I10+'5.3 pályázat'!I10+'5.4 ogy, ep választás'!I10</f>
        <v>141053</v>
      </c>
      <c r="J10" s="246">
        <f>'5.1 igazgatás cofog'!J10+'5.2 adó cofog'!J10+'5.3 pályázat'!J10+'5.4 ogy, ep választás'!J10</f>
        <v>0</v>
      </c>
      <c r="K10" s="246">
        <f>'5.1 igazgatás cofog'!K10+'5.2 adó cofog'!K10+'5.3 pályázat'!K10+'5.4 ogy, ep választás'!K10</f>
        <v>141053</v>
      </c>
      <c r="L10" s="246">
        <f>'5.1 igazgatás cofog'!L10+'5.2 adó cofog'!L10+'5.3 pályázat'!L10+'5.4 ogy, ep választás'!L10</f>
        <v>141053</v>
      </c>
      <c r="M10" s="246">
        <f>'5.1 igazgatás cofog'!M10+'5.2 adó cofog'!M10+'5.3 pályázat'!M10+'5.4 ogy, ep választás'!M10</f>
        <v>0</v>
      </c>
      <c r="N10" s="246">
        <f>'5.1 igazgatás cofog'!N10+'5.2 adó cofog'!N10+'5.3 pályázat'!N10+'5.4 ogy, ep választás'!N10</f>
        <v>141053</v>
      </c>
    </row>
    <row r="11" spans="1:14" x14ac:dyDescent="0.25">
      <c r="A11" s="53" t="s">
        <v>47</v>
      </c>
      <c r="B11" s="62" t="s">
        <v>48</v>
      </c>
      <c r="C11" s="246">
        <f>'5.1 igazgatás cofog'!C11+'5.2 adó cofog'!C11+'5.3 pályázat'!C11</f>
        <v>0</v>
      </c>
      <c r="D11" s="246">
        <f>'5.1 igazgatás cofog'!D11+'5.2 adó cofog'!D11+'5.3 pályázat'!D11</f>
        <v>0</v>
      </c>
      <c r="E11" s="246">
        <f>'5.1 igazgatás cofog'!E11+'5.2 adó cofog'!E11+'5.3 pályázat'!E11</f>
        <v>0</v>
      </c>
      <c r="F11" s="246">
        <f>'5.1 igazgatás cofog'!F11+'5.2 adó cofog'!F11+'5.3 pályázat'!F11+'5.4 ogy, ep választás'!F11</f>
        <v>92644</v>
      </c>
      <c r="G11" s="246">
        <f>'5.1 igazgatás cofog'!G11+'5.2 adó cofog'!G11+'5.3 pályázat'!G11+'5.4 ogy, ep választás'!G11</f>
        <v>0</v>
      </c>
      <c r="H11" s="246">
        <f>'5.1 igazgatás cofog'!H11+'5.2 adó cofog'!H11+'5.3 pályázat'!H11+'5.4 ogy, ep választás'!H11</f>
        <v>92644</v>
      </c>
      <c r="I11" s="246">
        <f>'5.1 igazgatás cofog'!I11+'5.2 adó cofog'!I11+'5.3 pályázat'!I11+'5.4 ogy, ep választás'!I11</f>
        <v>141053</v>
      </c>
      <c r="J11" s="246">
        <f>'5.1 igazgatás cofog'!J11+'5.2 adó cofog'!J11+'5.3 pályázat'!J11+'5.4 ogy, ep választás'!J11</f>
        <v>0</v>
      </c>
      <c r="K11" s="246">
        <f>'5.1 igazgatás cofog'!K11+'5.2 adó cofog'!K11+'5.3 pályázat'!K11+'5.4 ogy, ep választás'!K11</f>
        <v>141053</v>
      </c>
      <c r="L11" s="246">
        <f>'5.1 igazgatás cofog'!L11+'5.2 adó cofog'!L11+'5.3 pályázat'!L11+'5.4 ogy, ep választás'!L11</f>
        <v>141053</v>
      </c>
      <c r="M11" s="246">
        <f>'5.1 igazgatás cofog'!M11+'5.2 adó cofog'!M11+'5.3 pályázat'!M11+'5.4 ogy, ep választás'!M11</f>
        <v>0</v>
      </c>
      <c r="N11" s="246">
        <f>'5.1 igazgatás cofog'!N11+'5.2 adó cofog'!N11+'5.3 pályázat'!N11+'5.4 ogy, ep választás'!N11</f>
        <v>141053</v>
      </c>
    </row>
    <row r="12" spans="1:14" hidden="1" x14ac:dyDescent="0.25">
      <c r="A12" s="53" t="s">
        <v>49</v>
      </c>
      <c r="B12" s="62" t="s">
        <v>50</v>
      </c>
      <c r="C12" s="246">
        <f>'5.1 igazgatás cofog'!C12+'5.2 adó cofog'!C12+'5.3 pályázat'!C12</f>
        <v>0</v>
      </c>
      <c r="D12" s="246">
        <f>'5.1 igazgatás cofog'!D12+'5.2 adó cofog'!D12+'5.3 pályázat'!D12</f>
        <v>0</v>
      </c>
      <c r="E12" s="246">
        <f>'5.1 igazgatás cofog'!E12+'5.2 adó cofog'!E12+'5.3 pályázat'!E12</f>
        <v>0</v>
      </c>
      <c r="F12" s="246">
        <f>'5.1 igazgatás cofog'!F12+'5.2 adó cofog'!F12+'5.3 pályázat'!F12+'5.4 ogy, ep választás'!F12</f>
        <v>0</v>
      </c>
      <c r="G12" s="246">
        <f>'5.1 igazgatás cofog'!G12+'5.2 adó cofog'!G12+'5.3 pályázat'!G12+'5.4 ogy, ep választás'!G12</f>
        <v>0</v>
      </c>
      <c r="H12" s="246">
        <f>'5.1 igazgatás cofog'!H12+'5.2 adó cofog'!H12+'5.3 pályázat'!H12+'5.4 ogy, ep választás'!H12</f>
        <v>0</v>
      </c>
      <c r="I12" s="246">
        <f>'5.1 igazgatás cofog'!I12+'5.2 adó cofog'!I12+'5.3 pályázat'!I12+'5.4 ogy, ep választás'!I12</f>
        <v>0</v>
      </c>
      <c r="J12" s="246">
        <f>'5.1 igazgatás cofog'!J12+'5.2 adó cofog'!J12+'5.3 pályázat'!J12+'5.4 ogy, ep választás'!J12</f>
        <v>0</v>
      </c>
      <c r="K12" s="246">
        <f>'5.1 igazgatás cofog'!K12+'5.2 adó cofog'!K12+'5.3 pályázat'!K12+'5.4 ogy, ep választás'!K12</f>
        <v>0</v>
      </c>
      <c r="L12" s="246">
        <f>'5.1 igazgatás cofog'!L12+'5.2 adó cofog'!L12+'5.3 pályázat'!L12+'5.4 ogy, ep választás'!L12</f>
        <v>0</v>
      </c>
      <c r="M12" s="246">
        <f>'5.1 igazgatás cofog'!M12+'5.2 adó cofog'!M12+'5.3 pályázat'!M12+'5.4 ogy, ep választás'!M12</f>
        <v>0</v>
      </c>
      <c r="N12" s="246">
        <f>'5.1 igazgatás cofog'!N12+'5.2 adó cofog'!N12+'5.3 pályázat'!N12+'5.4 ogy, ep választás'!N12</f>
        <v>0</v>
      </c>
    </row>
    <row r="13" spans="1:14" hidden="1" x14ac:dyDescent="0.25">
      <c r="A13" s="53" t="s">
        <v>51</v>
      </c>
      <c r="B13" s="62" t="s">
        <v>52</v>
      </c>
      <c r="C13" s="246">
        <f>'5.1 igazgatás cofog'!C13+'5.2 adó cofog'!C13+'5.3 pályázat'!C13</f>
        <v>0</v>
      </c>
      <c r="D13" s="246">
        <f>'5.1 igazgatás cofog'!D13+'5.2 adó cofog'!D13+'5.3 pályázat'!D13</f>
        <v>0</v>
      </c>
      <c r="E13" s="246">
        <f>'5.1 igazgatás cofog'!E13+'5.2 adó cofog'!E13+'5.3 pályázat'!E13</f>
        <v>0</v>
      </c>
      <c r="F13" s="246">
        <f>'5.1 igazgatás cofog'!F13+'5.2 adó cofog'!F13+'5.3 pályázat'!F13+'5.4 ogy, ep választás'!F13</f>
        <v>0</v>
      </c>
      <c r="G13" s="246">
        <f>'5.1 igazgatás cofog'!G13+'5.2 adó cofog'!G13+'5.3 pályázat'!G13+'5.4 ogy, ep választás'!G13</f>
        <v>0</v>
      </c>
      <c r="H13" s="246">
        <f>'5.1 igazgatás cofog'!H13+'5.2 adó cofog'!H13+'5.3 pályázat'!H13+'5.4 ogy, ep választás'!H13</f>
        <v>0</v>
      </c>
      <c r="I13" s="246">
        <f>'5.1 igazgatás cofog'!I13+'5.2 adó cofog'!I13+'5.3 pályázat'!I13+'5.4 ogy, ep választás'!I13</f>
        <v>0</v>
      </c>
      <c r="J13" s="246">
        <f>'5.1 igazgatás cofog'!J13+'5.2 adó cofog'!J13+'5.3 pályázat'!J13+'5.4 ogy, ep választás'!J13</f>
        <v>0</v>
      </c>
      <c r="K13" s="246">
        <f>'5.1 igazgatás cofog'!K13+'5.2 adó cofog'!K13+'5.3 pályázat'!K13+'5.4 ogy, ep választás'!K13</f>
        <v>0</v>
      </c>
      <c r="L13" s="246">
        <f>'5.1 igazgatás cofog'!L13+'5.2 adó cofog'!L13+'5.3 pályázat'!L13+'5.4 ogy, ep választás'!L13</f>
        <v>0</v>
      </c>
      <c r="M13" s="246">
        <f>'5.1 igazgatás cofog'!M13+'5.2 adó cofog'!M13+'5.3 pályázat'!M13+'5.4 ogy, ep választás'!M13</f>
        <v>0</v>
      </c>
      <c r="N13" s="246">
        <f>'5.1 igazgatás cofog'!N13+'5.2 adó cofog'!N13+'5.3 pályázat'!N13+'5.4 ogy, ep választás'!N13</f>
        <v>0</v>
      </c>
    </row>
    <row r="14" spans="1:14" hidden="1" x14ac:dyDescent="0.25">
      <c r="A14" s="53" t="s">
        <v>53</v>
      </c>
      <c r="B14" s="62" t="s">
        <v>54</v>
      </c>
      <c r="C14" s="246">
        <f>'5.1 igazgatás cofog'!C14+'5.2 adó cofog'!C14+'5.3 pályázat'!C14</f>
        <v>0</v>
      </c>
      <c r="D14" s="246">
        <f>'5.1 igazgatás cofog'!D14+'5.2 adó cofog'!D14+'5.3 pályázat'!D14</f>
        <v>0</v>
      </c>
      <c r="E14" s="246">
        <f>'5.1 igazgatás cofog'!E14+'5.2 adó cofog'!E14+'5.3 pályázat'!E14</f>
        <v>0</v>
      </c>
      <c r="F14" s="246">
        <f>'5.1 igazgatás cofog'!F14+'5.2 adó cofog'!F14+'5.3 pályázat'!F14+'5.4 ogy, ep választás'!F14</f>
        <v>0</v>
      </c>
      <c r="G14" s="246">
        <f>'5.1 igazgatás cofog'!G14+'5.2 adó cofog'!G14+'5.3 pályázat'!G14+'5.4 ogy, ep választás'!G14</f>
        <v>0</v>
      </c>
      <c r="H14" s="246">
        <f>'5.1 igazgatás cofog'!H14+'5.2 adó cofog'!H14+'5.3 pályázat'!H14+'5.4 ogy, ep választás'!H14</f>
        <v>0</v>
      </c>
      <c r="I14" s="246">
        <f>'5.1 igazgatás cofog'!I14+'5.2 adó cofog'!I14+'5.3 pályázat'!I14+'5.4 ogy, ep választás'!I14</f>
        <v>0</v>
      </c>
      <c r="J14" s="246">
        <f>'5.1 igazgatás cofog'!J14+'5.2 adó cofog'!J14+'5.3 pályázat'!J14+'5.4 ogy, ep választás'!J14</f>
        <v>0</v>
      </c>
      <c r="K14" s="246">
        <f>'5.1 igazgatás cofog'!K14+'5.2 adó cofog'!K14+'5.3 pályázat'!K14+'5.4 ogy, ep választás'!K14</f>
        <v>0</v>
      </c>
      <c r="L14" s="246">
        <f>'5.1 igazgatás cofog'!L14+'5.2 adó cofog'!L14+'5.3 pályázat'!L14+'5.4 ogy, ep választás'!L14</f>
        <v>0</v>
      </c>
      <c r="M14" s="246">
        <f>'5.1 igazgatás cofog'!M14+'5.2 adó cofog'!M14+'5.3 pályázat'!M14+'5.4 ogy, ep választás'!M14</f>
        <v>0</v>
      </c>
      <c r="N14" s="246">
        <f>'5.1 igazgatás cofog'!N14+'5.2 adó cofog'!N14+'5.3 pályázat'!N14+'5.4 ogy, ep választás'!N14</f>
        <v>0</v>
      </c>
    </row>
    <row r="15" spans="1:14" hidden="1" x14ac:dyDescent="0.25">
      <c r="A15" s="53" t="s">
        <v>55</v>
      </c>
      <c r="B15" s="62" t="s">
        <v>56</v>
      </c>
      <c r="C15" s="246">
        <f>'5.1 igazgatás cofog'!C15+'5.2 adó cofog'!C15+'5.3 pályázat'!C15</f>
        <v>0</v>
      </c>
      <c r="D15" s="246">
        <f>'5.1 igazgatás cofog'!D15+'5.2 adó cofog'!D15+'5.3 pályázat'!D15</f>
        <v>0</v>
      </c>
      <c r="E15" s="246">
        <f>'5.1 igazgatás cofog'!E15+'5.2 adó cofog'!E15+'5.3 pályázat'!E15</f>
        <v>0</v>
      </c>
      <c r="F15" s="246">
        <f>'5.1 igazgatás cofog'!F15+'5.2 adó cofog'!F15+'5.3 pályázat'!F15+'5.4 ogy, ep választás'!F15</f>
        <v>0</v>
      </c>
      <c r="G15" s="246">
        <f>'5.1 igazgatás cofog'!G15+'5.2 adó cofog'!G15+'5.3 pályázat'!G15+'5.4 ogy, ep választás'!G15</f>
        <v>0</v>
      </c>
      <c r="H15" s="246">
        <f>'5.1 igazgatás cofog'!H15+'5.2 adó cofog'!H15+'5.3 pályázat'!H15+'5.4 ogy, ep választás'!H15</f>
        <v>0</v>
      </c>
      <c r="I15" s="246">
        <f>'5.1 igazgatás cofog'!I15+'5.2 adó cofog'!I15+'5.3 pályázat'!I15+'5.4 ogy, ep választás'!I15</f>
        <v>0</v>
      </c>
      <c r="J15" s="246">
        <f>'5.1 igazgatás cofog'!J15+'5.2 adó cofog'!J15+'5.3 pályázat'!J15+'5.4 ogy, ep választás'!J15</f>
        <v>0</v>
      </c>
      <c r="K15" s="246">
        <f>'5.1 igazgatás cofog'!K15+'5.2 adó cofog'!K15+'5.3 pályázat'!K15+'5.4 ogy, ep választás'!K15</f>
        <v>0</v>
      </c>
      <c r="L15" s="246">
        <f>'5.1 igazgatás cofog'!L15+'5.2 adó cofog'!L15+'5.3 pályázat'!L15+'5.4 ogy, ep választás'!L15</f>
        <v>0</v>
      </c>
      <c r="M15" s="246">
        <f>'5.1 igazgatás cofog'!M15+'5.2 adó cofog'!M15+'5.3 pályázat'!M15+'5.4 ogy, ep választás'!M15</f>
        <v>0</v>
      </c>
      <c r="N15" s="246">
        <f>'5.1 igazgatás cofog'!N15+'5.2 adó cofog'!N15+'5.3 pályázat'!N15+'5.4 ogy, ep választás'!N15</f>
        <v>0</v>
      </c>
    </row>
    <row r="16" spans="1:14" hidden="1" x14ac:dyDescent="0.25">
      <c r="A16" s="53" t="s">
        <v>57</v>
      </c>
      <c r="B16" s="62" t="s">
        <v>58</v>
      </c>
      <c r="C16" s="246">
        <f>'5.1 igazgatás cofog'!C16+'5.2 adó cofog'!C16+'5.3 pályázat'!C16</f>
        <v>0</v>
      </c>
      <c r="D16" s="246">
        <f>'5.1 igazgatás cofog'!D16+'5.2 adó cofog'!D16+'5.3 pályázat'!D16</f>
        <v>0</v>
      </c>
      <c r="E16" s="246">
        <f>'5.1 igazgatás cofog'!E16+'5.2 adó cofog'!E16+'5.3 pályázat'!E16</f>
        <v>0</v>
      </c>
      <c r="F16" s="246">
        <f>'5.1 igazgatás cofog'!F16+'5.2 adó cofog'!F16+'5.3 pályázat'!F16+'5.4 ogy, ep választás'!F16</f>
        <v>0</v>
      </c>
      <c r="G16" s="246">
        <f>'5.1 igazgatás cofog'!G16+'5.2 adó cofog'!G16+'5.3 pályázat'!G16+'5.4 ogy, ep választás'!G16</f>
        <v>0</v>
      </c>
      <c r="H16" s="246">
        <f>'5.1 igazgatás cofog'!H16+'5.2 adó cofog'!H16+'5.3 pályázat'!H16+'5.4 ogy, ep választás'!H16</f>
        <v>0</v>
      </c>
      <c r="I16" s="246">
        <f>'5.1 igazgatás cofog'!I16+'5.2 adó cofog'!I16+'5.3 pályázat'!I16+'5.4 ogy, ep választás'!I16</f>
        <v>0</v>
      </c>
      <c r="J16" s="246">
        <f>'5.1 igazgatás cofog'!J16+'5.2 adó cofog'!J16+'5.3 pályázat'!J16+'5.4 ogy, ep választás'!J16</f>
        <v>0</v>
      </c>
      <c r="K16" s="246">
        <f>'5.1 igazgatás cofog'!K16+'5.2 adó cofog'!K16+'5.3 pályázat'!K16+'5.4 ogy, ep választás'!K16</f>
        <v>0</v>
      </c>
      <c r="L16" s="246">
        <f>'5.1 igazgatás cofog'!L16+'5.2 adó cofog'!L16+'5.3 pályázat'!L16+'5.4 ogy, ep választás'!L16</f>
        <v>0</v>
      </c>
      <c r="M16" s="246">
        <f>'5.1 igazgatás cofog'!M16+'5.2 adó cofog'!M16+'5.3 pályázat'!M16+'5.4 ogy, ep választás'!M16</f>
        <v>0</v>
      </c>
      <c r="N16" s="246">
        <f>'5.1 igazgatás cofog'!N16+'5.2 adó cofog'!N16+'5.3 pályázat'!N16+'5.4 ogy, ep választás'!N16</f>
        <v>0</v>
      </c>
    </row>
    <row r="17" spans="1:14" hidden="1" x14ac:dyDescent="0.25">
      <c r="A17" s="53" t="s">
        <v>59</v>
      </c>
      <c r="B17" s="62" t="s">
        <v>60</v>
      </c>
      <c r="C17" s="246">
        <f>'5.1 igazgatás cofog'!C17+'5.2 adó cofog'!C17+'5.3 pályázat'!C17</f>
        <v>0</v>
      </c>
      <c r="D17" s="246">
        <f>'5.1 igazgatás cofog'!D17+'5.2 adó cofog'!D17+'5.3 pályázat'!D17</f>
        <v>0</v>
      </c>
      <c r="E17" s="246">
        <f>'5.1 igazgatás cofog'!E17+'5.2 adó cofog'!E17+'5.3 pályázat'!E17</f>
        <v>0</v>
      </c>
      <c r="F17" s="246">
        <f>'5.1 igazgatás cofog'!F17+'5.2 adó cofog'!F17+'5.3 pályázat'!F17+'5.4 ogy, ep választás'!F17</f>
        <v>0</v>
      </c>
      <c r="G17" s="246">
        <f>'5.1 igazgatás cofog'!G17+'5.2 adó cofog'!G17+'5.3 pályázat'!G17+'5.4 ogy, ep választás'!G17</f>
        <v>0</v>
      </c>
      <c r="H17" s="246">
        <f>'5.1 igazgatás cofog'!H17+'5.2 adó cofog'!H17+'5.3 pályázat'!H17+'5.4 ogy, ep választás'!H17</f>
        <v>0</v>
      </c>
      <c r="I17" s="246">
        <f>'5.1 igazgatás cofog'!I17+'5.2 adó cofog'!I17+'5.3 pályázat'!I17+'5.4 ogy, ep választás'!I17</f>
        <v>0</v>
      </c>
      <c r="J17" s="246">
        <f>'5.1 igazgatás cofog'!J17+'5.2 adó cofog'!J17+'5.3 pályázat'!J17+'5.4 ogy, ep választás'!J17</f>
        <v>0</v>
      </c>
      <c r="K17" s="246">
        <f>'5.1 igazgatás cofog'!K17+'5.2 adó cofog'!K17+'5.3 pályázat'!K17+'5.4 ogy, ep választás'!K17</f>
        <v>0</v>
      </c>
      <c r="L17" s="246">
        <f>'5.1 igazgatás cofog'!L17+'5.2 adó cofog'!L17+'5.3 pályázat'!L17+'5.4 ogy, ep választás'!L17</f>
        <v>0</v>
      </c>
      <c r="M17" s="246">
        <f>'5.1 igazgatás cofog'!M17+'5.2 adó cofog'!M17+'5.3 pályázat'!M17+'5.4 ogy, ep választás'!M17</f>
        <v>0</v>
      </c>
      <c r="N17" s="246">
        <f>'5.1 igazgatás cofog'!N17+'5.2 adó cofog'!N17+'5.3 pályázat'!N17+'5.4 ogy, ep választás'!N17</f>
        <v>0</v>
      </c>
    </row>
    <row r="18" spans="1:14" hidden="1" x14ac:dyDescent="0.25">
      <c r="A18" s="53" t="s">
        <v>61</v>
      </c>
      <c r="B18" s="62" t="s">
        <v>62</v>
      </c>
      <c r="C18" s="246">
        <f>'5.1 igazgatás cofog'!C18+'5.2 adó cofog'!C18+'5.3 pályázat'!C18</f>
        <v>0</v>
      </c>
      <c r="D18" s="246">
        <f>'5.1 igazgatás cofog'!D18+'5.2 adó cofog'!D18+'5.3 pályázat'!D18</f>
        <v>0</v>
      </c>
      <c r="E18" s="246">
        <f>'5.1 igazgatás cofog'!E18+'5.2 adó cofog'!E18+'5.3 pályázat'!E18</f>
        <v>0</v>
      </c>
      <c r="F18" s="246">
        <f>'5.1 igazgatás cofog'!F18+'5.2 adó cofog'!F18+'5.3 pályázat'!F18+'5.4 ogy, ep választás'!F18</f>
        <v>0</v>
      </c>
      <c r="G18" s="246">
        <f>'5.1 igazgatás cofog'!G18+'5.2 adó cofog'!G18+'5.3 pályázat'!G18+'5.4 ogy, ep választás'!G18</f>
        <v>0</v>
      </c>
      <c r="H18" s="246">
        <f>'5.1 igazgatás cofog'!H18+'5.2 adó cofog'!H18+'5.3 pályázat'!H18+'5.4 ogy, ep választás'!H18</f>
        <v>0</v>
      </c>
      <c r="I18" s="246">
        <f>'5.1 igazgatás cofog'!I18+'5.2 adó cofog'!I18+'5.3 pályázat'!I18+'5.4 ogy, ep választás'!I18</f>
        <v>0</v>
      </c>
      <c r="J18" s="246">
        <f>'5.1 igazgatás cofog'!J18+'5.2 adó cofog'!J18+'5.3 pályázat'!J18+'5.4 ogy, ep választás'!J18</f>
        <v>0</v>
      </c>
      <c r="K18" s="246">
        <f>'5.1 igazgatás cofog'!K18+'5.2 adó cofog'!K18+'5.3 pályázat'!K18+'5.4 ogy, ep választás'!K18</f>
        <v>0</v>
      </c>
      <c r="L18" s="246">
        <f>'5.1 igazgatás cofog'!L18+'5.2 adó cofog'!L18+'5.3 pályázat'!L18+'5.4 ogy, ep választás'!L18</f>
        <v>0</v>
      </c>
      <c r="M18" s="246">
        <f>'5.1 igazgatás cofog'!M18+'5.2 adó cofog'!M18+'5.3 pályázat'!M18+'5.4 ogy, ep választás'!M18</f>
        <v>0</v>
      </c>
      <c r="N18" s="246">
        <f>'5.1 igazgatás cofog'!N18+'5.2 adó cofog'!N18+'5.3 pályázat'!N18+'5.4 ogy, ep választás'!N18</f>
        <v>0</v>
      </c>
    </row>
    <row r="19" spans="1:14" hidden="1" x14ac:dyDescent="0.25">
      <c r="A19" s="55" t="s">
        <v>266</v>
      </c>
      <c r="B19" s="64" t="s">
        <v>267</v>
      </c>
      <c r="C19" s="246">
        <f>'5.1 igazgatás cofog'!C19+'5.2 adó cofog'!C19+'5.3 pályázat'!C19</f>
        <v>0</v>
      </c>
      <c r="D19" s="246">
        <f>'5.1 igazgatás cofog'!D19+'5.2 adó cofog'!D19+'5.3 pályázat'!D19</f>
        <v>0</v>
      </c>
      <c r="E19" s="246">
        <f>'5.1 igazgatás cofog'!E19+'5.2 adó cofog'!E19+'5.3 pályázat'!E19</f>
        <v>0</v>
      </c>
      <c r="F19" s="246">
        <f>'5.1 igazgatás cofog'!F19+'5.2 adó cofog'!F19+'5.3 pályázat'!F19+'5.4 ogy, ep választás'!F19</f>
        <v>0</v>
      </c>
      <c r="G19" s="246">
        <f>'5.1 igazgatás cofog'!G19+'5.2 adó cofog'!G19+'5.3 pályázat'!G19+'5.4 ogy, ep választás'!G19</f>
        <v>0</v>
      </c>
      <c r="H19" s="246">
        <f>'5.1 igazgatás cofog'!H19+'5.2 adó cofog'!H19+'5.3 pályázat'!H19+'5.4 ogy, ep választás'!H19</f>
        <v>0</v>
      </c>
      <c r="I19" s="246">
        <f>'5.1 igazgatás cofog'!I19+'5.2 adó cofog'!I19+'5.3 pályázat'!I19+'5.4 ogy, ep választás'!I19</f>
        <v>0</v>
      </c>
      <c r="J19" s="246">
        <f>'5.1 igazgatás cofog'!J19+'5.2 adó cofog'!J19+'5.3 pályázat'!J19+'5.4 ogy, ep választás'!J19</f>
        <v>0</v>
      </c>
      <c r="K19" s="246">
        <f>'5.1 igazgatás cofog'!K19+'5.2 adó cofog'!K19+'5.3 pályázat'!K19+'5.4 ogy, ep választás'!K19</f>
        <v>0</v>
      </c>
      <c r="L19" s="246">
        <f>'5.1 igazgatás cofog'!L19+'5.2 adó cofog'!L19+'5.3 pályázat'!L19+'5.4 ogy, ep választás'!L19</f>
        <v>0</v>
      </c>
      <c r="M19" s="246">
        <f>'5.1 igazgatás cofog'!M19+'5.2 adó cofog'!M19+'5.3 pályázat'!M19+'5.4 ogy, ep választás'!M19</f>
        <v>0</v>
      </c>
      <c r="N19" s="246">
        <f>'5.1 igazgatás cofog'!N19+'5.2 adó cofog'!N19+'5.3 pályázat'!N19+'5.4 ogy, ep választás'!N19</f>
        <v>0</v>
      </c>
    </row>
    <row r="20" spans="1:14" hidden="1" x14ac:dyDescent="0.25">
      <c r="A20" s="55" t="s">
        <v>63</v>
      </c>
      <c r="B20" s="64" t="s">
        <v>64</v>
      </c>
      <c r="C20" s="246">
        <f>'5.1 igazgatás cofog'!C20+'5.2 adó cofog'!C20+'5.3 pályázat'!C20</f>
        <v>0</v>
      </c>
      <c r="D20" s="246">
        <f>'5.1 igazgatás cofog'!D20+'5.2 adó cofog'!D20+'5.3 pályázat'!D20</f>
        <v>0</v>
      </c>
      <c r="E20" s="246">
        <f>'5.1 igazgatás cofog'!E20+'5.2 adó cofog'!E20+'5.3 pályázat'!E20</f>
        <v>0</v>
      </c>
      <c r="F20" s="246">
        <f>'5.1 igazgatás cofog'!F20+'5.2 adó cofog'!F20+'5.3 pályázat'!F20+'5.4 ogy, ep választás'!F20</f>
        <v>0</v>
      </c>
      <c r="G20" s="246">
        <f>'5.1 igazgatás cofog'!G20+'5.2 adó cofog'!G20+'5.3 pályázat'!G20+'5.4 ogy, ep választás'!G20</f>
        <v>0</v>
      </c>
      <c r="H20" s="246">
        <f>'5.1 igazgatás cofog'!H20+'5.2 adó cofog'!H20+'5.3 pályázat'!H20+'5.4 ogy, ep választás'!H20</f>
        <v>0</v>
      </c>
      <c r="I20" s="246">
        <f>'5.1 igazgatás cofog'!I20+'5.2 adó cofog'!I20+'5.3 pályázat'!I20+'5.4 ogy, ep választás'!I20</f>
        <v>0</v>
      </c>
      <c r="J20" s="246">
        <f>'5.1 igazgatás cofog'!J20+'5.2 adó cofog'!J20+'5.3 pályázat'!J20+'5.4 ogy, ep választás'!J20</f>
        <v>0</v>
      </c>
      <c r="K20" s="246">
        <f>'5.1 igazgatás cofog'!K20+'5.2 adó cofog'!K20+'5.3 pályázat'!K20+'5.4 ogy, ep választás'!K20</f>
        <v>0</v>
      </c>
      <c r="L20" s="246">
        <f>'5.1 igazgatás cofog'!L20+'5.2 adó cofog'!L20+'5.3 pályázat'!L20+'5.4 ogy, ep választás'!L20</f>
        <v>0</v>
      </c>
      <c r="M20" s="246">
        <f>'5.1 igazgatás cofog'!M20+'5.2 adó cofog'!M20+'5.3 pályázat'!M20+'5.4 ogy, ep választás'!M20</f>
        <v>0</v>
      </c>
      <c r="N20" s="246">
        <f>'5.1 igazgatás cofog'!N20+'5.2 adó cofog'!N20+'5.3 pályázat'!N20+'5.4 ogy, ep választás'!N20</f>
        <v>0</v>
      </c>
    </row>
    <row r="21" spans="1:14" ht="15.75" thickBot="1" x14ac:dyDescent="0.3">
      <c r="A21" s="55" t="s">
        <v>65</v>
      </c>
      <c r="B21" s="64" t="s">
        <v>66</v>
      </c>
      <c r="C21" s="248">
        <f>'5.1 igazgatás cofog'!C21+'5.2 adó cofog'!C21+'5.3 pályázat'!C21</f>
        <v>0</v>
      </c>
      <c r="D21" s="248">
        <f>'5.1 igazgatás cofog'!D21+'5.2 adó cofog'!D21+'5.3 pályázat'!D21</f>
        <v>0</v>
      </c>
      <c r="E21" s="248">
        <f>'5.1 igazgatás cofog'!E21+'5.2 adó cofog'!E21+'5.3 pályázat'!E21</f>
        <v>0</v>
      </c>
      <c r="F21" s="248">
        <f>'5.1 igazgatás cofog'!F21+'5.2 adó cofog'!F21+'5.3 pályázat'!F21+'5.4 ogy, ep választás'!F21</f>
        <v>2206049</v>
      </c>
      <c r="G21" s="248">
        <f>'5.1 igazgatás cofog'!G21+'5.2 adó cofog'!G21+'5.3 pályázat'!G21+'5.4 ogy, ep választás'!G21</f>
        <v>0</v>
      </c>
      <c r="H21" s="248">
        <f>'5.1 igazgatás cofog'!H21+'5.2 adó cofog'!H21+'5.3 pályázat'!H21+'5.4 ogy, ep választás'!H21</f>
        <v>2206049</v>
      </c>
      <c r="I21" s="248">
        <f>'5.1 igazgatás cofog'!I21+'5.2 adó cofog'!I21+'5.3 pályázat'!I21+'5.4 ogy, ep választás'!I21</f>
        <v>2206049</v>
      </c>
      <c r="J21" s="248">
        <f>'5.1 igazgatás cofog'!J21+'5.2 adó cofog'!J21+'5.3 pályázat'!J21+'5.4 ogy, ep választás'!J21</f>
        <v>0</v>
      </c>
      <c r="K21" s="317">
        <f>'5.1 igazgatás cofog'!K21+'5.2 adó cofog'!K21+'5.3 pályázat'!K21+'5.4 ogy, ep választás'!K21</f>
        <v>2206049</v>
      </c>
      <c r="L21" s="248">
        <f>'5.1 igazgatás cofog'!L21+'5.2 adó cofog'!L21+'5.3 pályázat'!L21+'5.4 ogy, ep választás'!L21</f>
        <v>6216023</v>
      </c>
      <c r="M21" s="248">
        <f>'5.1 igazgatás cofog'!M21+'5.2 adó cofog'!M21+'5.3 pályázat'!M21+'5.4 ogy, ep választás'!M21</f>
        <v>0</v>
      </c>
      <c r="N21" s="317">
        <f>'5.1 igazgatás cofog'!N21+'5.2 adó cofog'!N21+'5.3 pályázat'!N21+'5.4 ogy, ep választás'!N21</f>
        <v>6216023</v>
      </c>
    </row>
    <row r="22" spans="1:14" x14ac:dyDescent="0.25">
      <c r="A22" s="75" t="s">
        <v>67</v>
      </c>
      <c r="B22" s="49" t="s">
        <v>27</v>
      </c>
      <c r="C22" s="244">
        <f>'5.1 igazgatás cofog'!C22+'5.2 adó cofog'!C22+'5.3 pályázat'!C22</f>
        <v>0</v>
      </c>
      <c r="D22" s="244">
        <f>'5.1 igazgatás cofog'!D22+'5.2 adó cofog'!D22+'5.3 pályázat'!D22</f>
        <v>0</v>
      </c>
      <c r="E22" s="244">
        <f>'5.1 igazgatás cofog'!E22+'5.2 adó cofog'!E22+'5.3 pályázat'!E22</f>
        <v>0</v>
      </c>
      <c r="F22" s="244">
        <f>'5.1 igazgatás cofog'!F22+'5.2 adó cofog'!F22+'5.3 pályázat'!F22+'5.4 ogy, ep választás'!F22</f>
        <v>0</v>
      </c>
      <c r="G22" s="244">
        <f>'5.1 igazgatás cofog'!G22+'5.2 adó cofog'!G22+'5.3 pályázat'!G22+'5.4 ogy, ep választás'!G22</f>
        <v>0</v>
      </c>
      <c r="H22" s="244">
        <f>'5.1 igazgatás cofog'!H22+'5.2 adó cofog'!H22+'5.3 pályázat'!H22+'5.4 ogy, ep választás'!H22</f>
        <v>0</v>
      </c>
      <c r="I22" s="244">
        <f>'5.1 igazgatás cofog'!I22+'5.2 adó cofog'!I22+'5.3 pályázat'!I22+'5.4 ogy, ep választás'!I22</f>
        <v>0</v>
      </c>
      <c r="J22" s="244">
        <f>'5.1 igazgatás cofog'!J22+'5.2 adó cofog'!J22+'5.3 pályázat'!J22+'5.4 ogy, ep választás'!J22</f>
        <v>0</v>
      </c>
      <c r="K22" s="244">
        <f>'5.1 igazgatás cofog'!K22+'5.2 adó cofog'!K22+'5.3 pályázat'!K22+'5.4 ogy, ep választás'!K22</f>
        <v>0</v>
      </c>
      <c r="L22" s="244">
        <f>'5.1 igazgatás cofog'!L22+'5.2 adó cofog'!L22+'5.3 pályázat'!L22+'5.4 ogy, ep választás'!L22</f>
        <v>0</v>
      </c>
      <c r="M22" s="244">
        <f>'5.1 igazgatás cofog'!M22+'5.2 adó cofog'!M22+'5.3 pályázat'!M22+'5.4 ogy, ep választás'!M22</f>
        <v>0</v>
      </c>
      <c r="N22" s="244">
        <f>'5.1 igazgatás cofog'!N22+'5.2 adó cofog'!N22+'5.3 pályázat'!N22+'5.4 ogy, ep választás'!N22</f>
        <v>0</v>
      </c>
    </row>
    <row r="23" spans="1:14" hidden="1" x14ac:dyDescent="0.25">
      <c r="A23" s="76"/>
      <c r="B23" s="54" t="s">
        <v>268</v>
      </c>
      <c r="C23" s="246">
        <f>'5.1 igazgatás cofog'!C23+'5.2 adó cofog'!C23+'5.3 pályázat'!C23</f>
        <v>0</v>
      </c>
      <c r="D23" s="246">
        <f>'5.1 igazgatás cofog'!D23+'5.2 adó cofog'!D23+'5.3 pályázat'!D23</f>
        <v>0</v>
      </c>
      <c r="E23" s="246">
        <f>'5.1 igazgatás cofog'!E23+'5.2 adó cofog'!E23+'5.3 pályázat'!E23</f>
        <v>0</v>
      </c>
      <c r="F23" s="246">
        <f>'5.1 igazgatás cofog'!F23+'5.2 adó cofog'!F23+'5.3 pályázat'!F23+'5.4 ogy, ep választás'!F23</f>
        <v>0</v>
      </c>
      <c r="G23" s="246">
        <f>'5.1 igazgatás cofog'!G23+'5.2 adó cofog'!G23+'5.3 pályázat'!G23+'5.4 ogy, ep választás'!G23</f>
        <v>0</v>
      </c>
      <c r="H23" s="246">
        <f>'5.1 igazgatás cofog'!H23+'5.2 adó cofog'!H23+'5.3 pályázat'!H23+'5.4 ogy, ep választás'!H23</f>
        <v>0</v>
      </c>
      <c r="I23" s="246">
        <f>'5.1 igazgatás cofog'!I23+'5.2 adó cofog'!I23+'5.3 pályázat'!I23+'5.4 ogy, ep választás'!I23</f>
        <v>0</v>
      </c>
      <c r="J23" s="246">
        <f>'5.1 igazgatás cofog'!J23+'5.2 adó cofog'!J23+'5.3 pályázat'!J23+'5.4 ogy, ep választás'!J23</f>
        <v>0</v>
      </c>
      <c r="K23" s="246">
        <f>'5.1 igazgatás cofog'!K23+'5.2 adó cofog'!K23+'5.3 pályázat'!K23+'5.4 ogy, ep választás'!K23</f>
        <v>0</v>
      </c>
      <c r="L23" s="246">
        <f>'5.1 igazgatás cofog'!L23+'5.2 adó cofog'!L23+'5.3 pályázat'!L23+'5.4 ogy, ep választás'!L23</f>
        <v>0</v>
      </c>
      <c r="M23" s="246">
        <f>'5.1 igazgatás cofog'!M23+'5.2 adó cofog'!M23+'5.3 pályázat'!M23+'5.4 ogy, ep választás'!M23</f>
        <v>0</v>
      </c>
      <c r="N23" s="246">
        <f>'5.1 igazgatás cofog'!N23+'5.2 adó cofog'!N23+'5.3 pályázat'!N23+'5.4 ogy, ep választás'!N23</f>
        <v>0</v>
      </c>
    </row>
    <row r="24" spans="1:14" ht="15.75" hidden="1" thickBot="1" x14ac:dyDescent="0.3">
      <c r="A24" s="77"/>
      <c r="B24" s="74" t="s">
        <v>269</v>
      </c>
      <c r="C24" s="248">
        <f>'5.1 igazgatás cofog'!C24+'5.2 adó cofog'!C24+'5.3 pályázat'!C24</f>
        <v>0</v>
      </c>
      <c r="D24" s="248">
        <f>'5.1 igazgatás cofog'!D24+'5.2 adó cofog'!D24+'5.3 pályázat'!D24</f>
        <v>0</v>
      </c>
      <c r="E24" s="248">
        <f>'5.1 igazgatás cofog'!E24+'5.2 adó cofog'!E24+'5.3 pályázat'!E24</f>
        <v>0</v>
      </c>
      <c r="F24" s="248">
        <f>'5.1 igazgatás cofog'!F24+'5.2 adó cofog'!F24+'5.3 pályázat'!F24+'5.4 ogy, ep választás'!F24</f>
        <v>0</v>
      </c>
      <c r="G24" s="248">
        <f>'5.1 igazgatás cofog'!G24+'5.2 adó cofog'!G24+'5.3 pályázat'!G24+'5.4 ogy, ep választás'!G24</f>
        <v>0</v>
      </c>
      <c r="H24" s="248">
        <f>'5.1 igazgatás cofog'!H24+'5.2 adó cofog'!H24+'5.3 pályázat'!H24+'5.4 ogy, ep választás'!H24</f>
        <v>0</v>
      </c>
      <c r="I24" s="248">
        <f>'5.1 igazgatás cofog'!I24+'5.2 adó cofog'!I24+'5.3 pályázat'!I24+'5.4 ogy, ep választás'!I24</f>
        <v>0</v>
      </c>
      <c r="J24" s="248">
        <f>'5.1 igazgatás cofog'!J24+'5.2 adó cofog'!J24+'5.3 pályázat'!J24+'5.4 ogy, ep választás'!J24</f>
        <v>0</v>
      </c>
      <c r="K24" s="248">
        <f>'5.1 igazgatás cofog'!K24+'5.2 adó cofog'!K24+'5.3 pályázat'!K24+'5.4 ogy, ep választás'!K24</f>
        <v>0</v>
      </c>
      <c r="L24" s="248">
        <f>'5.1 igazgatás cofog'!L24+'5.2 adó cofog'!L24+'5.3 pályázat'!L24+'5.4 ogy, ep választás'!L24</f>
        <v>0</v>
      </c>
      <c r="M24" s="248">
        <f>'5.1 igazgatás cofog'!M24+'5.2 adó cofog'!M24+'5.3 pályázat'!M24+'5.4 ogy, ep választás'!M24</f>
        <v>0</v>
      </c>
      <c r="N24" s="248">
        <f>'5.1 igazgatás cofog'!N24+'5.2 adó cofog'!N24+'5.3 pályázat'!N24+'5.4 ogy, ep választás'!N24</f>
        <v>0</v>
      </c>
    </row>
    <row r="25" spans="1:14" ht="15.75" thickBot="1" x14ac:dyDescent="0.3">
      <c r="A25" s="57" t="s">
        <v>68</v>
      </c>
      <c r="B25" s="68" t="s">
        <v>25</v>
      </c>
      <c r="C25" s="244">
        <f>'5.1 igazgatás cofog'!C25+'5.2 adó cofog'!C25+'5.3 pályázat'!C25</f>
        <v>0</v>
      </c>
      <c r="D25" s="244">
        <f>'5.1 igazgatás cofog'!D25+'5.2 adó cofog'!D25+'5.3 pályázat'!D25</f>
        <v>0</v>
      </c>
      <c r="E25" s="244">
        <f>'5.1 igazgatás cofog'!E25+'5.2 adó cofog'!E25+'5.3 pályázat'!E25</f>
        <v>0</v>
      </c>
      <c r="F25" s="244">
        <f>'5.1 igazgatás cofog'!F25+'5.2 adó cofog'!F25+'5.3 pályázat'!F25+'5.4 ogy, ep választás'!F25</f>
        <v>0</v>
      </c>
      <c r="G25" s="244">
        <f>'5.1 igazgatás cofog'!G25+'5.2 adó cofog'!G25+'5.3 pályázat'!G25+'5.4 ogy, ep választás'!G25</f>
        <v>0</v>
      </c>
      <c r="H25" s="244">
        <f>'5.1 igazgatás cofog'!H25+'5.2 adó cofog'!H25+'5.3 pályázat'!H25+'5.4 ogy, ep választás'!H25</f>
        <v>0</v>
      </c>
      <c r="I25" s="244">
        <f>'5.1 igazgatás cofog'!I25+'5.2 adó cofog'!I25+'5.3 pályázat'!I25+'5.4 ogy, ep választás'!I25</f>
        <v>0</v>
      </c>
      <c r="J25" s="244">
        <f>'5.1 igazgatás cofog'!J25+'5.2 adó cofog'!J25+'5.3 pályázat'!J25+'5.4 ogy, ep választás'!J25</f>
        <v>0</v>
      </c>
      <c r="K25" s="244">
        <f>'5.1 igazgatás cofog'!K25+'5.2 adó cofog'!K25+'5.3 pályázat'!K25+'5.4 ogy, ep választás'!K25</f>
        <v>0</v>
      </c>
      <c r="L25" s="244">
        <f>'5.1 igazgatás cofog'!L25+'5.2 adó cofog'!L25+'5.3 pályázat'!L25+'5.4 ogy, ep választás'!L25</f>
        <v>1800</v>
      </c>
      <c r="M25" s="244">
        <f>'5.1 igazgatás cofog'!M25+'5.2 adó cofog'!M25+'5.3 pályázat'!M25+'5.4 ogy, ep választás'!M25</f>
        <v>0</v>
      </c>
      <c r="N25" s="244">
        <f>'5.1 igazgatás cofog'!N25+'5.2 adó cofog'!N25+'5.3 pályázat'!N25+'5.4 ogy, ep választás'!N25</f>
        <v>1800</v>
      </c>
    </row>
    <row r="26" spans="1:14" ht="15.75" hidden="1" thickBot="1" x14ac:dyDescent="0.3">
      <c r="A26" s="53" t="s">
        <v>69</v>
      </c>
      <c r="B26" s="62" t="s">
        <v>70</v>
      </c>
      <c r="C26" s="246">
        <f>'5.1 igazgatás cofog'!C26+'5.2 adó cofog'!C26+'5.3 pályázat'!C26</f>
        <v>0</v>
      </c>
      <c r="D26" s="246">
        <f>'5.1 igazgatás cofog'!D26+'5.2 adó cofog'!D26+'5.3 pályázat'!D26</f>
        <v>0</v>
      </c>
      <c r="E26" s="246">
        <f>'5.1 igazgatás cofog'!E26+'5.2 adó cofog'!E26+'5.3 pályázat'!E26</f>
        <v>0</v>
      </c>
      <c r="F26" s="246">
        <f>'5.1 igazgatás cofog'!F26+'5.2 adó cofog'!F26+'5.3 pályázat'!F26+'5.4 ogy, ep választás'!F26</f>
        <v>0</v>
      </c>
      <c r="G26" s="246">
        <f>'5.1 igazgatás cofog'!G26+'5.2 adó cofog'!G26+'5.3 pályázat'!G26+'5.4 ogy, ep választás'!G26</f>
        <v>0</v>
      </c>
      <c r="H26" s="246">
        <f>'5.1 igazgatás cofog'!H26+'5.2 adó cofog'!H26+'5.3 pályázat'!H26+'5.4 ogy, ep választás'!H26</f>
        <v>0</v>
      </c>
      <c r="I26" s="246">
        <f>'5.1 igazgatás cofog'!I26+'5.2 adó cofog'!I26+'5.3 pályázat'!I26+'5.4 ogy, ep választás'!I26</f>
        <v>0</v>
      </c>
      <c r="J26" s="246">
        <f>'5.1 igazgatás cofog'!J26+'5.2 adó cofog'!J26+'5.3 pályázat'!J26+'5.4 ogy, ep választás'!J26</f>
        <v>0</v>
      </c>
      <c r="K26" s="246">
        <f>'5.1 igazgatás cofog'!K26+'5.2 adó cofog'!K26+'5.3 pályázat'!K26+'5.4 ogy, ep választás'!K26</f>
        <v>0</v>
      </c>
      <c r="L26" s="246">
        <f>'5.1 igazgatás cofog'!L26+'5.2 adó cofog'!L26+'5.3 pályázat'!L26+'5.4 ogy, ep választás'!L26</f>
        <v>0</v>
      </c>
      <c r="M26" s="246">
        <f>'5.1 igazgatás cofog'!M26+'5.2 adó cofog'!M26+'5.3 pályázat'!M26+'5.4 ogy, ep választás'!M26</f>
        <v>0</v>
      </c>
      <c r="N26" s="246">
        <f>'5.1 igazgatás cofog'!N26+'5.2 adó cofog'!N26+'5.3 pályázat'!N26+'5.4 ogy, ep választás'!N26</f>
        <v>0</v>
      </c>
    </row>
    <row r="27" spans="1:14" ht="15.75" hidden="1" thickBot="1" x14ac:dyDescent="0.3">
      <c r="A27" s="53"/>
      <c r="B27" s="62" t="s">
        <v>71</v>
      </c>
      <c r="C27" s="246">
        <f>'5.1 igazgatás cofog'!C27+'5.2 adó cofog'!C27+'5.3 pályázat'!C27</f>
        <v>0</v>
      </c>
      <c r="D27" s="246">
        <f>'5.1 igazgatás cofog'!D27+'5.2 adó cofog'!D27+'5.3 pályázat'!D27</f>
        <v>0</v>
      </c>
      <c r="E27" s="246">
        <f>'5.1 igazgatás cofog'!E27+'5.2 adó cofog'!E27+'5.3 pályázat'!E27</f>
        <v>0</v>
      </c>
      <c r="F27" s="246">
        <f>'5.1 igazgatás cofog'!F27+'5.2 adó cofog'!F27+'5.3 pályázat'!F27+'5.4 ogy, ep választás'!F27</f>
        <v>0</v>
      </c>
      <c r="G27" s="246">
        <f>'5.1 igazgatás cofog'!G27+'5.2 adó cofog'!G27+'5.3 pályázat'!G27+'5.4 ogy, ep választás'!G27</f>
        <v>0</v>
      </c>
      <c r="H27" s="246">
        <f>'5.1 igazgatás cofog'!H27+'5.2 adó cofog'!H27+'5.3 pályázat'!H27+'5.4 ogy, ep választás'!H27</f>
        <v>0</v>
      </c>
      <c r="I27" s="246">
        <f>'5.1 igazgatás cofog'!I27+'5.2 adó cofog'!I27+'5.3 pályázat'!I27+'5.4 ogy, ep választás'!I27</f>
        <v>0</v>
      </c>
      <c r="J27" s="246">
        <f>'5.1 igazgatás cofog'!J27+'5.2 adó cofog'!J27+'5.3 pályázat'!J27+'5.4 ogy, ep választás'!J27</f>
        <v>0</v>
      </c>
      <c r="K27" s="246">
        <f>'5.1 igazgatás cofog'!K27+'5.2 adó cofog'!K27+'5.3 pályázat'!K27+'5.4 ogy, ep választás'!K27</f>
        <v>0</v>
      </c>
      <c r="L27" s="246">
        <f>'5.1 igazgatás cofog'!L27+'5.2 adó cofog'!L27+'5.3 pályázat'!L27+'5.4 ogy, ep választás'!L27</f>
        <v>0</v>
      </c>
      <c r="M27" s="246">
        <f>'5.1 igazgatás cofog'!M27+'5.2 adó cofog'!M27+'5.3 pályázat'!M27+'5.4 ogy, ep választás'!M27</f>
        <v>0</v>
      </c>
      <c r="N27" s="246">
        <f>'5.1 igazgatás cofog'!N27+'5.2 adó cofog'!N27+'5.3 pályázat'!N27+'5.4 ogy, ep választás'!N27</f>
        <v>0</v>
      </c>
    </row>
    <row r="28" spans="1:14" ht="15.75" hidden="1" thickBot="1" x14ac:dyDescent="0.3">
      <c r="A28" s="53"/>
      <c r="B28" s="62" t="s">
        <v>72</v>
      </c>
      <c r="C28" s="246">
        <f>'5.1 igazgatás cofog'!C28+'5.2 adó cofog'!C28+'5.3 pályázat'!C28</f>
        <v>0</v>
      </c>
      <c r="D28" s="246">
        <f>'5.1 igazgatás cofog'!D28+'5.2 adó cofog'!D28+'5.3 pályázat'!D28</f>
        <v>0</v>
      </c>
      <c r="E28" s="246">
        <f>'5.1 igazgatás cofog'!E28+'5.2 adó cofog'!E28+'5.3 pályázat'!E28</f>
        <v>0</v>
      </c>
      <c r="F28" s="246">
        <f>'5.1 igazgatás cofog'!F28+'5.2 adó cofog'!F28+'5.3 pályázat'!F28+'5.4 ogy, ep választás'!F28</f>
        <v>0</v>
      </c>
      <c r="G28" s="246">
        <f>'5.1 igazgatás cofog'!G28+'5.2 adó cofog'!G28+'5.3 pályázat'!G28+'5.4 ogy, ep választás'!G28</f>
        <v>0</v>
      </c>
      <c r="H28" s="246">
        <f>'5.1 igazgatás cofog'!H28+'5.2 adó cofog'!H28+'5.3 pályázat'!H28+'5.4 ogy, ep választás'!H28</f>
        <v>0</v>
      </c>
      <c r="I28" s="246">
        <f>'5.1 igazgatás cofog'!I28+'5.2 adó cofog'!I28+'5.3 pályázat'!I28+'5.4 ogy, ep választás'!I28</f>
        <v>0</v>
      </c>
      <c r="J28" s="246">
        <f>'5.1 igazgatás cofog'!J28+'5.2 adó cofog'!J28+'5.3 pályázat'!J28+'5.4 ogy, ep választás'!J28</f>
        <v>0</v>
      </c>
      <c r="K28" s="246">
        <f>'5.1 igazgatás cofog'!K28+'5.2 adó cofog'!K28+'5.3 pályázat'!K28+'5.4 ogy, ep választás'!K28</f>
        <v>0</v>
      </c>
      <c r="L28" s="246">
        <f>'5.1 igazgatás cofog'!L28+'5.2 adó cofog'!L28+'5.3 pályázat'!L28+'5.4 ogy, ep választás'!L28</f>
        <v>0</v>
      </c>
      <c r="M28" s="246">
        <f>'5.1 igazgatás cofog'!M28+'5.2 adó cofog'!M28+'5.3 pályázat'!M28+'5.4 ogy, ep választás'!M28</f>
        <v>0</v>
      </c>
      <c r="N28" s="246">
        <f>'5.1 igazgatás cofog'!N28+'5.2 adó cofog'!N28+'5.3 pályázat'!N28+'5.4 ogy, ep választás'!N28</f>
        <v>0</v>
      </c>
    </row>
    <row r="29" spans="1:14" ht="15.75" hidden="1" thickBot="1" x14ac:dyDescent="0.3">
      <c r="A29" s="53"/>
      <c r="B29" s="62" t="s">
        <v>73</v>
      </c>
      <c r="C29" s="246">
        <f>'5.1 igazgatás cofog'!C29+'5.2 adó cofog'!C29+'5.3 pályázat'!C29</f>
        <v>0</v>
      </c>
      <c r="D29" s="246">
        <f>'5.1 igazgatás cofog'!D29+'5.2 adó cofog'!D29+'5.3 pályázat'!D29</f>
        <v>0</v>
      </c>
      <c r="E29" s="246">
        <f>'5.1 igazgatás cofog'!E29+'5.2 adó cofog'!E29+'5.3 pályázat'!E29</f>
        <v>0</v>
      </c>
      <c r="F29" s="246">
        <f>'5.1 igazgatás cofog'!F29+'5.2 adó cofog'!F29+'5.3 pályázat'!F29+'5.4 ogy, ep választás'!F29</f>
        <v>0</v>
      </c>
      <c r="G29" s="246">
        <f>'5.1 igazgatás cofog'!G29+'5.2 adó cofog'!G29+'5.3 pályázat'!G29+'5.4 ogy, ep választás'!G29</f>
        <v>0</v>
      </c>
      <c r="H29" s="246">
        <f>'5.1 igazgatás cofog'!H29+'5.2 adó cofog'!H29+'5.3 pályázat'!H29+'5.4 ogy, ep választás'!H29</f>
        <v>0</v>
      </c>
      <c r="I29" s="246">
        <f>'5.1 igazgatás cofog'!I29+'5.2 adó cofog'!I29+'5.3 pályázat'!I29+'5.4 ogy, ep választás'!I29</f>
        <v>0</v>
      </c>
      <c r="J29" s="246">
        <f>'5.1 igazgatás cofog'!J29+'5.2 adó cofog'!J29+'5.3 pályázat'!J29+'5.4 ogy, ep választás'!J29</f>
        <v>0</v>
      </c>
      <c r="K29" s="246">
        <f>'5.1 igazgatás cofog'!K29+'5.2 adó cofog'!K29+'5.3 pályázat'!K29+'5.4 ogy, ep választás'!K29</f>
        <v>0</v>
      </c>
      <c r="L29" s="246">
        <f>'5.1 igazgatás cofog'!L29+'5.2 adó cofog'!L29+'5.3 pályázat'!L29+'5.4 ogy, ep választás'!L29</f>
        <v>0</v>
      </c>
      <c r="M29" s="246">
        <f>'5.1 igazgatás cofog'!M29+'5.2 adó cofog'!M29+'5.3 pályázat'!M29+'5.4 ogy, ep választás'!M29</f>
        <v>0</v>
      </c>
      <c r="N29" s="246">
        <f>'5.1 igazgatás cofog'!N29+'5.2 adó cofog'!N29+'5.3 pályázat'!N29+'5.4 ogy, ep választás'!N29</f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'5.1 igazgatás cofog'!C30+'5.2 adó cofog'!C30+'5.3 pályázat'!C30</f>
        <v>0</v>
      </c>
      <c r="D30" s="246">
        <f>'5.1 igazgatás cofog'!D30+'5.2 adó cofog'!D30+'5.3 pályázat'!D30</f>
        <v>0</v>
      </c>
      <c r="E30" s="246">
        <f>'5.1 igazgatás cofog'!E30+'5.2 adó cofog'!E30+'5.3 pályázat'!E30</f>
        <v>0</v>
      </c>
      <c r="F30" s="246">
        <f>'5.1 igazgatás cofog'!F30+'5.2 adó cofog'!F30+'5.3 pályázat'!F30+'5.4 ogy, ep választás'!F30</f>
        <v>0</v>
      </c>
      <c r="G30" s="246">
        <f>'5.1 igazgatás cofog'!G30+'5.2 adó cofog'!G30+'5.3 pályázat'!G30+'5.4 ogy, ep választás'!G30</f>
        <v>0</v>
      </c>
      <c r="H30" s="246">
        <f>'5.1 igazgatás cofog'!H30+'5.2 adó cofog'!H30+'5.3 pályázat'!H30+'5.4 ogy, ep választás'!H30</f>
        <v>0</v>
      </c>
      <c r="I30" s="246">
        <f>'5.1 igazgatás cofog'!I30+'5.2 adó cofog'!I30+'5.3 pályázat'!I30+'5.4 ogy, ep választás'!I30</f>
        <v>0</v>
      </c>
      <c r="J30" s="246">
        <f>'5.1 igazgatás cofog'!J30+'5.2 adó cofog'!J30+'5.3 pályázat'!J30+'5.4 ogy, ep választás'!J30</f>
        <v>0</v>
      </c>
      <c r="K30" s="246">
        <f>'5.1 igazgatás cofog'!K30+'5.2 adó cofog'!K30+'5.3 pályázat'!K30+'5.4 ogy, ep választás'!K30</f>
        <v>0</v>
      </c>
      <c r="L30" s="246">
        <f>'5.1 igazgatás cofog'!L30+'5.2 adó cofog'!L30+'5.3 pályázat'!L30+'5.4 ogy, ep választás'!L30</f>
        <v>0</v>
      </c>
      <c r="M30" s="246">
        <f>'5.1 igazgatás cofog'!M30+'5.2 adó cofog'!M30+'5.3 pályázat'!M30+'5.4 ogy, ep választás'!M30</f>
        <v>0</v>
      </c>
      <c r="N30" s="246">
        <f>'5.1 igazgatás cofog'!N30+'5.2 adó cofog'!N30+'5.3 pályázat'!N30+'5.4 ogy, ep választás'!N30</f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'5.1 igazgatás cofog'!C31+'5.2 adó cofog'!C31+'5.3 pályázat'!C31</f>
        <v>0</v>
      </c>
      <c r="D31" s="246">
        <f>'5.1 igazgatás cofog'!D31+'5.2 adó cofog'!D31+'5.3 pályázat'!D31</f>
        <v>0</v>
      </c>
      <c r="E31" s="246">
        <f>'5.1 igazgatás cofog'!E31+'5.2 adó cofog'!E31+'5.3 pályázat'!E31</f>
        <v>0</v>
      </c>
      <c r="F31" s="246">
        <f>'5.1 igazgatás cofog'!F31+'5.2 adó cofog'!F31+'5.3 pályázat'!F31+'5.4 ogy, ep választás'!F31</f>
        <v>0</v>
      </c>
      <c r="G31" s="246">
        <f>'5.1 igazgatás cofog'!G31+'5.2 adó cofog'!G31+'5.3 pályázat'!G31+'5.4 ogy, ep választás'!G31</f>
        <v>0</v>
      </c>
      <c r="H31" s="246">
        <f>'5.1 igazgatás cofog'!H31+'5.2 adó cofog'!H31+'5.3 pályázat'!H31+'5.4 ogy, ep választás'!H31</f>
        <v>0</v>
      </c>
      <c r="I31" s="246">
        <f>'5.1 igazgatás cofog'!I31+'5.2 adó cofog'!I31+'5.3 pályázat'!I31+'5.4 ogy, ep választás'!I31</f>
        <v>0</v>
      </c>
      <c r="J31" s="246">
        <f>'5.1 igazgatás cofog'!J31+'5.2 adó cofog'!J31+'5.3 pályázat'!J31+'5.4 ogy, ep választás'!J31</f>
        <v>0</v>
      </c>
      <c r="K31" s="246">
        <f>'5.1 igazgatás cofog'!K31+'5.2 adó cofog'!K31+'5.3 pályázat'!K31+'5.4 ogy, ep választás'!K31</f>
        <v>0</v>
      </c>
      <c r="L31" s="246">
        <f>'5.1 igazgatás cofog'!L31+'5.2 adó cofog'!L31+'5.3 pályázat'!L31+'5.4 ogy, ep választás'!L31</f>
        <v>0</v>
      </c>
      <c r="M31" s="246">
        <f>'5.1 igazgatás cofog'!M31+'5.2 adó cofog'!M31+'5.3 pályázat'!M31+'5.4 ogy, ep választás'!M31</f>
        <v>0</v>
      </c>
      <c r="N31" s="246">
        <f>'5.1 igazgatás cofog'!N31+'5.2 adó cofog'!N31+'5.3 pályázat'!N31+'5.4 ogy, ep választás'!N31</f>
        <v>0</v>
      </c>
    </row>
    <row r="32" spans="1:14" ht="15.75" hidden="1" thickBot="1" x14ac:dyDescent="0.3">
      <c r="A32" s="53"/>
      <c r="B32" s="62" t="s">
        <v>78</v>
      </c>
      <c r="C32" s="246">
        <f>'5.1 igazgatás cofog'!C32+'5.2 adó cofog'!C32+'5.3 pályázat'!C32</f>
        <v>0</v>
      </c>
      <c r="D32" s="246">
        <f>'5.1 igazgatás cofog'!D32+'5.2 adó cofog'!D32+'5.3 pályázat'!D32</f>
        <v>0</v>
      </c>
      <c r="E32" s="246">
        <f>'5.1 igazgatás cofog'!E32+'5.2 adó cofog'!E32+'5.3 pályázat'!E32</f>
        <v>0</v>
      </c>
      <c r="F32" s="246">
        <f>'5.1 igazgatás cofog'!F32+'5.2 adó cofog'!F32+'5.3 pályázat'!F32+'5.4 ogy, ep választás'!F32</f>
        <v>0</v>
      </c>
      <c r="G32" s="246">
        <f>'5.1 igazgatás cofog'!G32+'5.2 adó cofog'!G32+'5.3 pályázat'!G32+'5.4 ogy, ep választás'!G32</f>
        <v>0</v>
      </c>
      <c r="H32" s="246">
        <f>'5.1 igazgatás cofog'!H32+'5.2 adó cofog'!H32+'5.3 pályázat'!H32+'5.4 ogy, ep választás'!H32</f>
        <v>0</v>
      </c>
      <c r="I32" s="246">
        <f>'5.1 igazgatás cofog'!I32+'5.2 adó cofog'!I32+'5.3 pályázat'!I32+'5.4 ogy, ep választás'!I32</f>
        <v>0</v>
      </c>
      <c r="J32" s="246">
        <f>'5.1 igazgatás cofog'!J32+'5.2 adó cofog'!J32+'5.3 pályázat'!J32+'5.4 ogy, ep választás'!J32</f>
        <v>0</v>
      </c>
      <c r="K32" s="246">
        <f>'5.1 igazgatás cofog'!K32+'5.2 adó cofog'!K32+'5.3 pályázat'!K32+'5.4 ogy, ep választás'!K32</f>
        <v>0</v>
      </c>
      <c r="L32" s="246">
        <f>'5.1 igazgatás cofog'!L32+'5.2 adó cofog'!L32+'5.3 pályázat'!L32+'5.4 ogy, ep választás'!L32</f>
        <v>0</v>
      </c>
      <c r="M32" s="246">
        <f>'5.1 igazgatás cofog'!M32+'5.2 adó cofog'!M32+'5.3 pályázat'!M32+'5.4 ogy, ep választás'!M32</f>
        <v>0</v>
      </c>
      <c r="N32" s="246">
        <f>'5.1 igazgatás cofog'!N32+'5.2 adó cofog'!N32+'5.3 pályázat'!N32+'5.4 ogy, ep választás'!N32</f>
        <v>0</v>
      </c>
    </row>
    <row r="33" spans="1:14" ht="15.75" hidden="1" thickBot="1" x14ac:dyDescent="0.3">
      <c r="A33" s="53" t="s">
        <v>79</v>
      </c>
      <c r="B33" s="62" t="s">
        <v>80</v>
      </c>
      <c r="C33" s="246">
        <f>'5.1 igazgatás cofog'!C33+'5.2 adó cofog'!C33+'5.3 pályázat'!C33</f>
        <v>0</v>
      </c>
      <c r="D33" s="246">
        <f>'5.1 igazgatás cofog'!D33+'5.2 adó cofog'!D33+'5.3 pályázat'!D33</f>
        <v>0</v>
      </c>
      <c r="E33" s="246">
        <f>'5.1 igazgatás cofog'!E33+'5.2 adó cofog'!E33+'5.3 pályázat'!E33</f>
        <v>0</v>
      </c>
      <c r="F33" s="246">
        <f>'5.1 igazgatás cofog'!F33+'5.2 adó cofog'!F33+'5.3 pályázat'!F33+'5.4 ogy, ep választás'!F33</f>
        <v>0</v>
      </c>
      <c r="G33" s="246">
        <f>'5.1 igazgatás cofog'!G33+'5.2 adó cofog'!G33+'5.3 pályázat'!G33+'5.4 ogy, ep választás'!G33</f>
        <v>0</v>
      </c>
      <c r="H33" s="246">
        <f>'5.1 igazgatás cofog'!H33+'5.2 adó cofog'!H33+'5.3 pályázat'!H33+'5.4 ogy, ep választás'!H33</f>
        <v>0</v>
      </c>
      <c r="I33" s="246">
        <f>'5.1 igazgatás cofog'!I33+'5.2 adó cofog'!I33+'5.3 pályázat'!I33+'5.4 ogy, ep választás'!I33</f>
        <v>0</v>
      </c>
      <c r="J33" s="246">
        <f>'5.1 igazgatás cofog'!J33+'5.2 adó cofog'!J33+'5.3 pályázat'!J33+'5.4 ogy, ep választás'!J33</f>
        <v>0</v>
      </c>
      <c r="K33" s="246">
        <f>'5.1 igazgatás cofog'!K33+'5.2 adó cofog'!K33+'5.3 pályázat'!K33+'5.4 ogy, ep választás'!K33</f>
        <v>0</v>
      </c>
      <c r="L33" s="246">
        <f>'5.1 igazgatás cofog'!L33+'5.2 adó cofog'!L33+'5.3 pályázat'!L33+'5.4 ogy, ep választás'!L33</f>
        <v>0</v>
      </c>
      <c r="M33" s="246">
        <f>'5.1 igazgatás cofog'!M33+'5.2 adó cofog'!M33+'5.3 pályázat'!M33+'5.4 ogy, ep választás'!M33</f>
        <v>0</v>
      </c>
      <c r="N33" s="246">
        <f>'5.1 igazgatás cofog'!N33+'5.2 adó cofog'!N33+'5.3 pályázat'!N33+'5.4 ogy, ep választás'!N33</f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'5.1 igazgatás cofog'!C34+'5.2 adó cofog'!C34+'5.3 pályázat'!C34</f>
        <v>0</v>
      </c>
      <c r="D34" s="246">
        <f>'5.1 igazgatás cofog'!D34+'5.2 adó cofog'!D34+'5.3 pályázat'!D34</f>
        <v>0</v>
      </c>
      <c r="E34" s="246">
        <f>'5.1 igazgatás cofog'!E34+'5.2 adó cofog'!E34+'5.3 pályázat'!E34</f>
        <v>0</v>
      </c>
      <c r="F34" s="246">
        <f>'5.1 igazgatás cofog'!F34+'5.2 adó cofog'!F34+'5.3 pályázat'!F34+'5.4 ogy, ep választás'!F34</f>
        <v>0</v>
      </c>
      <c r="G34" s="246">
        <f>'5.1 igazgatás cofog'!G34+'5.2 adó cofog'!G34+'5.3 pályázat'!G34+'5.4 ogy, ep választás'!G34</f>
        <v>0</v>
      </c>
      <c r="H34" s="246">
        <f>'5.1 igazgatás cofog'!H34+'5.2 adó cofog'!H34+'5.3 pályázat'!H34+'5.4 ogy, ep választás'!H34</f>
        <v>0</v>
      </c>
      <c r="I34" s="246">
        <f>'5.1 igazgatás cofog'!I34+'5.2 adó cofog'!I34+'5.3 pályázat'!I34+'5.4 ogy, ep választás'!I34</f>
        <v>0</v>
      </c>
      <c r="J34" s="246">
        <f>'5.1 igazgatás cofog'!J34+'5.2 adó cofog'!J34+'5.3 pályázat'!J34+'5.4 ogy, ep választás'!J34</f>
        <v>0</v>
      </c>
      <c r="K34" s="246">
        <f>'5.1 igazgatás cofog'!K34+'5.2 adó cofog'!K34+'5.3 pályázat'!K34+'5.4 ogy, ep választás'!K34</f>
        <v>0</v>
      </c>
      <c r="L34" s="246">
        <f>'5.1 igazgatás cofog'!L34+'5.2 adó cofog'!L34+'5.3 pályázat'!L34+'5.4 ogy, ep választás'!L34</f>
        <v>0</v>
      </c>
      <c r="M34" s="246">
        <f>'5.1 igazgatás cofog'!M34+'5.2 adó cofog'!M34+'5.3 pályázat'!M34+'5.4 ogy, ep választás'!M34</f>
        <v>0</v>
      </c>
      <c r="N34" s="246">
        <f>'5.1 igazgatás cofog'!N34+'5.2 adó cofog'!N34+'5.3 pályázat'!N34+'5.4 ogy, ep választás'!N34</f>
        <v>0</v>
      </c>
    </row>
    <row r="35" spans="1:14" ht="15.75" hidden="1" thickBot="1" x14ac:dyDescent="0.3">
      <c r="A35" s="53"/>
      <c r="B35" s="62" t="s">
        <v>83</v>
      </c>
      <c r="C35" s="246">
        <f>'5.1 igazgatás cofog'!C35+'5.2 adó cofog'!C35+'5.3 pályázat'!C35</f>
        <v>0</v>
      </c>
      <c r="D35" s="246">
        <f>'5.1 igazgatás cofog'!D35+'5.2 adó cofog'!D35+'5.3 pályázat'!D35</f>
        <v>0</v>
      </c>
      <c r="E35" s="246">
        <f>'5.1 igazgatás cofog'!E35+'5.2 adó cofog'!E35+'5.3 pályázat'!E35</f>
        <v>0</v>
      </c>
      <c r="F35" s="246">
        <f>'5.1 igazgatás cofog'!F35+'5.2 adó cofog'!F35+'5.3 pályázat'!F35+'5.4 ogy, ep választás'!F35</f>
        <v>0</v>
      </c>
      <c r="G35" s="246">
        <f>'5.1 igazgatás cofog'!G35+'5.2 adó cofog'!G35+'5.3 pályázat'!G35+'5.4 ogy, ep választás'!G35</f>
        <v>0</v>
      </c>
      <c r="H35" s="246">
        <f>'5.1 igazgatás cofog'!H35+'5.2 adó cofog'!H35+'5.3 pályázat'!H35+'5.4 ogy, ep választás'!H35</f>
        <v>0</v>
      </c>
      <c r="I35" s="246">
        <f>'5.1 igazgatás cofog'!I35+'5.2 adó cofog'!I35+'5.3 pályázat'!I35+'5.4 ogy, ep választás'!I35</f>
        <v>0</v>
      </c>
      <c r="J35" s="246">
        <f>'5.1 igazgatás cofog'!J35+'5.2 adó cofog'!J35+'5.3 pályázat'!J35+'5.4 ogy, ep választás'!J35</f>
        <v>0</v>
      </c>
      <c r="K35" s="246">
        <f>'5.1 igazgatás cofog'!K35+'5.2 adó cofog'!K35+'5.3 pályázat'!K35+'5.4 ogy, ep választás'!K35</f>
        <v>0</v>
      </c>
      <c r="L35" s="246">
        <f>'5.1 igazgatás cofog'!L35+'5.2 adó cofog'!L35+'5.3 pályázat'!L35+'5.4 ogy, ep választás'!L35</f>
        <v>0</v>
      </c>
      <c r="M35" s="246">
        <f>'5.1 igazgatás cofog'!M35+'5.2 adó cofog'!M35+'5.3 pályázat'!M35+'5.4 ogy, ep választás'!M35</f>
        <v>0</v>
      </c>
      <c r="N35" s="246">
        <f>'5.1 igazgatás cofog'!N35+'5.2 adó cofog'!N35+'5.3 pályázat'!N35+'5.4 ogy, ep választás'!N35</f>
        <v>0</v>
      </c>
    </row>
    <row r="36" spans="1:14" ht="15.75" hidden="1" thickBot="1" x14ac:dyDescent="0.3">
      <c r="A36" s="53"/>
      <c r="B36" s="62" t="s">
        <v>84</v>
      </c>
      <c r="C36" s="246">
        <f>'5.1 igazgatás cofog'!C36+'5.2 adó cofog'!C36+'5.3 pályázat'!C36</f>
        <v>0</v>
      </c>
      <c r="D36" s="246">
        <f>'5.1 igazgatás cofog'!D36+'5.2 adó cofog'!D36+'5.3 pályázat'!D36</f>
        <v>0</v>
      </c>
      <c r="E36" s="246">
        <f>'5.1 igazgatás cofog'!E36+'5.2 adó cofog'!E36+'5.3 pályázat'!E36</f>
        <v>0</v>
      </c>
      <c r="F36" s="246">
        <f>'5.1 igazgatás cofog'!F36+'5.2 adó cofog'!F36+'5.3 pályázat'!F36+'5.4 ogy, ep választás'!F36</f>
        <v>0</v>
      </c>
      <c r="G36" s="246">
        <f>'5.1 igazgatás cofog'!G36+'5.2 adó cofog'!G36+'5.3 pályázat'!G36+'5.4 ogy, ep választás'!G36</f>
        <v>0</v>
      </c>
      <c r="H36" s="246">
        <f>'5.1 igazgatás cofog'!H36+'5.2 adó cofog'!H36+'5.3 pályázat'!H36+'5.4 ogy, ep választás'!H36</f>
        <v>0</v>
      </c>
      <c r="I36" s="246">
        <f>'5.1 igazgatás cofog'!I36+'5.2 adó cofog'!I36+'5.3 pályázat'!I36+'5.4 ogy, ep választás'!I36</f>
        <v>0</v>
      </c>
      <c r="J36" s="246">
        <f>'5.1 igazgatás cofog'!J36+'5.2 adó cofog'!J36+'5.3 pályázat'!J36+'5.4 ogy, ep választás'!J36</f>
        <v>0</v>
      </c>
      <c r="K36" s="246">
        <f>'5.1 igazgatás cofog'!K36+'5.2 adó cofog'!K36+'5.3 pályázat'!K36+'5.4 ogy, ep választás'!K36</f>
        <v>0</v>
      </c>
      <c r="L36" s="246">
        <f>'5.1 igazgatás cofog'!L36+'5.2 adó cofog'!L36+'5.3 pályázat'!L36+'5.4 ogy, ep választás'!L36</f>
        <v>0</v>
      </c>
      <c r="M36" s="246">
        <f>'5.1 igazgatás cofog'!M36+'5.2 adó cofog'!M36+'5.3 pályázat'!M36+'5.4 ogy, ep választás'!M36</f>
        <v>0</v>
      </c>
      <c r="N36" s="246">
        <f>'5.1 igazgatás cofog'!N36+'5.2 adó cofog'!N36+'5.3 pályázat'!N36+'5.4 ogy, ep választás'!N36</f>
        <v>0</v>
      </c>
    </row>
    <row r="37" spans="1:14" ht="15.75" hidden="1" thickBot="1" x14ac:dyDescent="0.3">
      <c r="A37" s="53"/>
      <c r="B37" s="62" t="s">
        <v>85</v>
      </c>
      <c r="C37" s="246">
        <f>'5.1 igazgatás cofog'!C37+'5.2 adó cofog'!C37+'5.3 pályázat'!C37</f>
        <v>0</v>
      </c>
      <c r="D37" s="246">
        <f>'5.1 igazgatás cofog'!D37+'5.2 adó cofog'!D37+'5.3 pályázat'!D37</f>
        <v>0</v>
      </c>
      <c r="E37" s="246">
        <f>'5.1 igazgatás cofog'!E37+'5.2 adó cofog'!E37+'5.3 pályázat'!E37</f>
        <v>0</v>
      </c>
      <c r="F37" s="246">
        <f>'5.1 igazgatás cofog'!F37+'5.2 adó cofog'!F37+'5.3 pályázat'!F37+'5.4 ogy, ep választás'!F37</f>
        <v>0</v>
      </c>
      <c r="G37" s="246">
        <f>'5.1 igazgatás cofog'!G37+'5.2 adó cofog'!G37+'5.3 pályázat'!G37+'5.4 ogy, ep választás'!G37</f>
        <v>0</v>
      </c>
      <c r="H37" s="246">
        <f>'5.1 igazgatás cofog'!H37+'5.2 adó cofog'!H37+'5.3 pályázat'!H37+'5.4 ogy, ep választás'!H37</f>
        <v>0</v>
      </c>
      <c r="I37" s="246">
        <f>'5.1 igazgatás cofog'!I37+'5.2 adó cofog'!I37+'5.3 pályázat'!I37+'5.4 ogy, ep választás'!I37</f>
        <v>0</v>
      </c>
      <c r="J37" s="246">
        <f>'5.1 igazgatás cofog'!J37+'5.2 adó cofog'!J37+'5.3 pályázat'!J37+'5.4 ogy, ep választás'!J37</f>
        <v>0</v>
      </c>
      <c r="K37" s="246">
        <f>'5.1 igazgatás cofog'!K37+'5.2 adó cofog'!K37+'5.3 pályázat'!K37+'5.4 ogy, ep választás'!K37</f>
        <v>0</v>
      </c>
      <c r="L37" s="246">
        <f>'5.1 igazgatás cofog'!L37+'5.2 adó cofog'!L37+'5.3 pályázat'!L37+'5.4 ogy, ep választás'!L37</f>
        <v>0</v>
      </c>
      <c r="M37" s="246">
        <f>'5.1 igazgatás cofog'!M37+'5.2 adó cofog'!M37+'5.3 pályázat'!M37+'5.4 ogy, ep választás'!M37</f>
        <v>0</v>
      </c>
      <c r="N37" s="246">
        <f>'5.1 igazgatás cofog'!N37+'5.2 adó cofog'!N37+'5.3 pályázat'!N37+'5.4 ogy, ep választás'!N37</f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'5.1 igazgatás cofog'!C38+'5.2 adó cofog'!C38+'5.3 pályázat'!C38</f>
        <v>0</v>
      </c>
      <c r="D38" s="246">
        <f>'5.1 igazgatás cofog'!D38+'5.2 adó cofog'!D38+'5.3 pályázat'!D38</f>
        <v>0</v>
      </c>
      <c r="E38" s="246">
        <f>'5.1 igazgatás cofog'!E38+'5.2 adó cofog'!E38+'5.3 pályázat'!E38</f>
        <v>0</v>
      </c>
      <c r="F38" s="246">
        <f>'5.1 igazgatás cofog'!F38+'5.2 adó cofog'!F38+'5.3 pályázat'!F38+'5.4 ogy, ep választás'!F38</f>
        <v>0</v>
      </c>
      <c r="G38" s="246">
        <f>'5.1 igazgatás cofog'!G38+'5.2 adó cofog'!G38+'5.3 pályázat'!G38+'5.4 ogy, ep választás'!G38</f>
        <v>0</v>
      </c>
      <c r="H38" s="246">
        <f>'5.1 igazgatás cofog'!H38+'5.2 adó cofog'!H38+'5.3 pályázat'!H38+'5.4 ogy, ep választás'!H38</f>
        <v>0</v>
      </c>
      <c r="I38" s="246">
        <f>'5.1 igazgatás cofog'!I38+'5.2 adó cofog'!I38+'5.3 pályázat'!I38+'5.4 ogy, ep választás'!I38</f>
        <v>0</v>
      </c>
      <c r="J38" s="246">
        <f>'5.1 igazgatás cofog'!J38+'5.2 adó cofog'!J38+'5.3 pályázat'!J38+'5.4 ogy, ep választás'!J38</f>
        <v>0</v>
      </c>
      <c r="K38" s="246">
        <f>'5.1 igazgatás cofog'!K38+'5.2 adó cofog'!K38+'5.3 pályázat'!K38+'5.4 ogy, ep választás'!K38</f>
        <v>0</v>
      </c>
      <c r="L38" s="246">
        <f>'5.1 igazgatás cofog'!L38+'5.2 adó cofog'!L38+'5.3 pályázat'!L38+'5.4 ogy, ep választás'!L38</f>
        <v>1800</v>
      </c>
      <c r="M38" s="246">
        <f>'5.1 igazgatás cofog'!M38+'5.2 adó cofog'!M38+'5.3 pályázat'!M38+'5.4 ogy, ep választás'!M38</f>
        <v>0</v>
      </c>
      <c r="N38" s="246">
        <f>'5.1 igazgatás cofog'!N38+'5.2 adó cofog'!N38+'5.3 pályázat'!N38+'5.4 ogy, ep választás'!N38</f>
        <v>1800</v>
      </c>
    </row>
    <row r="39" spans="1:14" ht="15.75" hidden="1" thickBot="1" x14ac:dyDescent="0.3">
      <c r="A39" s="53"/>
      <c r="B39" s="62" t="s">
        <v>88</v>
      </c>
      <c r="C39" s="246">
        <f>'5.1 igazgatás cofog'!C39+'5.2 adó cofog'!C39+'5.3 pályázat'!C39</f>
        <v>0</v>
      </c>
      <c r="D39" s="246">
        <f>'5.1 igazgatás cofog'!D39+'5.2 adó cofog'!D39+'5.3 pályázat'!D39</f>
        <v>0</v>
      </c>
      <c r="E39" s="246">
        <f>'5.1 igazgatás cofog'!E39+'5.2 adó cofog'!E39+'5.3 pályázat'!E39</f>
        <v>0</v>
      </c>
      <c r="F39" s="246">
        <f>'5.1 igazgatás cofog'!F39+'5.2 adó cofog'!F39+'5.3 pályázat'!F39+'5.4 ogy, ep választás'!F39</f>
        <v>0</v>
      </c>
      <c r="G39" s="246">
        <f>'5.1 igazgatás cofog'!G39+'5.2 adó cofog'!G39+'5.3 pályázat'!G39+'5.4 ogy, ep választás'!G39</f>
        <v>0</v>
      </c>
      <c r="H39" s="246">
        <f>'5.1 igazgatás cofog'!H39+'5.2 adó cofog'!H39+'5.3 pályázat'!H39+'5.4 ogy, ep választás'!H39</f>
        <v>0</v>
      </c>
      <c r="I39" s="246">
        <f>'5.1 igazgatás cofog'!I39+'5.2 adó cofog'!I39+'5.3 pályázat'!I39+'5.4 ogy, ep választás'!I39</f>
        <v>0</v>
      </c>
      <c r="J39" s="246">
        <f>'5.1 igazgatás cofog'!J39+'5.2 adó cofog'!J39+'5.3 pályázat'!J39+'5.4 ogy, ep választás'!J39</f>
        <v>0</v>
      </c>
      <c r="K39" s="246">
        <f>'5.1 igazgatás cofog'!K39+'5.2 adó cofog'!K39+'5.3 pályázat'!K39+'5.4 ogy, ep választás'!K39</f>
        <v>0</v>
      </c>
      <c r="L39" s="246">
        <f>'5.1 igazgatás cofog'!L39+'5.2 adó cofog'!L39+'5.3 pályázat'!L39+'5.4 ogy, ep választás'!L39</f>
        <v>1800</v>
      </c>
      <c r="M39" s="246">
        <f>'5.1 igazgatás cofog'!M39+'5.2 adó cofog'!M39+'5.3 pályázat'!M39+'5.4 ogy, ep választás'!M39</f>
        <v>0</v>
      </c>
      <c r="N39" s="246">
        <f>'5.1 igazgatás cofog'!N39+'5.2 adó cofog'!N39+'5.3 pályázat'!N39+'5.4 ogy, ep választás'!N39</f>
        <v>1800</v>
      </c>
    </row>
    <row r="40" spans="1:14" ht="15.75" hidden="1" thickBot="1" x14ac:dyDescent="0.3">
      <c r="A40" s="53"/>
      <c r="B40" s="62" t="s">
        <v>89</v>
      </c>
      <c r="C40" s="246">
        <f>'5.1 igazgatás cofog'!C40+'5.2 adó cofog'!C40+'5.3 pályázat'!C40</f>
        <v>0</v>
      </c>
      <c r="D40" s="246">
        <f>'5.1 igazgatás cofog'!D40+'5.2 adó cofog'!D40+'5.3 pályázat'!D40</f>
        <v>0</v>
      </c>
      <c r="E40" s="246">
        <f>'5.1 igazgatás cofog'!E40+'5.2 adó cofog'!E40+'5.3 pályázat'!E40</f>
        <v>0</v>
      </c>
      <c r="F40" s="246">
        <f>'5.1 igazgatás cofog'!F40+'5.2 adó cofog'!F40+'5.3 pályázat'!F40+'5.4 ogy, ep választás'!F40</f>
        <v>0</v>
      </c>
      <c r="G40" s="246">
        <f>'5.1 igazgatás cofog'!G40+'5.2 adó cofog'!G40+'5.3 pályázat'!G40+'5.4 ogy, ep választás'!G40</f>
        <v>0</v>
      </c>
      <c r="H40" s="246">
        <f>'5.1 igazgatás cofog'!H40+'5.2 adó cofog'!H40+'5.3 pályázat'!H40+'5.4 ogy, ep választás'!H40</f>
        <v>0</v>
      </c>
      <c r="I40" s="246">
        <f>'5.1 igazgatás cofog'!I40+'5.2 adó cofog'!I40+'5.3 pályázat'!I40+'5.4 ogy, ep választás'!I40</f>
        <v>0</v>
      </c>
      <c r="J40" s="246">
        <f>'5.1 igazgatás cofog'!J40+'5.2 adó cofog'!J40+'5.3 pályázat'!J40+'5.4 ogy, ep választás'!J40</f>
        <v>0</v>
      </c>
      <c r="K40" s="246">
        <f>'5.1 igazgatás cofog'!K40+'5.2 adó cofog'!K40+'5.3 pályázat'!K40+'5.4 ogy, ep választás'!K40</f>
        <v>0</v>
      </c>
      <c r="L40" s="246">
        <f>'5.1 igazgatás cofog'!L40+'5.2 adó cofog'!L40+'5.3 pályázat'!L40+'5.4 ogy, ep választás'!L40</f>
        <v>0</v>
      </c>
      <c r="M40" s="246">
        <f>'5.1 igazgatás cofog'!M40+'5.2 adó cofog'!M40+'5.3 pályázat'!M40+'5.4 ogy, ep választás'!M40</f>
        <v>0</v>
      </c>
      <c r="N40" s="246">
        <f>'5.1 igazgatás cofog'!N40+'5.2 adó cofog'!N40+'5.3 pályázat'!N40+'5.4 ogy, ep választás'!N40</f>
        <v>0</v>
      </c>
    </row>
    <row r="41" spans="1:14" ht="15.75" hidden="1" thickBot="1" x14ac:dyDescent="0.3">
      <c r="A41" s="53"/>
      <c r="B41" s="62" t="s">
        <v>90</v>
      </c>
      <c r="C41" s="246">
        <f>'5.1 igazgatás cofog'!C41+'5.2 adó cofog'!C41+'5.3 pályázat'!C41</f>
        <v>0</v>
      </c>
      <c r="D41" s="246">
        <f>'5.1 igazgatás cofog'!D41+'5.2 adó cofog'!D41+'5.3 pályázat'!D41</f>
        <v>0</v>
      </c>
      <c r="E41" s="246">
        <f>'5.1 igazgatás cofog'!E41+'5.2 adó cofog'!E41+'5.3 pályázat'!E41</f>
        <v>0</v>
      </c>
      <c r="F41" s="246">
        <f>'5.1 igazgatás cofog'!F41+'5.2 adó cofog'!F41+'5.3 pályázat'!F41+'5.4 ogy, ep választás'!F41</f>
        <v>0</v>
      </c>
      <c r="G41" s="246">
        <f>'5.1 igazgatás cofog'!G41+'5.2 adó cofog'!G41+'5.3 pályázat'!G41+'5.4 ogy, ep választás'!G41</f>
        <v>0</v>
      </c>
      <c r="H41" s="246">
        <f>'5.1 igazgatás cofog'!H41+'5.2 adó cofog'!H41+'5.3 pályázat'!H41+'5.4 ogy, ep választás'!H41</f>
        <v>0</v>
      </c>
      <c r="I41" s="246">
        <f>'5.1 igazgatás cofog'!I41+'5.2 adó cofog'!I41+'5.3 pályázat'!I41+'5.4 ogy, ep választás'!I41</f>
        <v>0</v>
      </c>
      <c r="J41" s="246">
        <f>'5.1 igazgatás cofog'!J41+'5.2 adó cofog'!J41+'5.3 pályázat'!J41+'5.4 ogy, ep választás'!J41</f>
        <v>0</v>
      </c>
      <c r="K41" s="246">
        <f>'5.1 igazgatás cofog'!K41+'5.2 adó cofog'!K41+'5.3 pályázat'!K41+'5.4 ogy, ep választás'!K41</f>
        <v>0</v>
      </c>
      <c r="L41" s="246">
        <f>'5.1 igazgatás cofog'!L41+'5.2 adó cofog'!L41+'5.3 pályázat'!L41+'5.4 ogy, ep választás'!L41</f>
        <v>0</v>
      </c>
      <c r="M41" s="246">
        <f>'5.1 igazgatás cofog'!M41+'5.2 adó cofog'!M41+'5.3 pályázat'!M41+'5.4 ogy, ep választás'!M41</f>
        <v>0</v>
      </c>
      <c r="N41" s="246">
        <f>'5.1 igazgatás cofog'!N41+'5.2 adó cofog'!N41+'5.3 pályázat'!N41+'5.4 ogy, ep választás'!N41</f>
        <v>0</v>
      </c>
    </row>
    <row r="42" spans="1:14" ht="15.75" hidden="1" thickBot="1" x14ac:dyDescent="0.3">
      <c r="A42" s="53"/>
      <c r="B42" s="62" t="s">
        <v>91</v>
      </c>
      <c r="C42" s="246">
        <f>'5.1 igazgatás cofog'!C42+'5.2 adó cofog'!C42+'5.3 pályázat'!C42</f>
        <v>0</v>
      </c>
      <c r="D42" s="246">
        <f>'5.1 igazgatás cofog'!D42+'5.2 adó cofog'!D42+'5.3 pályázat'!D42</f>
        <v>0</v>
      </c>
      <c r="E42" s="246">
        <f>'5.1 igazgatás cofog'!E42+'5.2 adó cofog'!E42+'5.3 pályázat'!E42</f>
        <v>0</v>
      </c>
      <c r="F42" s="246">
        <f>'5.1 igazgatás cofog'!F42+'5.2 adó cofog'!F42+'5.3 pályázat'!F42+'5.4 ogy, ep választás'!F42</f>
        <v>0</v>
      </c>
      <c r="G42" s="246">
        <f>'5.1 igazgatás cofog'!G42+'5.2 adó cofog'!G42+'5.3 pályázat'!G42+'5.4 ogy, ep választás'!G42</f>
        <v>0</v>
      </c>
      <c r="H42" s="246">
        <f>'5.1 igazgatás cofog'!H42+'5.2 adó cofog'!H42+'5.3 pályázat'!H42+'5.4 ogy, ep választás'!H42</f>
        <v>0</v>
      </c>
      <c r="I42" s="246">
        <f>'5.1 igazgatás cofog'!I42+'5.2 adó cofog'!I42+'5.3 pályázat'!I42+'5.4 ogy, ep választás'!I42</f>
        <v>0</v>
      </c>
      <c r="J42" s="246">
        <f>'5.1 igazgatás cofog'!J42+'5.2 adó cofog'!J42+'5.3 pályázat'!J42+'5.4 ogy, ep választás'!J42</f>
        <v>0</v>
      </c>
      <c r="K42" s="246">
        <f>'5.1 igazgatás cofog'!K42+'5.2 adó cofog'!K42+'5.3 pályázat'!K42+'5.4 ogy, ep választás'!K42</f>
        <v>0</v>
      </c>
      <c r="L42" s="246">
        <f>'5.1 igazgatás cofog'!L42+'5.2 adó cofog'!L42+'5.3 pályázat'!L42+'5.4 ogy, ep választás'!L42</f>
        <v>0</v>
      </c>
      <c r="M42" s="246">
        <f>'5.1 igazgatás cofog'!M42+'5.2 adó cofog'!M42+'5.3 pályázat'!M42+'5.4 ogy, ep választás'!M42</f>
        <v>0</v>
      </c>
      <c r="N42" s="246">
        <f>'5.1 igazgatás cofog'!N42+'5.2 adó cofog'!N42+'5.3 pályázat'!N42+'5.4 ogy, ep választás'!N42</f>
        <v>0</v>
      </c>
    </row>
    <row r="43" spans="1:14" ht="15.75" hidden="1" thickBot="1" x14ac:dyDescent="0.3">
      <c r="A43" s="53"/>
      <c r="B43" s="62" t="s">
        <v>92</v>
      </c>
      <c r="C43" s="246">
        <f>'5.1 igazgatás cofog'!C43+'5.2 adó cofog'!C43+'5.3 pályázat'!C43</f>
        <v>0</v>
      </c>
      <c r="D43" s="246">
        <f>'5.1 igazgatás cofog'!D43+'5.2 adó cofog'!D43+'5.3 pályázat'!D43</f>
        <v>0</v>
      </c>
      <c r="E43" s="246">
        <f>'5.1 igazgatás cofog'!E43+'5.2 adó cofog'!E43+'5.3 pályázat'!E43</f>
        <v>0</v>
      </c>
      <c r="F43" s="246">
        <f>'5.1 igazgatás cofog'!F43+'5.2 adó cofog'!F43+'5.3 pályázat'!F43+'5.4 ogy, ep választás'!F43</f>
        <v>0</v>
      </c>
      <c r="G43" s="246">
        <f>'5.1 igazgatás cofog'!G43+'5.2 adó cofog'!G43+'5.3 pályázat'!G43+'5.4 ogy, ep választás'!G43</f>
        <v>0</v>
      </c>
      <c r="H43" s="246">
        <f>'5.1 igazgatás cofog'!H43+'5.2 adó cofog'!H43+'5.3 pályázat'!H43+'5.4 ogy, ep választás'!H43</f>
        <v>0</v>
      </c>
      <c r="I43" s="246">
        <f>'5.1 igazgatás cofog'!I43+'5.2 adó cofog'!I43+'5.3 pályázat'!I43+'5.4 ogy, ep választás'!I43</f>
        <v>0</v>
      </c>
      <c r="J43" s="246">
        <f>'5.1 igazgatás cofog'!J43+'5.2 adó cofog'!J43+'5.3 pályázat'!J43+'5.4 ogy, ep választás'!J43</f>
        <v>0</v>
      </c>
      <c r="K43" s="246">
        <f>'5.1 igazgatás cofog'!K43+'5.2 adó cofog'!K43+'5.3 pályázat'!K43+'5.4 ogy, ep választás'!K43</f>
        <v>0</v>
      </c>
      <c r="L43" s="246">
        <f>'5.1 igazgatás cofog'!L43+'5.2 adó cofog'!L43+'5.3 pályázat'!L43+'5.4 ogy, ep választás'!L43</f>
        <v>0</v>
      </c>
      <c r="M43" s="246">
        <f>'5.1 igazgatás cofog'!M43+'5.2 adó cofog'!M43+'5.3 pályázat'!M43+'5.4 ogy, ep választás'!M43</f>
        <v>0</v>
      </c>
      <c r="N43" s="246">
        <f>'5.1 igazgatás cofog'!N43+'5.2 adó cofog'!N43+'5.3 pályázat'!N43+'5.4 ogy, ep választás'!N43</f>
        <v>0</v>
      </c>
    </row>
    <row r="44" spans="1:14" ht="15.75" hidden="1" thickBot="1" x14ac:dyDescent="0.3">
      <c r="A44" s="55"/>
      <c r="B44" s="64" t="s">
        <v>93</v>
      </c>
      <c r="C44" s="248">
        <f>'5.1 igazgatás cofog'!C44+'5.2 adó cofog'!C44+'5.3 pályázat'!C44</f>
        <v>0</v>
      </c>
      <c r="D44" s="248">
        <f>'5.1 igazgatás cofog'!D44+'5.2 adó cofog'!D44+'5.3 pályázat'!D44</f>
        <v>0</v>
      </c>
      <c r="E44" s="248">
        <f>'5.1 igazgatás cofog'!E44+'5.2 adó cofog'!E44+'5.3 pályázat'!E44</f>
        <v>0</v>
      </c>
      <c r="F44" s="248">
        <f>'5.1 igazgatás cofog'!F44+'5.2 adó cofog'!F44+'5.3 pályázat'!F44+'5.4 ogy, ep választás'!F44</f>
        <v>0</v>
      </c>
      <c r="G44" s="248">
        <f>'5.1 igazgatás cofog'!G44+'5.2 adó cofog'!G44+'5.3 pályázat'!G44+'5.4 ogy, ep választás'!G44</f>
        <v>0</v>
      </c>
      <c r="H44" s="248">
        <f>'5.1 igazgatás cofog'!H44+'5.2 adó cofog'!H44+'5.3 pályázat'!H44+'5.4 ogy, ep választás'!H44</f>
        <v>0</v>
      </c>
      <c r="I44" s="248">
        <f>'5.1 igazgatás cofog'!I44+'5.2 adó cofog'!I44+'5.3 pályázat'!I44+'5.4 ogy, ep választás'!I44</f>
        <v>0</v>
      </c>
      <c r="J44" s="248">
        <f>'5.1 igazgatás cofog'!J44+'5.2 adó cofog'!J44+'5.3 pályázat'!J44+'5.4 ogy, ep választás'!J44</f>
        <v>0</v>
      </c>
      <c r="K44" s="248">
        <f>'5.1 igazgatás cofog'!K44+'5.2 adó cofog'!K44+'5.3 pályázat'!K44+'5.4 ogy, ep választás'!K44</f>
        <v>0</v>
      </c>
      <c r="L44" s="248">
        <f>'5.1 igazgatás cofog'!L44+'5.2 adó cofog'!L44+'5.3 pályázat'!L44+'5.4 ogy, ep választás'!L44</f>
        <v>0</v>
      </c>
      <c r="M44" s="248">
        <f>'5.1 igazgatás cofog'!M44+'5.2 adó cofog'!M44+'5.3 pályázat'!M44+'5.4 ogy, ep választás'!M44</f>
        <v>0</v>
      </c>
      <c r="N44" s="248">
        <f>'5.1 igazgatás cofog'!N44+'5.2 adó cofog'!N44+'5.3 pályázat'!N44+'5.4 ogy, ep választás'!N44</f>
        <v>0</v>
      </c>
    </row>
    <row r="45" spans="1:14" x14ac:dyDescent="0.25">
      <c r="A45" s="52" t="s">
        <v>94</v>
      </c>
      <c r="B45" s="48" t="s">
        <v>26</v>
      </c>
      <c r="C45" s="244">
        <f>'5.1 igazgatás cofog'!C45+'5.2 adó cofog'!C45+'5.3 pályázat'!C45</f>
        <v>420000</v>
      </c>
      <c r="D45" s="244">
        <f>'5.1 igazgatás cofog'!D45+'5.2 adó cofog'!D45+'5.3 pályázat'!D45</f>
        <v>0</v>
      </c>
      <c r="E45" s="244">
        <f>'5.1 igazgatás cofog'!E45+'5.2 adó cofog'!E45+'5.3 pályázat'!E45</f>
        <v>420000</v>
      </c>
      <c r="F45" s="244">
        <f>'5.1 igazgatás cofog'!F45+'5.2 adó cofog'!F45+'5.3 pályázat'!F45+'5.4 ogy, ep választás'!F45</f>
        <v>420000</v>
      </c>
      <c r="G45" s="244">
        <f>'5.1 igazgatás cofog'!G45+'5.2 adó cofog'!G45+'5.3 pályázat'!G45+'5.4 ogy, ep választás'!G45</f>
        <v>0</v>
      </c>
      <c r="H45" s="244">
        <f>'5.1 igazgatás cofog'!H45+'5.2 adó cofog'!H45+'5.3 pályázat'!H45+'5.4 ogy, ep választás'!H45</f>
        <v>420000</v>
      </c>
      <c r="I45" s="244">
        <f>'5.1 igazgatás cofog'!I45+'5.2 adó cofog'!I45+'5.3 pályázat'!I45+'5.4 ogy, ep választás'!I45</f>
        <v>420000</v>
      </c>
      <c r="J45" s="244">
        <f>'5.1 igazgatás cofog'!J45+'5.2 adó cofog'!J45+'5.3 pályázat'!J45+'5.4 ogy, ep választás'!J45</f>
        <v>0</v>
      </c>
      <c r="K45" s="365">
        <f>'5.1 igazgatás cofog'!K45+'5.2 adó cofog'!K45+'5.3 pályázat'!K45+'5.4 ogy, ep választás'!K45</f>
        <v>420000</v>
      </c>
      <c r="L45" s="244">
        <f>'5.1 igazgatás cofog'!L45+'5.2 adó cofog'!L45+'5.3 pályázat'!L45+'5.4 ogy, ep választás'!L45</f>
        <v>298215</v>
      </c>
      <c r="M45" s="244">
        <f>'5.1 igazgatás cofog'!M45+'5.2 adó cofog'!M45+'5.3 pályázat'!M45+'5.4 ogy, ep választás'!M45</f>
        <v>0</v>
      </c>
      <c r="N45" s="365">
        <f>'5.1 igazgatás cofog'!N45+'5.2 adó cofog'!N45+'5.3 pályázat'!N45+'5.4 ogy, ep választás'!N45</f>
        <v>298215</v>
      </c>
    </row>
    <row r="46" spans="1:14" x14ac:dyDescent="0.25">
      <c r="A46" s="53" t="s">
        <v>95</v>
      </c>
      <c r="B46" s="62" t="s">
        <v>96</v>
      </c>
      <c r="C46" s="246">
        <f>'5.1 igazgatás cofog'!C46+'5.2 adó cofog'!C46+'5.3 pályázat'!C46</f>
        <v>0</v>
      </c>
      <c r="D46" s="246">
        <f>'5.1 igazgatás cofog'!D46+'5.2 adó cofog'!D46+'5.3 pályázat'!D46</f>
        <v>0</v>
      </c>
      <c r="E46" s="246">
        <f>'5.1 igazgatás cofog'!E46+'5.2 adó cofog'!E46+'5.3 pályázat'!E46</f>
        <v>0</v>
      </c>
      <c r="F46" s="246">
        <f>'5.1 igazgatás cofog'!F46+'5.2 adó cofog'!F46+'5.3 pályázat'!F46+'5.4 ogy, ep választás'!F46</f>
        <v>0</v>
      </c>
      <c r="G46" s="246">
        <f>'5.1 igazgatás cofog'!G46+'5.2 adó cofog'!G46+'5.3 pályázat'!G46+'5.4 ogy, ep választás'!G46</f>
        <v>0</v>
      </c>
      <c r="H46" s="246">
        <f>'5.1 igazgatás cofog'!H46+'5.2 adó cofog'!H46+'5.3 pályázat'!H46+'5.4 ogy, ep választás'!H46</f>
        <v>0</v>
      </c>
      <c r="I46" s="246">
        <f>'5.1 igazgatás cofog'!I46+'5.2 adó cofog'!I46+'5.3 pályázat'!I46+'5.4 ogy, ep választás'!I46</f>
        <v>0</v>
      </c>
      <c r="J46" s="246">
        <f>'5.1 igazgatás cofog'!J46+'5.2 adó cofog'!J46+'5.3 pályázat'!J46+'5.4 ogy, ep választás'!J46</f>
        <v>0</v>
      </c>
      <c r="K46" s="316">
        <f>'5.1 igazgatás cofog'!K46+'5.2 adó cofog'!K46+'5.3 pályázat'!K46+'5.4 ogy, ep választás'!K46</f>
        <v>0</v>
      </c>
      <c r="L46" s="246">
        <f>'5.1 igazgatás cofog'!L46+'5.2 adó cofog'!L46+'5.3 pályázat'!L46+'5.4 ogy, ep választás'!L46</f>
        <v>0</v>
      </c>
      <c r="M46" s="246">
        <f>'5.1 igazgatás cofog'!M46+'5.2 adó cofog'!M46+'5.3 pályázat'!M46+'5.4 ogy, ep választás'!M46</f>
        <v>0</v>
      </c>
      <c r="N46" s="316">
        <f>'5.1 igazgatás cofog'!N46+'5.2 adó cofog'!N46+'5.3 pályázat'!N46+'5.4 ogy, ep választás'!N46</f>
        <v>0</v>
      </c>
    </row>
    <row r="47" spans="1:14" x14ac:dyDescent="0.25">
      <c r="A47" s="53" t="s">
        <v>97</v>
      </c>
      <c r="B47" s="62" t="s">
        <v>98</v>
      </c>
      <c r="C47" s="246">
        <f>'5.1 igazgatás cofog'!C47+'5.2 adó cofog'!C47+'5.3 pályázat'!C47</f>
        <v>300000</v>
      </c>
      <c r="D47" s="246">
        <f>'5.1 igazgatás cofog'!D47+'5.2 adó cofog'!D47+'5.3 pályázat'!D47</f>
        <v>0</v>
      </c>
      <c r="E47" s="246">
        <f>'5.1 igazgatás cofog'!E47+'5.2 adó cofog'!E47+'5.3 pályázat'!E47</f>
        <v>300000</v>
      </c>
      <c r="F47" s="246">
        <f>'5.1 igazgatás cofog'!F47+'5.2 adó cofog'!F47+'5.3 pályázat'!F47+'5.4 ogy, ep választás'!F47</f>
        <v>300000</v>
      </c>
      <c r="G47" s="246">
        <f>'5.1 igazgatás cofog'!G47+'5.2 adó cofog'!G47+'5.3 pályázat'!G47+'5.4 ogy, ep választás'!G47</f>
        <v>0</v>
      </c>
      <c r="H47" s="246">
        <f>'5.1 igazgatás cofog'!H47+'5.2 adó cofog'!H47+'5.3 pályázat'!H47+'5.4 ogy, ep választás'!H47</f>
        <v>300000</v>
      </c>
      <c r="I47" s="246">
        <f>'5.1 igazgatás cofog'!I47+'5.2 adó cofog'!I47+'5.3 pályázat'!I47+'5.4 ogy, ep választás'!I47</f>
        <v>300000</v>
      </c>
      <c r="J47" s="246">
        <f>'5.1 igazgatás cofog'!J47+'5.2 adó cofog'!J47+'5.3 pályázat'!J47+'5.4 ogy, ep választás'!J47</f>
        <v>0</v>
      </c>
      <c r="K47" s="246">
        <f>'5.1 igazgatás cofog'!K47+'5.2 adó cofog'!K47+'5.3 pályázat'!K47+'5.4 ogy, ep választás'!K47</f>
        <v>300000</v>
      </c>
      <c r="L47" s="246">
        <f>'5.1 igazgatás cofog'!L47+'5.2 adó cofog'!L47+'5.3 pályázat'!L47+'5.4 ogy, ep választás'!L47</f>
        <v>234000</v>
      </c>
      <c r="M47" s="246">
        <f>'5.1 igazgatás cofog'!M47+'5.2 adó cofog'!M47+'5.3 pályázat'!M47+'5.4 ogy, ep választás'!M47</f>
        <v>0</v>
      </c>
      <c r="N47" s="246">
        <f>'5.1 igazgatás cofog'!N47+'5.2 adó cofog'!N47+'5.3 pályázat'!N47+'5.4 ogy, ep választás'!N47</f>
        <v>234000</v>
      </c>
    </row>
    <row r="48" spans="1:14" x14ac:dyDescent="0.25">
      <c r="A48" s="53" t="s">
        <v>99</v>
      </c>
      <c r="B48" s="62" t="s">
        <v>100</v>
      </c>
      <c r="C48" s="246">
        <f>'5.1 igazgatás cofog'!C48+'5.2 adó cofog'!C48+'5.3 pályázat'!C48</f>
        <v>120000</v>
      </c>
      <c r="D48" s="246">
        <f>'5.1 igazgatás cofog'!D48+'5.2 adó cofog'!D48+'5.3 pályázat'!D48</f>
        <v>0</v>
      </c>
      <c r="E48" s="246">
        <f>'5.1 igazgatás cofog'!E48+'5.2 adó cofog'!E48+'5.3 pályázat'!E48</f>
        <v>120000</v>
      </c>
      <c r="F48" s="246">
        <f>'5.1 igazgatás cofog'!F48+'5.2 adó cofog'!F48+'5.3 pályázat'!F48+'5.4 ogy, ep választás'!F48</f>
        <v>120000</v>
      </c>
      <c r="G48" s="246">
        <f>'5.1 igazgatás cofog'!G48+'5.2 adó cofog'!G48+'5.3 pályázat'!G48+'5.4 ogy, ep választás'!G48</f>
        <v>0</v>
      </c>
      <c r="H48" s="246">
        <f>'5.1 igazgatás cofog'!H48+'5.2 adó cofog'!H48+'5.3 pályázat'!H48+'5.4 ogy, ep választás'!H48</f>
        <v>120000</v>
      </c>
      <c r="I48" s="246">
        <f>'5.1 igazgatás cofog'!I48+'5.2 adó cofog'!I48+'5.3 pályázat'!I48+'5.4 ogy, ep választás'!I48</f>
        <v>120000</v>
      </c>
      <c r="J48" s="246">
        <f>'5.1 igazgatás cofog'!J48+'5.2 adó cofog'!J48+'5.3 pályázat'!J48+'5.4 ogy, ep választás'!J48</f>
        <v>0</v>
      </c>
      <c r="K48" s="246">
        <f>'5.1 igazgatás cofog'!K48+'5.2 adó cofog'!K48+'5.3 pályázat'!K48+'5.4 ogy, ep választás'!K48</f>
        <v>120000</v>
      </c>
      <c r="L48" s="246">
        <f>'5.1 igazgatás cofog'!L48+'5.2 adó cofog'!L48+'5.3 pályázat'!L48+'5.4 ogy, ep választás'!L48</f>
        <v>63313</v>
      </c>
      <c r="M48" s="246">
        <f>'5.1 igazgatás cofog'!M48+'5.2 adó cofog'!M48+'5.3 pályázat'!M48+'5.4 ogy, ep választás'!M48</f>
        <v>0</v>
      </c>
      <c r="N48" s="246">
        <f>'5.1 igazgatás cofog'!N48+'5.2 adó cofog'!N48+'5.3 pályázat'!N48+'5.4 ogy, ep választás'!N48</f>
        <v>63313</v>
      </c>
    </row>
    <row r="49" spans="1:14" hidden="1" x14ac:dyDescent="0.25">
      <c r="A49" s="53" t="s">
        <v>101</v>
      </c>
      <c r="B49" s="62" t="s">
        <v>102</v>
      </c>
      <c r="C49" s="246">
        <f>'5.1 igazgatás cofog'!C49+'5.2 adó cofog'!C49+'5.3 pályázat'!C49</f>
        <v>0</v>
      </c>
      <c r="D49" s="246">
        <f>'5.1 igazgatás cofog'!D49+'5.2 adó cofog'!D49+'5.3 pályázat'!D49</f>
        <v>0</v>
      </c>
      <c r="E49" s="246">
        <f>'5.1 igazgatás cofog'!E49+'5.2 adó cofog'!E49+'5.3 pályázat'!E49</f>
        <v>0</v>
      </c>
      <c r="F49" s="246">
        <f>'5.1 igazgatás cofog'!F49+'5.2 adó cofog'!F49+'5.3 pályázat'!F49+'5.4 ogy, ep választás'!F49</f>
        <v>0</v>
      </c>
      <c r="G49" s="246">
        <f>'5.1 igazgatás cofog'!G49+'5.2 adó cofog'!G49+'5.3 pályázat'!G49+'5.4 ogy, ep választás'!G49</f>
        <v>0</v>
      </c>
      <c r="H49" s="246">
        <f>'5.1 igazgatás cofog'!H49+'5.2 adó cofog'!H49+'5.3 pályázat'!H49+'5.4 ogy, ep választás'!H49</f>
        <v>0</v>
      </c>
      <c r="I49" s="246">
        <f>'5.1 igazgatás cofog'!I49+'5.2 adó cofog'!I49+'5.3 pályázat'!I49+'5.4 ogy, ep választás'!I49</f>
        <v>0</v>
      </c>
      <c r="J49" s="246">
        <f>'5.1 igazgatás cofog'!J49+'5.2 adó cofog'!J49+'5.3 pályázat'!J49+'5.4 ogy, ep választás'!J49</f>
        <v>0</v>
      </c>
      <c r="K49" s="246">
        <f>'5.1 igazgatás cofog'!K49+'5.2 adó cofog'!K49+'5.3 pályázat'!K49+'5.4 ogy, ep választás'!K49</f>
        <v>0</v>
      </c>
      <c r="L49" s="246">
        <f>'5.1 igazgatás cofog'!L49+'5.2 adó cofog'!L49+'5.3 pályázat'!L49+'5.4 ogy, ep választás'!L49</f>
        <v>0</v>
      </c>
      <c r="M49" s="246">
        <f>'5.1 igazgatás cofog'!M49+'5.2 adó cofog'!M49+'5.3 pályázat'!M49+'5.4 ogy, ep választás'!M49</f>
        <v>0</v>
      </c>
      <c r="N49" s="246">
        <f>'5.1 igazgatás cofog'!N49+'5.2 adó cofog'!N49+'5.3 pályázat'!N49+'5.4 ogy, ep választás'!N49</f>
        <v>0</v>
      </c>
    </row>
    <row r="50" spans="1:14" hidden="1" x14ac:dyDescent="0.25">
      <c r="A50" s="53"/>
      <c r="B50" s="62" t="s">
        <v>103</v>
      </c>
      <c r="C50" s="246">
        <f>'5.1 igazgatás cofog'!C50+'5.2 adó cofog'!C50+'5.3 pályázat'!C50</f>
        <v>0</v>
      </c>
      <c r="D50" s="246">
        <f>'5.1 igazgatás cofog'!D50+'5.2 adó cofog'!D50+'5.3 pályázat'!D50</f>
        <v>0</v>
      </c>
      <c r="E50" s="246">
        <f>'5.1 igazgatás cofog'!E50+'5.2 adó cofog'!E50+'5.3 pályázat'!E50</f>
        <v>0</v>
      </c>
      <c r="F50" s="246">
        <f>'5.1 igazgatás cofog'!F50+'5.2 adó cofog'!F50+'5.3 pályázat'!F50+'5.4 ogy, ep választás'!F50</f>
        <v>0</v>
      </c>
      <c r="G50" s="246">
        <f>'5.1 igazgatás cofog'!G50+'5.2 adó cofog'!G50+'5.3 pályázat'!G50+'5.4 ogy, ep választás'!G50</f>
        <v>0</v>
      </c>
      <c r="H50" s="246">
        <f>'5.1 igazgatás cofog'!H50+'5.2 adó cofog'!H50+'5.3 pályázat'!H50+'5.4 ogy, ep választás'!H50</f>
        <v>0</v>
      </c>
      <c r="I50" s="246">
        <f>'5.1 igazgatás cofog'!I50+'5.2 adó cofog'!I50+'5.3 pályázat'!I50+'5.4 ogy, ep választás'!I50</f>
        <v>0</v>
      </c>
      <c r="J50" s="246">
        <f>'5.1 igazgatás cofog'!J50+'5.2 adó cofog'!J50+'5.3 pályázat'!J50+'5.4 ogy, ep választás'!J50</f>
        <v>0</v>
      </c>
      <c r="K50" s="246">
        <f>'5.1 igazgatás cofog'!K50+'5.2 adó cofog'!K50+'5.3 pályázat'!K50+'5.4 ogy, ep választás'!K50</f>
        <v>0</v>
      </c>
      <c r="L50" s="246">
        <f>'5.1 igazgatás cofog'!L50+'5.2 adó cofog'!L50+'5.3 pályázat'!L50+'5.4 ogy, ep választás'!L50</f>
        <v>0</v>
      </c>
      <c r="M50" s="246">
        <f>'5.1 igazgatás cofog'!M50+'5.2 adó cofog'!M50+'5.3 pályázat'!M50+'5.4 ogy, ep választás'!M50</f>
        <v>0</v>
      </c>
      <c r="N50" s="246">
        <f>'5.1 igazgatás cofog'!N50+'5.2 adó cofog'!N50+'5.3 pályázat'!N50+'5.4 ogy, ep választás'!N50</f>
        <v>0</v>
      </c>
    </row>
    <row r="51" spans="1:14" hidden="1" x14ac:dyDescent="0.25">
      <c r="A51" s="53"/>
      <c r="B51" s="62" t="s">
        <v>104</v>
      </c>
      <c r="C51" s="246">
        <f>'5.1 igazgatás cofog'!C51+'5.2 adó cofog'!C51+'5.3 pályázat'!C51</f>
        <v>0</v>
      </c>
      <c r="D51" s="246">
        <f>'5.1 igazgatás cofog'!D51+'5.2 adó cofog'!D51+'5.3 pályázat'!D51</f>
        <v>0</v>
      </c>
      <c r="E51" s="246">
        <f>'5.1 igazgatás cofog'!E51+'5.2 adó cofog'!E51+'5.3 pályázat'!E51</f>
        <v>0</v>
      </c>
      <c r="F51" s="246">
        <f>'5.1 igazgatás cofog'!F51+'5.2 adó cofog'!F51+'5.3 pályázat'!F51+'5.4 ogy, ep választás'!F51</f>
        <v>0</v>
      </c>
      <c r="G51" s="246">
        <f>'5.1 igazgatás cofog'!G51+'5.2 adó cofog'!G51+'5.3 pályázat'!G51+'5.4 ogy, ep választás'!G51</f>
        <v>0</v>
      </c>
      <c r="H51" s="246">
        <f>'5.1 igazgatás cofog'!H51+'5.2 adó cofog'!H51+'5.3 pályázat'!H51+'5.4 ogy, ep választás'!H51</f>
        <v>0</v>
      </c>
      <c r="I51" s="246">
        <f>'5.1 igazgatás cofog'!I51+'5.2 adó cofog'!I51+'5.3 pályázat'!I51+'5.4 ogy, ep választás'!I51</f>
        <v>0</v>
      </c>
      <c r="J51" s="246">
        <f>'5.1 igazgatás cofog'!J51+'5.2 adó cofog'!J51+'5.3 pályázat'!J51+'5.4 ogy, ep választás'!J51</f>
        <v>0</v>
      </c>
      <c r="K51" s="246">
        <f>'5.1 igazgatás cofog'!K51+'5.2 adó cofog'!K51+'5.3 pályázat'!K51+'5.4 ogy, ep választás'!K51</f>
        <v>0</v>
      </c>
      <c r="L51" s="246">
        <f>'5.1 igazgatás cofog'!L51+'5.2 adó cofog'!L51+'5.3 pályázat'!L51+'5.4 ogy, ep választás'!L51</f>
        <v>0</v>
      </c>
      <c r="M51" s="246">
        <f>'5.1 igazgatás cofog'!M51+'5.2 adó cofog'!M51+'5.3 pályázat'!M51+'5.4 ogy, ep választás'!M51</f>
        <v>0</v>
      </c>
      <c r="N51" s="246">
        <f>'5.1 igazgatás cofog'!N51+'5.2 adó cofog'!N51+'5.3 pályázat'!N51+'5.4 ogy, ep választás'!N51</f>
        <v>0</v>
      </c>
    </row>
    <row r="52" spans="1:14" hidden="1" x14ac:dyDescent="0.25">
      <c r="A52" s="53"/>
      <c r="B52" s="62" t="s">
        <v>105</v>
      </c>
      <c r="C52" s="246">
        <f>'5.1 igazgatás cofog'!C52+'5.2 adó cofog'!C52+'5.3 pályázat'!C52</f>
        <v>0</v>
      </c>
      <c r="D52" s="246">
        <f>'5.1 igazgatás cofog'!D52+'5.2 adó cofog'!D52+'5.3 pályázat'!D52</f>
        <v>0</v>
      </c>
      <c r="E52" s="246">
        <f>'5.1 igazgatás cofog'!E52+'5.2 adó cofog'!E52+'5.3 pályázat'!E52</f>
        <v>0</v>
      </c>
      <c r="F52" s="246">
        <f>'5.1 igazgatás cofog'!F52+'5.2 adó cofog'!F52+'5.3 pályázat'!F52+'5.4 ogy, ep választás'!F52</f>
        <v>0</v>
      </c>
      <c r="G52" s="246">
        <f>'5.1 igazgatás cofog'!G52+'5.2 adó cofog'!G52+'5.3 pályázat'!G52+'5.4 ogy, ep választás'!G52</f>
        <v>0</v>
      </c>
      <c r="H52" s="246">
        <f>'5.1 igazgatás cofog'!H52+'5.2 adó cofog'!H52+'5.3 pályázat'!H52+'5.4 ogy, ep választás'!H52</f>
        <v>0</v>
      </c>
      <c r="I52" s="246">
        <f>'5.1 igazgatás cofog'!I52+'5.2 adó cofog'!I52+'5.3 pályázat'!I52+'5.4 ogy, ep választás'!I52</f>
        <v>0</v>
      </c>
      <c r="J52" s="246">
        <f>'5.1 igazgatás cofog'!J52+'5.2 adó cofog'!J52+'5.3 pályázat'!J52+'5.4 ogy, ep választás'!J52</f>
        <v>0</v>
      </c>
      <c r="K52" s="246">
        <f>'5.1 igazgatás cofog'!K52+'5.2 adó cofog'!K52+'5.3 pályázat'!K52+'5.4 ogy, ep választás'!K52</f>
        <v>0</v>
      </c>
      <c r="L52" s="246">
        <f>'5.1 igazgatás cofog'!L52+'5.2 adó cofog'!L52+'5.3 pályázat'!L52+'5.4 ogy, ep választás'!L52</f>
        <v>0</v>
      </c>
      <c r="M52" s="246">
        <f>'5.1 igazgatás cofog'!M52+'5.2 adó cofog'!M52+'5.3 pályázat'!M52+'5.4 ogy, ep választás'!M52</f>
        <v>0</v>
      </c>
      <c r="N52" s="246">
        <f>'5.1 igazgatás cofog'!N52+'5.2 adó cofog'!N52+'5.3 pályázat'!N52+'5.4 ogy, ep választás'!N52</f>
        <v>0</v>
      </c>
    </row>
    <row r="53" spans="1:14" hidden="1" x14ac:dyDescent="0.25">
      <c r="A53" s="53"/>
      <c r="B53" s="62" t="s">
        <v>106</v>
      </c>
      <c r="C53" s="246">
        <f>'5.1 igazgatás cofog'!C53+'5.2 adó cofog'!C53+'5.3 pályázat'!C53</f>
        <v>0</v>
      </c>
      <c r="D53" s="246">
        <f>'5.1 igazgatás cofog'!D53+'5.2 adó cofog'!D53+'5.3 pályázat'!D53</f>
        <v>0</v>
      </c>
      <c r="E53" s="246">
        <f>'5.1 igazgatás cofog'!E53+'5.2 adó cofog'!E53+'5.3 pályázat'!E53</f>
        <v>0</v>
      </c>
      <c r="F53" s="246">
        <f>'5.1 igazgatás cofog'!F53+'5.2 adó cofog'!F53+'5.3 pályázat'!F53+'5.4 ogy, ep választás'!F53</f>
        <v>0</v>
      </c>
      <c r="G53" s="246">
        <f>'5.1 igazgatás cofog'!G53+'5.2 adó cofog'!G53+'5.3 pályázat'!G53+'5.4 ogy, ep választás'!G53</f>
        <v>0</v>
      </c>
      <c r="H53" s="246">
        <f>'5.1 igazgatás cofog'!H53+'5.2 adó cofog'!H53+'5.3 pályázat'!H53+'5.4 ogy, ep választás'!H53</f>
        <v>0</v>
      </c>
      <c r="I53" s="246">
        <f>'5.1 igazgatás cofog'!I53+'5.2 adó cofog'!I53+'5.3 pályázat'!I53+'5.4 ogy, ep választás'!I53</f>
        <v>0</v>
      </c>
      <c r="J53" s="246">
        <f>'5.1 igazgatás cofog'!J53+'5.2 adó cofog'!J53+'5.3 pályázat'!J53+'5.4 ogy, ep választás'!J53</f>
        <v>0</v>
      </c>
      <c r="K53" s="246">
        <f>'5.1 igazgatás cofog'!K53+'5.2 adó cofog'!K53+'5.3 pályázat'!K53+'5.4 ogy, ep választás'!K53</f>
        <v>0</v>
      </c>
      <c r="L53" s="246">
        <f>'5.1 igazgatás cofog'!L53+'5.2 adó cofog'!L53+'5.3 pályázat'!L53+'5.4 ogy, ep választás'!L53</f>
        <v>0</v>
      </c>
      <c r="M53" s="246">
        <f>'5.1 igazgatás cofog'!M53+'5.2 adó cofog'!M53+'5.3 pályázat'!M53+'5.4 ogy, ep választás'!M53</f>
        <v>0</v>
      </c>
      <c r="N53" s="246">
        <f>'5.1 igazgatás cofog'!N53+'5.2 adó cofog'!N53+'5.3 pályázat'!N53+'5.4 ogy, ep választás'!N53</f>
        <v>0</v>
      </c>
    </row>
    <row r="54" spans="1:14" hidden="1" x14ac:dyDescent="0.25">
      <c r="A54" s="53" t="s">
        <v>107</v>
      </c>
      <c r="B54" s="62" t="s">
        <v>108</v>
      </c>
      <c r="C54" s="246">
        <f>'5.1 igazgatás cofog'!C54+'5.2 adó cofog'!C54+'5.3 pályázat'!C54</f>
        <v>0</v>
      </c>
      <c r="D54" s="246">
        <f>'5.1 igazgatás cofog'!D54+'5.2 adó cofog'!D54+'5.3 pályázat'!D54</f>
        <v>0</v>
      </c>
      <c r="E54" s="246">
        <f>'5.1 igazgatás cofog'!E54+'5.2 adó cofog'!E54+'5.3 pályázat'!E54</f>
        <v>0</v>
      </c>
      <c r="F54" s="246">
        <f>'5.1 igazgatás cofog'!F54+'5.2 adó cofog'!F54+'5.3 pályázat'!F54+'5.4 ogy, ep választás'!F54</f>
        <v>0</v>
      </c>
      <c r="G54" s="246">
        <f>'5.1 igazgatás cofog'!G54+'5.2 adó cofog'!G54+'5.3 pályázat'!G54+'5.4 ogy, ep választás'!G54</f>
        <v>0</v>
      </c>
      <c r="H54" s="246">
        <f>'5.1 igazgatás cofog'!H54+'5.2 adó cofog'!H54+'5.3 pályázat'!H54+'5.4 ogy, ep választás'!H54</f>
        <v>0</v>
      </c>
      <c r="I54" s="246">
        <f>'5.1 igazgatás cofog'!I54+'5.2 adó cofog'!I54+'5.3 pályázat'!I54+'5.4 ogy, ep választás'!I54</f>
        <v>0</v>
      </c>
      <c r="J54" s="246">
        <f>'5.1 igazgatás cofog'!J54+'5.2 adó cofog'!J54+'5.3 pályázat'!J54+'5.4 ogy, ep választás'!J54</f>
        <v>0</v>
      </c>
      <c r="K54" s="246">
        <f>'5.1 igazgatás cofog'!K54+'5.2 adó cofog'!K54+'5.3 pályázat'!K54+'5.4 ogy, ep választás'!K54</f>
        <v>0</v>
      </c>
      <c r="L54" s="246">
        <f>'5.1 igazgatás cofog'!L54+'5.2 adó cofog'!L54+'5.3 pályázat'!L54+'5.4 ogy, ep választás'!L54</f>
        <v>0</v>
      </c>
      <c r="M54" s="246">
        <f>'5.1 igazgatás cofog'!M54+'5.2 adó cofog'!M54+'5.3 pályázat'!M54+'5.4 ogy, ep választás'!M54</f>
        <v>0</v>
      </c>
      <c r="N54" s="246">
        <f>'5.1 igazgatás cofog'!N54+'5.2 adó cofog'!N54+'5.3 pályázat'!N54+'5.4 ogy, ep választás'!N54</f>
        <v>0</v>
      </c>
    </row>
    <row r="55" spans="1:14" hidden="1" x14ac:dyDescent="0.25">
      <c r="A55" s="53" t="s">
        <v>109</v>
      </c>
      <c r="B55" s="62" t="s">
        <v>110</v>
      </c>
      <c r="C55" s="246">
        <f>'5.1 igazgatás cofog'!C55+'5.2 adó cofog'!C55+'5.3 pályázat'!C55</f>
        <v>0</v>
      </c>
      <c r="D55" s="246">
        <f>'5.1 igazgatás cofog'!D55+'5.2 adó cofog'!D55+'5.3 pályázat'!D55</f>
        <v>0</v>
      </c>
      <c r="E55" s="246">
        <f>'5.1 igazgatás cofog'!E55+'5.2 adó cofog'!E55+'5.3 pályázat'!E55</f>
        <v>0</v>
      </c>
      <c r="F55" s="246">
        <f>'5.1 igazgatás cofog'!F55+'5.2 adó cofog'!F55+'5.3 pályázat'!F55+'5.4 ogy, ep választás'!F55</f>
        <v>0</v>
      </c>
      <c r="G55" s="246">
        <f>'5.1 igazgatás cofog'!G55+'5.2 adó cofog'!G55+'5.3 pályázat'!G55+'5.4 ogy, ep választás'!G55</f>
        <v>0</v>
      </c>
      <c r="H55" s="246">
        <f>'5.1 igazgatás cofog'!H55+'5.2 adó cofog'!H55+'5.3 pályázat'!H55+'5.4 ogy, ep választás'!H55</f>
        <v>0</v>
      </c>
      <c r="I55" s="246">
        <f>'5.1 igazgatás cofog'!I55+'5.2 adó cofog'!I55+'5.3 pályázat'!I55+'5.4 ogy, ep választás'!I55</f>
        <v>0</v>
      </c>
      <c r="J55" s="246">
        <f>'5.1 igazgatás cofog'!J55+'5.2 adó cofog'!J55+'5.3 pályázat'!J55+'5.4 ogy, ep választás'!J55</f>
        <v>0</v>
      </c>
      <c r="K55" s="246">
        <f>'5.1 igazgatás cofog'!K55+'5.2 adó cofog'!K55+'5.3 pályázat'!K55+'5.4 ogy, ep választás'!K55</f>
        <v>0</v>
      </c>
      <c r="L55" s="246">
        <f>'5.1 igazgatás cofog'!L55+'5.2 adó cofog'!L55+'5.3 pályázat'!L55+'5.4 ogy, ep választás'!L55</f>
        <v>0</v>
      </c>
      <c r="M55" s="246">
        <f>'5.1 igazgatás cofog'!M55+'5.2 adó cofog'!M55+'5.3 pályázat'!M55+'5.4 ogy, ep választás'!M55</f>
        <v>0</v>
      </c>
      <c r="N55" s="246">
        <f>'5.1 igazgatás cofog'!N55+'5.2 adó cofog'!N55+'5.3 pályázat'!N55+'5.4 ogy, ep választás'!N55</f>
        <v>0</v>
      </c>
    </row>
    <row r="56" spans="1:14" hidden="1" x14ac:dyDescent="0.25">
      <c r="A56" s="53" t="s">
        <v>111</v>
      </c>
      <c r="B56" s="62" t="s">
        <v>112</v>
      </c>
      <c r="C56" s="246">
        <f>'5.1 igazgatás cofog'!C56+'5.2 adó cofog'!C56+'5.3 pályázat'!C56</f>
        <v>0</v>
      </c>
      <c r="D56" s="246">
        <f>'5.1 igazgatás cofog'!D56+'5.2 adó cofog'!D56+'5.3 pályázat'!D56</f>
        <v>0</v>
      </c>
      <c r="E56" s="246">
        <f>'5.1 igazgatás cofog'!E56+'5.2 adó cofog'!E56+'5.3 pályázat'!E56</f>
        <v>0</v>
      </c>
      <c r="F56" s="246">
        <f>'5.1 igazgatás cofog'!F56+'5.2 adó cofog'!F56+'5.3 pályázat'!F56+'5.4 ogy, ep választás'!F56</f>
        <v>0</v>
      </c>
      <c r="G56" s="246">
        <f>'5.1 igazgatás cofog'!G56+'5.2 adó cofog'!G56+'5.3 pályázat'!G56+'5.4 ogy, ep választás'!G56</f>
        <v>0</v>
      </c>
      <c r="H56" s="246">
        <f>'5.1 igazgatás cofog'!H56+'5.2 adó cofog'!H56+'5.3 pályázat'!H56+'5.4 ogy, ep választás'!H56</f>
        <v>0</v>
      </c>
      <c r="I56" s="246">
        <f>'5.1 igazgatás cofog'!I56+'5.2 adó cofog'!I56+'5.3 pályázat'!I56+'5.4 ogy, ep választás'!I56</f>
        <v>0</v>
      </c>
      <c r="J56" s="246">
        <f>'5.1 igazgatás cofog'!J56+'5.2 adó cofog'!J56+'5.3 pályázat'!J56+'5.4 ogy, ep választás'!J56</f>
        <v>0</v>
      </c>
      <c r="K56" s="246">
        <f>'5.1 igazgatás cofog'!K56+'5.2 adó cofog'!K56+'5.3 pályázat'!K56+'5.4 ogy, ep választás'!K56</f>
        <v>0</v>
      </c>
      <c r="L56" s="246">
        <f>'5.1 igazgatás cofog'!L56+'5.2 adó cofog'!L56+'5.3 pályázat'!L56+'5.4 ogy, ep választás'!L56</f>
        <v>0</v>
      </c>
      <c r="M56" s="246">
        <f>'5.1 igazgatás cofog'!M56+'5.2 adó cofog'!M56+'5.3 pályázat'!M56+'5.4 ogy, ep választás'!M56</f>
        <v>0</v>
      </c>
      <c r="N56" s="246">
        <f>'5.1 igazgatás cofog'!N56+'5.2 adó cofog'!N56+'5.3 pályázat'!N56+'5.4 ogy, ep választás'!N56</f>
        <v>0</v>
      </c>
    </row>
    <row r="57" spans="1:14" x14ac:dyDescent="0.25">
      <c r="A57" s="53" t="s">
        <v>113</v>
      </c>
      <c r="B57" s="62" t="s">
        <v>114</v>
      </c>
      <c r="C57" s="246">
        <f>'5.1 igazgatás cofog'!C57+'5.2 adó cofog'!C57+'5.3 pályázat'!C57</f>
        <v>0</v>
      </c>
      <c r="D57" s="246">
        <f>'5.1 igazgatás cofog'!D57+'5.2 adó cofog'!D57+'5.3 pályázat'!D57</f>
        <v>0</v>
      </c>
      <c r="E57" s="246">
        <f>'5.1 igazgatás cofog'!E57+'5.2 adó cofog'!E57+'5.3 pályázat'!E57</f>
        <v>0</v>
      </c>
      <c r="F57" s="246">
        <f>'5.1 igazgatás cofog'!F57+'5.2 adó cofog'!F57+'5.3 pályázat'!F57+'5.4 ogy, ep választás'!F57</f>
        <v>0</v>
      </c>
      <c r="G57" s="246">
        <f>'5.1 igazgatás cofog'!G57+'5.2 adó cofog'!G57+'5.3 pályázat'!G57+'5.4 ogy, ep választás'!G57</f>
        <v>0</v>
      </c>
      <c r="H57" s="246">
        <f>'5.1 igazgatás cofog'!H57+'5.2 adó cofog'!H57+'5.3 pályázat'!H57+'5.4 ogy, ep választás'!H57</f>
        <v>0</v>
      </c>
      <c r="I57" s="246">
        <f>'5.1 igazgatás cofog'!I57+'5.2 adó cofog'!I57+'5.3 pályázat'!I57+'5.4 ogy, ep választás'!I57</f>
        <v>0</v>
      </c>
      <c r="J57" s="246">
        <f>'5.1 igazgatás cofog'!J57+'5.2 adó cofog'!J57+'5.3 pályázat'!J57+'5.4 ogy, ep választás'!J57</f>
        <v>0</v>
      </c>
      <c r="K57" s="246">
        <f>'5.1 igazgatás cofog'!K57+'5.2 adó cofog'!K57+'5.3 pályázat'!K57+'5.4 ogy, ep választás'!K57</f>
        <v>0</v>
      </c>
      <c r="L57" s="246">
        <f>'5.1 igazgatás cofog'!L57+'5.2 adó cofog'!L57+'5.3 pályázat'!L57+'5.4 ogy, ep választás'!L57</f>
        <v>71</v>
      </c>
      <c r="M57" s="246">
        <f>'5.1 igazgatás cofog'!M57+'5.2 adó cofog'!M57+'5.3 pályázat'!M57+'5.4 ogy, ep választás'!M57</f>
        <v>0</v>
      </c>
      <c r="N57" s="246">
        <f>'5.1 igazgatás cofog'!N57+'5.2 adó cofog'!N57+'5.3 pályázat'!N57+'5.4 ogy, ep választás'!N57</f>
        <v>71</v>
      </c>
    </row>
    <row r="58" spans="1:14" x14ac:dyDescent="0.25">
      <c r="A58" s="53" t="s">
        <v>115</v>
      </c>
      <c r="B58" s="62" t="s">
        <v>116</v>
      </c>
      <c r="C58" s="246">
        <f>'5.1 igazgatás cofog'!C58+'5.2 adó cofog'!C58+'5.3 pályázat'!C58</f>
        <v>0</v>
      </c>
      <c r="D58" s="246">
        <f>'5.1 igazgatás cofog'!D58+'5.2 adó cofog'!D58+'5.3 pályázat'!D58</f>
        <v>0</v>
      </c>
      <c r="E58" s="246">
        <f>'5.1 igazgatás cofog'!E58+'5.2 adó cofog'!E58+'5.3 pályázat'!E58</f>
        <v>0</v>
      </c>
      <c r="F58" s="246">
        <f>'5.1 igazgatás cofog'!F58+'5.2 adó cofog'!F58+'5.3 pályázat'!F58+'5.4 ogy, ep választás'!F58</f>
        <v>0</v>
      </c>
      <c r="G58" s="246">
        <f>'5.1 igazgatás cofog'!G58+'5.2 adó cofog'!G58+'5.3 pályázat'!G58+'5.4 ogy, ep választás'!G58</f>
        <v>0</v>
      </c>
      <c r="H58" s="246">
        <f>'5.1 igazgatás cofog'!H58+'5.2 adó cofog'!H58+'5.3 pályázat'!H58+'5.4 ogy, ep választás'!H58</f>
        <v>0</v>
      </c>
      <c r="I58" s="246">
        <f>'5.1 igazgatás cofog'!I58+'5.2 adó cofog'!I58+'5.3 pályázat'!I58+'5.4 ogy, ep választás'!I58</f>
        <v>0</v>
      </c>
      <c r="J58" s="246">
        <f>'5.1 igazgatás cofog'!J58+'5.2 adó cofog'!J58+'5.3 pályázat'!J58+'5.4 ogy, ep választás'!J58</f>
        <v>0</v>
      </c>
      <c r="K58" s="246">
        <f>'5.1 igazgatás cofog'!K58+'5.2 adó cofog'!K58+'5.3 pályázat'!K58+'5.4 ogy, ep választás'!K58</f>
        <v>0</v>
      </c>
      <c r="L58" s="246">
        <f>'5.1 igazgatás cofog'!L58+'5.2 adó cofog'!L58+'5.3 pályázat'!L58+'5.4 ogy, ep választás'!L58</f>
        <v>0</v>
      </c>
      <c r="M58" s="246">
        <f>'5.1 igazgatás cofog'!M58+'5.2 adó cofog'!M58+'5.3 pályázat'!M58+'5.4 ogy, ep választás'!M58</f>
        <v>0</v>
      </c>
      <c r="N58" s="246">
        <f>'5.1 igazgatás cofog'!N58+'5.2 adó cofog'!N58+'5.3 pályázat'!N58+'5.4 ogy, ep választás'!N58</f>
        <v>0</v>
      </c>
    </row>
    <row r="59" spans="1:14" x14ac:dyDescent="0.25">
      <c r="A59" s="53" t="s">
        <v>117</v>
      </c>
      <c r="B59" s="62" t="s">
        <v>118</v>
      </c>
      <c r="C59" s="246">
        <f>'5.1 igazgatás cofog'!C59+'5.2 adó cofog'!C59+'5.3 pályázat'!C59</f>
        <v>0</v>
      </c>
      <c r="D59" s="246">
        <f>'5.1 igazgatás cofog'!D59+'5.2 adó cofog'!D59+'5.3 pályázat'!D59</f>
        <v>0</v>
      </c>
      <c r="E59" s="246">
        <f>'5.1 igazgatás cofog'!E59+'5.2 adó cofog'!E59+'5.3 pályázat'!E59</f>
        <v>0</v>
      </c>
      <c r="F59" s="246">
        <f>'5.1 igazgatás cofog'!F59+'5.2 adó cofog'!F59+'5.3 pályázat'!F59+'5.4 ogy, ep választás'!F59</f>
        <v>0</v>
      </c>
      <c r="G59" s="246">
        <f>'5.1 igazgatás cofog'!G59+'5.2 adó cofog'!G59+'5.3 pályázat'!G59+'5.4 ogy, ep választás'!G59</f>
        <v>0</v>
      </c>
      <c r="H59" s="246">
        <f>'5.1 igazgatás cofog'!H59+'5.2 adó cofog'!H59+'5.3 pályázat'!H59+'5.4 ogy, ep választás'!H59</f>
        <v>0</v>
      </c>
      <c r="I59" s="246">
        <f>'5.1 igazgatás cofog'!I59+'5.2 adó cofog'!I59+'5.3 pályázat'!I59+'5.4 ogy, ep választás'!I59</f>
        <v>0</v>
      </c>
      <c r="J59" s="246">
        <f>'5.1 igazgatás cofog'!J59+'5.2 adó cofog'!J59+'5.3 pályázat'!J59+'5.4 ogy, ep választás'!J59</f>
        <v>0</v>
      </c>
      <c r="K59" s="246">
        <f>'5.1 igazgatás cofog'!K59+'5.2 adó cofog'!K59+'5.3 pályázat'!K59+'5.4 ogy, ep választás'!K59</f>
        <v>0</v>
      </c>
      <c r="L59" s="246">
        <f>'5.1 igazgatás cofog'!L59+'5.2 adó cofog'!L59+'5.3 pályázat'!L59+'5.4 ogy, ep választás'!L59</f>
        <v>0</v>
      </c>
      <c r="M59" s="246">
        <f>'5.1 igazgatás cofog'!M59+'5.2 adó cofog'!M59+'5.3 pályázat'!M59+'5.4 ogy, ep választás'!M59</f>
        <v>0</v>
      </c>
      <c r="N59" s="246">
        <f>'5.1 igazgatás cofog'!N59+'5.2 adó cofog'!N59+'5.3 pályázat'!N59+'5.4 ogy, ep választás'!N59</f>
        <v>0</v>
      </c>
    </row>
    <row r="60" spans="1:14" ht="15.75" thickBot="1" x14ac:dyDescent="0.3">
      <c r="A60" s="55" t="s">
        <v>119</v>
      </c>
      <c r="B60" s="64" t="s">
        <v>120</v>
      </c>
      <c r="C60" s="248">
        <f>'5.1 igazgatás cofog'!C60+'5.2 adó cofog'!C60+'5.3 pályázat'!C60</f>
        <v>0</v>
      </c>
      <c r="D60" s="248">
        <f>'5.1 igazgatás cofog'!D60+'5.2 adó cofog'!D60+'5.3 pályázat'!D60</f>
        <v>0</v>
      </c>
      <c r="E60" s="248">
        <f>'5.1 igazgatás cofog'!E60+'5.2 adó cofog'!E60+'5.3 pályázat'!E60</f>
        <v>0</v>
      </c>
      <c r="F60" s="248">
        <f>'5.1 igazgatás cofog'!F60+'5.2 adó cofog'!F60+'5.3 pályázat'!F60+'5.4 ogy, ep választás'!F60</f>
        <v>0</v>
      </c>
      <c r="G60" s="248">
        <f>'5.1 igazgatás cofog'!G60+'5.2 adó cofog'!G60+'5.3 pályázat'!G60+'5.4 ogy, ep választás'!G60</f>
        <v>0</v>
      </c>
      <c r="H60" s="248">
        <f>'5.1 igazgatás cofog'!H60+'5.2 adó cofog'!H60+'5.3 pályázat'!H60+'5.4 ogy, ep választás'!H60</f>
        <v>0</v>
      </c>
      <c r="I60" s="248">
        <f>'5.1 igazgatás cofog'!I60+'5.2 adó cofog'!I60+'5.3 pályázat'!I60+'5.4 ogy, ep választás'!I60</f>
        <v>0</v>
      </c>
      <c r="J60" s="248">
        <f>'5.1 igazgatás cofog'!J60+'5.2 adó cofog'!J60+'5.3 pályázat'!J60+'5.4 ogy, ep választás'!J60</f>
        <v>0</v>
      </c>
      <c r="K60" s="248">
        <f>'5.1 igazgatás cofog'!K60+'5.2 adó cofog'!K60+'5.3 pályázat'!K60+'5.4 ogy, ep választás'!K60</f>
        <v>0</v>
      </c>
      <c r="L60" s="248">
        <f>'5.1 igazgatás cofog'!L60+'5.2 adó cofog'!L60+'5.3 pályázat'!L60+'5.4 ogy, ep választás'!L60</f>
        <v>831</v>
      </c>
      <c r="M60" s="248">
        <f>'5.1 igazgatás cofog'!M60+'5.2 adó cofog'!M60+'5.3 pályázat'!M60+'5.4 ogy, ep választás'!M60</f>
        <v>0</v>
      </c>
      <c r="N60" s="248">
        <f>'5.1 igazgatás cofog'!N60+'5.2 adó cofog'!N60+'5.3 pályázat'!N60+'5.4 ogy, ep választás'!N60</f>
        <v>831</v>
      </c>
    </row>
    <row r="61" spans="1:14" ht="15.75" thickBot="1" x14ac:dyDescent="0.3">
      <c r="A61" s="52" t="s">
        <v>121</v>
      </c>
      <c r="B61" s="48" t="s">
        <v>28</v>
      </c>
      <c r="C61" s="244">
        <f>'5.1 igazgatás cofog'!C61+'5.2 adó cofog'!C61+'5.3 pályázat'!C61</f>
        <v>0</v>
      </c>
      <c r="D61" s="244">
        <f>'5.1 igazgatás cofog'!D61+'5.2 adó cofog'!D61+'5.3 pályázat'!D61</f>
        <v>0</v>
      </c>
      <c r="E61" s="244">
        <f>'5.1 igazgatás cofog'!E61+'5.2 adó cofog'!E61+'5.3 pályázat'!E61</f>
        <v>0</v>
      </c>
      <c r="F61" s="244">
        <f>'5.1 igazgatás cofog'!F61+'5.2 adó cofog'!F61+'5.3 pályázat'!F61+'5.4 ogy, ep választás'!F61</f>
        <v>0</v>
      </c>
      <c r="G61" s="244">
        <f>'5.1 igazgatás cofog'!G61+'5.2 adó cofog'!G61+'5.3 pályázat'!G61+'5.4 ogy, ep választás'!G61</f>
        <v>0</v>
      </c>
      <c r="H61" s="244">
        <f>'5.1 igazgatás cofog'!H61+'5.2 adó cofog'!H61+'5.3 pályázat'!H61+'5.4 ogy, ep választás'!H61</f>
        <v>0</v>
      </c>
      <c r="I61" s="244">
        <f>'5.1 igazgatás cofog'!I61+'5.2 adó cofog'!I61+'5.3 pályázat'!I61+'5.4 ogy, ep választás'!I61</f>
        <v>0</v>
      </c>
      <c r="J61" s="244">
        <f>'5.1 igazgatás cofog'!J61+'5.2 adó cofog'!J61+'5.3 pályázat'!J61+'5.4 ogy, ep választás'!J61</f>
        <v>0</v>
      </c>
      <c r="K61" s="244">
        <f>'5.1 igazgatás cofog'!K61+'5.2 adó cofog'!K61+'5.3 pályázat'!K61+'5.4 ogy, ep választás'!K61</f>
        <v>0</v>
      </c>
      <c r="L61" s="244">
        <f>'5.1 igazgatás cofog'!L61+'5.2 adó cofog'!L61+'5.3 pályázat'!L61+'5.4 ogy, ep választás'!L61</f>
        <v>0</v>
      </c>
      <c r="M61" s="244">
        <f>'5.1 igazgatás cofog'!M61+'5.2 adó cofog'!M61+'5.3 pályázat'!M61+'5.4 ogy, ep választás'!M61</f>
        <v>0</v>
      </c>
      <c r="N61" s="244">
        <f>'5.1 igazgatás cofog'!N61+'5.2 adó cofog'!N61+'5.3 pályázat'!N61+'5.4 ogy, ep választás'!N61</f>
        <v>0</v>
      </c>
    </row>
    <row r="62" spans="1:14" ht="15.75" hidden="1" thickBot="1" x14ac:dyDescent="0.3">
      <c r="A62" s="53" t="s">
        <v>122</v>
      </c>
      <c r="B62" s="62" t="s">
        <v>123</v>
      </c>
      <c r="C62" s="246">
        <f>'5.1 igazgatás cofog'!C62+'5.2 adó cofog'!C62+'5.3 pályázat'!C62</f>
        <v>0</v>
      </c>
      <c r="D62" s="246">
        <f>'5.1 igazgatás cofog'!D62+'5.2 adó cofog'!D62+'5.3 pályázat'!D62</f>
        <v>0</v>
      </c>
      <c r="E62" s="246">
        <f>'5.1 igazgatás cofog'!E62+'5.2 adó cofog'!E62+'5.3 pályázat'!E62</f>
        <v>0</v>
      </c>
      <c r="F62" s="246">
        <f>'5.1 igazgatás cofog'!F62+'5.2 adó cofog'!F62+'5.3 pályázat'!F62+'5.4 ogy, ep választás'!F62</f>
        <v>0</v>
      </c>
      <c r="G62" s="246">
        <f>'5.1 igazgatás cofog'!G62+'5.2 adó cofog'!G62+'5.3 pályázat'!G62+'5.4 ogy, ep választás'!G62</f>
        <v>0</v>
      </c>
      <c r="H62" s="246">
        <f>'5.1 igazgatás cofog'!H62+'5.2 adó cofog'!H62+'5.3 pályázat'!H62+'5.4 ogy, ep választás'!H62</f>
        <v>0</v>
      </c>
      <c r="I62" s="246">
        <f>'5.1 igazgatás cofog'!I62+'5.2 adó cofog'!I62+'5.3 pályázat'!I62+'5.4 ogy, ep választás'!I62</f>
        <v>0</v>
      </c>
      <c r="J62" s="246">
        <f>'5.1 igazgatás cofog'!J62+'5.2 adó cofog'!J62+'5.3 pályázat'!J62+'5.4 ogy, ep választás'!J62</f>
        <v>0</v>
      </c>
      <c r="K62" s="246">
        <f>'5.1 igazgatás cofog'!K62+'5.2 adó cofog'!K62+'5.3 pályázat'!K62+'5.4 ogy, ep választás'!K62</f>
        <v>0</v>
      </c>
      <c r="L62" s="246">
        <f>'5.1 igazgatás cofog'!L62+'5.2 adó cofog'!L62+'5.3 pályázat'!L62+'5.4 ogy, ep választás'!L62</f>
        <v>0</v>
      </c>
      <c r="M62" s="246">
        <f>'5.1 igazgatás cofog'!M62+'5.2 adó cofog'!M62+'5.3 pályázat'!M62+'5.4 ogy, ep választás'!M62</f>
        <v>0</v>
      </c>
      <c r="N62" s="246">
        <f>'5.1 igazgatás cofog'!N62+'5.2 adó cofog'!N62+'5.3 pályázat'!N62+'5.4 ogy, ep választás'!N62</f>
        <v>0</v>
      </c>
    </row>
    <row r="63" spans="1:14" ht="15.75" hidden="1" thickBot="1" x14ac:dyDescent="0.3">
      <c r="A63" s="53" t="s">
        <v>124</v>
      </c>
      <c r="B63" s="62" t="s">
        <v>125</v>
      </c>
      <c r="C63" s="246">
        <f>'5.1 igazgatás cofog'!C63+'5.2 adó cofog'!C63+'5.3 pályázat'!C63</f>
        <v>0</v>
      </c>
      <c r="D63" s="246">
        <f>'5.1 igazgatás cofog'!D63+'5.2 adó cofog'!D63+'5.3 pályázat'!D63</f>
        <v>0</v>
      </c>
      <c r="E63" s="246">
        <f>'5.1 igazgatás cofog'!E63+'5.2 adó cofog'!E63+'5.3 pályázat'!E63</f>
        <v>0</v>
      </c>
      <c r="F63" s="246">
        <f>'5.1 igazgatás cofog'!F63+'5.2 adó cofog'!F63+'5.3 pályázat'!F63+'5.4 ogy, ep választás'!F63</f>
        <v>0</v>
      </c>
      <c r="G63" s="246">
        <f>'5.1 igazgatás cofog'!G63+'5.2 adó cofog'!G63+'5.3 pályázat'!G63+'5.4 ogy, ep választás'!G63</f>
        <v>0</v>
      </c>
      <c r="H63" s="246">
        <f>'5.1 igazgatás cofog'!H63+'5.2 adó cofog'!H63+'5.3 pályázat'!H63+'5.4 ogy, ep választás'!H63</f>
        <v>0</v>
      </c>
      <c r="I63" s="246">
        <f>'5.1 igazgatás cofog'!I63+'5.2 adó cofog'!I63+'5.3 pályázat'!I63+'5.4 ogy, ep választás'!I63</f>
        <v>0</v>
      </c>
      <c r="J63" s="246">
        <f>'5.1 igazgatás cofog'!J63+'5.2 adó cofog'!J63+'5.3 pályázat'!J63+'5.4 ogy, ep választás'!J63</f>
        <v>0</v>
      </c>
      <c r="K63" s="246">
        <f>'5.1 igazgatás cofog'!K63+'5.2 adó cofog'!K63+'5.3 pályázat'!K63+'5.4 ogy, ep választás'!K63</f>
        <v>0</v>
      </c>
      <c r="L63" s="246">
        <f>'5.1 igazgatás cofog'!L63+'5.2 adó cofog'!L63+'5.3 pályázat'!L63+'5.4 ogy, ep választás'!L63</f>
        <v>0</v>
      </c>
      <c r="M63" s="246">
        <f>'5.1 igazgatás cofog'!M63+'5.2 adó cofog'!M63+'5.3 pályázat'!M63+'5.4 ogy, ep választás'!M63</f>
        <v>0</v>
      </c>
      <c r="N63" s="246">
        <f>'5.1 igazgatás cofog'!N63+'5.2 adó cofog'!N63+'5.3 pályázat'!N63+'5.4 ogy, ep választás'!N63</f>
        <v>0</v>
      </c>
    </row>
    <row r="64" spans="1:14" ht="15.75" hidden="1" thickBot="1" x14ac:dyDescent="0.3">
      <c r="A64" s="53" t="s">
        <v>126</v>
      </c>
      <c r="B64" s="62" t="s">
        <v>127</v>
      </c>
      <c r="C64" s="246">
        <f>'5.1 igazgatás cofog'!C64+'5.2 adó cofog'!C64+'5.3 pályázat'!C64</f>
        <v>0</v>
      </c>
      <c r="D64" s="246">
        <f>'5.1 igazgatás cofog'!D64+'5.2 adó cofog'!D64+'5.3 pályázat'!D64</f>
        <v>0</v>
      </c>
      <c r="E64" s="246">
        <f>'5.1 igazgatás cofog'!E64+'5.2 adó cofog'!E64+'5.3 pályázat'!E64</f>
        <v>0</v>
      </c>
      <c r="F64" s="246">
        <f>'5.1 igazgatás cofog'!F64+'5.2 adó cofog'!F64+'5.3 pályázat'!F64+'5.4 ogy, ep választás'!F64</f>
        <v>0</v>
      </c>
      <c r="G64" s="246">
        <f>'5.1 igazgatás cofog'!G64+'5.2 adó cofog'!G64+'5.3 pályázat'!G64+'5.4 ogy, ep választás'!G64</f>
        <v>0</v>
      </c>
      <c r="H64" s="246">
        <f>'5.1 igazgatás cofog'!H64+'5.2 adó cofog'!H64+'5.3 pályázat'!H64+'5.4 ogy, ep választás'!H64</f>
        <v>0</v>
      </c>
      <c r="I64" s="246">
        <f>'5.1 igazgatás cofog'!I64+'5.2 adó cofog'!I64+'5.3 pályázat'!I64+'5.4 ogy, ep választás'!I64</f>
        <v>0</v>
      </c>
      <c r="J64" s="246">
        <f>'5.1 igazgatás cofog'!J64+'5.2 adó cofog'!J64+'5.3 pályázat'!J64+'5.4 ogy, ep választás'!J64</f>
        <v>0</v>
      </c>
      <c r="K64" s="246">
        <f>'5.1 igazgatás cofog'!K64+'5.2 adó cofog'!K64+'5.3 pályázat'!K64+'5.4 ogy, ep választás'!K64</f>
        <v>0</v>
      </c>
      <c r="L64" s="246">
        <f>'5.1 igazgatás cofog'!L64+'5.2 adó cofog'!L64+'5.3 pályázat'!L64+'5.4 ogy, ep választás'!L64</f>
        <v>0</v>
      </c>
      <c r="M64" s="246">
        <f>'5.1 igazgatás cofog'!M64+'5.2 adó cofog'!M64+'5.3 pályázat'!M64+'5.4 ogy, ep választás'!M64</f>
        <v>0</v>
      </c>
      <c r="N64" s="246">
        <f>'5.1 igazgatás cofog'!N64+'5.2 adó cofog'!N64+'5.3 pályázat'!N64+'5.4 ogy, ep választás'!N64</f>
        <v>0</v>
      </c>
    </row>
    <row r="65" spans="1:14" ht="15.75" hidden="1" thickBot="1" x14ac:dyDescent="0.3">
      <c r="A65" s="53" t="s">
        <v>128</v>
      </c>
      <c r="B65" s="62" t="s">
        <v>129</v>
      </c>
      <c r="C65" s="246">
        <f>'5.1 igazgatás cofog'!C65+'5.2 adó cofog'!C65+'5.3 pályázat'!C65</f>
        <v>0</v>
      </c>
      <c r="D65" s="246">
        <f>'5.1 igazgatás cofog'!D65+'5.2 adó cofog'!D65+'5.3 pályázat'!D65</f>
        <v>0</v>
      </c>
      <c r="E65" s="246">
        <f>'5.1 igazgatás cofog'!E65+'5.2 adó cofog'!E65+'5.3 pályázat'!E65</f>
        <v>0</v>
      </c>
      <c r="F65" s="246">
        <f>'5.1 igazgatás cofog'!F65+'5.2 adó cofog'!F65+'5.3 pályázat'!F65+'5.4 ogy, ep választás'!F65</f>
        <v>0</v>
      </c>
      <c r="G65" s="246">
        <f>'5.1 igazgatás cofog'!G65+'5.2 adó cofog'!G65+'5.3 pályázat'!G65+'5.4 ogy, ep választás'!G65</f>
        <v>0</v>
      </c>
      <c r="H65" s="246">
        <f>'5.1 igazgatás cofog'!H65+'5.2 adó cofog'!H65+'5.3 pályázat'!H65+'5.4 ogy, ep választás'!H65</f>
        <v>0</v>
      </c>
      <c r="I65" s="246">
        <f>'5.1 igazgatás cofog'!I65+'5.2 adó cofog'!I65+'5.3 pályázat'!I65+'5.4 ogy, ep választás'!I65</f>
        <v>0</v>
      </c>
      <c r="J65" s="246">
        <f>'5.1 igazgatás cofog'!J65+'5.2 adó cofog'!J65+'5.3 pályázat'!J65+'5.4 ogy, ep választás'!J65</f>
        <v>0</v>
      </c>
      <c r="K65" s="246">
        <f>'5.1 igazgatás cofog'!K65+'5.2 adó cofog'!K65+'5.3 pályázat'!K65+'5.4 ogy, ep választás'!K65</f>
        <v>0</v>
      </c>
      <c r="L65" s="246">
        <f>'5.1 igazgatás cofog'!L65+'5.2 adó cofog'!L65+'5.3 pályázat'!L65+'5.4 ogy, ep választás'!L65</f>
        <v>0</v>
      </c>
      <c r="M65" s="246">
        <f>'5.1 igazgatás cofog'!M65+'5.2 adó cofog'!M65+'5.3 pályázat'!M65+'5.4 ogy, ep választás'!M65</f>
        <v>0</v>
      </c>
      <c r="N65" s="246">
        <f>'5.1 igazgatás cofog'!N65+'5.2 adó cofog'!N65+'5.3 pályázat'!N65+'5.4 ogy, ep választás'!N65</f>
        <v>0</v>
      </c>
    </row>
    <row r="66" spans="1:14" ht="15.75" hidden="1" thickBot="1" x14ac:dyDescent="0.3">
      <c r="A66" s="55" t="s">
        <v>130</v>
      </c>
      <c r="B66" s="64" t="s">
        <v>131</v>
      </c>
      <c r="C66" s="248">
        <f>'5.1 igazgatás cofog'!C66+'5.2 adó cofog'!C66+'5.3 pályázat'!C66</f>
        <v>0</v>
      </c>
      <c r="D66" s="248">
        <f>'5.1 igazgatás cofog'!D66+'5.2 adó cofog'!D66+'5.3 pályázat'!D66</f>
        <v>0</v>
      </c>
      <c r="E66" s="248">
        <f>'5.1 igazgatás cofog'!E66+'5.2 adó cofog'!E66+'5.3 pályázat'!E66</f>
        <v>0</v>
      </c>
      <c r="F66" s="248">
        <f>'5.1 igazgatás cofog'!F66+'5.2 adó cofog'!F66+'5.3 pályázat'!F66+'5.4 ogy, ep választás'!F66</f>
        <v>0</v>
      </c>
      <c r="G66" s="248">
        <f>'5.1 igazgatás cofog'!G66+'5.2 adó cofog'!G66+'5.3 pályázat'!G66+'5.4 ogy, ep választás'!G66</f>
        <v>0</v>
      </c>
      <c r="H66" s="248">
        <f>'5.1 igazgatás cofog'!H66+'5.2 adó cofog'!H66+'5.3 pályázat'!H66+'5.4 ogy, ep választás'!H66</f>
        <v>0</v>
      </c>
      <c r="I66" s="248">
        <f>'5.1 igazgatás cofog'!I66+'5.2 adó cofog'!I66+'5.3 pályázat'!I66+'5.4 ogy, ep választás'!I66</f>
        <v>0</v>
      </c>
      <c r="J66" s="248">
        <f>'5.1 igazgatás cofog'!J66+'5.2 adó cofog'!J66+'5.3 pályázat'!J66+'5.4 ogy, ep választás'!J66</f>
        <v>0</v>
      </c>
      <c r="K66" s="248">
        <f>'5.1 igazgatás cofog'!K66+'5.2 adó cofog'!K66+'5.3 pályázat'!K66+'5.4 ogy, ep választás'!K66</f>
        <v>0</v>
      </c>
      <c r="L66" s="248">
        <f>'5.1 igazgatás cofog'!L66+'5.2 adó cofog'!L66+'5.3 pályázat'!L66+'5.4 ogy, ep választás'!L66</f>
        <v>0</v>
      </c>
      <c r="M66" s="248">
        <f>'5.1 igazgatás cofog'!M66+'5.2 adó cofog'!M66+'5.3 pályázat'!M66+'5.4 ogy, ep választás'!M66</f>
        <v>0</v>
      </c>
      <c r="N66" s="248">
        <f>'5.1 igazgatás cofog'!N66+'5.2 adó cofog'!N66+'5.3 pályázat'!N66+'5.4 ogy, ep választás'!N66</f>
        <v>0</v>
      </c>
    </row>
    <row r="67" spans="1:14" ht="15.75" thickBot="1" x14ac:dyDescent="0.3">
      <c r="A67" s="52" t="s">
        <v>132</v>
      </c>
      <c r="B67" s="48" t="s">
        <v>133</v>
      </c>
      <c r="C67" s="244">
        <f>'5.1 igazgatás cofog'!C67+'5.2 adó cofog'!C67+'5.3 pályázat'!C67</f>
        <v>0</v>
      </c>
      <c r="D67" s="244">
        <f>'5.1 igazgatás cofog'!D67+'5.2 adó cofog'!D67+'5.3 pályázat'!D67</f>
        <v>0</v>
      </c>
      <c r="E67" s="244">
        <f>'5.1 igazgatás cofog'!E67+'5.2 adó cofog'!E67+'5.3 pályázat'!E67</f>
        <v>0</v>
      </c>
      <c r="F67" s="244">
        <f>'5.1 igazgatás cofog'!F67+'5.2 adó cofog'!F67+'5.3 pályázat'!F67+'5.4 ogy, ep választás'!F67</f>
        <v>0</v>
      </c>
      <c r="G67" s="244">
        <f>'5.1 igazgatás cofog'!G67+'5.2 adó cofog'!G67+'5.3 pályázat'!G67+'5.4 ogy, ep választás'!G67</f>
        <v>0</v>
      </c>
      <c r="H67" s="244">
        <f>'5.1 igazgatás cofog'!H67+'5.2 adó cofog'!H67+'5.3 pályázat'!H67+'5.4 ogy, ep választás'!H67</f>
        <v>0</v>
      </c>
      <c r="I67" s="244">
        <f>'5.1 igazgatás cofog'!I67+'5.2 adó cofog'!I67+'5.3 pályázat'!I67+'5.4 ogy, ep választás'!I67</f>
        <v>0</v>
      </c>
      <c r="J67" s="244">
        <f>'5.1 igazgatás cofog'!J67+'5.2 adó cofog'!J67+'5.3 pályázat'!J67+'5.4 ogy, ep választás'!J67</f>
        <v>0</v>
      </c>
      <c r="K67" s="244">
        <f>'5.1 igazgatás cofog'!K67+'5.2 adó cofog'!K67+'5.3 pályázat'!K67+'5.4 ogy, ep választás'!K67</f>
        <v>0</v>
      </c>
      <c r="L67" s="244">
        <f>'5.1 igazgatás cofog'!L67+'5.2 adó cofog'!L67+'5.3 pályázat'!L67+'5.4 ogy, ep választás'!L67</f>
        <v>0</v>
      </c>
      <c r="M67" s="244">
        <f>'5.1 igazgatás cofog'!M67+'5.2 adó cofog'!M67+'5.3 pályázat'!M67+'5.4 ogy, ep választás'!M67</f>
        <v>0</v>
      </c>
      <c r="N67" s="244">
        <f>'5.1 igazgatás cofog'!N67+'5.2 adó cofog'!N67+'5.3 pályázat'!N67+'5.4 ogy, ep választás'!N67</f>
        <v>0</v>
      </c>
    </row>
    <row r="68" spans="1:14" ht="15.75" hidden="1" thickBot="1" x14ac:dyDescent="0.3">
      <c r="A68" s="53" t="s">
        <v>134</v>
      </c>
      <c r="B68" s="62" t="s">
        <v>135</v>
      </c>
      <c r="C68" s="246">
        <f>'5.1 igazgatás cofog'!C68+'5.2 adó cofog'!C68+'5.3 pályázat'!C68</f>
        <v>0</v>
      </c>
      <c r="D68" s="246">
        <f>'5.1 igazgatás cofog'!D68+'5.2 adó cofog'!D68+'5.3 pályázat'!D68</f>
        <v>0</v>
      </c>
      <c r="E68" s="246">
        <f>'5.1 igazgatás cofog'!E68+'5.2 adó cofog'!E68+'5.3 pályázat'!E68</f>
        <v>0</v>
      </c>
      <c r="F68" s="246">
        <f>'5.1 igazgatás cofog'!F68+'5.2 adó cofog'!F68+'5.3 pályázat'!F68+'5.4 ogy, ep választás'!F68</f>
        <v>0</v>
      </c>
      <c r="G68" s="246">
        <f>'5.1 igazgatás cofog'!G68+'5.2 adó cofog'!G68+'5.3 pályázat'!G68+'5.4 ogy, ep választás'!G68</f>
        <v>0</v>
      </c>
      <c r="H68" s="246">
        <f>'5.1 igazgatás cofog'!H68+'5.2 adó cofog'!H68+'5.3 pályázat'!H68+'5.4 ogy, ep választás'!H68</f>
        <v>0</v>
      </c>
      <c r="I68" s="246">
        <f>'5.1 igazgatás cofog'!I68+'5.2 adó cofog'!I68+'5.3 pályázat'!I68+'5.4 ogy, ep választás'!I68</f>
        <v>0</v>
      </c>
      <c r="J68" s="246">
        <f>'5.1 igazgatás cofog'!J68+'5.2 adó cofog'!J68+'5.3 pályázat'!J68+'5.4 ogy, ep választás'!J68</f>
        <v>0</v>
      </c>
      <c r="K68" s="246">
        <f>'5.1 igazgatás cofog'!K68+'5.2 adó cofog'!K68+'5.3 pályázat'!K68+'5.4 ogy, ep választás'!K68</f>
        <v>0</v>
      </c>
      <c r="L68" s="246">
        <f>'5.1 igazgatás cofog'!L68+'5.2 adó cofog'!L68+'5.3 pályázat'!L68+'5.4 ogy, ep választás'!L68</f>
        <v>0</v>
      </c>
      <c r="M68" s="246">
        <f>'5.1 igazgatás cofog'!M68+'5.2 adó cofog'!M68+'5.3 pályázat'!M68+'5.4 ogy, ep választás'!M68</f>
        <v>0</v>
      </c>
      <c r="N68" s="246">
        <f>'5.1 igazgatás cofog'!N68+'5.2 adó cofog'!N68+'5.3 pályázat'!N68+'5.4 ogy, ep választás'!N68</f>
        <v>0</v>
      </c>
    </row>
    <row r="69" spans="1:14" ht="15.75" hidden="1" thickBot="1" x14ac:dyDescent="0.3">
      <c r="A69" s="55" t="s">
        <v>136</v>
      </c>
      <c r="B69" s="64" t="s">
        <v>137</v>
      </c>
      <c r="C69" s="248">
        <f>'5.1 igazgatás cofog'!C69+'5.2 adó cofog'!C69+'5.3 pályázat'!C69</f>
        <v>0</v>
      </c>
      <c r="D69" s="248">
        <f>'5.1 igazgatás cofog'!D69+'5.2 adó cofog'!D69+'5.3 pályázat'!D69</f>
        <v>0</v>
      </c>
      <c r="E69" s="248">
        <f>'5.1 igazgatás cofog'!E69+'5.2 adó cofog'!E69+'5.3 pályázat'!E69</f>
        <v>0</v>
      </c>
      <c r="F69" s="248">
        <f>'5.1 igazgatás cofog'!F69+'5.2 adó cofog'!F69+'5.3 pályázat'!F69+'5.4 ogy, ep választás'!F69</f>
        <v>0</v>
      </c>
      <c r="G69" s="248">
        <f>'5.1 igazgatás cofog'!G69+'5.2 adó cofog'!G69+'5.3 pályázat'!G69+'5.4 ogy, ep választás'!G69</f>
        <v>0</v>
      </c>
      <c r="H69" s="248">
        <f>'5.1 igazgatás cofog'!H69+'5.2 adó cofog'!H69+'5.3 pályázat'!H69+'5.4 ogy, ep választás'!H69</f>
        <v>0</v>
      </c>
      <c r="I69" s="248">
        <f>'5.1 igazgatás cofog'!I69+'5.2 adó cofog'!I69+'5.3 pályázat'!I69+'5.4 ogy, ep választás'!I69</f>
        <v>0</v>
      </c>
      <c r="J69" s="248">
        <f>'5.1 igazgatás cofog'!J69+'5.2 adó cofog'!J69+'5.3 pályázat'!J69+'5.4 ogy, ep választás'!J69</f>
        <v>0</v>
      </c>
      <c r="K69" s="248">
        <f>'5.1 igazgatás cofog'!K69+'5.2 adó cofog'!K69+'5.3 pályázat'!K69+'5.4 ogy, ep választás'!K69</f>
        <v>0</v>
      </c>
      <c r="L69" s="248">
        <f>'5.1 igazgatás cofog'!L69+'5.2 adó cofog'!L69+'5.3 pályázat'!L69+'5.4 ogy, ep választás'!L69</f>
        <v>0</v>
      </c>
      <c r="M69" s="248">
        <f>'5.1 igazgatás cofog'!M69+'5.2 adó cofog'!M69+'5.3 pályázat'!M69+'5.4 ogy, ep választás'!M69</f>
        <v>0</v>
      </c>
      <c r="N69" s="248">
        <f>'5.1 igazgatás cofog'!N69+'5.2 adó cofog'!N69+'5.3 pályázat'!N69+'5.4 ogy, ep választás'!N69</f>
        <v>0</v>
      </c>
    </row>
    <row r="70" spans="1:14" x14ac:dyDescent="0.25">
      <c r="A70" s="52" t="s">
        <v>138</v>
      </c>
      <c r="B70" s="48" t="s">
        <v>139</v>
      </c>
      <c r="C70" s="244">
        <f>'5.1 igazgatás cofog'!C70+'5.2 adó cofog'!C70+'5.3 pályázat'!C70</f>
        <v>0</v>
      </c>
      <c r="D70" s="244">
        <f>'5.1 igazgatás cofog'!D70+'5.2 adó cofog'!D70+'5.3 pályázat'!D70</f>
        <v>0</v>
      </c>
      <c r="E70" s="244">
        <f>'5.1 igazgatás cofog'!E70+'5.2 adó cofog'!E70+'5.3 pályázat'!E70</f>
        <v>0</v>
      </c>
      <c r="F70" s="244">
        <f>'5.1 igazgatás cofog'!F70+'5.2 adó cofog'!F70+'5.3 pályázat'!F70+'5.4 ogy, ep választás'!F70</f>
        <v>0</v>
      </c>
      <c r="G70" s="244">
        <f>'5.1 igazgatás cofog'!G70+'5.2 adó cofog'!G70+'5.3 pályázat'!G70+'5.4 ogy, ep választás'!G70</f>
        <v>0</v>
      </c>
      <c r="H70" s="244">
        <f>'5.1 igazgatás cofog'!H70+'5.2 adó cofog'!H70+'5.3 pályázat'!H70+'5.4 ogy, ep választás'!H70</f>
        <v>0</v>
      </c>
      <c r="I70" s="244">
        <f>'5.1 igazgatás cofog'!I70+'5.2 adó cofog'!I70+'5.3 pályázat'!I70+'5.4 ogy, ep választás'!I70</f>
        <v>0</v>
      </c>
      <c r="J70" s="244">
        <f>'5.1 igazgatás cofog'!J70+'5.2 adó cofog'!J70+'5.3 pályázat'!J70+'5.4 ogy, ep választás'!J70</f>
        <v>0</v>
      </c>
      <c r="K70" s="244">
        <f>'5.1 igazgatás cofog'!K70+'5.2 adó cofog'!K70+'5.3 pályázat'!K70+'5.4 ogy, ep választás'!K70</f>
        <v>0</v>
      </c>
      <c r="L70" s="244">
        <f>'5.1 igazgatás cofog'!L70+'5.2 adó cofog'!L70+'5.3 pályázat'!L70+'5.4 ogy, ep választás'!L70</f>
        <v>0</v>
      </c>
      <c r="M70" s="244">
        <f>'5.1 igazgatás cofog'!M70+'5.2 adó cofog'!M70+'5.3 pályázat'!M70+'5.4 ogy, ep választás'!M70</f>
        <v>0</v>
      </c>
      <c r="N70" s="244">
        <f>'5.1 igazgatás cofog'!N70+'5.2 adó cofog'!N70+'5.3 pályázat'!N70+'5.4 ogy, ep választás'!N70</f>
        <v>0</v>
      </c>
    </row>
    <row r="71" spans="1:14" ht="15.75" hidden="1" thickBot="1" x14ac:dyDescent="0.3">
      <c r="A71" s="55"/>
      <c r="B71" s="64" t="s">
        <v>140</v>
      </c>
      <c r="C71" s="248">
        <f>'5.1 igazgatás cofog'!C71+'5.2 adó cofog'!C71+'5.3 pályázat'!C71</f>
        <v>0</v>
      </c>
      <c r="D71" s="248">
        <f>'5.1 igazgatás cofog'!D71+'5.2 adó cofog'!D71+'5.3 pályázat'!D71</f>
        <v>0</v>
      </c>
      <c r="E71" s="248">
        <f>'5.1 igazgatás cofog'!E71+'5.2 adó cofog'!E71+'5.3 pályázat'!E71</f>
        <v>0</v>
      </c>
      <c r="F71" s="248">
        <f>'5.1 igazgatás cofog'!F71+'5.2 adó cofog'!F71+'5.3 pályázat'!F71+'5.4 ogy, ep választás'!F71</f>
        <v>0</v>
      </c>
      <c r="G71" s="248">
        <f>'5.1 igazgatás cofog'!G71+'5.2 adó cofog'!G71+'5.3 pályázat'!G71+'5.4 ogy, ep választás'!G71</f>
        <v>0</v>
      </c>
      <c r="H71" s="248">
        <f>'5.1 igazgatás cofog'!H71+'5.2 adó cofog'!H71+'5.3 pályázat'!H71+'5.4 ogy, ep választás'!H71</f>
        <v>0</v>
      </c>
      <c r="I71" s="248">
        <f>'5.1 igazgatás cofog'!I71+'5.2 adó cofog'!I71+'5.3 pályázat'!I71+'5.4 ogy, ep választás'!I71</f>
        <v>0</v>
      </c>
      <c r="J71" s="248">
        <f>'5.1 igazgatás cofog'!J71+'5.2 adó cofog'!J71+'5.3 pályázat'!J71+'5.4 ogy, ep választás'!J71</f>
        <v>0</v>
      </c>
      <c r="K71" s="248">
        <f>'5.1 igazgatás cofog'!K71+'5.2 adó cofog'!K71+'5.3 pályázat'!K71+'5.4 ogy, ep választás'!K71</f>
        <v>0</v>
      </c>
      <c r="L71" s="248">
        <f>'5.1 igazgatás cofog'!L71+'5.2 adó cofog'!L71+'5.3 pályázat'!L71+'5.4 ogy, ep választás'!L71</f>
        <v>0</v>
      </c>
      <c r="M71" s="248">
        <f>'5.1 igazgatás cofog'!M71+'5.2 adó cofog'!M71+'5.3 pályázat'!M71+'5.4 ogy, ep választás'!M71</f>
        <v>0</v>
      </c>
      <c r="N71" s="248">
        <f>'5.1 igazgatás cofog'!N71+'5.2 adó cofog'!N71+'5.3 pályázat'!N71+'5.4 ogy, ep választás'!N71</f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ref="H72" si="0">SUM(F72:G72)</f>
        <v>0</v>
      </c>
      <c r="I72" s="254"/>
      <c r="J72" s="254"/>
      <c r="K72" s="249">
        <f t="shared" ref="K72" si="1">SUM(I72:J72)</f>
        <v>0</v>
      </c>
      <c r="L72" s="254"/>
      <c r="M72" s="254"/>
      <c r="N72" s="249">
        <f t="shared" ref="N72" si="2">SUM(L72:M72)</f>
        <v>0</v>
      </c>
    </row>
    <row r="73" spans="1:14" ht="15.75" thickBot="1" x14ac:dyDescent="0.3">
      <c r="A73" s="56" t="s">
        <v>141</v>
      </c>
      <c r="B73" s="47" t="s">
        <v>142</v>
      </c>
      <c r="C73" s="250">
        <f>'5.1 igazgatás cofog'!C73+'5.2 adó cofog'!C73+'5.3 pályázat'!C73</f>
        <v>420000</v>
      </c>
      <c r="D73" s="250">
        <f>'5.1 igazgatás cofog'!D73+'5.2 adó cofog'!D73+'5.3 pályázat'!D73</f>
        <v>0</v>
      </c>
      <c r="E73" s="250">
        <f>'5.1 igazgatás cofog'!E73+'5.2 adó cofog'!E73+'5.3 pályázat'!E73</f>
        <v>420000</v>
      </c>
      <c r="F73" s="248">
        <f>'5.1 igazgatás cofog'!F73+'5.2 adó cofog'!F73+'5.3 pályázat'!F73+'5.4 ogy, ep választás'!F73</f>
        <v>2718693</v>
      </c>
      <c r="G73" s="248">
        <f>'5.1 igazgatás cofog'!G73+'5.2 adó cofog'!G73+'5.3 pályázat'!G73+'5.4 ogy, ep választás'!G73</f>
        <v>0</v>
      </c>
      <c r="H73" s="248">
        <f>'5.1 igazgatás cofog'!H73+'5.2 adó cofog'!H73+'5.3 pályázat'!H73+'5.4 ogy, ep választás'!H73</f>
        <v>2718693</v>
      </c>
      <c r="I73" s="248">
        <f>'5.1 igazgatás cofog'!I73+'5.2 adó cofog'!I73+'5.3 pályázat'!I73+'5.4 ogy, ep választás'!I73</f>
        <v>2767102</v>
      </c>
      <c r="J73" s="248">
        <f>'5.1 igazgatás cofog'!J73+'5.2 adó cofog'!J73+'5.3 pályázat'!J73+'5.4 ogy, ep választás'!J73</f>
        <v>0</v>
      </c>
      <c r="K73" s="248">
        <f>'5.1 igazgatás cofog'!K73+'5.2 adó cofog'!K73+'5.3 pályázat'!K73+'5.4 ogy, ep választás'!K73</f>
        <v>2767102</v>
      </c>
      <c r="L73" s="248">
        <f>'5.1 igazgatás cofog'!L73+'5.2 adó cofog'!L73+'5.3 pályázat'!L73+'5.4 ogy, ep választás'!L73</f>
        <v>6657091</v>
      </c>
      <c r="M73" s="248">
        <f>'5.1 igazgatás cofog'!M73+'5.2 adó cofog'!M73+'5.3 pályázat'!M73+'5.4 ogy, ep választás'!M73</f>
        <v>0</v>
      </c>
      <c r="N73" s="248">
        <f>'5.1 igazgatás cofog'!N73+'5.2 adó cofog'!N73+'5.3 pályázat'!N73+'5.4 ogy, ep választás'!N73</f>
        <v>6657091</v>
      </c>
    </row>
    <row r="74" spans="1:14" x14ac:dyDescent="0.25">
      <c r="A74" s="57" t="s">
        <v>143</v>
      </c>
      <c r="B74" s="68" t="s">
        <v>144</v>
      </c>
      <c r="C74" s="244">
        <f>'5.1 igazgatás cofog'!C74+'5.2 adó cofog'!C74+'5.3 pályázat'!C74</f>
        <v>195476714</v>
      </c>
      <c r="D74" s="244">
        <f>'5.1 igazgatás cofog'!D74+'5.2 adó cofog'!D74+'5.3 pályázat'!D74</f>
        <v>0</v>
      </c>
      <c r="E74" s="244">
        <f>'5.1 igazgatás cofog'!E74+'5.2 adó cofog'!E74+'5.3 pályázat'!E74</f>
        <v>195476714</v>
      </c>
      <c r="F74" s="244">
        <f>'5.1 igazgatás cofog'!F74+'5.2 adó cofog'!F74+'5.3 pályázat'!F74+'5.4 ogy, ep választás'!F74</f>
        <v>195840961</v>
      </c>
      <c r="G74" s="244">
        <f>'5.1 igazgatás cofog'!G74+'5.2 adó cofog'!G74+'5.3 pályázat'!G74+'5.4 ogy, ep választás'!G74</f>
        <v>0</v>
      </c>
      <c r="H74" s="244">
        <f>'5.1 igazgatás cofog'!H74+'5.2 adó cofog'!H74+'5.3 pályázat'!H74+'5.4 ogy, ep választás'!H74</f>
        <v>195840961</v>
      </c>
      <c r="I74" s="244">
        <f>'5.1 igazgatás cofog'!I74+'5.2 adó cofog'!I74+'5.3 pályázat'!I74+'5.4 ogy, ep választás'!I74</f>
        <v>195792552</v>
      </c>
      <c r="J74" s="244">
        <f>'5.1 igazgatás cofog'!J74+'5.2 adó cofog'!J74+'5.3 pályázat'!J74+'5.4 ogy, ep választás'!J74</f>
        <v>0</v>
      </c>
      <c r="K74" s="244">
        <f>'5.1 igazgatás cofog'!K74+'5.2 adó cofog'!K74+'5.3 pályázat'!K74+'5.4 ogy, ep választás'!K74</f>
        <v>195792552</v>
      </c>
      <c r="L74" s="244">
        <f>'5.1 igazgatás cofog'!L74+'5.2 adó cofog'!L74+'5.3 pályázat'!L74+'5.4 ogy, ep választás'!L74</f>
        <v>164907387</v>
      </c>
      <c r="M74" s="244">
        <f>'5.1 igazgatás cofog'!M74+'5.2 adó cofog'!M74+'5.3 pályázat'!M74+'5.4 ogy, ep választás'!M74</f>
        <v>0</v>
      </c>
      <c r="N74" s="244">
        <f>'5.1 igazgatás cofog'!N74+'5.2 adó cofog'!N74+'5.3 pályázat'!N74+'5.4 ogy, ep választás'!N74</f>
        <v>164907387</v>
      </c>
    </row>
    <row r="75" spans="1:14" x14ac:dyDescent="0.25">
      <c r="A75" s="53" t="s">
        <v>145</v>
      </c>
      <c r="B75" s="62" t="s">
        <v>146</v>
      </c>
      <c r="C75" s="246">
        <f>'5.1 igazgatás cofog'!C75+'5.2 adó cofog'!C75+'5.3 pályázat'!C75</f>
        <v>195476714</v>
      </c>
      <c r="D75" s="246">
        <f>'5.1 igazgatás cofog'!D75+'5.2 adó cofog'!D75+'5.3 pályázat'!D75</f>
        <v>0</v>
      </c>
      <c r="E75" s="246">
        <f>'5.1 igazgatás cofog'!E75+'5.2 adó cofog'!E75+'5.3 pályázat'!E75</f>
        <v>195476714</v>
      </c>
      <c r="F75" s="246">
        <f>'5.1 igazgatás cofog'!F75+'5.2 adó cofog'!F75+'5.3 pályázat'!F75+'5.4 ogy, ep választás'!F75</f>
        <v>195840961</v>
      </c>
      <c r="G75" s="246">
        <f>'5.1 igazgatás cofog'!G75+'5.2 adó cofog'!G75+'5.3 pályázat'!G75+'5.4 ogy, ep választás'!G75</f>
        <v>0</v>
      </c>
      <c r="H75" s="246">
        <f>'5.1 igazgatás cofog'!H75+'5.2 adó cofog'!H75+'5.3 pályázat'!H75+'5.4 ogy, ep választás'!H75</f>
        <v>195840961</v>
      </c>
      <c r="I75" s="246">
        <f>'5.1 igazgatás cofog'!I75+'5.2 adó cofog'!I75+'5.3 pályázat'!I75+'5.4 ogy, ep választás'!I75</f>
        <v>195792552</v>
      </c>
      <c r="J75" s="246">
        <f>'5.1 igazgatás cofog'!J75+'5.2 adó cofog'!J75+'5.3 pályázat'!J75+'5.4 ogy, ep választás'!J75</f>
        <v>0</v>
      </c>
      <c r="K75" s="246">
        <f>'5.1 igazgatás cofog'!K75+'5.2 adó cofog'!K75+'5.3 pályázat'!K75+'5.4 ogy, ep választás'!K75</f>
        <v>195792552</v>
      </c>
      <c r="L75" s="246">
        <f>'5.1 igazgatás cofog'!L75+'5.2 adó cofog'!L75+'5.3 pályázat'!L75+'5.4 ogy, ep választás'!L75</f>
        <v>164907387</v>
      </c>
      <c r="M75" s="246">
        <f>'5.1 igazgatás cofog'!M75+'5.2 adó cofog'!M75+'5.3 pályázat'!M75+'5.4 ogy, ep választás'!M75</f>
        <v>0</v>
      </c>
      <c r="N75" s="246">
        <f>'5.1 igazgatás cofog'!N75+'5.2 adó cofog'!N75+'5.3 pályázat'!N75+'5.4 ogy, ep választás'!N75</f>
        <v>164907387</v>
      </c>
    </row>
    <row r="76" spans="1:14" hidden="1" x14ac:dyDescent="0.25">
      <c r="A76" s="53" t="s">
        <v>147</v>
      </c>
      <c r="B76" s="62" t="s">
        <v>148</v>
      </c>
      <c r="C76" s="246">
        <f>'5.1 igazgatás cofog'!C76+'5.2 adó cofog'!C76+'5.3 pályázat'!C76</f>
        <v>0</v>
      </c>
      <c r="D76" s="246">
        <f>'5.1 igazgatás cofog'!D76+'5.2 adó cofog'!D76+'5.3 pályázat'!D76</f>
        <v>0</v>
      </c>
      <c r="E76" s="246">
        <f>'5.1 igazgatás cofog'!E76+'5.2 adó cofog'!E76+'5.3 pályázat'!E76</f>
        <v>0</v>
      </c>
      <c r="F76" s="246">
        <f>'5.1 igazgatás cofog'!F76+'5.2 adó cofog'!F76+'5.3 pályázat'!F76+'5.4 ogy, ep választás'!F76</f>
        <v>0</v>
      </c>
      <c r="G76" s="246">
        <f>'5.1 igazgatás cofog'!G76+'5.2 adó cofog'!G76+'5.3 pályázat'!G76+'5.4 ogy, ep választás'!G76</f>
        <v>0</v>
      </c>
      <c r="H76" s="246">
        <f>'5.1 igazgatás cofog'!H76+'5.2 adó cofog'!H76+'5.3 pályázat'!H76+'5.4 ogy, ep választás'!H76</f>
        <v>0</v>
      </c>
      <c r="I76" s="246">
        <f>'5.1 igazgatás cofog'!I76+'5.2 adó cofog'!I76+'5.3 pályázat'!I76+'5.4 ogy, ep választás'!I76</f>
        <v>0</v>
      </c>
      <c r="J76" s="246">
        <f>'5.1 igazgatás cofog'!J76+'5.2 adó cofog'!J76+'5.3 pályázat'!J76+'5.4 ogy, ep választás'!J76</f>
        <v>0</v>
      </c>
      <c r="K76" s="246">
        <f>'5.1 igazgatás cofog'!K76+'5.2 adó cofog'!K76+'5.3 pályázat'!K76+'5.4 ogy, ep választás'!K76</f>
        <v>0</v>
      </c>
      <c r="L76" s="246">
        <f>'5.1 igazgatás cofog'!L76+'5.2 adó cofog'!L76+'5.3 pályázat'!L76+'5.4 ogy, ep választás'!L76</f>
        <v>0</v>
      </c>
      <c r="M76" s="246">
        <f>'5.1 igazgatás cofog'!M76+'5.2 adó cofog'!M76+'5.3 pályázat'!M76+'5.4 ogy, ep választás'!M76</f>
        <v>0</v>
      </c>
      <c r="N76" s="246">
        <f>'5.1 igazgatás cofog'!N76+'5.2 adó cofog'!N76+'5.3 pályázat'!N76+'5.4 ogy, ep választás'!N76</f>
        <v>0</v>
      </c>
    </row>
    <row r="77" spans="1:14" hidden="1" x14ac:dyDescent="0.25">
      <c r="A77" s="53" t="s">
        <v>149</v>
      </c>
      <c r="B77" s="62" t="s">
        <v>150</v>
      </c>
      <c r="C77" s="246">
        <f>'5.1 igazgatás cofog'!C77+'5.2 adó cofog'!C77+'5.3 pályázat'!C77</f>
        <v>0</v>
      </c>
      <c r="D77" s="246">
        <f>'5.1 igazgatás cofog'!D77+'5.2 adó cofog'!D77+'5.3 pályázat'!D77</f>
        <v>0</v>
      </c>
      <c r="E77" s="246">
        <f>'5.1 igazgatás cofog'!E77+'5.2 adó cofog'!E77+'5.3 pályázat'!E77</f>
        <v>0</v>
      </c>
      <c r="F77" s="246">
        <f>'5.1 igazgatás cofog'!F77+'5.2 adó cofog'!F77+'5.3 pályázat'!F77+'5.4 ogy, ep választás'!F77</f>
        <v>0</v>
      </c>
      <c r="G77" s="246">
        <f>'5.1 igazgatás cofog'!G77+'5.2 adó cofog'!G77+'5.3 pályázat'!G77+'5.4 ogy, ep választás'!G77</f>
        <v>0</v>
      </c>
      <c r="H77" s="246">
        <f>'5.1 igazgatás cofog'!H77+'5.2 adó cofog'!H77+'5.3 pályázat'!H77+'5.4 ogy, ep választás'!H77</f>
        <v>0</v>
      </c>
      <c r="I77" s="246">
        <f>'5.1 igazgatás cofog'!I77+'5.2 adó cofog'!I77+'5.3 pályázat'!I77+'5.4 ogy, ep választás'!I77</f>
        <v>0</v>
      </c>
      <c r="J77" s="246">
        <f>'5.1 igazgatás cofog'!J77+'5.2 adó cofog'!J77+'5.3 pályázat'!J77+'5.4 ogy, ep választás'!J77</f>
        <v>0</v>
      </c>
      <c r="K77" s="246">
        <f>'5.1 igazgatás cofog'!K77+'5.2 adó cofog'!K77+'5.3 pályázat'!K77+'5.4 ogy, ep választás'!K77</f>
        <v>0</v>
      </c>
      <c r="L77" s="246">
        <f>'5.1 igazgatás cofog'!L77+'5.2 adó cofog'!L77+'5.3 pályázat'!L77+'5.4 ogy, ep választás'!L77</f>
        <v>0</v>
      </c>
      <c r="M77" s="246">
        <f>'5.1 igazgatás cofog'!M77+'5.2 adó cofog'!M77+'5.3 pályázat'!M77+'5.4 ogy, ep választás'!M77</f>
        <v>0</v>
      </c>
      <c r="N77" s="246">
        <f>'5.1 igazgatás cofog'!N77+'5.2 adó cofog'!N77+'5.3 pályázat'!N77+'5.4 ogy, ep választás'!N77</f>
        <v>0</v>
      </c>
    </row>
    <row r="78" spans="1:14" hidden="1" x14ac:dyDescent="0.25">
      <c r="A78" s="53" t="s">
        <v>151</v>
      </c>
      <c r="B78" s="62" t="s">
        <v>152</v>
      </c>
      <c r="C78" s="246">
        <f>'5.1 igazgatás cofog'!C78+'5.2 adó cofog'!C78+'5.3 pályázat'!C78</f>
        <v>0</v>
      </c>
      <c r="D78" s="246">
        <f>'5.1 igazgatás cofog'!D78+'5.2 adó cofog'!D78+'5.3 pályázat'!D78</f>
        <v>0</v>
      </c>
      <c r="E78" s="246">
        <f>'5.1 igazgatás cofog'!E78+'5.2 adó cofog'!E78+'5.3 pályázat'!E78</f>
        <v>0</v>
      </c>
      <c r="F78" s="246">
        <f>'5.1 igazgatás cofog'!F78+'5.2 adó cofog'!F78+'5.3 pályázat'!F78+'5.4 ogy, ep választás'!F78</f>
        <v>0</v>
      </c>
      <c r="G78" s="246">
        <f>'5.1 igazgatás cofog'!G78+'5.2 adó cofog'!G78+'5.3 pályázat'!G78+'5.4 ogy, ep választás'!G78</f>
        <v>0</v>
      </c>
      <c r="H78" s="246">
        <f>'5.1 igazgatás cofog'!H78+'5.2 adó cofog'!H78+'5.3 pályázat'!H78+'5.4 ogy, ep választás'!H78</f>
        <v>0</v>
      </c>
      <c r="I78" s="246">
        <f>'5.1 igazgatás cofog'!I78+'5.2 adó cofog'!I78+'5.3 pályázat'!I78+'5.4 ogy, ep választás'!I78</f>
        <v>0</v>
      </c>
      <c r="J78" s="246">
        <f>'5.1 igazgatás cofog'!J78+'5.2 adó cofog'!J78+'5.3 pályázat'!J78+'5.4 ogy, ep választás'!J78</f>
        <v>0</v>
      </c>
      <c r="K78" s="246">
        <f>'5.1 igazgatás cofog'!K78+'5.2 adó cofog'!K78+'5.3 pályázat'!K78+'5.4 ogy, ep választás'!K78</f>
        <v>0</v>
      </c>
      <c r="L78" s="246">
        <f>'5.1 igazgatás cofog'!L78+'5.2 adó cofog'!L78+'5.3 pályázat'!L78+'5.4 ogy, ep választás'!L78</f>
        <v>0</v>
      </c>
      <c r="M78" s="246">
        <f>'5.1 igazgatás cofog'!M78+'5.2 adó cofog'!M78+'5.3 pályázat'!M78+'5.4 ogy, ep választás'!M78</f>
        <v>0</v>
      </c>
      <c r="N78" s="246">
        <f>'5.1 igazgatás cofog'!N78+'5.2 adó cofog'!N78+'5.3 pályázat'!N78+'5.4 ogy, ep választás'!N78</f>
        <v>0</v>
      </c>
    </row>
    <row r="79" spans="1:14" x14ac:dyDescent="0.25">
      <c r="A79" s="53" t="s">
        <v>153</v>
      </c>
      <c r="B79" s="62" t="s">
        <v>154</v>
      </c>
      <c r="C79" s="246">
        <f>'5.1 igazgatás cofog'!C79+'5.2 adó cofog'!C79+'5.3 pályázat'!C79</f>
        <v>0</v>
      </c>
      <c r="D79" s="246">
        <f>'5.1 igazgatás cofog'!D79+'5.2 adó cofog'!D79+'5.3 pályázat'!D79</f>
        <v>0</v>
      </c>
      <c r="E79" s="246">
        <f>'5.1 igazgatás cofog'!E79+'5.2 adó cofog'!E79+'5.3 pályázat'!E79</f>
        <v>0</v>
      </c>
      <c r="F79" s="246">
        <f>'5.1 igazgatás cofog'!F79+'5.2 adó cofog'!F79+'5.3 pályázat'!F79+'5.4 ogy, ep választás'!F79</f>
        <v>456891</v>
      </c>
      <c r="G79" s="246">
        <f>'5.1 igazgatás cofog'!G79+'5.2 adó cofog'!G79+'5.3 pályázat'!G79+'5.4 ogy, ep választás'!G79</f>
        <v>0</v>
      </c>
      <c r="H79" s="246">
        <f>'5.1 igazgatás cofog'!H79+'5.2 adó cofog'!H79+'5.3 pályázat'!H79+'5.4 ogy, ep választás'!H79</f>
        <v>456891</v>
      </c>
      <c r="I79" s="246">
        <f>'5.1 igazgatás cofog'!I79+'5.2 adó cofog'!I79+'5.3 pályázat'!I79+'5.4 ogy, ep választás'!I79</f>
        <v>456891</v>
      </c>
      <c r="J79" s="246">
        <f>'5.1 igazgatás cofog'!J79+'5.2 adó cofog'!J79+'5.3 pályázat'!J79+'5.4 ogy, ep választás'!J79</f>
        <v>0</v>
      </c>
      <c r="K79" s="246">
        <f>'5.1 igazgatás cofog'!K79+'5.2 adó cofog'!K79+'5.3 pályázat'!K79+'5.4 ogy, ep választás'!K79</f>
        <v>456891</v>
      </c>
      <c r="L79" s="246">
        <f>'5.1 igazgatás cofog'!L79+'5.2 adó cofog'!L79+'5.3 pályázat'!L79+'5.4 ogy, ep választás'!L79</f>
        <v>456891</v>
      </c>
      <c r="M79" s="246">
        <f>'5.1 igazgatás cofog'!M79+'5.2 adó cofog'!M79+'5.3 pályázat'!M79+'5.4 ogy, ep választás'!M79</f>
        <v>0</v>
      </c>
      <c r="N79" s="246">
        <f>'5.1 igazgatás cofog'!N79+'5.2 adó cofog'!N79+'5.3 pályázat'!N79+'5.4 ogy, ep választás'!N79</f>
        <v>456891</v>
      </c>
    </row>
    <row r="80" spans="1:14" x14ac:dyDescent="0.25">
      <c r="A80" s="53"/>
      <c r="B80" s="62" t="s">
        <v>29</v>
      </c>
      <c r="C80" s="246">
        <f>'5.1 igazgatás cofog'!C80+'5.2 adó cofog'!C80+'5.3 pályázat'!C80</f>
        <v>0</v>
      </c>
      <c r="D80" s="246">
        <f>'5.1 igazgatás cofog'!D80+'5.2 adó cofog'!D80+'5.3 pályázat'!D80</f>
        <v>0</v>
      </c>
      <c r="E80" s="246">
        <f>'5.1 igazgatás cofog'!E80+'5.2 adó cofog'!E80+'5.3 pályázat'!E80</f>
        <v>0</v>
      </c>
      <c r="F80" s="246">
        <f>'5.1 igazgatás cofog'!F80+'5.2 adó cofog'!F80+'5.3 pályázat'!F80+'5.4 ogy, ep választás'!F80</f>
        <v>456891</v>
      </c>
      <c r="G80" s="246">
        <f>'5.1 igazgatás cofog'!G80+'5.2 adó cofog'!G80+'5.3 pályázat'!G80+'5.4 ogy, ep választás'!G80</f>
        <v>0</v>
      </c>
      <c r="H80" s="246">
        <f>'5.1 igazgatás cofog'!H80+'5.2 adó cofog'!H80+'5.3 pályázat'!H80+'5.4 ogy, ep választás'!H80</f>
        <v>456891</v>
      </c>
      <c r="I80" s="246">
        <f>'5.1 igazgatás cofog'!I80+'5.2 adó cofog'!I80+'5.3 pályázat'!I80+'5.4 ogy, ep választás'!I80</f>
        <v>456891</v>
      </c>
      <c r="J80" s="246">
        <f>'5.1 igazgatás cofog'!J80+'5.2 adó cofog'!J80+'5.3 pályázat'!J80+'5.4 ogy, ep választás'!J80</f>
        <v>0</v>
      </c>
      <c r="K80" s="316">
        <f>'5.1 igazgatás cofog'!K80+'5.2 adó cofog'!K80+'5.3 pályázat'!K80+'5.4 ogy, ep választás'!K80</f>
        <v>456891</v>
      </c>
      <c r="L80" s="246">
        <f>'5.1 igazgatás cofog'!L80+'5.2 adó cofog'!L80+'5.3 pályázat'!L80+'5.4 ogy, ep választás'!L80</f>
        <v>456891</v>
      </c>
      <c r="M80" s="246">
        <f>'5.1 igazgatás cofog'!M80+'5.2 adó cofog'!M80+'5.3 pályázat'!M80+'5.4 ogy, ep választás'!M80</f>
        <v>0</v>
      </c>
      <c r="N80" s="316">
        <f>'5.1 igazgatás cofog'!N80+'5.2 adó cofog'!N80+'5.3 pályázat'!N80+'5.4 ogy, ep választás'!N80</f>
        <v>456891</v>
      </c>
    </row>
    <row r="81" spans="1:14" x14ac:dyDescent="0.25">
      <c r="A81" s="53"/>
      <c r="B81" s="62" t="s">
        <v>30</v>
      </c>
      <c r="C81" s="246">
        <f>'5.1 igazgatás cofog'!C81+'5.2 adó cofog'!C81+'5.3 pályázat'!C81</f>
        <v>0</v>
      </c>
      <c r="D81" s="246">
        <f>'5.1 igazgatás cofog'!D81+'5.2 adó cofog'!D81+'5.3 pályázat'!D81</f>
        <v>0</v>
      </c>
      <c r="E81" s="246">
        <f>'5.1 igazgatás cofog'!E81+'5.2 adó cofog'!E81+'5.3 pályázat'!E81</f>
        <v>0</v>
      </c>
      <c r="F81" s="246">
        <f>'5.1 igazgatás cofog'!F81+'5.2 adó cofog'!F81+'5.3 pályázat'!F81+'5.4 ogy, ep választás'!F81</f>
        <v>0</v>
      </c>
      <c r="G81" s="246">
        <f>'5.1 igazgatás cofog'!G81+'5.2 adó cofog'!G81+'5.3 pályázat'!G81+'5.4 ogy, ep választás'!G81</f>
        <v>0</v>
      </c>
      <c r="H81" s="246">
        <f>'5.1 igazgatás cofog'!H81+'5.2 adó cofog'!H81+'5.3 pályázat'!H81+'5.4 ogy, ep választás'!H81</f>
        <v>0</v>
      </c>
      <c r="I81" s="246">
        <f>'5.1 igazgatás cofog'!I81+'5.2 adó cofog'!I81+'5.3 pályázat'!I81+'5.4 ogy, ep választás'!I81</f>
        <v>0</v>
      </c>
      <c r="J81" s="246">
        <f>'5.1 igazgatás cofog'!J81+'5.2 adó cofog'!J81+'5.3 pályázat'!J81+'5.4 ogy, ep választás'!J81</f>
        <v>0</v>
      </c>
      <c r="K81" s="246">
        <f>'5.1 igazgatás cofog'!K81+'5.2 adó cofog'!K81+'5.3 pályázat'!K81+'5.4 ogy, ep választás'!K81</f>
        <v>0</v>
      </c>
      <c r="L81" s="246">
        <f>'5.1 igazgatás cofog'!L81+'5.2 adó cofog'!L81+'5.3 pályázat'!L81+'5.4 ogy, ep választás'!L81</f>
        <v>0</v>
      </c>
      <c r="M81" s="246">
        <f>'5.1 igazgatás cofog'!M81+'5.2 adó cofog'!M81+'5.3 pályázat'!M81+'5.4 ogy, ep választás'!M81</f>
        <v>0</v>
      </c>
      <c r="N81" s="246">
        <f>'5.1 igazgatás cofog'!N81+'5.2 adó cofog'!N81+'5.3 pályázat'!N81+'5.4 ogy, ep választás'!N81</f>
        <v>0</v>
      </c>
    </row>
    <row r="82" spans="1:14" s="179" customFormat="1" x14ac:dyDescent="0.25">
      <c r="A82" s="184" t="s">
        <v>543</v>
      </c>
      <c r="B82" s="180" t="s">
        <v>337</v>
      </c>
      <c r="C82" s="246">
        <f>'5.1 igazgatás cofog'!C82+'5.2 adó cofog'!C82+'5.3 pályázat'!C82</f>
        <v>0</v>
      </c>
      <c r="D82" s="246">
        <f>'5.1 igazgatás cofog'!D82+'5.2 adó cofog'!D82+'5.3 pályázat'!D82</f>
        <v>0</v>
      </c>
      <c r="E82" s="246">
        <f>'5.1 igazgatás cofog'!E82+'5.2 adó cofog'!E82+'5.3 pályázat'!E82</f>
        <v>0</v>
      </c>
      <c r="F82" s="246">
        <f>'5.1 igazgatás cofog'!F82+'5.2 adó cofog'!F82+'5.3 pályázat'!F82+'5.4 ogy, ep választás'!F82</f>
        <v>0</v>
      </c>
      <c r="G82" s="246">
        <f>'5.1 igazgatás cofog'!G82+'5.2 adó cofog'!G82+'5.3 pályázat'!G82+'5.4 ogy, ep választás'!G82</f>
        <v>0</v>
      </c>
      <c r="H82" s="246">
        <f>'5.1 igazgatás cofog'!H82+'5.2 adó cofog'!H82+'5.3 pályázat'!H82+'5.4 ogy, ep választás'!H82</f>
        <v>0</v>
      </c>
      <c r="I82" s="246">
        <f>'5.1 igazgatás cofog'!I82+'5.2 adó cofog'!I82+'5.3 pályázat'!I82+'5.4 ogy, ep választás'!I82</f>
        <v>0</v>
      </c>
      <c r="J82" s="246">
        <f>'5.1 igazgatás cofog'!J82+'5.2 adó cofog'!J82+'5.3 pályázat'!J82+'5.4 ogy, ep választás'!J82</f>
        <v>0</v>
      </c>
      <c r="K82" s="246">
        <f>'5.1 igazgatás cofog'!K82+'5.2 adó cofog'!K82+'5.3 pályázat'!K82+'5.4 ogy, ep választás'!K82</f>
        <v>0</v>
      </c>
      <c r="L82" s="246">
        <f>'5.1 igazgatás cofog'!L82+'5.2 adó cofog'!L82+'5.3 pályázat'!L82+'5.4 ogy, ep választás'!L82</f>
        <v>0</v>
      </c>
      <c r="M82" s="246">
        <f>'5.1 igazgatás cofog'!M82+'5.2 adó cofog'!M82+'5.3 pályázat'!M82+'5.4 ogy, ep választás'!M82</f>
        <v>0</v>
      </c>
      <c r="N82" s="246">
        <f>'5.1 igazgatás cofog'!N82+'5.2 adó cofog'!N82+'5.3 pályázat'!N82+'5.4 ogy, ep választás'!N82</f>
        <v>0</v>
      </c>
    </row>
    <row r="83" spans="1:14" x14ac:dyDescent="0.25">
      <c r="A83" s="53" t="s">
        <v>155</v>
      </c>
      <c r="B83" s="62" t="s">
        <v>156</v>
      </c>
      <c r="C83" s="246">
        <f>'5.1 igazgatás cofog'!C83+'5.2 adó cofog'!C83+'5.3 pályázat'!C83</f>
        <v>195476714</v>
      </c>
      <c r="D83" s="246">
        <f>'5.1 igazgatás cofog'!D83+'5.2 adó cofog'!D83+'5.3 pályázat'!D83</f>
        <v>0</v>
      </c>
      <c r="E83" s="246">
        <f>'5.1 igazgatás cofog'!E83+'5.2 adó cofog'!E83+'5.3 pályázat'!E83</f>
        <v>195476714</v>
      </c>
      <c r="F83" s="246">
        <f>'5.1 igazgatás cofog'!F83+'5.2 adó cofog'!F83+'5.3 pályázat'!F83+'5.4 ogy, ep választás'!F83</f>
        <v>195384070</v>
      </c>
      <c r="G83" s="246">
        <f>'5.1 igazgatás cofog'!G83+'5.2 adó cofog'!G83+'5.3 pályázat'!G83+'5.4 ogy, ep választás'!G83</f>
        <v>0</v>
      </c>
      <c r="H83" s="246">
        <f>'5.1 igazgatás cofog'!H83+'5.2 adó cofog'!H83+'5.3 pályázat'!H83+'5.4 ogy, ep választás'!H83</f>
        <v>195384070</v>
      </c>
      <c r="I83" s="246">
        <f>'5.1 igazgatás cofog'!I83+'5.2 adó cofog'!I83+'5.3 pályázat'!I83+'5.4 ogy, ep választás'!I83</f>
        <v>195335661</v>
      </c>
      <c r="J83" s="246">
        <f>'5.1 igazgatás cofog'!J83+'5.2 adó cofog'!J83+'5.3 pályázat'!J83+'5.4 ogy, ep választás'!J83</f>
        <v>0</v>
      </c>
      <c r="K83" s="246">
        <f>'5.1 igazgatás cofog'!K83+'5.2 adó cofog'!K83+'5.3 pályázat'!K83+'5.4 ogy, ep választás'!K83</f>
        <v>195335661</v>
      </c>
      <c r="L83" s="246">
        <f>'5.1 igazgatás cofog'!L83+'5.2 adó cofog'!L83+'5.3 pályázat'!L83+'5.4 ogy, ep választás'!L83</f>
        <v>164450496</v>
      </c>
      <c r="M83" s="246">
        <f>'5.1 igazgatás cofog'!M83+'5.2 adó cofog'!M83+'5.3 pályázat'!M83+'5.4 ogy, ep választás'!M83</f>
        <v>0</v>
      </c>
      <c r="N83" s="246">
        <f>'5.1 igazgatás cofog'!N83+'5.2 adó cofog'!N83+'5.3 pályázat'!N83+'5.4 ogy, ep választás'!N83</f>
        <v>164450496</v>
      </c>
    </row>
    <row r="84" spans="1:14" ht="15.75" thickBot="1" x14ac:dyDescent="0.3">
      <c r="A84" s="55" t="s">
        <v>157</v>
      </c>
      <c r="B84" s="64" t="s">
        <v>158</v>
      </c>
      <c r="C84" s="248">
        <f>'5.1 igazgatás cofog'!C84+'5.2 adó cofog'!C84+'5.3 pályázat'!C84</f>
        <v>0</v>
      </c>
      <c r="D84" s="248">
        <f>'5.1 igazgatás cofog'!D84+'5.2 adó cofog'!D84+'5.3 pályázat'!D84</f>
        <v>0</v>
      </c>
      <c r="E84" s="248">
        <f>'5.1 igazgatás cofog'!E84+'5.2 adó cofog'!E84+'5.3 pályázat'!E84</f>
        <v>0</v>
      </c>
      <c r="F84" s="248">
        <f>'5.1 igazgatás cofog'!F84+'5.2 adó cofog'!F84+'5.3 pályázat'!F84+'5.4 ogy, ep választás'!F84</f>
        <v>0</v>
      </c>
      <c r="G84" s="248">
        <f>'5.1 igazgatás cofog'!G84+'5.2 adó cofog'!G84+'5.3 pályázat'!G84+'5.4 ogy, ep választás'!G84</f>
        <v>0</v>
      </c>
      <c r="H84" s="248">
        <f>'5.1 igazgatás cofog'!H84+'5.2 adó cofog'!H84+'5.3 pályázat'!H84+'5.4 ogy, ep választás'!H84</f>
        <v>0</v>
      </c>
      <c r="I84" s="248">
        <f>'5.1 igazgatás cofog'!I84+'5.2 adó cofog'!I84+'5.3 pályázat'!I84+'5.4 ogy, ep választás'!I84</f>
        <v>0</v>
      </c>
      <c r="J84" s="248">
        <f>'5.1 igazgatás cofog'!J84+'5.2 adó cofog'!J84+'5.3 pályázat'!J84+'5.4 ogy, ep választás'!J84</f>
        <v>0</v>
      </c>
      <c r="K84" s="248">
        <f>'5.1 igazgatás cofog'!K84+'5.2 adó cofog'!K84+'5.3 pályázat'!K84+'5.4 ogy, ep választás'!K84</f>
        <v>0</v>
      </c>
      <c r="L84" s="248">
        <f>'5.1 igazgatás cofog'!L84+'5.2 adó cofog'!L84+'5.3 pályázat'!L84+'5.4 ogy, ep választás'!L84</f>
        <v>0</v>
      </c>
      <c r="M84" s="248">
        <f>'5.1 igazgatás cofog'!M84+'5.2 adó cofog'!M84+'5.3 pályázat'!M84+'5.4 ogy, ep választás'!M84</f>
        <v>0</v>
      </c>
      <c r="N84" s="248">
        <f>'5.1 igazgatás cofog'!N84+'5.2 adó cofog'!N84+'5.3 pályázat'!N84+'5.4 ogy, ep választás'!N84</f>
        <v>0</v>
      </c>
    </row>
    <row r="85" spans="1:14" ht="15.75" thickBot="1" x14ac:dyDescent="0.3">
      <c r="A85" s="56" t="s">
        <v>264</v>
      </c>
      <c r="B85" s="47" t="s">
        <v>159</v>
      </c>
      <c r="C85" s="250">
        <f>'5.1 igazgatás cofog'!C85+'5.2 adó cofog'!C85+'5.3 pályázat'!C85</f>
        <v>195896714</v>
      </c>
      <c r="D85" s="250">
        <f>'5.1 igazgatás cofog'!D85+'5.2 adó cofog'!D85+'5.3 pályázat'!D85</f>
        <v>0</v>
      </c>
      <c r="E85" s="250">
        <f>'5.1 igazgatás cofog'!E85+'5.2 adó cofog'!E85+'5.3 pályázat'!E85</f>
        <v>195896714</v>
      </c>
      <c r="F85" s="248">
        <f>'5.1 igazgatás cofog'!F85+'5.2 adó cofog'!F85+'5.3 pályázat'!F85+'5.4 ogy, ep választás'!F85</f>
        <v>198559654</v>
      </c>
      <c r="G85" s="248">
        <f>'5.1 igazgatás cofog'!G85+'5.2 adó cofog'!G85+'5.3 pályázat'!G85+'5.4 ogy, ep választás'!G85</f>
        <v>0</v>
      </c>
      <c r="H85" s="248">
        <f>'5.1 igazgatás cofog'!H85+'5.2 adó cofog'!H85+'5.3 pályázat'!H85+'5.4 ogy, ep választás'!H85</f>
        <v>198559654</v>
      </c>
      <c r="I85" s="248">
        <f>'5.1 igazgatás cofog'!I85+'5.2 adó cofog'!I85+'5.3 pályázat'!I85+'5.4 ogy, ep választás'!I85</f>
        <v>198559654</v>
      </c>
      <c r="J85" s="248">
        <f>'5.1 igazgatás cofog'!J85+'5.2 adó cofog'!J85+'5.3 pályázat'!J85+'5.4 ogy, ep választás'!J85</f>
        <v>0</v>
      </c>
      <c r="K85" s="248">
        <f>'5.1 igazgatás cofog'!K85+'5.2 adó cofog'!K85+'5.3 pályázat'!K85+'5.4 ogy, ep választás'!K85</f>
        <v>198559654</v>
      </c>
      <c r="L85" s="248">
        <f>'5.1 igazgatás cofog'!L85+'5.2 adó cofog'!L85+'5.3 pályázat'!L85+'5.4 ogy, ep választás'!L85</f>
        <v>171564478</v>
      </c>
      <c r="M85" s="248">
        <f>'5.1 igazgatás cofog'!M85+'5.2 adó cofog'!M85+'5.3 pályázat'!M85+'5.4 ogy, ep választás'!M85</f>
        <v>0</v>
      </c>
      <c r="N85" s="248">
        <f>'5.1 igazgatás cofog'!N85+'5.2 adó cofog'!N85+'5.3 pályázat'!N85+'5.4 ogy, ep választás'!N85</f>
        <v>171564478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6">
        <f>'5.1 igazgatás cofog'!C88+'5.2 adó cofog'!C88+'5.3 pályázat'!C88</f>
        <v>135403431</v>
      </c>
      <c r="D88" s="246">
        <f>'5.1 igazgatás cofog'!D88+'5.2 adó cofog'!D88+'5.3 pályázat'!D88</f>
        <v>0</v>
      </c>
      <c r="E88" s="246">
        <f>'5.1 igazgatás cofog'!E88+'5.2 adó cofog'!E88+'5.3 pályázat'!E88</f>
        <v>135403431</v>
      </c>
      <c r="F88" s="246">
        <f>'5.1 igazgatás cofog'!F88+'5.2 adó cofog'!F88+'5.3 pályázat'!F88+'5.4 ogy, ep választás'!F88</f>
        <v>137154844</v>
      </c>
      <c r="G88" s="246">
        <f>'5.1 igazgatás cofog'!G88+'5.2 adó cofog'!G88+'5.3 pályázat'!G88+'5.4 ogy, ep választás'!G88</f>
        <v>0</v>
      </c>
      <c r="H88" s="246">
        <f>'5.1 igazgatás cofog'!H88+'5.2 adó cofog'!H88+'5.3 pályázat'!H88+'5.4 ogy, ep választás'!H88</f>
        <v>137154844</v>
      </c>
      <c r="I88" s="246">
        <f>'5.1 igazgatás cofog'!I88+'5.2 adó cofog'!I88+'5.3 pályázat'!I88+'5.4 ogy, ep választás'!I88</f>
        <v>137203869</v>
      </c>
      <c r="J88" s="246">
        <f>'5.1 igazgatás cofog'!J88+'5.2 adó cofog'!J88+'5.3 pályázat'!J88+'5.4 ogy, ep választás'!J88</f>
        <v>0</v>
      </c>
      <c r="K88" s="246">
        <f>'5.1 igazgatás cofog'!K88+'5.2 adó cofog'!K88+'5.3 pályázat'!K88+'5.4 ogy, ep választás'!K88</f>
        <v>137203869</v>
      </c>
      <c r="L88" s="246">
        <f>'5.1 igazgatás cofog'!L88+'5.2 adó cofog'!L88+'5.3 pályázat'!L88+'5.4 ogy, ep választás'!L88</f>
        <v>121071007</v>
      </c>
      <c r="M88" s="246">
        <f>'5.1 igazgatás cofog'!M88+'5.2 adó cofog'!M88+'5.3 pályázat'!M88+'5.4 ogy, ep választás'!M88</f>
        <v>0</v>
      </c>
      <c r="N88" s="246">
        <f>'5.1 igazgatás cofog'!N88+'5.2 adó cofog'!N88+'5.3 pályázat'!N88+'5.4 ogy, ep választás'!N88</f>
        <v>121071007</v>
      </c>
    </row>
    <row r="89" spans="1:14" x14ac:dyDescent="0.25">
      <c r="A89" s="61" t="s">
        <v>161</v>
      </c>
      <c r="B89" s="62" t="s">
        <v>162</v>
      </c>
      <c r="C89" s="246">
        <f>'5.1 igazgatás cofog'!C89+'5.2 adó cofog'!C89+'5.3 pályázat'!C89</f>
        <v>134303431</v>
      </c>
      <c r="D89" s="246">
        <f>'5.1 igazgatás cofog'!D89+'5.2 adó cofog'!D89+'5.3 pályázat'!D89</f>
        <v>0</v>
      </c>
      <c r="E89" s="246">
        <f>'5.1 igazgatás cofog'!E89+'5.2 adó cofog'!E89+'5.3 pályázat'!E89</f>
        <v>134303431</v>
      </c>
      <c r="F89" s="246">
        <f>'5.1 igazgatás cofog'!F89+'5.2 adó cofog'!F89+'5.3 pályázat'!F89+'5.4 ogy, ep választás'!F89</f>
        <v>134786431</v>
      </c>
      <c r="G89" s="246">
        <f>'5.1 igazgatás cofog'!G89+'5.2 adó cofog'!G89+'5.3 pályázat'!G89+'5.4 ogy, ep választás'!G89</f>
        <v>0</v>
      </c>
      <c r="H89" s="246">
        <f>'5.1 igazgatás cofog'!H89+'5.2 adó cofog'!H89+'5.3 pályázat'!H89+'5.4 ogy, ep választás'!H89</f>
        <v>134786431</v>
      </c>
      <c r="I89" s="246">
        <f>'5.1 igazgatás cofog'!I89+'5.2 adó cofog'!I89+'5.3 pályázat'!I89+'5.4 ogy, ep választás'!I89</f>
        <v>133026998</v>
      </c>
      <c r="J89" s="246">
        <f>'5.1 igazgatás cofog'!J89+'5.2 adó cofog'!J89+'5.3 pályázat'!J89+'5.4 ogy, ep választás'!J89</f>
        <v>0</v>
      </c>
      <c r="K89" s="246">
        <f>'5.1 igazgatás cofog'!K89+'5.2 adó cofog'!K89+'5.3 pályázat'!K89+'5.4 ogy, ep választás'!K89</f>
        <v>133026998</v>
      </c>
      <c r="L89" s="246">
        <f>'5.1 igazgatás cofog'!L89+'5.2 adó cofog'!L89+'5.3 pályázat'!L89+'5.4 ogy, ep választás'!L89</f>
        <v>117727654</v>
      </c>
      <c r="M89" s="246">
        <f>'5.1 igazgatás cofog'!M89+'5.2 adó cofog'!M89+'5.3 pályázat'!M89+'5.4 ogy, ep választás'!M89</f>
        <v>0</v>
      </c>
      <c r="N89" s="246">
        <f>'5.1 igazgatás cofog'!N89+'5.2 adó cofog'!N89+'5.3 pályázat'!N89+'5.4 ogy, ep választás'!N89</f>
        <v>117727654</v>
      </c>
    </row>
    <row r="90" spans="1:14" x14ac:dyDescent="0.25">
      <c r="A90" s="61" t="s">
        <v>163</v>
      </c>
      <c r="B90" s="62" t="s">
        <v>164</v>
      </c>
      <c r="C90" s="246">
        <f>'5.1 igazgatás cofog'!C90+'5.2 adó cofog'!C90+'5.3 pályázat'!C90</f>
        <v>102822221</v>
      </c>
      <c r="D90" s="246">
        <f>'5.1 igazgatás cofog'!D90+'5.2 adó cofog'!D90+'5.3 pályázat'!D90</f>
        <v>0</v>
      </c>
      <c r="E90" s="246">
        <f>'5.1 igazgatás cofog'!E90+'5.2 adó cofog'!E90+'5.3 pályázat'!E90</f>
        <v>102822221</v>
      </c>
      <c r="F90" s="246">
        <f>'5.1 igazgatás cofog'!F90+'5.2 adó cofog'!F90+'5.3 pályázat'!F90+'5.4 ogy, ep választás'!F90</f>
        <v>102822221</v>
      </c>
      <c r="G90" s="246">
        <f>'5.1 igazgatás cofog'!G90+'5.2 adó cofog'!G90+'5.3 pályázat'!G90+'5.4 ogy, ep választás'!G90</f>
        <v>0</v>
      </c>
      <c r="H90" s="246">
        <f>'5.1 igazgatás cofog'!H90+'5.2 adó cofog'!H90+'5.3 pályázat'!H90+'5.4 ogy, ep választás'!H90</f>
        <v>102822221</v>
      </c>
      <c r="I90" s="246">
        <f>'5.1 igazgatás cofog'!I90+'5.2 adó cofog'!I90+'5.3 pályázat'!I90+'5.4 ogy, ep választás'!I90</f>
        <v>101062788</v>
      </c>
      <c r="J90" s="246">
        <f>'5.1 igazgatás cofog'!J90+'5.2 adó cofog'!J90+'5.3 pályázat'!J90+'5.4 ogy, ep választás'!J90</f>
        <v>0</v>
      </c>
      <c r="K90" s="246">
        <f>'5.1 igazgatás cofog'!K90+'5.2 adó cofog'!K90+'5.3 pályázat'!K90+'5.4 ogy, ep választás'!K90</f>
        <v>101062788</v>
      </c>
      <c r="L90" s="246">
        <f>'5.1 igazgatás cofog'!L90+'5.2 adó cofog'!L90+'5.3 pályázat'!L90+'5.4 ogy, ep választás'!L90</f>
        <v>94885026</v>
      </c>
      <c r="M90" s="246">
        <f>'5.1 igazgatás cofog'!M90+'5.2 adó cofog'!M90+'5.3 pályázat'!M90+'5.4 ogy, ep választás'!M90</f>
        <v>0</v>
      </c>
      <c r="N90" s="246">
        <f>'5.1 igazgatás cofog'!N90+'5.2 adó cofog'!N90+'5.3 pályázat'!N90+'5.4 ogy, ep választás'!N90</f>
        <v>94885026</v>
      </c>
    </row>
    <row r="91" spans="1:14" s="179" customFormat="1" x14ac:dyDescent="0.25">
      <c r="A91" s="190" t="s">
        <v>533</v>
      </c>
      <c r="B91" s="180" t="s">
        <v>534</v>
      </c>
      <c r="C91" s="246">
        <f>'5.1 igazgatás cofog'!C91+'5.2 adó cofog'!C91+'5.3 pályázat'!C91</f>
        <v>5566000</v>
      </c>
      <c r="D91" s="246">
        <f>'5.1 igazgatás cofog'!D91+'5.2 adó cofog'!D91+'5.3 pályázat'!D91</f>
        <v>0</v>
      </c>
      <c r="E91" s="246">
        <f>'5.1 igazgatás cofog'!E91+'5.2 adó cofog'!E91+'5.3 pályázat'!E91</f>
        <v>0</v>
      </c>
      <c r="F91" s="246">
        <f>'5.1 igazgatás cofog'!F91+'5.2 adó cofog'!F91+'5.3 pályázat'!F91+'5.4 ogy, ep választás'!F91</f>
        <v>5566000</v>
      </c>
      <c r="G91" s="246">
        <f>'5.1 igazgatás cofog'!G91+'5.2 adó cofog'!G91+'5.3 pályázat'!G91+'5.4 ogy, ep választás'!G91</f>
        <v>0</v>
      </c>
      <c r="H91" s="246">
        <f>'5.1 igazgatás cofog'!H91+'5.2 adó cofog'!H91+'5.3 pályázat'!H91+'5.4 ogy, ep választás'!H91</f>
        <v>0</v>
      </c>
      <c r="I91" s="246">
        <f>'5.1 igazgatás cofog'!I91+'5.2 adó cofog'!I91+'5.3 pályázat'!I91+'5.4 ogy, ep választás'!I91</f>
        <v>5566000</v>
      </c>
      <c r="J91" s="246">
        <f>'5.1 igazgatás cofog'!J91+'5.2 adó cofog'!J91+'5.3 pályázat'!J91+'5.4 ogy, ep választás'!J91</f>
        <v>0</v>
      </c>
      <c r="K91" s="246">
        <f>'5.1 igazgatás cofog'!K91+'5.2 adó cofog'!K91+'5.3 pályázat'!K91+'5.4 ogy, ep választás'!K91</f>
        <v>5566000</v>
      </c>
      <c r="L91" s="246">
        <f>'5.1 igazgatás cofog'!L91+'5.2 adó cofog'!L91+'5.3 pályázat'!L91+'5.4 ogy, ep választás'!L91</f>
        <v>3621684</v>
      </c>
      <c r="M91" s="246">
        <f>'5.1 igazgatás cofog'!M91+'5.2 adó cofog'!M91+'5.3 pályázat'!M91+'5.4 ogy, ep választás'!M91</f>
        <v>0</v>
      </c>
      <c r="N91" s="246">
        <f>'5.1 igazgatás cofog'!N91+'5.2 adó cofog'!N91+'5.3 pályázat'!N91+'5.4 ogy, ep választás'!N91</f>
        <v>3621684</v>
      </c>
    </row>
    <row r="92" spans="1:14" x14ac:dyDescent="0.25">
      <c r="A92" s="61" t="s">
        <v>165</v>
      </c>
      <c r="B92" s="62" t="s">
        <v>166</v>
      </c>
      <c r="C92" s="246">
        <f>'5.1 igazgatás cofog'!C92+'5.2 adó cofog'!C92+'5.3 pályázat'!C92</f>
        <v>13970000</v>
      </c>
      <c r="D92" s="246">
        <f>'5.1 igazgatás cofog'!D92+'5.2 adó cofog'!D92+'5.3 pályázat'!D92</f>
        <v>0</v>
      </c>
      <c r="E92" s="246">
        <f>'5.1 igazgatás cofog'!E92+'5.2 adó cofog'!E92+'5.3 pályázat'!E92</f>
        <v>13970000</v>
      </c>
      <c r="F92" s="246">
        <f>'5.1 igazgatás cofog'!F92+'5.2 adó cofog'!F92+'5.3 pályázat'!F92+'5.4 ogy, ep választás'!F92</f>
        <v>14453000</v>
      </c>
      <c r="G92" s="246">
        <f>'5.1 igazgatás cofog'!G92+'5.2 adó cofog'!G92+'5.3 pályázat'!G92+'5.4 ogy, ep választás'!G92</f>
        <v>0</v>
      </c>
      <c r="H92" s="246">
        <f>'5.1 igazgatás cofog'!H92+'5.2 adó cofog'!H92+'5.3 pályázat'!H92+'5.4 ogy, ep választás'!H92</f>
        <v>14453000</v>
      </c>
      <c r="I92" s="246">
        <f>'5.1 igazgatás cofog'!I92+'5.2 adó cofog'!I92+'5.3 pályázat'!I92+'5.4 ogy, ep választás'!I92</f>
        <v>14453000</v>
      </c>
      <c r="J92" s="246">
        <f>'5.1 igazgatás cofog'!J92+'5.2 adó cofog'!J92+'5.3 pályázat'!J92+'5.4 ogy, ep választás'!J92</f>
        <v>0</v>
      </c>
      <c r="K92" s="246">
        <f>'5.1 igazgatás cofog'!K92+'5.2 adó cofog'!K92+'5.3 pályázat'!K92+'5.4 ogy, ep választás'!K92</f>
        <v>14453000</v>
      </c>
      <c r="L92" s="246">
        <f>'5.1 igazgatás cofog'!L92+'5.2 adó cofog'!L92+'5.3 pályázat'!L92+'5.4 ogy, ep választás'!L92</f>
        <v>9652650</v>
      </c>
      <c r="M92" s="246">
        <f>'5.1 igazgatás cofog'!M92+'5.2 adó cofog'!M92+'5.3 pályázat'!M92+'5.4 ogy, ep választás'!M92</f>
        <v>0</v>
      </c>
      <c r="N92" s="246">
        <f>'5.1 igazgatás cofog'!N92+'5.2 adó cofog'!N92+'5.3 pályázat'!N92+'5.4 ogy, ep választás'!N92</f>
        <v>9652650</v>
      </c>
    </row>
    <row r="93" spans="1:14" x14ac:dyDescent="0.25">
      <c r="A93" s="61" t="s">
        <v>167</v>
      </c>
      <c r="B93" s="62" t="s">
        <v>168</v>
      </c>
      <c r="C93" s="246">
        <f>'5.1 igazgatás cofog'!C93+'5.2 adó cofog'!C93+'5.3 pályázat'!C93</f>
        <v>400000</v>
      </c>
      <c r="D93" s="246">
        <f>'5.1 igazgatás cofog'!D93+'5.2 adó cofog'!D93+'5.3 pályázat'!D93</f>
        <v>0</v>
      </c>
      <c r="E93" s="246">
        <f>'5.1 igazgatás cofog'!E93+'5.2 adó cofog'!E93+'5.3 pályázat'!E93</f>
        <v>400000</v>
      </c>
      <c r="F93" s="246">
        <f>'5.1 igazgatás cofog'!F93+'5.2 adó cofog'!F93+'5.3 pályázat'!F93+'5.4 ogy, ep választás'!F93</f>
        <v>400000</v>
      </c>
      <c r="G93" s="246">
        <f>'5.1 igazgatás cofog'!G93+'5.2 adó cofog'!G93+'5.3 pályázat'!G93+'5.4 ogy, ep választás'!G93</f>
        <v>0</v>
      </c>
      <c r="H93" s="246">
        <f>'5.1 igazgatás cofog'!H93+'5.2 adó cofog'!H93+'5.3 pályázat'!H93+'5.4 ogy, ep választás'!H93</f>
        <v>400000</v>
      </c>
      <c r="I93" s="246">
        <f>'5.1 igazgatás cofog'!I93+'5.2 adó cofog'!I93+'5.3 pályázat'!I93+'5.4 ogy, ep választás'!I93</f>
        <v>400000</v>
      </c>
      <c r="J93" s="246">
        <f>'5.1 igazgatás cofog'!J93+'5.2 adó cofog'!J93+'5.3 pályázat'!J93+'5.4 ogy, ep választás'!J93</f>
        <v>0</v>
      </c>
      <c r="K93" s="246">
        <f>'5.1 igazgatás cofog'!K93+'5.2 adó cofog'!K93+'5.3 pályázat'!K93+'5.4 ogy, ep választás'!K93</f>
        <v>400000</v>
      </c>
      <c r="L93" s="246">
        <f>'5.1 igazgatás cofog'!L93+'5.2 adó cofog'!L93+'5.3 pályázat'!L93+'5.4 ogy, ep választás'!L93</f>
        <v>178500</v>
      </c>
      <c r="M93" s="246">
        <f>'5.1 igazgatás cofog'!M93+'5.2 adó cofog'!M93+'5.3 pályázat'!M93+'5.4 ogy, ep választás'!M93</f>
        <v>0</v>
      </c>
      <c r="N93" s="246">
        <f>'5.1 igazgatás cofog'!N93+'5.2 adó cofog'!N93+'5.3 pályázat'!N93+'5.4 ogy, ep választás'!N93</f>
        <v>178500</v>
      </c>
    </row>
    <row r="94" spans="1:14" x14ac:dyDescent="0.25">
      <c r="A94" s="61" t="s">
        <v>169</v>
      </c>
      <c r="B94" s="62" t="s">
        <v>170</v>
      </c>
      <c r="C94" s="246">
        <f>'5.1 igazgatás cofog'!C94+'5.2 adó cofog'!C94+'5.3 pályázat'!C94</f>
        <v>0</v>
      </c>
      <c r="D94" s="246">
        <f>'5.1 igazgatás cofog'!D94+'5.2 adó cofog'!D94+'5.3 pályázat'!D94</f>
        <v>0</v>
      </c>
      <c r="E94" s="246">
        <f>'5.1 igazgatás cofog'!E94+'5.2 adó cofog'!E94+'5.3 pályázat'!E94</f>
        <v>0</v>
      </c>
      <c r="F94" s="246">
        <f>'5.1 igazgatás cofog'!F94+'5.2 adó cofog'!F94+'5.3 pályázat'!F94+'5.4 ogy, ep választás'!F94</f>
        <v>0</v>
      </c>
      <c r="G94" s="246">
        <f>'5.1 igazgatás cofog'!G94+'5.2 adó cofog'!G94+'5.3 pályázat'!G94+'5.4 ogy, ep választás'!G94</f>
        <v>0</v>
      </c>
      <c r="H94" s="246">
        <f>'5.1 igazgatás cofog'!H94+'5.2 adó cofog'!H94+'5.3 pályázat'!H94+'5.4 ogy, ep választás'!H94</f>
        <v>0</v>
      </c>
      <c r="I94" s="246">
        <f>'5.1 igazgatás cofog'!I94+'5.2 adó cofog'!I94+'5.3 pályázat'!I94+'5.4 ogy, ep választás'!I94</f>
        <v>0</v>
      </c>
      <c r="J94" s="246">
        <f>'5.1 igazgatás cofog'!J94+'5.2 adó cofog'!J94+'5.3 pályázat'!J94+'5.4 ogy, ep választás'!J94</f>
        <v>0</v>
      </c>
      <c r="K94" s="246">
        <f>'5.1 igazgatás cofog'!K94+'5.2 adó cofog'!K94+'5.3 pályázat'!K94+'5.4 ogy, ep választás'!K94</f>
        <v>0</v>
      </c>
      <c r="L94" s="246">
        <f>'5.1 igazgatás cofog'!L94+'5.2 adó cofog'!L94+'5.3 pályázat'!L94+'5.4 ogy, ep választás'!L94</f>
        <v>0</v>
      </c>
      <c r="M94" s="246">
        <f>'5.1 igazgatás cofog'!M94+'5.2 adó cofog'!M94+'5.3 pályázat'!M94+'5.4 ogy, ep választás'!M94</f>
        <v>0</v>
      </c>
      <c r="N94" s="246">
        <f>'5.1 igazgatás cofog'!N94+'5.2 adó cofog'!N94+'5.3 pályázat'!N94+'5.4 ogy, ep választás'!N94</f>
        <v>0</v>
      </c>
    </row>
    <row r="95" spans="1:14" x14ac:dyDescent="0.25">
      <c r="A95" s="61" t="s">
        <v>171</v>
      </c>
      <c r="B95" s="62" t="s">
        <v>172</v>
      </c>
      <c r="C95" s="246">
        <f>'5.1 igazgatás cofog'!C95+'5.2 adó cofog'!C95+'5.3 pályázat'!C95</f>
        <v>0</v>
      </c>
      <c r="D95" s="246">
        <f>'5.1 igazgatás cofog'!D95+'5.2 adó cofog'!D95+'5.3 pályázat'!D95</f>
        <v>0</v>
      </c>
      <c r="E95" s="246">
        <f>'5.1 igazgatás cofog'!E95+'5.2 adó cofog'!E95+'5.3 pályázat'!E95</f>
        <v>0</v>
      </c>
      <c r="F95" s="246">
        <f>'5.1 igazgatás cofog'!F95+'5.2 adó cofog'!F95+'5.3 pályázat'!F95+'5.4 ogy, ep választás'!F95</f>
        <v>0</v>
      </c>
      <c r="G95" s="246">
        <f>'5.1 igazgatás cofog'!G95+'5.2 adó cofog'!G95+'5.3 pályázat'!G95+'5.4 ogy, ep választás'!G95</f>
        <v>0</v>
      </c>
      <c r="H95" s="246">
        <f>'5.1 igazgatás cofog'!H95+'5.2 adó cofog'!H95+'5.3 pályázat'!H95+'5.4 ogy, ep választás'!H95</f>
        <v>0</v>
      </c>
      <c r="I95" s="246">
        <f>'5.1 igazgatás cofog'!I95+'5.2 adó cofog'!I95+'5.3 pályázat'!I95+'5.4 ogy, ep választás'!I95</f>
        <v>0</v>
      </c>
      <c r="J95" s="246">
        <f>'5.1 igazgatás cofog'!J95+'5.2 adó cofog'!J95+'5.3 pályázat'!J95+'5.4 ogy, ep választás'!J95</f>
        <v>0</v>
      </c>
      <c r="K95" s="246">
        <f>'5.1 igazgatás cofog'!K95+'5.2 adó cofog'!K95+'5.3 pályázat'!K95+'5.4 ogy, ep választás'!K95</f>
        <v>0</v>
      </c>
      <c r="L95" s="246">
        <f>'5.1 igazgatás cofog'!L95+'5.2 adó cofog'!L95+'5.3 pályázat'!L95+'5.4 ogy, ep választás'!L95</f>
        <v>0</v>
      </c>
      <c r="M95" s="246">
        <f>'5.1 igazgatás cofog'!M95+'5.2 adó cofog'!M95+'5.3 pályázat'!M95+'5.4 ogy, ep választás'!M95</f>
        <v>0</v>
      </c>
      <c r="N95" s="246">
        <f>'5.1 igazgatás cofog'!N95+'5.2 adó cofog'!N95+'5.3 pályázat'!N95+'5.4 ogy, ep választás'!N95</f>
        <v>0</v>
      </c>
    </row>
    <row r="96" spans="1:14" x14ac:dyDescent="0.25">
      <c r="A96" s="61" t="s">
        <v>173</v>
      </c>
      <c r="B96" s="62" t="s">
        <v>174</v>
      </c>
      <c r="C96" s="246">
        <f>'5.1 igazgatás cofog'!C96+'5.2 adó cofog'!C96+'5.3 pályázat'!C96</f>
        <v>4619000</v>
      </c>
      <c r="D96" s="246">
        <f>'5.1 igazgatás cofog'!D96+'5.2 adó cofog'!D96+'5.3 pályázat'!D96</f>
        <v>0</v>
      </c>
      <c r="E96" s="246">
        <f>'5.1 igazgatás cofog'!E96+'5.2 adó cofog'!E96+'5.3 pályázat'!E96</f>
        <v>4619000</v>
      </c>
      <c r="F96" s="246">
        <f>'5.1 igazgatás cofog'!F96+'5.2 adó cofog'!F96+'5.3 pályázat'!F96+'5.4 ogy, ep választás'!F96</f>
        <v>4619000</v>
      </c>
      <c r="G96" s="246">
        <f>'5.1 igazgatás cofog'!G96+'5.2 adó cofog'!G96+'5.3 pályázat'!G96+'5.4 ogy, ep választás'!G96</f>
        <v>0</v>
      </c>
      <c r="H96" s="246">
        <f>'5.1 igazgatás cofog'!H96+'5.2 adó cofog'!H96+'5.3 pályázat'!H96+'5.4 ogy, ep választás'!H96</f>
        <v>4619000</v>
      </c>
      <c r="I96" s="246">
        <f>'5.1 igazgatás cofog'!I96+'5.2 adó cofog'!I96+'5.3 pályázat'!I96+'5.4 ogy, ep választás'!I96</f>
        <v>4619000</v>
      </c>
      <c r="J96" s="246">
        <f>'5.1 igazgatás cofog'!J96+'5.2 adó cofog'!J96+'5.3 pályázat'!J96+'5.4 ogy, ep választás'!J96</f>
        <v>0</v>
      </c>
      <c r="K96" s="246">
        <f>'5.1 igazgatás cofog'!K96+'5.2 adó cofog'!K96+'5.3 pályázat'!K96+'5.4 ogy, ep választás'!K96</f>
        <v>4619000</v>
      </c>
      <c r="L96" s="246">
        <f>'5.1 igazgatás cofog'!L96+'5.2 adó cofog'!L96+'5.3 pályázat'!L96+'5.4 ogy, ep választás'!L96</f>
        <v>4229569</v>
      </c>
      <c r="M96" s="246">
        <f>'5.1 igazgatás cofog'!M96+'5.2 adó cofog'!M96+'5.3 pályázat'!M96+'5.4 ogy, ep választás'!M96</f>
        <v>0</v>
      </c>
      <c r="N96" s="246">
        <f>'5.1 igazgatás cofog'!N96+'5.2 adó cofog'!N96+'5.3 pályázat'!N96+'5.4 ogy, ep választás'!N96</f>
        <v>4229569</v>
      </c>
    </row>
    <row r="97" spans="1:14" x14ac:dyDescent="0.25">
      <c r="A97" s="61" t="s">
        <v>175</v>
      </c>
      <c r="B97" s="62" t="s">
        <v>176</v>
      </c>
      <c r="C97" s="246">
        <f>'5.1 igazgatás cofog'!C97+'5.2 adó cofog'!C97+'5.3 pályázat'!C97</f>
        <v>1521210</v>
      </c>
      <c r="D97" s="246">
        <f>'5.1 igazgatás cofog'!D97+'5.2 adó cofog'!D97+'5.3 pályázat'!D97</f>
        <v>0</v>
      </c>
      <c r="E97" s="246">
        <f>'5.1 igazgatás cofog'!E97+'5.2 adó cofog'!E97+'5.3 pályázat'!E97</f>
        <v>1521210</v>
      </c>
      <c r="F97" s="246">
        <f>'5.1 igazgatás cofog'!F97+'5.2 adó cofog'!F97+'5.3 pályázat'!F97+'5.4 ogy, ep választás'!F97</f>
        <v>1521210</v>
      </c>
      <c r="G97" s="246">
        <f>'5.1 igazgatás cofog'!G97+'5.2 adó cofog'!G97+'5.3 pályázat'!G97+'5.4 ogy, ep választás'!G97</f>
        <v>0</v>
      </c>
      <c r="H97" s="246">
        <f>'5.1 igazgatás cofog'!H97+'5.2 adó cofog'!H97+'5.3 pályázat'!H97+'5.4 ogy, ep választás'!H97</f>
        <v>1521210</v>
      </c>
      <c r="I97" s="246">
        <f>'5.1 igazgatás cofog'!I97+'5.2 adó cofog'!I97+'5.3 pályázat'!I97+'5.4 ogy, ep választás'!I97</f>
        <v>1521210</v>
      </c>
      <c r="J97" s="246">
        <f>'5.1 igazgatás cofog'!J97+'5.2 adó cofog'!J97+'5.3 pályázat'!J97+'5.4 ogy, ep választás'!J97</f>
        <v>0</v>
      </c>
      <c r="K97" s="246">
        <f>'5.1 igazgatás cofog'!K97+'5.2 adó cofog'!K97+'5.3 pályázat'!K97+'5.4 ogy, ep választás'!K97</f>
        <v>1521210</v>
      </c>
      <c r="L97" s="246">
        <f>'5.1 igazgatás cofog'!L97+'5.2 adó cofog'!L97+'5.3 pályázat'!L97+'5.4 ogy, ep választás'!L97</f>
        <v>1266670</v>
      </c>
      <c r="M97" s="246">
        <f>'5.1 igazgatás cofog'!M97+'5.2 adó cofog'!M97+'5.3 pályázat'!M97+'5.4 ogy, ep választás'!M97</f>
        <v>0</v>
      </c>
      <c r="N97" s="246">
        <f>'5.1 igazgatás cofog'!N97+'5.2 adó cofog'!N97+'5.3 pályázat'!N97+'5.4 ogy, ep választás'!N97</f>
        <v>1266670</v>
      </c>
    </row>
    <row r="98" spans="1:14" x14ac:dyDescent="0.25">
      <c r="A98" s="61" t="s">
        <v>177</v>
      </c>
      <c r="B98" s="62" t="s">
        <v>178</v>
      </c>
      <c r="C98" s="246">
        <f>'5.1 igazgatás cofog'!C98+'5.2 adó cofog'!C98+'5.3 pályázat'!C98</f>
        <v>300000</v>
      </c>
      <c r="D98" s="246">
        <f>'5.1 igazgatás cofog'!D98+'5.2 adó cofog'!D98+'5.3 pályázat'!D98</f>
        <v>0</v>
      </c>
      <c r="E98" s="246">
        <f>'5.1 igazgatás cofog'!E98+'5.2 adó cofog'!E98+'5.3 pályázat'!E98</f>
        <v>300000</v>
      </c>
      <c r="F98" s="246">
        <f>'5.1 igazgatás cofog'!F98+'5.2 adó cofog'!F98+'5.3 pályázat'!F98+'5.4 ogy, ep választás'!F98</f>
        <v>300000</v>
      </c>
      <c r="G98" s="246">
        <f>'5.1 igazgatás cofog'!G98+'5.2 adó cofog'!G98+'5.3 pályázat'!G98+'5.4 ogy, ep választás'!G98</f>
        <v>0</v>
      </c>
      <c r="H98" s="246">
        <f>'5.1 igazgatás cofog'!H98+'5.2 adó cofog'!H98+'5.3 pályázat'!H98+'5.4 ogy, ep választás'!H98</f>
        <v>300000</v>
      </c>
      <c r="I98" s="246">
        <f>'5.1 igazgatás cofog'!I98+'5.2 adó cofog'!I98+'5.3 pályázat'!I98+'5.4 ogy, ep választás'!I98</f>
        <v>300000</v>
      </c>
      <c r="J98" s="246">
        <f>'5.1 igazgatás cofog'!J98+'5.2 adó cofog'!J98+'5.3 pályázat'!J98+'5.4 ogy, ep választás'!J98</f>
        <v>0</v>
      </c>
      <c r="K98" s="246">
        <f>'5.1 igazgatás cofog'!K98+'5.2 adó cofog'!K98+'5.3 pályázat'!K98+'5.4 ogy, ep választás'!K98</f>
        <v>300000</v>
      </c>
      <c r="L98" s="246">
        <f>'5.1 igazgatás cofog'!L98+'5.2 adó cofog'!L98+'5.3 pályázat'!L98+'5.4 ogy, ep választás'!L98</f>
        <v>0</v>
      </c>
      <c r="M98" s="246">
        <f>'5.1 igazgatás cofog'!M98+'5.2 adó cofog'!M98+'5.3 pályázat'!M98+'5.4 ogy, ep választás'!M98</f>
        <v>0</v>
      </c>
      <c r="N98" s="246">
        <f>'5.1 igazgatás cofog'!N98+'5.2 adó cofog'!N98+'5.3 pályázat'!N98+'5.4 ogy, ep választás'!N98</f>
        <v>0</v>
      </c>
    </row>
    <row r="99" spans="1:14" x14ac:dyDescent="0.25">
      <c r="A99" s="61" t="s">
        <v>179</v>
      </c>
      <c r="B99" s="62" t="s">
        <v>180</v>
      </c>
      <c r="C99" s="246">
        <f>'5.1 igazgatás cofog'!C99+'5.2 adó cofog'!C99+'5.3 pályázat'!C99</f>
        <v>0</v>
      </c>
      <c r="D99" s="246">
        <f>'5.1 igazgatás cofog'!D99+'5.2 adó cofog'!D99+'5.3 pályázat'!D99</f>
        <v>0</v>
      </c>
      <c r="E99" s="246">
        <f>'5.1 igazgatás cofog'!E99+'5.2 adó cofog'!E99+'5.3 pályázat'!E99</f>
        <v>0</v>
      </c>
      <c r="F99" s="246">
        <f>'5.1 igazgatás cofog'!F99+'5.2 adó cofog'!F99+'5.3 pályázat'!F99+'5.4 ogy, ep választás'!F99</f>
        <v>0</v>
      </c>
      <c r="G99" s="246">
        <f>'5.1 igazgatás cofog'!G99+'5.2 adó cofog'!G99+'5.3 pályázat'!G99+'5.4 ogy, ep választás'!G99</f>
        <v>0</v>
      </c>
      <c r="H99" s="246">
        <f>'5.1 igazgatás cofog'!H99+'5.2 adó cofog'!H99+'5.3 pályázat'!H99+'5.4 ogy, ep választás'!H99</f>
        <v>0</v>
      </c>
      <c r="I99" s="246">
        <f>'5.1 igazgatás cofog'!I99+'5.2 adó cofog'!I99+'5.3 pályázat'!I99+'5.4 ogy, ep választás'!I99</f>
        <v>0</v>
      </c>
      <c r="J99" s="246">
        <f>'5.1 igazgatás cofog'!J99+'5.2 adó cofog'!J99+'5.3 pályázat'!J99+'5.4 ogy, ep választás'!J99</f>
        <v>0</v>
      </c>
      <c r="K99" s="246">
        <f>'5.1 igazgatás cofog'!K99+'5.2 adó cofog'!K99+'5.3 pályázat'!K99+'5.4 ogy, ep választás'!K99</f>
        <v>0</v>
      </c>
      <c r="L99" s="246">
        <f>'5.1 igazgatás cofog'!L99+'5.2 adó cofog'!L99+'5.3 pályázat'!L99+'5.4 ogy, ep választás'!L99</f>
        <v>0</v>
      </c>
      <c r="M99" s="246">
        <f>'5.1 igazgatás cofog'!M99+'5.2 adó cofog'!M99+'5.3 pályázat'!M99+'5.4 ogy, ep választás'!M99</f>
        <v>0</v>
      </c>
      <c r="N99" s="246">
        <f>'5.1 igazgatás cofog'!N99+'5.2 adó cofog'!N99+'5.3 pályázat'!N99+'5.4 ogy, ep választás'!N99</f>
        <v>0</v>
      </c>
    </row>
    <row r="100" spans="1:14" x14ac:dyDescent="0.25">
      <c r="A100" s="61" t="s">
        <v>181</v>
      </c>
      <c r="B100" s="62" t="s">
        <v>182</v>
      </c>
      <c r="C100" s="246">
        <f>'5.1 igazgatás cofog'!C100+'5.2 adó cofog'!C100+'5.3 pályázat'!C100</f>
        <v>5105000</v>
      </c>
      <c r="D100" s="246">
        <f>'5.1 igazgatás cofog'!D100+'5.2 adó cofog'!D100+'5.3 pályázat'!D100</f>
        <v>0</v>
      </c>
      <c r="E100" s="246">
        <f>'5.1 igazgatás cofog'!E100+'5.2 adó cofog'!E100+'5.3 pályázat'!E100</f>
        <v>5105000</v>
      </c>
      <c r="F100" s="246">
        <f>'5.1 igazgatás cofog'!F100+'5.2 adó cofog'!F100+'5.3 pályázat'!F100+'5.4 ogy, ep választás'!F100</f>
        <v>5105000</v>
      </c>
      <c r="G100" s="246">
        <f>'5.1 igazgatás cofog'!G100+'5.2 adó cofog'!G100+'5.3 pályázat'!G100+'5.4 ogy, ep választás'!G100</f>
        <v>0</v>
      </c>
      <c r="H100" s="246">
        <f>'5.1 igazgatás cofog'!H100+'5.2 adó cofog'!H100+'5.3 pályázat'!H100+'5.4 ogy, ep választás'!H100</f>
        <v>5105000</v>
      </c>
      <c r="I100" s="246">
        <f>'5.1 igazgatás cofog'!I100+'5.2 adó cofog'!I100+'5.3 pályázat'!I100+'5.4 ogy, ep választás'!I100</f>
        <v>5105000</v>
      </c>
      <c r="J100" s="246">
        <f>'5.1 igazgatás cofog'!J100+'5.2 adó cofog'!J100+'5.3 pályázat'!J100+'5.4 ogy, ep választás'!J100</f>
        <v>0</v>
      </c>
      <c r="K100" s="246">
        <f>'5.1 igazgatás cofog'!K100+'5.2 adó cofog'!K100+'5.3 pályázat'!K100+'5.4 ogy, ep választás'!K100</f>
        <v>5105000</v>
      </c>
      <c r="L100" s="246">
        <f>'5.1 igazgatás cofog'!L100+'5.2 adó cofog'!L100+'5.3 pályázat'!L100+'5.4 ogy, ep választás'!L100</f>
        <v>3893555</v>
      </c>
      <c r="M100" s="246">
        <f>'5.1 igazgatás cofog'!M100+'5.2 adó cofog'!M100+'5.3 pályázat'!M100+'5.4 ogy, ep választás'!M100</f>
        <v>0</v>
      </c>
      <c r="N100" s="246">
        <f>'5.1 igazgatás cofog'!N100+'5.2 adó cofog'!N100+'5.3 pályázat'!N100+'5.4 ogy, ep választás'!N100</f>
        <v>3893555</v>
      </c>
    </row>
    <row r="101" spans="1:14" x14ac:dyDescent="0.25">
      <c r="A101" s="61" t="s">
        <v>183</v>
      </c>
      <c r="B101" s="62" t="s">
        <v>184</v>
      </c>
      <c r="C101" s="246">
        <f>'5.1 igazgatás cofog'!C101+'5.2 adó cofog'!C101+'5.3 pályázat'!C101</f>
        <v>1100000</v>
      </c>
      <c r="D101" s="246">
        <f>'5.1 igazgatás cofog'!D101+'5.2 adó cofog'!D101+'5.3 pályázat'!D101</f>
        <v>0</v>
      </c>
      <c r="E101" s="246">
        <f>'5.1 igazgatás cofog'!E101+'5.2 adó cofog'!E101+'5.3 pályázat'!E101</f>
        <v>1100000</v>
      </c>
      <c r="F101" s="246">
        <f>'5.1 igazgatás cofog'!F101+'5.2 adó cofog'!F101+'5.3 pályázat'!F101+'5.4 ogy, ep választás'!F101</f>
        <v>2368413</v>
      </c>
      <c r="G101" s="246">
        <f>'5.1 igazgatás cofog'!G101+'5.2 adó cofog'!G101+'5.3 pályázat'!G101+'5.4 ogy, ep választás'!G101</f>
        <v>0</v>
      </c>
      <c r="H101" s="246">
        <f>'5.1 igazgatás cofog'!H101+'5.2 adó cofog'!H101+'5.3 pályázat'!H101+'5.4 ogy, ep választás'!H101</f>
        <v>2368413</v>
      </c>
      <c r="I101" s="246">
        <f>'5.1 igazgatás cofog'!I101+'5.2 adó cofog'!I101+'5.3 pályázat'!I101+'5.4 ogy, ep választás'!I101</f>
        <v>4176871</v>
      </c>
      <c r="J101" s="246">
        <f>'5.1 igazgatás cofog'!J101+'5.2 adó cofog'!J101+'5.3 pályázat'!J101+'5.4 ogy, ep választás'!J101</f>
        <v>0</v>
      </c>
      <c r="K101" s="246">
        <f>'5.1 igazgatás cofog'!K101+'5.2 adó cofog'!K101+'5.3 pályázat'!K101+'5.4 ogy, ep választás'!K101</f>
        <v>4176871</v>
      </c>
      <c r="L101" s="246">
        <f>'5.1 igazgatás cofog'!L101+'5.2 adó cofog'!L101+'5.3 pályázat'!L101+'5.4 ogy, ep választás'!L101</f>
        <v>3343353</v>
      </c>
      <c r="M101" s="246">
        <f>'5.1 igazgatás cofog'!M101+'5.2 adó cofog'!M101+'5.3 pályázat'!M101+'5.4 ogy, ep választás'!M101</f>
        <v>0</v>
      </c>
      <c r="N101" s="246">
        <f>'5.1 igazgatás cofog'!N101+'5.2 adó cofog'!N101+'5.3 pályázat'!N101+'5.4 ogy, ep választás'!N101</f>
        <v>3343353</v>
      </c>
    </row>
    <row r="102" spans="1:14" x14ac:dyDescent="0.25">
      <c r="A102" s="61" t="s">
        <v>185</v>
      </c>
      <c r="B102" s="62" t="s">
        <v>186</v>
      </c>
      <c r="C102" s="246">
        <f>'5.1 igazgatás cofog'!C102+'5.2 adó cofog'!C102+'5.3 pályázat'!C102</f>
        <v>0</v>
      </c>
      <c r="D102" s="246">
        <f>'5.1 igazgatás cofog'!D102+'5.2 adó cofog'!D102+'5.3 pályázat'!D102</f>
        <v>0</v>
      </c>
      <c r="E102" s="246">
        <f>'5.1 igazgatás cofog'!E102+'5.2 adó cofog'!E102+'5.3 pályázat'!E102</f>
        <v>0</v>
      </c>
      <c r="F102" s="246">
        <f>'5.1 igazgatás cofog'!F102+'5.2 adó cofog'!F102+'5.3 pályázat'!F102+'5.4 ogy, ep választás'!F102</f>
        <v>0</v>
      </c>
      <c r="G102" s="246">
        <f>'5.1 igazgatás cofog'!G102+'5.2 adó cofog'!G102+'5.3 pályázat'!G102+'5.4 ogy, ep választás'!G102</f>
        <v>0</v>
      </c>
      <c r="H102" s="246">
        <f>'5.1 igazgatás cofog'!H102+'5.2 adó cofog'!H102+'5.3 pályázat'!H102+'5.4 ogy, ep választás'!H102</f>
        <v>0</v>
      </c>
      <c r="I102" s="246">
        <f>'5.1 igazgatás cofog'!I102+'5.2 adó cofog'!I102+'5.3 pályázat'!I102+'5.4 ogy, ep választás'!I102</f>
        <v>0</v>
      </c>
      <c r="J102" s="246">
        <f>'5.1 igazgatás cofog'!J102+'5.2 adó cofog'!J102+'5.3 pályázat'!J102+'5.4 ogy, ep választás'!J102</f>
        <v>0</v>
      </c>
      <c r="K102" s="246">
        <f>'5.1 igazgatás cofog'!K102+'5.2 adó cofog'!K102+'5.3 pályázat'!K102+'5.4 ogy, ep választás'!K102</f>
        <v>0</v>
      </c>
      <c r="L102" s="246">
        <f>'5.1 igazgatás cofog'!L102+'5.2 adó cofog'!L102+'5.3 pályázat'!L102+'5.4 ogy, ep választás'!L102</f>
        <v>0</v>
      </c>
      <c r="M102" s="246">
        <f>'5.1 igazgatás cofog'!M102+'5.2 adó cofog'!M102+'5.3 pályázat'!M102+'5.4 ogy, ep választás'!M102</f>
        <v>0</v>
      </c>
      <c r="N102" s="246">
        <f>'5.1 igazgatás cofog'!N102+'5.2 adó cofog'!N102+'5.3 pályázat'!N102+'5.4 ogy, ep választás'!N102</f>
        <v>0</v>
      </c>
    </row>
    <row r="103" spans="1:14" x14ac:dyDescent="0.25">
      <c r="A103" s="61" t="s">
        <v>187</v>
      </c>
      <c r="B103" s="62" t="s">
        <v>188</v>
      </c>
      <c r="C103" s="246">
        <f>'5.1 igazgatás cofog'!C103+'5.2 adó cofog'!C103+'5.3 pályázat'!C103</f>
        <v>900000</v>
      </c>
      <c r="D103" s="246">
        <f>'5.1 igazgatás cofog'!D103+'5.2 adó cofog'!D103+'5.3 pályázat'!D103</f>
        <v>0</v>
      </c>
      <c r="E103" s="246">
        <f>'5.1 igazgatás cofog'!E103+'5.2 adó cofog'!E103+'5.3 pályázat'!E103</f>
        <v>900000</v>
      </c>
      <c r="F103" s="246">
        <f>'5.1 igazgatás cofog'!F103+'5.2 adó cofog'!F103+'5.3 pályázat'!F103+'5.4 ogy, ep választás'!F103</f>
        <v>900000</v>
      </c>
      <c r="G103" s="246">
        <f>'5.1 igazgatás cofog'!G103+'5.2 adó cofog'!G103+'5.3 pályázat'!G103+'5.4 ogy, ep választás'!G103</f>
        <v>0</v>
      </c>
      <c r="H103" s="246">
        <f>'5.1 igazgatás cofog'!H103+'5.2 adó cofog'!H103+'5.3 pályázat'!H103+'5.4 ogy, ep választás'!H103</f>
        <v>900000</v>
      </c>
      <c r="I103" s="246">
        <f>'5.1 igazgatás cofog'!I103+'5.2 adó cofog'!I103+'5.3 pályázat'!I103+'5.4 ogy, ep választás'!I103</f>
        <v>800000</v>
      </c>
      <c r="J103" s="246">
        <f>'5.1 igazgatás cofog'!J103+'5.2 adó cofog'!J103+'5.3 pályázat'!J103+'5.4 ogy, ep választás'!J103</f>
        <v>0</v>
      </c>
      <c r="K103" s="246">
        <f>'5.1 igazgatás cofog'!K103+'5.2 adó cofog'!K103+'5.3 pályázat'!K103+'5.4 ogy, ep választás'!K103</f>
        <v>800000</v>
      </c>
      <c r="L103" s="246">
        <f>'5.1 igazgatás cofog'!L103+'5.2 adó cofog'!L103+'5.3 pályázat'!L103+'5.4 ogy, ep választás'!L103</f>
        <v>0</v>
      </c>
      <c r="M103" s="246">
        <f>'5.1 igazgatás cofog'!M103+'5.2 adó cofog'!M103+'5.3 pályázat'!M103+'5.4 ogy, ep választás'!M103</f>
        <v>0</v>
      </c>
      <c r="N103" s="246">
        <f>'5.1 igazgatás cofog'!N103+'5.2 adó cofog'!N103+'5.3 pályázat'!N103+'5.4 ogy, ep választás'!N103</f>
        <v>0</v>
      </c>
    </row>
    <row r="104" spans="1:14" ht="15.75" thickBot="1" x14ac:dyDescent="0.3">
      <c r="A104" s="63" t="s">
        <v>189</v>
      </c>
      <c r="B104" s="64" t="s">
        <v>190</v>
      </c>
      <c r="C104" s="248">
        <f>'5.1 igazgatás cofog'!C104+'5.2 adó cofog'!C104+'5.3 pályázat'!C104</f>
        <v>200000</v>
      </c>
      <c r="D104" s="248">
        <f>'5.1 igazgatás cofog'!D104+'5.2 adó cofog'!D104+'5.3 pályázat'!D104</f>
        <v>0</v>
      </c>
      <c r="E104" s="248">
        <f>'5.1 igazgatás cofog'!E104+'5.2 adó cofog'!E104+'5.3 pályázat'!E104</f>
        <v>200000</v>
      </c>
      <c r="F104" s="248">
        <f>'5.1 igazgatás cofog'!F104+'5.2 adó cofog'!F104+'5.3 pályázat'!F104+'5.4 ogy, ep választás'!F104</f>
        <v>1468413</v>
      </c>
      <c r="G104" s="248">
        <f>'5.1 igazgatás cofog'!G104+'5.2 adó cofog'!G104+'5.3 pályázat'!G104+'5.4 ogy, ep választás'!G104</f>
        <v>0</v>
      </c>
      <c r="H104" s="248">
        <f>'5.1 igazgatás cofog'!H104+'5.2 adó cofog'!H104+'5.3 pályázat'!H104+'5.4 ogy, ep választás'!H104</f>
        <v>1468413</v>
      </c>
      <c r="I104" s="248">
        <f>'5.1 igazgatás cofog'!I104+'5.2 adó cofog'!I104+'5.3 pályázat'!I104+'5.4 ogy, ep választás'!I104</f>
        <v>3376871</v>
      </c>
      <c r="J104" s="248">
        <f>'5.1 igazgatás cofog'!J104+'5.2 adó cofog'!J104+'5.3 pályázat'!J104+'5.4 ogy, ep választás'!J104</f>
        <v>0</v>
      </c>
      <c r="K104" s="248">
        <f>'5.1 igazgatás cofog'!K104+'5.2 adó cofog'!K104+'5.3 pályázat'!K104+'5.4 ogy, ep választás'!K104</f>
        <v>3376871</v>
      </c>
      <c r="L104" s="248">
        <f>'5.1 igazgatás cofog'!L104+'5.2 adó cofog'!L104+'5.3 pályázat'!L104+'5.4 ogy, ep választás'!L104</f>
        <v>3343353</v>
      </c>
      <c r="M104" s="248">
        <f>'5.1 igazgatás cofog'!M104+'5.2 adó cofog'!M104+'5.3 pályázat'!M104+'5.4 ogy, ep választás'!M104</f>
        <v>0</v>
      </c>
      <c r="N104" s="248">
        <f>'5.1 igazgatás cofog'!N104+'5.2 adó cofog'!N104+'5.3 pályázat'!N104+'5.4 ogy, ep választás'!N104</f>
        <v>3343353</v>
      </c>
    </row>
    <row r="105" spans="1:14" x14ac:dyDescent="0.25">
      <c r="A105" s="60" t="s">
        <v>191</v>
      </c>
      <c r="B105" s="48" t="s">
        <v>192</v>
      </c>
      <c r="C105" s="244">
        <f>'5.1 igazgatás cofog'!C105+'5.2 adó cofog'!C105+'5.3 pályázat'!C105</f>
        <v>29174333</v>
      </c>
      <c r="D105" s="244">
        <f>'5.1 igazgatás cofog'!D105+'5.2 adó cofog'!D105+'5.3 pályázat'!D105</f>
        <v>0</v>
      </c>
      <c r="E105" s="244">
        <f>'5.1 igazgatás cofog'!E105+'5.2 adó cofog'!E105+'5.3 pályázat'!E105</f>
        <v>29174333</v>
      </c>
      <c r="F105" s="244">
        <f>'5.1 igazgatás cofog'!F105+'5.2 adó cofog'!F105+'5.3 pályázat'!F105+'5.4 ogy, ep választás'!F105</f>
        <v>29540242</v>
      </c>
      <c r="G105" s="244">
        <f>'5.1 igazgatás cofog'!G105+'5.2 adó cofog'!G105+'5.3 pályázat'!G105+'5.4 ogy, ep választás'!G105</f>
        <v>0</v>
      </c>
      <c r="H105" s="244">
        <f>'5.1 igazgatás cofog'!H105+'5.2 adó cofog'!H105+'5.3 pályázat'!H105+'5.4 ogy, ep választás'!H105</f>
        <v>29540242</v>
      </c>
      <c r="I105" s="244">
        <f>'5.1 igazgatás cofog'!I105+'5.2 adó cofog'!I105+'5.3 pályázat'!I105+'5.4 ogy, ep választás'!I105</f>
        <v>29540242</v>
      </c>
      <c r="J105" s="244">
        <f>'5.1 igazgatás cofog'!J105+'5.2 adó cofog'!J105+'5.3 pályázat'!J105+'5.4 ogy, ep választás'!J105</f>
        <v>0</v>
      </c>
      <c r="K105" s="244">
        <f>'5.1 igazgatás cofog'!K105+'5.2 adó cofog'!K105+'5.3 pályázat'!K105+'5.4 ogy, ep választás'!K105</f>
        <v>29540242</v>
      </c>
      <c r="L105" s="244">
        <f>'5.1 igazgatás cofog'!L105+'5.2 adó cofog'!L105+'5.3 pályázat'!L105+'5.4 ogy, ep választás'!L105</f>
        <v>25269466</v>
      </c>
      <c r="M105" s="244">
        <f>'5.1 igazgatás cofog'!M105+'5.2 adó cofog'!M105+'5.3 pályázat'!M105+'5.4 ogy, ep választás'!M105</f>
        <v>0</v>
      </c>
      <c r="N105" s="244">
        <f>'5.1 igazgatás cofog'!N105+'5.2 adó cofog'!N105+'5.3 pályázat'!N105+'5.4 ogy, ep választás'!N105</f>
        <v>25269466</v>
      </c>
    </row>
    <row r="106" spans="1:14" x14ac:dyDescent="0.25">
      <c r="A106" s="61"/>
      <c r="B106" s="62" t="s">
        <v>193</v>
      </c>
      <c r="C106" s="246">
        <f>'5.1 igazgatás cofog'!C106+'5.2 adó cofog'!C106+'5.3 pályázat'!C106</f>
        <v>25169278</v>
      </c>
      <c r="D106" s="246">
        <f>'5.1 igazgatás cofog'!D106+'5.2 adó cofog'!D106+'5.3 pályázat'!D106</f>
        <v>0</v>
      </c>
      <c r="E106" s="246">
        <f>'5.1 igazgatás cofog'!E106+'5.2 adó cofog'!E106+'5.3 pályázat'!E106</f>
        <v>25169278</v>
      </c>
      <c r="F106" s="246">
        <f>'5.1 igazgatás cofog'!F106+'5.2 adó cofog'!F106+'5.3 pályázat'!F106+'5.4 ogy, ep választás'!F106</f>
        <v>25535187</v>
      </c>
      <c r="G106" s="246">
        <f>'5.1 igazgatás cofog'!G106+'5.2 adó cofog'!G106+'5.3 pályázat'!G106+'5.4 ogy, ep választás'!G106</f>
        <v>0</v>
      </c>
      <c r="H106" s="246">
        <f>'5.1 igazgatás cofog'!H106+'5.2 adó cofog'!H106+'5.3 pályázat'!H106+'5.4 ogy, ep választás'!H106</f>
        <v>25535187</v>
      </c>
      <c r="I106" s="246">
        <f>'5.1 igazgatás cofog'!I106+'5.2 adó cofog'!I106+'5.3 pályázat'!I106+'5.4 ogy, ep választás'!I106</f>
        <v>25535187</v>
      </c>
      <c r="J106" s="246">
        <f>'5.1 igazgatás cofog'!J106+'5.2 adó cofog'!J106+'5.3 pályázat'!J106+'5.4 ogy, ep választás'!J106</f>
        <v>0</v>
      </c>
      <c r="K106" s="246">
        <f>'5.1 igazgatás cofog'!K106+'5.2 adó cofog'!K106+'5.3 pályázat'!K106+'5.4 ogy, ep választás'!K106</f>
        <v>25535187</v>
      </c>
      <c r="L106" s="246">
        <f>'5.1 igazgatás cofog'!L106+'5.2 adó cofog'!L106+'5.3 pályázat'!L106+'5.4 ogy, ep választás'!L106</f>
        <v>22261071</v>
      </c>
      <c r="M106" s="246">
        <f>'5.1 igazgatás cofog'!M106+'5.2 adó cofog'!M106+'5.3 pályázat'!M106+'5.4 ogy, ep választás'!M106</f>
        <v>0</v>
      </c>
      <c r="N106" s="246">
        <f>'5.1 igazgatás cofog'!N106+'5.2 adó cofog'!N106+'5.3 pályázat'!N106+'5.4 ogy, ep választás'!N106</f>
        <v>22261071</v>
      </c>
    </row>
    <row r="107" spans="1:14" x14ac:dyDescent="0.25">
      <c r="A107" s="61"/>
      <c r="B107" s="62" t="s">
        <v>194</v>
      </c>
      <c r="C107" s="246">
        <f>'5.1 igazgatás cofog'!C107+'5.2 adó cofog'!C107+'5.3 pályázat'!C107</f>
        <v>2011500</v>
      </c>
      <c r="D107" s="246">
        <f>'5.1 igazgatás cofog'!D107+'5.2 adó cofog'!D107+'5.3 pályázat'!D107</f>
        <v>0</v>
      </c>
      <c r="E107" s="246">
        <f>'5.1 igazgatás cofog'!E107+'5.2 adó cofog'!E107+'5.3 pályázat'!E107</f>
        <v>2011500</v>
      </c>
      <c r="F107" s="246">
        <f>'5.1 igazgatás cofog'!F107+'5.2 adó cofog'!F107+'5.3 pályázat'!F107+'5.4 ogy, ep választás'!F107</f>
        <v>2011500</v>
      </c>
      <c r="G107" s="246">
        <f>'5.1 igazgatás cofog'!G107+'5.2 adó cofog'!G107+'5.3 pályázat'!G107+'5.4 ogy, ep választás'!G107</f>
        <v>0</v>
      </c>
      <c r="H107" s="246">
        <f>'5.1 igazgatás cofog'!H107+'5.2 adó cofog'!H107+'5.3 pályázat'!H107+'5.4 ogy, ep választás'!H107</f>
        <v>2011500</v>
      </c>
      <c r="I107" s="246">
        <f>'5.1 igazgatás cofog'!I107+'5.2 adó cofog'!I107+'5.3 pályázat'!I107+'5.4 ogy, ep választás'!I107</f>
        <v>2011500</v>
      </c>
      <c r="J107" s="246">
        <f>'5.1 igazgatás cofog'!J107+'5.2 adó cofog'!J107+'5.3 pályázat'!J107+'5.4 ogy, ep választás'!J107</f>
        <v>0</v>
      </c>
      <c r="K107" s="246">
        <f>'5.1 igazgatás cofog'!K107+'5.2 adó cofog'!K107+'5.3 pályázat'!K107+'5.4 ogy, ep választás'!K107</f>
        <v>2011500</v>
      </c>
      <c r="L107" s="246">
        <f>'5.1 igazgatás cofog'!L107+'5.2 adó cofog'!L107+'5.3 pályázat'!L107+'5.4 ogy, ep választás'!L107</f>
        <v>1904000</v>
      </c>
      <c r="M107" s="246">
        <f>'5.1 igazgatás cofog'!M107+'5.2 adó cofog'!M107+'5.3 pályázat'!M107+'5.4 ogy, ep választás'!M107</f>
        <v>0</v>
      </c>
      <c r="N107" s="246">
        <f>'5.1 igazgatás cofog'!N107+'5.2 adó cofog'!N107+'5.3 pályázat'!N107+'5.4 ogy, ep választás'!N107</f>
        <v>1904000</v>
      </c>
    </row>
    <row r="108" spans="1:14" x14ac:dyDescent="0.25">
      <c r="A108" s="63"/>
      <c r="B108" s="64" t="s">
        <v>195</v>
      </c>
      <c r="C108" s="246">
        <f>'5.1 igazgatás cofog'!C108+'5.2 adó cofog'!C108+'5.3 pályázat'!C108</f>
        <v>900705</v>
      </c>
      <c r="D108" s="246">
        <f>'5.1 igazgatás cofog'!D108+'5.2 adó cofog'!D108+'5.3 pályázat'!D108</f>
        <v>0</v>
      </c>
      <c r="E108" s="246">
        <f>'5.1 igazgatás cofog'!E108+'5.2 adó cofog'!E108+'5.3 pályázat'!E108</f>
        <v>900705</v>
      </c>
      <c r="F108" s="246">
        <f>'5.1 igazgatás cofog'!F108+'5.2 adó cofog'!F108+'5.3 pályázat'!F108+'5.4 ogy, ep választás'!F108</f>
        <v>900705</v>
      </c>
      <c r="G108" s="246">
        <f>'5.1 igazgatás cofog'!G108+'5.2 adó cofog'!G108+'5.3 pályázat'!G108+'5.4 ogy, ep választás'!G108</f>
        <v>0</v>
      </c>
      <c r="H108" s="246">
        <f>'5.1 igazgatás cofog'!H108+'5.2 adó cofog'!H108+'5.3 pályázat'!H108+'5.4 ogy, ep választás'!H108</f>
        <v>900705</v>
      </c>
      <c r="I108" s="246">
        <f>'5.1 igazgatás cofog'!I108+'5.2 adó cofog'!I108+'5.3 pályázat'!I108+'5.4 ogy, ep választás'!I108</f>
        <v>900705</v>
      </c>
      <c r="J108" s="246">
        <f>'5.1 igazgatás cofog'!J108+'5.2 adó cofog'!J108+'5.3 pályázat'!J108+'5.4 ogy, ep választás'!J108</f>
        <v>0</v>
      </c>
      <c r="K108" s="246">
        <f>'5.1 igazgatás cofog'!K108+'5.2 adó cofog'!K108+'5.3 pályázat'!K108+'5.4 ogy, ep választás'!K108</f>
        <v>900705</v>
      </c>
      <c r="L108" s="246">
        <f>'5.1 igazgatás cofog'!L108+'5.2 adó cofog'!L108+'5.3 pályázat'!L108+'5.4 ogy, ep választás'!L108</f>
        <v>72296</v>
      </c>
      <c r="M108" s="246">
        <f>'5.1 igazgatás cofog'!M108+'5.2 adó cofog'!M108+'5.3 pályázat'!M108+'5.4 ogy, ep választás'!M108</f>
        <v>0</v>
      </c>
      <c r="N108" s="246">
        <f>'5.1 igazgatás cofog'!N108+'5.2 adó cofog'!N108+'5.3 pályázat'!N108+'5.4 ogy, ep választás'!N108</f>
        <v>72296</v>
      </c>
    </row>
    <row r="109" spans="1:14" x14ac:dyDescent="0.25">
      <c r="A109" s="63"/>
      <c r="B109" s="64" t="s">
        <v>196</v>
      </c>
      <c r="C109" s="246">
        <f>'5.1 igazgatás cofog'!C109+'5.2 adó cofog'!C109+'5.3 pályázat'!C109</f>
        <v>400000</v>
      </c>
      <c r="D109" s="246">
        <f>'5.1 igazgatás cofog'!D109+'5.2 adó cofog'!D109+'5.3 pályázat'!D109</f>
        <v>0</v>
      </c>
      <c r="E109" s="246">
        <f>'5.1 igazgatás cofog'!E109+'5.2 adó cofog'!E109+'5.3 pályázat'!E109</f>
        <v>400000</v>
      </c>
      <c r="F109" s="246">
        <f>'5.1 igazgatás cofog'!F109+'5.2 adó cofog'!F109+'5.3 pályázat'!F109+'5.4 ogy, ep választás'!F109</f>
        <v>400000</v>
      </c>
      <c r="G109" s="246">
        <f>'5.1 igazgatás cofog'!G109+'5.2 adó cofog'!G109+'5.3 pályázat'!G109+'5.4 ogy, ep választás'!G109</f>
        <v>0</v>
      </c>
      <c r="H109" s="246">
        <f>'5.1 igazgatás cofog'!H109+'5.2 adó cofog'!H109+'5.3 pályázat'!H109+'5.4 ogy, ep választás'!H109</f>
        <v>400000</v>
      </c>
      <c r="I109" s="246">
        <f>'5.1 igazgatás cofog'!I109+'5.2 adó cofog'!I109+'5.3 pályázat'!I109+'5.4 ogy, ep választás'!I109</f>
        <v>285804</v>
      </c>
      <c r="J109" s="246">
        <f>'5.1 igazgatás cofog'!J109+'5.2 adó cofog'!J109+'5.3 pályázat'!J109+'5.4 ogy, ep választás'!J109</f>
        <v>0</v>
      </c>
      <c r="K109" s="246">
        <f>'5.1 igazgatás cofog'!K109+'5.2 adó cofog'!K109+'5.3 pályázat'!K109+'5.4 ogy, ep választás'!K109</f>
        <v>285804</v>
      </c>
      <c r="L109" s="246">
        <f>'5.1 igazgatás cofog'!L109+'5.2 adó cofog'!L109+'5.3 pályázat'!L109+'5.4 ogy, ep választás'!L109</f>
        <v>225053</v>
      </c>
      <c r="M109" s="246">
        <f>'5.1 igazgatás cofog'!M109+'5.2 adó cofog'!M109+'5.3 pályázat'!M109+'5.4 ogy, ep választás'!M109</f>
        <v>0</v>
      </c>
      <c r="N109" s="246">
        <f>'5.1 igazgatás cofog'!N109+'5.2 adó cofog'!N109+'5.3 pályázat'!N109+'5.4 ogy, ep választás'!N109</f>
        <v>225053</v>
      </c>
    </row>
    <row r="110" spans="1:14" ht="15.75" thickBot="1" x14ac:dyDescent="0.3">
      <c r="A110" s="63"/>
      <c r="B110" s="64" t="s">
        <v>197</v>
      </c>
      <c r="C110" s="248">
        <f>'5.1 igazgatás cofog'!C110+'5.2 adó cofog'!C110+'5.3 pályázat'!C110</f>
        <v>692850</v>
      </c>
      <c r="D110" s="248">
        <f>'5.1 igazgatás cofog'!D110+'5.2 adó cofog'!D110+'5.3 pályázat'!D110</f>
        <v>0</v>
      </c>
      <c r="E110" s="248">
        <f>'5.1 igazgatás cofog'!E110+'5.2 adó cofog'!E110+'5.3 pályázat'!E110</f>
        <v>692850</v>
      </c>
      <c r="F110" s="248">
        <f>'5.1 igazgatás cofog'!F110+'5.2 adó cofog'!F110+'5.3 pályázat'!F110+'5.4 ogy, ep választás'!F110</f>
        <v>692850</v>
      </c>
      <c r="G110" s="248">
        <f>'5.1 igazgatás cofog'!G110+'5.2 adó cofog'!G110+'5.3 pályázat'!G110+'5.4 ogy, ep választás'!G110</f>
        <v>0</v>
      </c>
      <c r="H110" s="248">
        <f>'5.1 igazgatás cofog'!H110+'5.2 adó cofog'!H110+'5.3 pályázat'!H110+'5.4 ogy, ep választás'!H110</f>
        <v>692850</v>
      </c>
      <c r="I110" s="248">
        <f>'5.1 igazgatás cofog'!I110+'5.2 adó cofog'!I110+'5.3 pályázat'!I110+'5.4 ogy, ep választás'!I110</f>
        <v>807046</v>
      </c>
      <c r="J110" s="248">
        <f>'5.1 igazgatás cofog'!J110+'5.2 adó cofog'!J110+'5.3 pályázat'!J110+'5.4 ogy, ep választás'!J110</f>
        <v>0</v>
      </c>
      <c r="K110" s="248">
        <f>'5.1 igazgatás cofog'!K110+'5.2 adó cofog'!K110+'5.3 pályázat'!K110+'5.4 ogy, ep választás'!K110</f>
        <v>807046</v>
      </c>
      <c r="L110" s="248">
        <f>'5.1 igazgatás cofog'!L110+'5.2 adó cofog'!L110+'5.3 pályázat'!L110+'5.4 ogy, ep választás'!L110</f>
        <v>807046</v>
      </c>
      <c r="M110" s="248">
        <f>'5.1 igazgatás cofog'!M110+'5.2 adó cofog'!M110+'5.3 pályázat'!M110+'5.4 ogy, ep választás'!M110</f>
        <v>0</v>
      </c>
      <c r="N110" s="248">
        <f>'5.1 igazgatás cofog'!N110+'5.2 adó cofog'!N110+'5.3 pályázat'!N110+'5.4 ogy, ep választás'!N110</f>
        <v>807046</v>
      </c>
    </row>
    <row r="111" spans="1:14" x14ac:dyDescent="0.25">
      <c r="A111" s="60" t="s">
        <v>198</v>
      </c>
      <c r="B111" s="48" t="s">
        <v>35</v>
      </c>
      <c r="C111" s="244">
        <f>'5.1 igazgatás cofog'!C111+'5.2 adó cofog'!C111+'5.3 pályázat'!C111</f>
        <v>23318950</v>
      </c>
      <c r="D111" s="244">
        <f>'5.1 igazgatás cofog'!D111+'5.2 adó cofog'!D111+'5.3 pályázat'!D111</f>
        <v>0</v>
      </c>
      <c r="E111" s="244">
        <f>'5.1 igazgatás cofog'!E111+'5.2 adó cofog'!E111+'5.3 pályázat'!E111</f>
        <v>23318950</v>
      </c>
      <c r="F111" s="244">
        <f>'5.1 igazgatás cofog'!F111+'5.2 adó cofog'!F111+'5.3 pályázat'!F111+'5.4 ogy, ep választás'!F111</f>
        <v>23864568</v>
      </c>
      <c r="G111" s="244">
        <f>'5.1 igazgatás cofog'!G111+'5.2 adó cofog'!G111+'5.3 pályázat'!G111+'5.4 ogy, ep választás'!G111</f>
        <v>0</v>
      </c>
      <c r="H111" s="244">
        <f>'5.1 igazgatás cofog'!H111+'5.2 adó cofog'!H111+'5.3 pályázat'!H111+'5.4 ogy, ep választás'!H111</f>
        <v>23864568</v>
      </c>
      <c r="I111" s="244">
        <f>'5.1 igazgatás cofog'!I111+'5.2 adó cofog'!I111+'5.3 pályázat'!I111+'5.4 ogy, ep választás'!I111</f>
        <v>23815543</v>
      </c>
      <c r="J111" s="244">
        <f>'5.1 igazgatás cofog'!J111+'5.2 adó cofog'!J111+'5.3 pályázat'!J111+'5.4 ogy, ep választás'!J111</f>
        <v>0</v>
      </c>
      <c r="K111" s="244">
        <f>'5.1 igazgatás cofog'!K111+'5.2 adó cofog'!K111+'5.3 pályázat'!K111+'5.4 ogy, ep választás'!K111</f>
        <v>23815543</v>
      </c>
      <c r="L111" s="244">
        <f>'5.1 igazgatás cofog'!L111+'5.2 adó cofog'!L111+'5.3 pályázat'!L111+'5.4 ogy, ep választás'!L111</f>
        <v>18965469</v>
      </c>
      <c r="M111" s="244">
        <f>'5.1 igazgatás cofog'!M111+'5.2 adó cofog'!M111+'5.3 pályázat'!M111+'5.4 ogy, ep választás'!M111</f>
        <v>0</v>
      </c>
      <c r="N111" s="244">
        <f>'5.1 igazgatás cofog'!N111+'5.2 adó cofog'!N111+'5.3 pályázat'!N111+'5.4 ogy, ep választás'!N111</f>
        <v>18965469</v>
      </c>
    </row>
    <row r="112" spans="1:14" x14ac:dyDescent="0.25">
      <c r="A112" s="61" t="s">
        <v>199</v>
      </c>
      <c r="B112" s="62" t="s">
        <v>200</v>
      </c>
      <c r="C112" s="246">
        <f>'5.1 igazgatás cofog'!C112+'5.2 adó cofog'!C112+'5.3 pályázat'!C112</f>
        <v>2885000</v>
      </c>
      <c r="D112" s="246">
        <f>'5.1 igazgatás cofog'!D112+'5.2 adó cofog'!D112+'5.3 pályázat'!D112</f>
        <v>0</v>
      </c>
      <c r="E112" s="246">
        <f>'5.1 igazgatás cofog'!E112+'5.2 adó cofog'!E112+'5.3 pályázat'!E112</f>
        <v>2885000</v>
      </c>
      <c r="F112" s="246">
        <f>'5.1 igazgatás cofog'!F112+'5.2 adó cofog'!F112+'5.3 pályázat'!F112+'5.4 ogy, ep választás'!F112</f>
        <v>2853900</v>
      </c>
      <c r="G112" s="246">
        <f>'5.1 igazgatás cofog'!G112+'5.2 adó cofog'!G112+'5.3 pályázat'!G112+'5.4 ogy, ep választás'!G112</f>
        <v>0</v>
      </c>
      <c r="H112" s="246">
        <f>'5.1 igazgatás cofog'!H112+'5.2 adó cofog'!H112+'5.3 pályázat'!H112+'5.4 ogy, ep választás'!H112</f>
        <v>2853900</v>
      </c>
      <c r="I112" s="246">
        <f>'5.1 igazgatás cofog'!I112+'5.2 adó cofog'!I112+'5.3 pályázat'!I112+'5.4 ogy, ep választás'!I112</f>
        <v>2848506</v>
      </c>
      <c r="J112" s="246">
        <f>'5.1 igazgatás cofog'!J112+'5.2 adó cofog'!J112+'5.3 pályázat'!J112+'5.4 ogy, ep választás'!J112</f>
        <v>0</v>
      </c>
      <c r="K112" s="246">
        <f>'5.1 igazgatás cofog'!K112+'5.2 adó cofog'!K112+'5.3 pályázat'!K112+'5.4 ogy, ep választás'!K112</f>
        <v>2848506</v>
      </c>
      <c r="L112" s="246">
        <f>'5.1 igazgatás cofog'!L112+'5.2 adó cofog'!L112+'5.3 pályázat'!L112+'5.4 ogy, ep választás'!L112</f>
        <v>2400446</v>
      </c>
      <c r="M112" s="246">
        <f>'5.1 igazgatás cofog'!M112+'5.2 adó cofog'!M112+'5.3 pályázat'!M112+'5.4 ogy, ep választás'!M112</f>
        <v>0</v>
      </c>
      <c r="N112" s="246">
        <f>'5.1 igazgatás cofog'!N112+'5.2 adó cofog'!N112+'5.3 pályázat'!N112+'5.4 ogy, ep választás'!N112</f>
        <v>2400446</v>
      </c>
    </row>
    <row r="113" spans="1:14" x14ac:dyDescent="0.25">
      <c r="A113" s="61" t="s">
        <v>201</v>
      </c>
      <c r="B113" s="62" t="s">
        <v>202</v>
      </c>
      <c r="C113" s="246">
        <f>'5.1 igazgatás cofog'!C113+'5.2 adó cofog'!C113+'5.3 pályázat'!C113</f>
        <v>4000000</v>
      </c>
      <c r="D113" s="246">
        <f>'5.1 igazgatás cofog'!D113+'5.2 adó cofog'!D113+'5.3 pályázat'!D113</f>
        <v>0</v>
      </c>
      <c r="E113" s="246">
        <f>'5.1 igazgatás cofog'!E113+'5.2 adó cofog'!E113+'5.3 pályázat'!E113</f>
        <v>4000000</v>
      </c>
      <c r="F113" s="246">
        <f>'5.1 igazgatás cofog'!F113+'5.2 adó cofog'!F113+'5.3 pályázat'!F113+'5.4 ogy, ep választás'!F113</f>
        <v>4000000</v>
      </c>
      <c r="G113" s="246">
        <f>'5.1 igazgatás cofog'!G113+'5.2 adó cofog'!G113+'5.3 pályázat'!G113+'5.4 ogy, ep választás'!G113</f>
        <v>0</v>
      </c>
      <c r="H113" s="246">
        <f>'5.1 igazgatás cofog'!H113+'5.2 adó cofog'!H113+'5.3 pályázat'!H113+'5.4 ogy, ep választás'!H113</f>
        <v>4000000</v>
      </c>
      <c r="I113" s="246">
        <f>'5.1 igazgatás cofog'!I113+'5.2 adó cofog'!I113+'5.3 pályázat'!I113+'5.4 ogy, ep választás'!I113</f>
        <v>4000000</v>
      </c>
      <c r="J113" s="246">
        <f>'5.1 igazgatás cofog'!J113+'5.2 adó cofog'!J113+'5.3 pályázat'!J113+'5.4 ogy, ep választás'!J113</f>
        <v>0</v>
      </c>
      <c r="K113" s="246">
        <f>'5.1 igazgatás cofog'!K113+'5.2 adó cofog'!K113+'5.3 pályázat'!K113+'5.4 ogy, ep választás'!K113</f>
        <v>4000000</v>
      </c>
      <c r="L113" s="246">
        <f>'5.1 igazgatás cofog'!L113+'5.2 adó cofog'!L113+'5.3 pályázat'!L113+'5.4 ogy, ep választás'!L113</f>
        <v>2348142</v>
      </c>
      <c r="M113" s="246">
        <f>'5.1 igazgatás cofog'!M113+'5.2 adó cofog'!M113+'5.3 pályázat'!M113+'5.4 ogy, ep választás'!M113</f>
        <v>0</v>
      </c>
      <c r="N113" s="246">
        <f>'5.1 igazgatás cofog'!N113+'5.2 adó cofog'!N113+'5.3 pályázat'!N113+'5.4 ogy, ep választás'!N113</f>
        <v>2348142</v>
      </c>
    </row>
    <row r="114" spans="1:14" x14ac:dyDescent="0.25">
      <c r="A114" s="61" t="s">
        <v>203</v>
      </c>
      <c r="B114" s="62" t="s">
        <v>204</v>
      </c>
      <c r="C114" s="246">
        <f>'5.1 igazgatás cofog'!C114+'5.2 adó cofog'!C114+'5.3 pályázat'!C114</f>
        <v>12500000</v>
      </c>
      <c r="D114" s="246">
        <f>'5.1 igazgatás cofog'!D114+'5.2 adó cofog'!D114+'5.3 pályázat'!D114</f>
        <v>0</v>
      </c>
      <c r="E114" s="246">
        <f>'5.1 igazgatás cofog'!E114+'5.2 adó cofog'!E114+'5.3 pályázat'!E114</f>
        <v>12500000</v>
      </c>
      <c r="F114" s="246">
        <f>'5.1 igazgatás cofog'!F114+'5.2 adó cofog'!F114+'5.3 pályázat'!F114+'5.4 ogy, ep választás'!F114</f>
        <v>12956891</v>
      </c>
      <c r="G114" s="246">
        <f>'5.1 igazgatás cofog'!G114+'5.2 adó cofog'!G114+'5.3 pályázat'!G114+'5.4 ogy, ep választás'!G114</f>
        <v>0</v>
      </c>
      <c r="H114" s="246">
        <f>'5.1 igazgatás cofog'!H114+'5.2 adó cofog'!H114+'5.3 pályázat'!H114+'5.4 ogy, ep választás'!H114</f>
        <v>12956891</v>
      </c>
      <c r="I114" s="246">
        <f>'5.1 igazgatás cofog'!I114+'5.2 adó cofog'!I114+'5.3 pályázat'!I114+'5.4 ogy, ep választás'!I114</f>
        <v>12913260</v>
      </c>
      <c r="J114" s="246">
        <f>'5.1 igazgatás cofog'!J114+'5.2 adó cofog'!J114+'5.3 pályázat'!J114+'5.4 ogy, ep választás'!J114</f>
        <v>0</v>
      </c>
      <c r="K114" s="246">
        <f>'5.1 igazgatás cofog'!K114+'5.2 adó cofog'!K114+'5.3 pályázat'!K114+'5.4 ogy, ep választás'!K114</f>
        <v>12913260</v>
      </c>
      <c r="L114" s="246">
        <f>'5.1 igazgatás cofog'!L114+'5.2 adó cofog'!L114+'5.3 pályázat'!L114+'5.4 ogy, ep választás'!L114</f>
        <v>11612293</v>
      </c>
      <c r="M114" s="246">
        <f>'5.1 igazgatás cofog'!M114+'5.2 adó cofog'!M114+'5.3 pályázat'!M114+'5.4 ogy, ep választás'!M114</f>
        <v>0</v>
      </c>
      <c r="N114" s="246">
        <f>'5.1 igazgatás cofog'!N114+'5.2 adó cofog'!N114+'5.3 pályázat'!N114+'5.4 ogy, ep választás'!N114</f>
        <v>11612293</v>
      </c>
    </row>
    <row r="115" spans="1:14" x14ac:dyDescent="0.25">
      <c r="A115" s="61" t="s">
        <v>205</v>
      </c>
      <c r="B115" s="62" t="s">
        <v>206</v>
      </c>
      <c r="C115" s="246">
        <f>'5.1 igazgatás cofog'!C115+'5.2 adó cofog'!C115+'5.3 pályázat'!C115</f>
        <v>2900000</v>
      </c>
      <c r="D115" s="246">
        <f>'5.1 igazgatás cofog'!D115+'5.2 adó cofog'!D115+'5.3 pályázat'!D115</f>
        <v>0</v>
      </c>
      <c r="E115" s="246">
        <f>'5.1 igazgatás cofog'!E115+'5.2 adó cofog'!E115+'5.3 pályázat'!E115</f>
        <v>2900000</v>
      </c>
      <c r="F115" s="246">
        <f>'5.1 igazgatás cofog'!F115+'5.2 adó cofog'!F115+'5.3 pályázat'!F115+'5.4 ogy, ep választás'!F115</f>
        <v>3356891</v>
      </c>
      <c r="G115" s="246">
        <f>'5.1 igazgatás cofog'!G115+'5.2 adó cofog'!G115+'5.3 pályázat'!G115+'5.4 ogy, ep választás'!G115</f>
        <v>0</v>
      </c>
      <c r="H115" s="246">
        <f>'5.1 igazgatás cofog'!H115+'5.2 adó cofog'!H115+'5.3 pályázat'!H115+'5.4 ogy, ep választás'!H115</f>
        <v>3356891</v>
      </c>
      <c r="I115" s="246">
        <f>'5.1 igazgatás cofog'!I115+'5.2 adó cofog'!I115+'5.3 pályázat'!I115+'5.4 ogy, ep választás'!I115</f>
        <v>3427866</v>
      </c>
      <c r="J115" s="246">
        <f>'5.1 igazgatás cofog'!J115+'5.2 adó cofog'!J115+'5.3 pályázat'!J115+'5.4 ogy, ep választás'!J115</f>
        <v>0</v>
      </c>
      <c r="K115" s="246">
        <f>'5.1 igazgatás cofog'!K115+'5.2 adó cofog'!K115+'5.3 pályázat'!K115+'5.4 ogy, ep választás'!K115</f>
        <v>3427866</v>
      </c>
      <c r="L115" s="246">
        <f>'5.1 igazgatás cofog'!L115+'5.2 adó cofog'!L115+'5.3 pályázat'!L115+'5.4 ogy, ep választás'!L115</f>
        <v>3036050</v>
      </c>
      <c r="M115" s="246">
        <f>'5.1 igazgatás cofog'!M115+'5.2 adó cofog'!M115+'5.3 pályázat'!M115+'5.4 ogy, ep választás'!M115</f>
        <v>0</v>
      </c>
      <c r="N115" s="246">
        <f>'5.1 igazgatás cofog'!N115+'5.2 adó cofog'!N115+'5.3 pályázat'!N115+'5.4 ogy, ep választás'!N115</f>
        <v>3036050</v>
      </c>
    </row>
    <row r="116" spans="1:14" x14ac:dyDescent="0.25">
      <c r="A116" s="61" t="s">
        <v>207</v>
      </c>
      <c r="B116" s="62" t="s">
        <v>208</v>
      </c>
      <c r="C116" s="246">
        <f>'5.1 igazgatás cofog'!C116+'5.2 adó cofog'!C116+'5.3 pályázat'!C116</f>
        <v>0</v>
      </c>
      <c r="D116" s="246">
        <f>'5.1 igazgatás cofog'!D116+'5.2 adó cofog'!D116+'5.3 pályázat'!D116</f>
        <v>0</v>
      </c>
      <c r="E116" s="246">
        <f>'5.1 igazgatás cofog'!E116+'5.2 adó cofog'!E116+'5.3 pályázat'!E116</f>
        <v>0</v>
      </c>
      <c r="F116" s="246">
        <f>'5.1 igazgatás cofog'!F116+'5.2 adó cofog'!F116+'5.3 pályázat'!F116+'5.4 ogy, ep választás'!F116</f>
        <v>0</v>
      </c>
      <c r="G116" s="246">
        <f>'5.1 igazgatás cofog'!G116+'5.2 adó cofog'!G116+'5.3 pályázat'!G116+'5.4 ogy, ep választás'!G116</f>
        <v>0</v>
      </c>
      <c r="H116" s="246">
        <f>'5.1 igazgatás cofog'!H116+'5.2 adó cofog'!H116+'5.3 pályázat'!H116+'5.4 ogy, ep választás'!H116</f>
        <v>0</v>
      </c>
      <c r="I116" s="246">
        <f>'5.1 igazgatás cofog'!I116+'5.2 adó cofog'!I116+'5.3 pályázat'!I116+'5.4 ogy, ep választás'!I116</f>
        <v>0</v>
      </c>
      <c r="J116" s="246">
        <f>'5.1 igazgatás cofog'!J116+'5.2 adó cofog'!J116+'5.3 pályázat'!J116+'5.4 ogy, ep választás'!J116</f>
        <v>0</v>
      </c>
      <c r="K116" s="246">
        <f>'5.1 igazgatás cofog'!K116+'5.2 adó cofog'!K116+'5.3 pályázat'!K116+'5.4 ogy, ep választás'!K116</f>
        <v>0</v>
      </c>
      <c r="L116" s="246">
        <f>'5.1 igazgatás cofog'!L116+'5.2 adó cofog'!L116+'5.3 pályázat'!L116+'5.4 ogy, ep választás'!L116</f>
        <v>0</v>
      </c>
      <c r="M116" s="246">
        <f>'5.1 igazgatás cofog'!M116+'5.2 adó cofog'!M116+'5.3 pályázat'!M116+'5.4 ogy, ep választás'!M116</f>
        <v>0</v>
      </c>
      <c r="N116" s="246">
        <f>'5.1 igazgatás cofog'!N116+'5.2 adó cofog'!N116+'5.3 pályázat'!N116+'5.4 ogy, ep választás'!N116</f>
        <v>0</v>
      </c>
    </row>
    <row r="117" spans="1:14" x14ac:dyDescent="0.25">
      <c r="A117" s="61" t="s">
        <v>209</v>
      </c>
      <c r="B117" s="62" t="s">
        <v>210</v>
      </c>
      <c r="C117" s="246">
        <f>'5.1 igazgatás cofog'!C117+'5.2 adó cofog'!C117+'5.3 pályázat'!C117</f>
        <v>20000</v>
      </c>
      <c r="D117" s="246">
        <f>'5.1 igazgatás cofog'!D117+'5.2 adó cofog'!D117+'5.3 pályázat'!D117</f>
        <v>0</v>
      </c>
      <c r="E117" s="246">
        <f>'5.1 igazgatás cofog'!E117+'5.2 adó cofog'!E117+'5.3 pályázat'!E117</f>
        <v>20000</v>
      </c>
      <c r="F117" s="246">
        <f>'5.1 igazgatás cofog'!F117+'5.2 adó cofog'!F117+'5.3 pályázat'!F117+'5.4 ogy, ep választás'!F117</f>
        <v>20000</v>
      </c>
      <c r="G117" s="246">
        <f>'5.1 igazgatás cofog'!G117+'5.2 adó cofog'!G117+'5.3 pályázat'!G117+'5.4 ogy, ep választás'!G117</f>
        <v>0</v>
      </c>
      <c r="H117" s="246">
        <f>'5.1 igazgatás cofog'!H117+'5.2 adó cofog'!H117+'5.3 pályázat'!H117+'5.4 ogy, ep választás'!H117</f>
        <v>20000</v>
      </c>
      <c r="I117" s="246">
        <f>'5.1 igazgatás cofog'!I117+'5.2 adó cofog'!I117+'5.3 pályázat'!I117+'5.4 ogy, ep választás'!I117</f>
        <v>32394</v>
      </c>
      <c r="J117" s="246">
        <f>'5.1 igazgatás cofog'!J117+'5.2 adó cofog'!J117+'5.3 pályázat'!J117+'5.4 ogy, ep választás'!J117</f>
        <v>0</v>
      </c>
      <c r="K117" s="246">
        <f>'5.1 igazgatás cofog'!K117+'5.2 adó cofog'!K117+'5.3 pályázat'!K117+'5.4 ogy, ep választás'!K117</f>
        <v>32394</v>
      </c>
      <c r="L117" s="246">
        <f>'5.1 igazgatás cofog'!L117+'5.2 adó cofog'!L117+'5.3 pályázat'!L117+'5.4 ogy, ep választás'!L117</f>
        <v>31890</v>
      </c>
      <c r="M117" s="246">
        <f>'5.1 igazgatás cofog'!M117+'5.2 adó cofog'!M117+'5.3 pályázat'!M117+'5.4 ogy, ep választás'!M117</f>
        <v>0</v>
      </c>
      <c r="N117" s="246">
        <f>'5.1 igazgatás cofog'!N117+'5.2 adó cofog'!N117+'5.3 pályázat'!N117+'5.4 ogy, ep választás'!N117</f>
        <v>31890</v>
      </c>
    </row>
    <row r="118" spans="1:14" x14ac:dyDescent="0.25">
      <c r="A118" s="61" t="s">
        <v>211</v>
      </c>
      <c r="B118" s="62" t="s">
        <v>212</v>
      </c>
      <c r="C118" s="246">
        <f>'5.1 igazgatás cofog'!C118+'5.2 adó cofog'!C118+'5.3 pályázat'!C118</f>
        <v>230000</v>
      </c>
      <c r="D118" s="246">
        <f>'5.1 igazgatás cofog'!D118+'5.2 adó cofog'!D118+'5.3 pályázat'!D118</f>
        <v>0</v>
      </c>
      <c r="E118" s="246">
        <f>'5.1 igazgatás cofog'!E118+'5.2 adó cofog'!E118+'5.3 pályázat'!E118</f>
        <v>230000</v>
      </c>
      <c r="F118" s="246">
        <f>'5.1 igazgatás cofog'!F118+'5.2 adó cofog'!F118+'5.3 pályázat'!F118+'5.4 ogy, ep választás'!F118</f>
        <v>230000</v>
      </c>
      <c r="G118" s="246">
        <f>'5.1 igazgatás cofog'!G118+'5.2 adó cofog'!G118+'5.3 pályázat'!G118+'5.4 ogy, ep választás'!G118</f>
        <v>0</v>
      </c>
      <c r="H118" s="246">
        <f>'5.1 igazgatás cofog'!H118+'5.2 adó cofog'!H118+'5.3 pályázat'!H118+'5.4 ogy, ep választás'!H118</f>
        <v>230000</v>
      </c>
      <c r="I118" s="246">
        <f>'5.1 igazgatás cofog'!I118+'5.2 adó cofog'!I118+'5.3 pályázat'!I118+'5.4 ogy, ep választás'!I118</f>
        <v>230000</v>
      </c>
      <c r="J118" s="246">
        <f>'5.1 igazgatás cofog'!J118+'5.2 adó cofog'!J118+'5.3 pályázat'!J118+'5.4 ogy, ep választás'!J118</f>
        <v>0</v>
      </c>
      <c r="K118" s="246">
        <f>'5.1 igazgatás cofog'!K118+'5.2 adó cofog'!K118+'5.3 pályázat'!K118+'5.4 ogy, ep választás'!K118</f>
        <v>230000</v>
      </c>
      <c r="L118" s="246">
        <f>'5.1 igazgatás cofog'!L118+'5.2 adó cofog'!L118+'5.3 pályázat'!L118+'5.4 ogy, ep választás'!L118</f>
        <v>83720</v>
      </c>
      <c r="M118" s="246">
        <f>'5.1 igazgatás cofog'!M118+'5.2 adó cofog'!M118+'5.3 pályázat'!M118+'5.4 ogy, ep választás'!M118</f>
        <v>0</v>
      </c>
      <c r="N118" s="246">
        <f>'5.1 igazgatás cofog'!N118+'5.2 adó cofog'!N118+'5.3 pályázat'!N118+'5.4 ogy, ep választás'!N118</f>
        <v>83720</v>
      </c>
    </row>
    <row r="119" spans="1:14" x14ac:dyDescent="0.25">
      <c r="A119" s="61" t="s">
        <v>213</v>
      </c>
      <c r="B119" s="62" t="s">
        <v>214</v>
      </c>
      <c r="C119" s="246">
        <f>'5.1 igazgatás cofog'!C119+'5.2 adó cofog'!C119+'5.3 pályázat'!C119</f>
        <v>50000</v>
      </c>
      <c r="D119" s="246">
        <f>'5.1 igazgatás cofog'!D119+'5.2 adó cofog'!D119+'5.3 pályázat'!D119</f>
        <v>0</v>
      </c>
      <c r="E119" s="246">
        <f>'5.1 igazgatás cofog'!E119+'5.2 adó cofog'!E119+'5.3 pályázat'!E119</f>
        <v>50000</v>
      </c>
      <c r="F119" s="246">
        <f>'5.1 igazgatás cofog'!F119+'5.2 adó cofog'!F119+'5.3 pályázat'!F119+'5.4 ogy, ep választás'!F119</f>
        <v>50000</v>
      </c>
      <c r="G119" s="246">
        <f>'5.1 igazgatás cofog'!G119+'5.2 adó cofog'!G119+'5.3 pályázat'!G119+'5.4 ogy, ep választás'!G119</f>
        <v>0</v>
      </c>
      <c r="H119" s="246">
        <f>'5.1 igazgatás cofog'!H119+'5.2 adó cofog'!H119+'5.3 pályázat'!H119+'5.4 ogy, ep választás'!H119</f>
        <v>50000</v>
      </c>
      <c r="I119" s="246">
        <f>'5.1 igazgatás cofog'!I119+'5.2 adó cofog'!I119+'5.3 pályázat'!I119+'5.4 ogy, ep választás'!I119</f>
        <v>55000</v>
      </c>
      <c r="J119" s="246">
        <f>'5.1 igazgatás cofog'!J119+'5.2 adó cofog'!J119+'5.3 pályázat'!J119+'5.4 ogy, ep választás'!J119</f>
        <v>0</v>
      </c>
      <c r="K119" s="246">
        <f>'5.1 igazgatás cofog'!K119+'5.2 adó cofog'!K119+'5.3 pályázat'!K119+'5.4 ogy, ep választás'!K119</f>
        <v>55000</v>
      </c>
      <c r="L119" s="246">
        <f>'5.1 igazgatás cofog'!L119+'5.2 adó cofog'!L119+'5.3 pályázat'!L119+'5.4 ogy, ep választás'!L119</f>
        <v>54333</v>
      </c>
      <c r="M119" s="246">
        <f>'5.1 igazgatás cofog'!M119+'5.2 adó cofog'!M119+'5.3 pályázat'!M119+'5.4 ogy, ep választás'!M119</f>
        <v>0</v>
      </c>
      <c r="N119" s="246">
        <f>'5.1 igazgatás cofog'!N119+'5.2 adó cofog'!N119+'5.3 pályázat'!N119+'5.4 ogy, ep választás'!N119</f>
        <v>54333</v>
      </c>
    </row>
    <row r="120" spans="1:14" x14ac:dyDescent="0.25">
      <c r="A120" s="61" t="s">
        <v>215</v>
      </c>
      <c r="B120" s="62" t="s">
        <v>216</v>
      </c>
      <c r="C120" s="246">
        <f>'5.1 igazgatás cofog'!C120+'5.2 adó cofog'!C120+'5.3 pályázat'!C120</f>
        <v>3300000</v>
      </c>
      <c r="D120" s="246">
        <f>'5.1 igazgatás cofog'!D120+'5.2 adó cofog'!D120+'5.3 pályázat'!D120</f>
        <v>0</v>
      </c>
      <c r="E120" s="246">
        <f>'5.1 igazgatás cofog'!E120+'5.2 adó cofog'!E120+'5.3 pályázat'!E120</f>
        <v>3300000</v>
      </c>
      <c r="F120" s="246">
        <f>'5.1 igazgatás cofog'!F120+'5.2 adó cofog'!F120+'5.3 pályázat'!F120+'5.4 ogy, ep választás'!F120</f>
        <v>3300000</v>
      </c>
      <c r="G120" s="246">
        <f>'5.1 igazgatás cofog'!G120+'5.2 adó cofog'!G120+'5.3 pályázat'!G120+'5.4 ogy, ep választás'!G120</f>
        <v>0</v>
      </c>
      <c r="H120" s="246">
        <f>'5.1 igazgatás cofog'!H120+'5.2 adó cofog'!H120+'5.3 pályázat'!H120+'5.4 ogy, ep választás'!H120</f>
        <v>3300000</v>
      </c>
      <c r="I120" s="246">
        <f>'5.1 igazgatás cofog'!I120+'5.2 adó cofog'!I120+'5.3 pályázat'!I120+'5.4 ogy, ep választás'!I120</f>
        <v>3768692</v>
      </c>
      <c r="J120" s="246">
        <f>'5.1 igazgatás cofog'!J120+'5.2 adó cofog'!J120+'5.3 pályázat'!J120+'5.4 ogy, ep választás'!J120</f>
        <v>0</v>
      </c>
      <c r="K120" s="246">
        <f>'5.1 igazgatás cofog'!K120+'5.2 adó cofog'!K120+'5.3 pályázat'!K120+'5.4 ogy, ep választás'!K120</f>
        <v>3768692</v>
      </c>
      <c r="L120" s="246">
        <f>'5.1 igazgatás cofog'!L120+'5.2 adó cofog'!L120+'5.3 pályázat'!L120+'5.4 ogy, ep választás'!L120</f>
        <v>3468692</v>
      </c>
      <c r="M120" s="246">
        <f>'5.1 igazgatás cofog'!M120+'5.2 adó cofog'!M120+'5.3 pályázat'!M120+'5.4 ogy, ep választás'!M120</f>
        <v>0</v>
      </c>
      <c r="N120" s="246">
        <f>'5.1 igazgatás cofog'!N120+'5.2 adó cofog'!N120+'5.3 pályázat'!N120+'5.4 ogy, ep választás'!N120</f>
        <v>3468692</v>
      </c>
    </row>
    <row r="121" spans="1:14" x14ac:dyDescent="0.25">
      <c r="A121" s="61" t="s">
        <v>217</v>
      </c>
      <c r="B121" s="62" t="s">
        <v>218</v>
      </c>
      <c r="C121" s="246">
        <f>'5.1 igazgatás cofog'!C121+'5.2 adó cofog'!C121+'5.3 pályázat'!C121</f>
        <v>6000000</v>
      </c>
      <c r="D121" s="246">
        <f>'5.1 igazgatás cofog'!D121+'5.2 adó cofog'!D121+'5.3 pályázat'!D121</f>
        <v>0</v>
      </c>
      <c r="E121" s="246">
        <f>'5.1 igazgatás cofog'!E121+'5.2 adó cofog'!E121+'5.3 pályázat'!E121</f>
        <v>6000000</v>
      </c>
      <c r="F121" s="246">
        <f>'5.1 igazgatás cofog'!F121+'5.2 adó cofog'!F121+'5.3 pályázat'!F121+'5.4 ogy, ep választás'!F121</f>
        <v>6000000</v>
      </c>
      <c r="G121" s="246">
        <f>'5.1 igazgatás cofog'!G121+'5.2 adó cofog'!G121+'5.3 pályázat'!G121+'5.4 ogy, ep választás'!G121</f>
        <v>0</v>
      </c>
      <c r="H121" s="246">
        <f>'5.1 igazgatás cofog'!H121+'5.2 adó cofog'!H121+'5.3 pályázat'!H121+'5.4 ogy, ep választás'!H121</f>
        <v>6000000</v>
      </c>
      <c r="I121" s="246">
        <f>'5.1 igazgatás cofog'!I121+'5.2 adó cofog'!I121+'5.3 pályázat'!I121+'5.4 ogy, ep választás'!I121</f>
        <v>5399308</v>
      </c>
      <c r="J121" s="246">
        <f>'5.1 igazgatás cofog'!J121+'5.2 adó cofog'!J121+'5.3 pályázat'!J121+'5.4 ogy, ep választás'!J121</f>
        <v>0</v>
      </c>
      <c r="K121" s="246">
        <f>'5.1 igazgatás cofog'!K121+'5.2 adó cofog'!K121+'5.3 pályázat'!K121+'5.4 ogy, ep választás'!K121</f>
        <v>5399308</v>
      </c>
      <c r="L121" s="246">
        <f>'5.1 igazgatás cofog'!L121+'5.2 adó cofog'!L121+'5.3 pályázat'!L121+'5.4 ogy, ep választás'!L121</f>
        <v>4937608</v>
      </c>
      <c r="M121" s="246">
        <f>'5.1 igazgatás cofog'!M121+'5.2 adó cofog'!M121+'5.3 pályázat'!M121+'5.4 ogy, ep választás'!M121</f>
        <v>0</v>
      </c>
      <c r="N121" s="246">
        <f>'5.1 igazgatás cofog'!N121+'5.2 adó cofog'!N121+'5.3 pályázat'!N121+'5.4 ogy, ep választás'!N121</f>
        <v>4937608</v>
      </c>
    </row>
    <row r="122" spans="1:14" x14ac:dyDescent="0.25">
      <c r="A122" s="61" t="s">
        <v>219</v>
      </c>
      <c r="B122" s="62" t="s">
        <v>220</v>
      </c>
      <c r="C122" s="246">
        <f>'5.1 igazgatás cofog'!C122+'5.2 adó cofog'!C122+'5.3 pályázat'!C122</f>
        <v>0</v>
      </c>
      <c r="D122" s="246">
        <f>'5.1 igazgatás cofog'!D122+'5.2 adó cofog'!D122+'5.3 pályázat'!D122</f>
        <v>0</v>
      </c>
      <c r="E122" s="246">
        <f>'5.1 igazgatás cofog'!E122+'5.2 adó cofog'!E122+'5.3 pályázat'!E122</f>
        <v>0</v>
      </c>
      <c r="F122" s="246">
        <f>'5.1 igazgatás cofog'!F122+'5.2 adó cofog'!F122+'5.3 pályázat'!F122+'5.4 ogy, ep választás'!F122</f>
        <v>100000</v>
      </c>
      <c r="G122" s="246">
        <f>'5.1 igazgatás cofog'!G122+'5.2 adó cofog'!G122+'5.3 pályázat'!G122+'5.4 ogy, ep választás'!G122</f>
        <v>0</v>
      </c>
      <c r="H122" s="246">
        <f>'5.1 igazgatás cofog'!H122+'5.2 adó cofog'!H122+'5.3 pályázat'!H122+'5.4 ogy, ep választás'!H122</f>
        <v>100000</v>
      </c>
      <c r="I122" s="246">
        <f>'5.1 igazgatás cofog'!I122+'5.2 adó cofog'!I122+'5.3 pályázat'!I122+'5.4 ogy, ep választás'!I122</f>
        <v>100000</v>
      </c>
      <c r="J122" s="246">
        <f>'5.1 igazgatás cofog'!J122+'5.2 adó cofog'!J122+'5.3 pályázat'!J122+'5.4 ogy, ep választás'!J122</f>
        <v>0</v>
      </c>
      <c r="K122" s="246">
        <f>'5.1 igazgatás cofog'!K122+'5.2 adó cofog'!K122+'5.3 pályázat'!K122+'5.4 ogy, ep választás'!K122</f>
        <v>100000</v>
      </c>
      <c r="L122" s="246">
        <f>'5.1 igazgatás cofog'!L122+'5.2 adó cofog'!L122+'5.3 pályázat'!L122+'5.4 ogy, ep választás'!L122</f>
        <v>98030</v>
      </c>
      <c r="M122" s="246">
        <f>'5.1 igazgatás cofog'!M122+'5.2 adó cofog'!M122+'5.3 pályázat'!M122+'5.4 ogy, ep választás'!M122</f>
        <v>0</v>
      </c>
      <c r="N122" s="246">
        <f>'5.1 igazgatás cofog'!N122+'5.2 adó cofog'!N122+'5.3 pályázat'!N122+'5.4 ogy, ep választás'!N122</f>
        <v>98030</v>
      </c>
    </row>
    <row r="123" spans="1:14" x14ac:dyDescent="0.25">
      <c r="A123" s="61" t="s">
        <v>221</v>
      </c>
      <c r="B123" s="62" t="s">
        <v>222</v>
      </c>
      <c r="C123" s="246">
        <f>'5.1 igazgatás cofog'!C123+'5.2 adó cofog'!C123+'5.3 pályázat'!C123</f>
        <v>3933950.0000000005</v>
      </c>
      <c r="D123" s="246">
        <f>'5.1 igazgatás cofog'!D123+'5.2 adó cofog'!D123+'5.3 pályázat'!D123</f>
        <v>0</v>
      </c>
      <c r="E123" s="246">
        <f>'5.1 igazgatás cofog'!E123+'5.2 adó cofog'!E123+'5.3 pályázat'!E123</f>
        <v>3933950.0000000005</v>
      </c>
      <c r="F123" s="246">
        <f>'5.1 igazgatás cofog'!F123+'5.2 adó cofog'!F123+'5.3 pályázat'!F123+'5.4 ogy, ep választás'!F123</f>
        <v>3953777.0000000005</v>
      </c>
      <c r="G123" s="246">
        <f>'5.1 igazgatás cofog'!G123+'5.2 adó cofog'!G123+'5.3 pályázat'!G123+'5.4 ogy, ep választás'!G123</f>
        <v>0</v>
      </c>
      <c r="H123" s="246">
        <f>'5.1 igazgatás cofog'!H123+'5.2 adó cofog'!H123+'5.3 pályázat'!H123+'5.4 ogy, ep választás'!H123</f>
        <v>3953777.0000000005</v>
      </c>
      <c r="I123" s="246">
        <f>'5.1 igazgatás cofog'!I123+'5.2 adó cofog'!I123+'5.3 pályázat'!I123+'5.4 ogy, ep választás'!I123</f>
        <v>3953777.0000000005</v>
      </c>
      <c r="J123" s="246">
        <f>'5.1 igazgatás cofog'!J123+'5.2 adó cofog'!J123+'5.3 pályázat'!J123+'5.4 ogy, ep választás'!J123</f>
        <v>0</v>
      </c>
      <c r="K123" s="246">
        <f>'5.1 igazgatás cofog'!K123+'5.2 adó cofog'!K123+'5.3 pályázat'!K123+'5.4 ogy, ep választás'!K123</f>
        <v>3953777.0000000005</v>
      </c>
      <c r="L123" s="246">
        <f>'5.1 igazgatás cofog'!L123+'5.2 adó cofog'!L123+'5.3 pályázat'!L123+'5.4 ogy, ep választás'!L123</f>
        <v>2506558</v>
      </c>
      <c r="M123" s="246">
        <f>'5.1 igazgatás cofog'!M123+'5.2 adó cofog'!M123+'5.3 pályázat'!M123+'5.4 ogy, ep választás'!M123</f>
        <v>0</v>
      </c>
      <c r="N123" s="246">
        <f>'5.1 igazgatás cofog'!N123+'5.2 adó cofog'!N123+'5.3 pályázat'!N123+'5.4 ogy, ep választás'!N123</f>
        <v>2506558</v>
      </c>
    </row>
    <row r="124" spans="1:14" x14ac:dyDescent="0.25">
      <c r="A124" s="61"/>
      <c r="B124" s="62" t="s">
        <v>223</v>
      </c>
      <c r="C124" s="246">
        <f>'5.1 igazgatás cofog'!C124+'5.2 adó cofog'!C124+'5.3 pályázat'!C124</f>
        <v>3883950.0000000005</v>
      </c>
      <c r="D124" s="246">
        <f>'5.1 igazgatás cofog'!D124+'5.2 adó cofog'!D124+'5.3 pályázat'!D124</f>
        <v>0</v>
      </c>
      <c r="E124" s="246">
        <f>'5.1 igazgatás cofog'!E124+'5.2 adó cofog'!E124+'5.3 pályázat'!E124</f>
        <v>3883950.0000000005</v>
      </c>
      <c r="F124" s="246">
        <f>'5.1 igazgatás cofog'!F124+'5.2 adó cofog'!F124+'5.3 pályázat'!F124+'5.4 ogy, ep választás'!F124</f>
        <v>3903777.0000000005</v>
      </c>
      <c r="G124" s="246">
        <f>'5.1 igazgatás cofog'!G124+'5.2 adó cofog'!G124+'5.3 pályázat'!G124+'5.4 ogy, ep választás'!G124</f>
        <v>0</v>
      </c>
      <c r="H124" s="246">
        <f>'5.1 igazgatás cofog'!H124+'5.2 adó cofog'!H124+'5.3 pályázat'!H124+'5.4 ogy, ep választás'!H124</f>
        <v>3903777.0000000005</v>
      </c>
      <c r="I124" s="246">
        <f>'5.1 igazgatás cofog'!I124+'5.2 adó cofog'!I124+'5.3 pályázat'!I124+'5.4 ogy, ep választás'!I124</f>
        <v>3903777.0000000005</v>
      </c>
      <c r="J124" s="246">
        <f>'5.1 igazgatás cofog'!J124+'5.2 adó cofog'!J124+'5.3 pályázat'!J124+'5.4 ogy, ep választás'!J124</f>
        <v>0</v>
      </c>
      <c r="K124" s="246">
        <f>'5.1 igazgatás cofog'!K124+'5.2 adó cofog'!K124+'5.3 pályázat'!K124+'5.4 ogy, ep választás'!K124</f>
        <v>3903777.0000000005</v>
      </c>
      <c r="L124" s="246">
        <f>'5.1 igazgatás cofog'!L124+'5.2 adó cofog'!L124+'5.3 pályázat'!L124+'5.4 ogy, ep választás'!L124</f>
        <v>2492424</v>
      </c>
      <c r="M124" s="246">
        <f>'5.1 igazgatás cofog'!M124+'5.2 adó cofog'!M124+'5.3 pályázat'!M124+'5.4 ogy, ep választás'!M124</f>
        <v>0</v>
      </c>
      <c r="N124" s="246">
        <f>'5.1 igazgatás cofog'!N124+'5.2 adó cofog'!N124+'5.3 pályázat'!N124+'5.4 ogy, ep választás'!N124</f>
        <v>2492424</v>
      </c>
    </row>
    <row r="125" spans="1:14" x14ac:dyDescent="0.25">
      <c r="A125" s="63"/>
      <c r="B125" s="64" t="s">
        <v>224</v>
      </c>
      <c r="C125" s="246">
        <f>'5.1 igazgatás cofog'!C125+'5.2 adó cofog'!C125+'5.3 pályázat'!C125</f>
        <v>0</v>
      </c>
      <c r="D125" s="246">
        <f>'5.1 igazgatás cofog'!D125+'5.2 adó cofog'!D125+'5.3 pályázat'!D125</f>
        <v>0</v>
      </c>
      <c r="E125" s="246">
        <f>'5.1 igazgatás cofog'!E125+'5.2 adó cofog'!E125+'5.3 pályázat'!E125</f>
        <v>0</v>
      </c>
      <c r="F125" s="246">
        <f>'5.1 igazgatás cofog'!F125+'5.2 adó cofog'!F125+'5.3 pályázat'!F125+'5.4 ogy, ep választás'!F125</f>
        <v>0</v>
      </c>
      <c r="G125" s="246">
        <f>'5.1 igazgatás cofog'!G125+'5.2 adó cofog'!G125+'5.3 pályázat'!G125+'5.4 ogy, ep választás'!G125</f>
        <v>0</v>
      </c>
      <c r="H125" s="246">
        <f>'5.1 igazgatás cofog'!H125+'5.2 adó cofog'!H125+'5.3 pályázat'!H125+'5.4 ogy, ep választás'!H125</f>
        <v>0</v>
      </c>
      <c r="I125" s="246">
        <f>'5.1 igazgatás cofog'!I125+'5.2 adó cofog'!I125+'5.3 pályázat'!I125+'5.4 ogy, ep választás'!I125</f>
        <v>0</v>
      </c>
      <c r="J125" s="246">
        <f>'5.1 igazgatás cofog'!J125+'5.2 adó cofog'!J125+'5.3 pályázat'!J125+'5.4 ogy, ep választás'!J125</f>
        <v>0</v>
      </c>
      <c r="K125" s="246">
        <f>'5.1 igazgatás cofog'!K125+'5.2 adó cofog'!K125+'5.3 pályázat'!K125+'5.4 ogy, ep választás'!K125</f>
        <v>0</v>
      </c>
      <c r="L125" s="246">
        <f>'5.1 igazgatás cofog'!L125+'5.2 adó cofog'!L125+'5.3 pályázat'!L125+'5.4 ogy, ep választás'!L125</f>
        <v>0</v>
      </c>
      <c r="M125" s="246">
        <f>'5.1 igazgatás cofog'!M125+'5.2 adó cofog'!M125+'5.3 pályázat'!M125+'5.4 ogy, ep választás'!M125</f>
        <v>0</v>
      </c>
      <c r="N125" s="246">
        <f>'5.1 igazgatás cofog'!N125+'5.2 adó cofog'!N125+'5.3 pályázat'!N125+'5.4 ogy, ep választás'!N125</f>
        <v>0</v>
      </c>
    </row>
    <row r="126" spans="1:14" ht="15.75" thickBot="1" x14ac:dyDescent="0.3">
      <c r="A126" s="63" t="s">
        <v>225</v>
      </c>
      <c r="B126" s="64" t="s">
        <v>226</v>
      </c>
      <c r="C126" s="248">
        <f>'5.1 igazgatás cofog'!C126+'5.2 adó cofog'!C126+'5.3 pályázat'!C126</f>
        <v>50000</v>
      </c>
      <c r="D126" s="248">
        <f>'5.1 igazgatás cofog'!D126+'5.2 adó cofog'!D126+'5.3 pályázat'!D126</f>
        <v>0</v>
      </c>
      <c r="E126" s="248">
        <f>'5.1 igazgatás cofog'!E126+'5.2 adó cofog'!E126+'5.3 pályázat'!E126</f>
        <v>50000</v>
      </c>
      <c r="F126" s="248">
        <f>'5.1 igazgatás cofog'!F126+'5.2 adó cofog'!F126+'5.3 pályázat'!F126+'5.4 ogy, ep választás'!F126</f>
        <v>50000</v>
      </c>
      <c r="G126" s="248">
        <f>'5.1 igazgatás cofog'!G126+'5.2 adó cofog'!G126+'5.3 pályázat'!G126+'5.4 ogy, ep választás'!G126</f>
        <v>0</v>
      </c>
      <c r="H126" s="248">
        <f>'5.1 igazgatás cofog'!H126+'5.2 adó cofog'!H126+'5.3 pályázat'!H126+'5.4 ogy, ep választás'!H126</f>
        <v>50000</v>
      </c>
      <c r="I126" s="248">
        <f>'5.1 igazgatás cofog'!I126+'5.2 adó cofog'!I126+'5.3 pályázat'!I126+'5.4 ogy, ep választás'!I126</f>
        <v>50000</v>
      </c>
      <c r="J126" s="248">
        <f>'5.1 igazgatás cofog'!J126+'5.2 adó cofog'!J126+'5.3 pályázat'!J126+'5.4 ogy, ep választás'!J126</f>
        <v>0</v>
      </c>
      <c r="K126" s="248">
        <f>'5.1 igazgatás cofog'!K126+'5.2 adó cofog'!K126+'5.3 pályázat'!K126+'5.4 ogy, ep választás'!K126</f>
        <v>50000</v>
      </c>
      <c r="L126" s="248">
        <f>'5.1 igazgatás cofog'!L126+'5.2 adó cofog'!L126+'5.3 pályázat'!L126+'5.4 ogy, ep választás'!L126</f>
        <v>14134</v>
      </c>
      <c r="M126" s="248">
        <f>'5.1 igazgatás cofog'!M126+'5.2 adó cofog'!M126+'5.3 pályázat'!M126+'5.4 ogy, ep választás'!M126</f>
        <v>0</v>
      </c>
      <c r="N126" s="248">
        <f>'5.1 igazgatás cofog'!N126+'5.2 adó cofog'!N126+'5.3 pályázat'!N126+'5.4 ogy, ep választás'!N126</f>
        <v>14134</v>
      </c>
    </row>
    <row r="127" spans="1:14" ht="15.75" thickBot="1" x14ac:dyDescent="0.3">
      <c r="A127" s="65" t="s">
        <v>227</v>
      </c>
      <c r="B127" s="47" t="s">
        <v>36</v>
      </c>
      <c r="C127" s="254">
        <f>'5.1 igazgatás cofog'!C127+'5.2 adó cofog'!C127+'5.3 pályázat'!C127</f>
        <v>0</v>
      </c>
      <c r="D127" s="254">
        <f>'5.1 igazgatás cofog'!D127+'5.2 adó cofog'!D127+'5.3 pályázat'!D127</f>
        <v>0</v>
      </c>
      <c r="E127" s="254">
        <f>'5.1 igazgatás cofog'!E127+'5.2 adó cofog'!E127+'5.3 pályázat'!E127</f>
        <v>0</v>
      </c>
      <c r="F127" s="248">
        <f>'5.1 igazgatás cofog'!F127+'5.2 adó cofog'!F127+'5.3 pályázat'!F127+'5.4 ogy, ep választás'!F127</f>
        <v>0</v>
      </c>
      <c r="G127" s="248">
        <f>'5.1 igazgatás cofog'!G127+'5.2 adó cofog'!G127+'5.3 pályázat'!G127+'5.4 ogy, ep választás'!G127</f>
        <v>0</v>
      </c>
      <c r="H127" s="248">
        <f>'5.1 igazgatás cofog'!H127+'5.2 adó cofog'!H127+'5.3 pályázat'!H127+'5.4 ogy, ep választás'!H127</f>
        <v>0</v>
      </c>
      <c r="I127" s="248">
        <f>'5.1 igazgatás cofog'!I127+'5.2 adó cofog'!I127+'5.3 pályázat'!I127+'5.4 ogy, ep választás'!I127</f>
        <v>0</v>
      </c>
      <c r="J127" s="248">
        <f>'5.1 igazgatás cofog'!J127+'5.2 adó cofog'!J127+'5.3 pályázat'!J127+'5.4 ogy, ep választás'!J127</f>
        <v>0</v>
      </c>
      <c r="K127" s="248">
        <f>'5.1 igazgatás cofog'!K127+'5.2 adó cofog'!K127+'5.3 pályázat'!K127+'5.4 ogy, ep választás'!K127</f>
        <v>0</v>
      </c>
      <c r="L127" s="248">
        <f>'5.1 igazgatás cofog'!L127+'5.2 adó cofog'!L127+'5.3 pályázat'!L127+'5.4 ogy, ep választás'!L127</f>
        <v>0</v>
      </c>
      <c r="M127" s="248">
        <f>'5.1 igazgatás cofog'!M127+'5.2 adó cofog'!M127+'5.3 pályázat'!M127+'5.4 ogy, ep választás'!M127</f>
        <v>0</v>
      </c>
      <c r="N127" s="248">
        <f>'5.1 igazgatás cofog'!N127+'5.2 adó cofog'!N127+'5.3 pályázat'!N127+'5.4 ogy, ep választás'!N127</f>
        <v>0</v>
      </c>
    </row>
    <row r="128" spans="1:14" ht="15.75" thickBot="1" x14ac:dyDescent="0.3">
      <c r="A128" s="60" t="s">
        <v>228</v>
      </c>
      <c r="B128" s="48" t="s">
        <v>37</v>
      </c>
      <c r="C128" s="244">
        <f>'5.1 igazgatás cofog'!C128+'5.2 adó cofog'!C128+'5.3 pályázat'!C128</f>
        <v>0</v>
      </c>
      <c r="D128" s="244">
        <f>'5.1 igazgatás cofog'!D128+'5.2 adó cofog'!D128+'5.3 pályázat'!D128</f>
        <v>0</v>
      </c>
      <c r="E128" s="244">
        <f>'5.1 igazgatás cofog'!E128+'5.2 adó cofog'!E128+'5.3 pályázat'!E128</f>
        <v>0</v>
      </c>
      <c r="F128" s="244">
        <f>'5.1 igazgatás cofog'!F128+'5.2 adó cofog'!F128+'5.3 pályázat'!F128+'5.4 ogy, ep választás'!F128</f>
        <v>0</v>
      </c>
      <c r="G128" s="244">
        <f>'5.1 igazgatás cofog'!G128+'5.2 adó cofog'!G128+'5.3 pályázat'!G128+'5.4 ogy, ep választás'!G128</f>
        <v>0</v>
      </c>
      <c r="H128" s="244">
        <f>'5.1 igazgatás cofog'!H128+'5.2 adó cofog'!H128+'5.3 pályázat'!H128+'5.4 ogy, ep választás'!H128</f>
        <v>0</v>
      </c>
      <c r="I128" s="244">
        <f>'5.1 igazgatás cofog'!I128+'5.2 adó cofog'!I128+'5.3 pályázat'!I128+'5.4 ogy, ep választás'!I128</f>
        <v>0</v>
      </c>
      <c r="J128" s="244">
        <f>'5.1 igazgatás cofog'!J128+'5.2 adó cofog'!J128+'5.3 pályázat'!J128+'5.4 ogy, ep választás'!J128</f>
        <v>0</v>
      </c>
      <c r="K128" s="244">
        <f>'5.1 igazgatás cofog'!K128+'5.2 adó cofog'!K128+'5.3 pályázat'!K128+'5.4 ogy, ep választás'!K128</f>
        <v>0</v>
      </c>
      <c r="L128" s="244">
        <f>'5.1 igazgatás cofog'!L128+'5.2 adó cofog'!L128+'5.3 pályázat'!L128+'5.4 ogy, ep választás'!L128</f>
        <v>0</v>
      </c>
      <c r="M128" s="244">
        <f>'5.1 igazgatás cofog'!M128+'5.2 adó cofog'!M128+'5.3 pályázat'!M128+'5.4 ogy, ep választás'!M128</f>
        <v>0</v>
      </c>
      <c r="N128" s="244">
        <f>'5.1 igazgatás cofog'!N128+'5.2 adó cofog'!N128+'5.3 pályázat'!N128+'5.4 ogy, ep választás'!N128</f>
        <v>0</v>
      </c>
    </row>
    <row r="129" spans="1:14" ht="15.75" hidden="1" thickBot="1" x14ac:dyDescent="0.3">
      <c r="A129" s="61" t="s">
        <v>229</v>
      </c>
      <c r="B129" s="62" t="s">
        <v>230</v>
      </c>
      <c r="C129" s="246">
        <f>'5.1 igazgatás cofog'!C129+'5.2 adó cofog'!C129+'5.3 pályázat'!C129</f>
        <v>0</v>
      </c>
      <c r="D129" s="246">
        <f>'5.1 igazgatás cofog'!D129+'5.2 adó cofog'!D129+'5.3 pályázat'!D129</f>
        <v>0</v>
      </c>
      <c r="E129" s="246">
        <f>'5.1 igazgatás cofog'!E129+'5.2 adó cofog'!E129+'5.3 pályázat'!E129</f>
        <v>0</v>
      </c>
      <c r="F129" s="246">
        <f>'5.1 igazgatás cofog'!F129+'5.2 adó cofog'!F129+'5.3 pályázat'!F129+'5.4 ogy, ep választás'!F129</f>
        <v>0</v>
      </c>
      <c r="G129" s="246">
        <f>'5.1 igazgatás cofog'!G129+'5.2 adó cofog'!G129+'5.3 pályázat'!G129+'5.4 ogy, ep választás'!G129</f>
        <v>0</v>
      </c>
      <c r="H129" s="246">
        <f>'5.1 igazgatás cofog'!H129+'5.2 adó cofog'!H129+'5.3 pályázat'!H129+'5.4 ogy, ep választás'!H129</f>
        <v>0</v>
      </c>
      <c r="I129" s="246">
        <f>'5.1 igazgatás cofog'!I129+'5.2 adó cofog'!I129+'5.3 pályázat'!I129+'5.4 ogy, ep választás'!I129</f>
        <v>0</v>
      </c>
      <c r="J129" s="246">
        <f>'5.1 igazgatás cofog'!J129+'5.2 adó cofog'!J129+'5.3 pályázat'!J129+'5.4 ogy, ep választás'!J129</f>
        <v>0</v>
      </c>
      <c r="K129" s="246">
        <f>'5.1 igazgatás cofog'!K129+'5.2 adó cofog'!K129+'5.3 pályázat'!K129+'5.4 ogy, ep választás'!K129</f>
        <v>0</v>
      </c>
      <c r="L129" s="246">
        <f>'5.1 igazgatás cofog'!L129+'5.2 adó cofog'!L129+'5.3 pályázat'!L129+'5.4 ogy, ep választás'!L129</f>
        <v>0</v>
      </c>
      <c r="M129" s="246">
        <f>'5.1 igazgatás cofog'!M129+'5.2 adó cofog'!M129+'5.3 pályázat'!M129+'5.4 ogy, ep választás'!M129</f>
        <v>0</v>
      </c>
      <c r="N129" s="246">
        <f>'5.1 igazgatás cofog'!N129+'5.2 adó cofog'!N129+'5.3 pályázat'!N129+'5.4 ogy, ep választás'!N129</f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>
        <f>'5.1 igazgatás cofog'!C130+'5.2 adó cofog'!C130+'5.3 pályázat'!C130</f>
        <v>0</v>
      </c>
      <c r="D130" s="246">
        <f>'5.1 igazgatás cofog'!D130+'5.2 adó cofog'!D130+'5.3 pályázat'!D130</f>
        <v>0</v>
      </c>
      <c r="E130" s="246">
        <f>'5.1 igazgatás cofog'!E130+'5.2 adó cofog'!E130+'5.3 pályázat'!E130</f>
        <v>0</v>
      </c>
      <c r="F130" s="246">
        <f>'5.1 igazgatás cofog'!F130+'5.2 adó cofog'!F130+'5.3 pályázat'!F130+'5.4 ogy, ep választás'!F130</f>
        <v>0</v>
      </c>
      <c r="G130" s="246">
        <f>'5.1 igazgatás cofog'!G130+'5.2 adó cofog'!G130+'5.3 pályázat'!G130+'5.4 ogy, ep választás'!G130</f>
        <v>0</v>
      </c>
      <c r="H130" s="246">
        <f>'5.1 igazgatás cofog'!H130+'5.2 adó cofog'!H130+'5.3 pályázat'!H130+'5.4 ogy, ep választás'!H130</f>
        <v>0</v>
      </c>
      <c r="I130" s="246">
        <f>'5.1 igazgatás cofog'!I130+'5.2 adó cofog'!I130+'5.3 pályázat'!I130+'5.4 ogy, ep választás'!I130</f>
        <v>0</v>
      </c>
      <c r="J130" s="246">
        <f>'5.1 igazgatás cofog'!J130+'5.2 adó cofog'!J130+'5.3 pályázat'!J130+'5.4 ogy, ep választás'!J130</f>
        <v>0</v>
      </c>
      <c r="K130" s="246">
        <f>'5.1 igazgatás cofog'!K130+'5.2 adó cofog'!K130+'5.3 pályázat'!K130+'5.4 ogy, ep választás'!K130</f>
        <v>0</v>
      </c>
      <c r="L130" s="246">
        <f>'5.1 igazgatás cofog'!L130+'5.2 adó cofog'!L130+'5.3 pályázat'!L130+'5.4 ogy, ep választás'!L130</f>
        <v>0</v>
      </c>
      <c r="M130" s="246">
        <f>'5.1 igazgatás cofog'!M130+'5.2 adó cofog'!M130+'5.3 pályázat'!M130+'5.4 ogy, ep választás'!M130</f>
        <v>0</v>
      </c>
      <c r="N130" s="246">
        <f>'5.1 igazgatás cofog'!N130+'5.2 adó cofog'!N130+'5.3 pályázat'!N130+'5.4 ogy, ep választás'!N130</f>
        <v>0</v>
      </c>
    </row>
    <row r="131" spans="1:14" ht="15.75" hidden="1" thickBot="1" x14ac:dyDescent="0.3">
      <c r="A131" s="61" t="s">
        <v>231</v>
      </c>
      <c r="B131" s="62" t="s">
        <v>232</v>
      </c>
      <c r="C131" s="246">
        <f>'5.1 igazgatás cofog'!C131+'5.2 adó cofog'!C131+'5.3 pályázat'!C131</f>
        <v>0</v>
      </c>
      <c r="D131" s="246">
        <f>'5.1 igazgatás cofog'!D131+'5.2 adó cofog'!D131+'5.3 pályázat'!D131</f>
        <v>0</v>
      </c>
      <c r="E131" s="246">
        <f>'5.1 igazgatás cofog'!E131+'5.2 adó cofog'!E131+'5.3 pályázat'!E131</f>
        <v>0</v>
      </c>
      <c r="F131" s="246">
        <f>'5.1 igazgatás cofog'!F131+'5.2 adó cofog'!F131+'5.3 pályázat'!F131+'5.4 ogy, ep választás'!F131</f>
        <v>0</v>
      </c>
      <c r="G131" s="246">
        <f>'5.1 igazgatás cofog'!G131+'5.2 adó cofog'!G131+'5.3 pályázat'!G131+'5.4 ogy, ep választás'!G131</f>
        <v>0</v>
      </c>
      <c r="H131" s="246">
        <f>'5.1 igazgatás cofog'!H131+'5.2 adó cofog'!H131+'5.3 pályázat'!H131+'5.4 ogy, ep választás'!H131</f>
        <v>0</v>
      </c>
      <c r="I131" s="246">
        <f>'5.1 igazgatás cofog'!I131+'5.2 adó cofog'!I131+'5.3 pályázat'!I131+'5.4 ogy, ep választás'!I131</f>
        <v>0</v>
      </c>
      <c r="J131" s="246">
        <f>'5.1 igazgatás cofog'!J131+'5.2 adó cofog'!J131+'5.3 pályázat'!J131+'5.4 ogy, ep választás'!J131</f>
        <v>0</v>
      </c>
      <c r="K131" s="246">
        <f>'5.1 igazgatás cofog'!K131+'5.2 adó cofog'!K131+'5.3 pályázat'!K131+'5.4 ogy, ep választás'!K131</f>
        <v>0</v>
      </c>
      <c r="L131" s="246">
        <f>'5.1 igazgatás cofog'!L131+'5.2 adó cofog'!L131+'5.3 pályázat'!L131+'5.4 ogy, ep választás'!L131</f>
        <v>0</v>
      </c>
      <c r="M131" s="246">
        <f>'5.1 igazgatás cofog'!M131+'5.2 adó cofog'!M131+'5.3 pályázat'!M131+'5.4 ogy, ep választás'!M131</f>
        <v>0</v>
      </c>
      <c r="N131" s="246">
        <f>'5.1 igazgatás cofog'!N131+'5.2 adó cofog'!N131+'5.3 pályázat'!N131+'5.4 ogy, ep választás'!N131</f>
        <v>0</v>
      </c>
    </row>
    <row r="132" spans="1:14" ht="15.75" hidden="1" thickBot="1" x14ac:dyDescent="0.3">
      <c r="A132" s="61" t="s">
        <v>233</v>
      </c>
      <c r="B132" s="62" t="s">
        <v>234</v>
      </c>
      <c r="C132" s="246">
        <f>'5.1 igazgatás cofog'!C132+'5.2 adó cofog'!C132+'5.3 pályázat'!C132</f>
        <v>0</v>
      </c>
      <c r="D132" s="246">
        <f>'5.1 igazgatás cofog'!D132+'5.2 adó cofog'!D132+'5.3 pályázat'!D132</f>
        <v>0</v>
      </c>
      <c r="E132" s="246">
        <f>'5.1 igazgatás cofog'!E132+'5.2 adó cofog'!E132+'5.3 pályázat'!E132</f>
        <v>0</v>
      </c>
      <c r="F132" s="246">
        <f>'5.1 igazgatás cofog'!F132+'5.2 adó cofog'!F132+'5.3 pályázat'!F132+'5.4 ogy, ep választás'!F132</f>
        <v>0</v>
      </c>
      <c r="G132" s="246">
        <f>'5.1 igazgatás cofog'!G132+'5.2 adó cofog'!G132+'5.3 pályázat'!G132+'5.4 ogy, ep választás'!G132</f>
        <v>0</v>
      </c>
      <c r="H132" s="246">
        <f>'5.1 igazgatás cofog'!H132+'5.2 adó cofog'!H132+'5.3 pályázat'!H132+'5.4 ogy, ep választás'!H132</f>
        <v>0</v>
      </c>
      <c r="I132" s="246">
        <f>'5.1 igazgatás cofog'!I132+'5.2 adó cofog'!I132+'5.3 pályázat'!I132+'5.4 ogy, ep választás'!I132</f>
        <v>0</v>
      </c>
      <c r="J132" s="246">
        <f>'5.1 igazgatás cofog'!J132+'5.2 adó cofog'!J132+'5.3 pályázat'!J132+'5.4 ogy, ep választás'!J132</f>
        <v>0</v>
      </c>
      <c r="K132" s="246">
        <f>'5.1 igazgatás cofog'!K132+'5.2 adó cofog'!K132+'5.3 pályázat'!K132+'5.4 ogy, ep választás'!K132</f>
        <v>0</v>
      </c>
      <c r="L132" s="246">
        <f>'5.1 igazgatás cofog'!L132+'5.2 adó cofog'!L132+'5.3 pályázat'!L132+'5.4 ogy, ep választás'!L132</f>
        <v>0</v>
      </c>
      <c r="M132" s="246">
        <f>'5.1 igazgatás cofog'!M132+'5.2 adó cofog'!M132+'5.3 pályázat'!M132+'5.4 ogy, ep választás'!M132</f>
        <v>0</v>
      </c>
      <c r="N132" s="246">
        <f>'5.1 igazgatás cofog'!N132+'5.2 adó cofog'!N132+'5.3 pályázat'!N132+'5.4 ogy, ep választás'!N132</f>
        <v>0</v>
      </c>
    </row>
    <row r="133" spans="1:14" ht="15.75" hidden="1" thickBot="1" x14ac:dyDescent="0.3">
      <c r="A133" s="61" t="s">
        <v>235</v>
      </c>
      <c r="B133" s="62" t="s">
        <v>236</v>
      </c>
      <c r="C133" s="246">
        <f>'5.1 igazgatás cofog'!C133+'5.2 adó cofog'!C133+'5.3 pályázat'!C133</f>
        <v>0</v>
      </c>
      <c r="D133" s="246">
        <f>'5.1 igazgatás cofog'!D133+'5.2 adó cofog'!D133+'5.3 pályázat'!D133</f>
        <v>0</v>
      </c>
      <c r="E133" s="246">
        <f>'5.1 igazgatás cofog'!E133+'5.2 adó cofog'!E133+'5.3 pályázat'!E133</f>
        <v>0</v>
      </c>
      <c r="F133" s="246">
        <f>'5.1 igazgatás cofog'!F133+'5.2 adó cofog'!F133+'5.3 pályázat'!F133+'5.4 ogy, ep választás'!F133</f>
        <v>0</v>
      </c>
      <c r="G133" s="246">
        <f>'5.1 igazgatás cofog'!G133+'5.2 adó cofog'!G133+'5.3 pályázat'!G133+'5.4 ogy, ep választás'!G133</f>
        <v>0</v>
      </c>
      <c r="H133" s="246">
        <f>'5.1 igazgatás cofog'!H133+'5.2 adó cofog'!H133+'5.3 pályázat'!H133+'5.4 ogy, ep választás'!H133</f>
        <v>0</v>
      </c>
      <c r="I133" s="246">
        <f>'5.1 igazgatás cofog'!I133+'5.2 adó cofog'!I133+'5.3 pályázat'!I133+'5.4 ogy, ep választás'!I133</f>
        <v>0</v>
      </c>
      <c r="J133" s="246">
        <f>'5.1 igazgatás cofog'!J133+'5.2 adó cofog'!J133+'5.3 pályázat'!J133+'5.4 ogy, ep választás'!J133</f>
        <v>0</v>
      </c>
      <c r="K133" s="246">
        <f>'5.1 igazgatás cofog'!K133+'5.2 adó cofog'!K133+'5.3 pályázat'!K133+'5.4 ogy, ep választás'!K133</f>
        <v>0</v>
      </c>
      <c r="L133" s="246">
        <f>'5.1 igazgatás cofog'!L133+'5.2 adó cofog'!L133+'5.3 pályázat'!L133+'5.4 ogy, ep választás'!L133</f>
        <v>0</v>
      </c>
      <c r="M133" s="246">
        <f>'5.1 igazgatás cofog'!M133+'5.2 adó cofog'!M133+'5.3 pályázat'!M133+'5.4 ogy, ep választás'!M133</f>
        <v>0</v>
      </c>
      <c r="N133" s="246">
        <f>'5.1 igazgatás cofog'!N133+'5.2 adó cofog'!N133+'5.3 pályázat'!N133+'5.4 ogy, ep választás'!N133</f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'5.1 igazgatás cofog'!C134+'5.2 adó cofog'!C134+'5.3 pályázat'!C134</f>
        <v>0</v>
      </c>
      <c r="D134" s="246">
        <f>'5.1 igazgatás cofog'!D134+'5.2 adó cofog'!D134+'5.3 pályázat'!D134</f>
        <v>0</v>
      </c>
      <c r="E134" s="246">
        <f>'5.1 igazgatás cofog'!E134+'5.2 adó cofog'!E134+'5.3 pályázat'!E134</f>
        <v>0</v>
      </c>
      <c r="F134" s="246">
        <f>'5.1 igazgatás cofog'!F134+'5.2 adó cofog'!F134+'5.3 pályázat'!F134+'5.4 ogy, ep választás'!F134</f>
        <v>0</v>
      </c>
      <c r="G134" s="246">
        <f>'5.1 igazgatás cofog'!G134+'5.2 adó cofog'!G134+'5.3 pályázat'!G134+'5.4 ogy, ep választás'!G134</f>
        <v>0</v>
      </c>
      <c r="H134" s="246">
        <f>'5.1 igazgatás cofog'!H134+'5.2 adó cofog'!H134+'5.3 pályázat'!H134+'5.4 ogy, ep választás'!H134</f>
        <v>0</v>
      </c>
      <c r="I134" s="246">
        <f>'5.1 igazgatás cofog'!I134+'5.2 adó cofog'!I134+'5.3 pályázat'!I134+'5.4 ogy, ep választás'!I134</f>
        <v>0</v>
      </c>
      <c r="J134" s="246">
        <f>'5.1 igazgatás cofog'!J134+'5.2 adó cofog'!J134+'5.3 pályázat'!J134+'5.4 ogy, ep választás'!J134</f>
        <v>0</v>
      </c>
      <c r="K134" s="246">
        <f>'5.1 igazgatás cofog'!K134+'5.2 adó cofog'!K134+'5.3 pályázat'!K134+'5.4 ogy, ep választás'!K134</f>
        <v>0</v>
      </c>
      <c r="L134" s="246">
        <f>'5.1 igazgatás cofog'!L134+'5.2 adó cofog'!L134+'5.3 pályázat'!L134+'5.4 ogy, ep választás'!L134</f>
        <v>0</v>
      </c>
      <c r="M134" s="246">
        <f>'5.1 igazgatás cofog'!M134+'5.2 adó cofog'!M134+'5.3 pályázat'!M134+'5.4 ogy, ep választás'!M134</f>
        <v>0</v>
      </c>
      <c r="N134" s="246">
        <f>'5.1 igazgatás cofog'!N134+'5.2 adó cofog'!N134+'5.3 pályázat'!N134+'5.4 ogy, ep választás'!N134</f>
        <v>0</v>
      </c>
    </row>
    <row r="135" spans="1:14" ht="15.75" hidden="1" thickBot="1" x14ac:dyDescent="0.3">
      <c r="A135" s="61"/>
      <c r="B135" s="62" t="s">
        <v>239</v>
      </c>
      <c r="C135" s="246">
        <f>'5.1 igazgatás cofog'!C135+'5.2 adó cofog'!C135+'5.3 pályázat'!C135</f>
        <v>0</v>
      </c>
      <c r="D135" s="246">
        <f>'5.1 igazgatás cofog'!D135+'5.2 adó cofog'!D135+'5.3 pályázat'!D135</f>
        <v>0</v>
      </c>
      <c r="E135" s="246">
        <f>'5.1 igazgatás cofog'!E135+'5.2 adó cofog'!E135+'5.3 pályázat'!E135</f>
        <v>0</v>
      </c>
      <c r="F135" s="246">
        <f>'5.1 igazgatás cofog'!F135+'5.2 adó cofog'!F135+'5.3 pályázat'!F135+'5.4 ogy, ep választás'!F135</f>
        <v>0</v>
      </c>
      <c r="G135" s="246">
        <f>'5.1 igazgatás cofog'!G135+'5.2 adó cofog'!G135+'5.3 pályázat'!G135+'5.4 ogy, ep választás'!G135</f>
        <v>0</v>
      </c>
      <c r="H135" s="246">
        <f>'5.1 igazgatás cofog'!H135+'5.2 adó cofog'!H135+'5.3 pályázat'!H135+'5.4 ogy, ep választás'!H135</f>
        <v>0</v>
      </c>
      <c r="I135" s="246">
        <f>'5.1 igazgatás cofog'!I135+'5.2 adó cofog'!I135+'5.3 pályázat'!I135+'5.4 ogy, ep választás'!I135</f>
        <v>0</v>
      </c>
      <c r="J135" s="246">
        <f>'5.1 igazgatás cofog'!J135+'5.2 adó cofog'!J135+'5.3 pályázat'!J135+'5.4 ogy, ep választás'!J135</f>
        <v>0</v>
      </c>
      <c r="K135" s="246">
        <f>'5.1 igazgatás cofog'!K135+'5.2 adó cofog'!K135+'5.3 pályázat'!K135+'5.4 ogy, ep választás'!K135</f>
        <v>0</v>
      </c>
      <c r="L135" s="246">
        <f>'5.1 igazgatás cofog'!L135+'5.2 adó cofog'!L135+'5.3 pályázat'!L135+'5.4 ogy, ep választás'!L135</f>
        <v>0</v>
      </c>
      <c r="M135" s="246">
        <f>'5.1 igazgatás cofog'!M135+'5.2 adó cofog'!M135+'5.3 pályázat'!M135+'5.4 ogy, ep választás'!M135</f>
        <v>0</v>
      </c>
      <c r="N135" s="246">
        <f>'5.1 igazgatás cofog'!N135+'5.2 adó cofog'!N135+'5.3 pályázat'!N135+'5.4 ogy, ep választás'!N135</f>
        <v>0</v>
      </c>
    </row>
    <row r="136" spans="1:14" ht="15.75" hidden="1" thickBot="1" x14ac:dyDescent="0.3">
      <c r="A136" s="63"/>
      <c r="B136" s="64" t="s">
        <v>240</v>
      </c>
      <c r="C136" s="248">
        <f>'5.1 igazgatás cofog'!C136+'5.2 adó cofog'!C136+'5.3 pályázat'!C136</f>
        <v>0</v>
      </c>
      <c r="D136" s="248">
        <f>'5.1 igazgatás cofog'!D136+'5.2 adó cofog'!D136+'5.3 pályázat'!D136</f>
        <v>0</v>
      </c>
      <c r="E136" s="248">
        <f>'5.1 igazgatás cofog'!E136+'5.2 adó cofog'!E136+'5.3 pályázat'!E136</f>
        <v>0</v>
      </c>
      <c r="F136" s="248">
        <f>'5.1 igazgatás cofog'!F136+'5.2 adó cofog'!F136+'5.3 pályázat'!F136+'5.4 ogy, ep választás'!F136</f>
        <v>0</v>
      </c>
      <c r="G136" s="248">
        <f>'5.1 igazgatás cofog'!G136+'5.2 adó cofog'!G136+'5.3 pályázat'!G136+'5.4 ogy, ep választás'!G136</f>
        <v>0</v>
      </c>
      <c r="H136" s="248">
        <f>'5.1 igazgatás cofog'!H136+'5.2 adó cofog'!H136+'5.3 pályázat'!H136+'5.4 ogy, ep választás'!H136</f>
        <v>0</v>
      </c>
      <c r="I136" s="248">
        <f>'5.1 igazgatás cofog'!I136+'5.2 adó cofog'!I136+'5.3 pályázat'!I136+'5.4 ogy, ep választás'!I136</f>
        <v>0</v>
      </c>
      <c r="J136" s="248">
        <f>'5.1 igazgatás cofog'!J136+'5.2 adó cofog'!J136+'5.3 pályázat'!J136+'5.4 ogy, ep választás'!J136</f>
        <v>0</v>
      </c>
      <c r="K136" s="248">
        <f>'5.1 igazgatás cofog'!K136+'5.2 adó cofog'!K136+'5.3 pályázat'!K136+'5.4 ogy, ep választás'!K136</f>
        <v>0</v>
      </c>
      <c r="L136" s="248">
        <f>'5.1 igazgatás cofog'!L136+'5.2 adó cofog'!L136+'5.3 pályázat'!L136+'5.4 ogy, ep választás'!L136</f>
        <v>0</v>
      </c>
      <c r="M136" s="248">
        <f>'5.1 igazgatás cofog'!M136+'5.2 adó cofog'!M136+'5.3 pályázat'!M136+'5.4 ogy, ep választás'!M136</f>
        <v>0</v>
      </c>
      <c r="N136" s="248">
        <f>'5.1 igazgatás cofog'!N136+'5.2 adó cofog'!N136+'5.3 pályázat'!N136+'5.4 ogy, ep választás'!N136</f>
        <v>0</v>
      </c>
    </row>
    <row r="137" spans="1:14" x14ac:dyDescent="0.25">
      <c r="A137" s="60" t="s">
        <v>241</v>
      </c>
      <c r="B137" s="48" t="s">
        <v>38</v>
      </c>
      <c r="C137" s="244">
        <f>'5.1 igazgatás cofog'!C137+'5.2 adó cofog'!C137+'5.3 pályázat'!C137</f>
        <v>6299212</v>
      </c>
      <c r="D137" s="244">
        <f>'5.1 igazgatás cofog'!D137+'5.2 adó cofog'!D137+'5.3 pályázat'!D137</f>
        <v>0</v>
      </c>
      <c r="E137" s="244">
        <f>'5.1 igazgatás cofog'!E137+'5.2 adó cofog'!E137+'5.3 pályázat'!E137</f>
        <v>6299212</v>
      </c>
      <c r="F137" s="244">
        <f>'5.1 igazgatás cofog'!F137+'5.2 adó cofog'!F137+'5.3 pályázat'!F137+'5.4 ogy, ep választás'!F137</f>
        <v>6299212</v>
      </c>
      <c r="G137" s="244">
        <f>'5.1 igazgatás cofog'!G137+'5.2 adó cofog'!G137+'5.3 pályázat'!G137+'5.4 ogy, ep választás'!G137</f>
        <v>0</v>
      </c>
      <c r="H137" s="244">
        <f>'5.1 igazgatás cofog'!H137+'5.2 adó cofog'!H137+'5.3 pályázat'!H137+'5.4 ogy, ep választás'!H137</f>
        <v>6299212</v>
      </c>
      <c r="I137" s="244">
        <f>'5.1 igazgatás cofog'!I137+'5.2 adó cofog'!I137+'5.3 pályázat'!I137+'5.4 ogy, ep választás'!I137</f>
        <v>6299212</v>
      </c>
      <c r="J137" s="244">
        <f>'5.1 igazgatás cofog'!J137+'5.2 adó cofog'!J137+'5.3 pályázat'!J137+'5.4 ogy, ep választás'!J137</f>
        <v>0</v>
      </c>
      <c r="K137" s="244">
        <f>'5.1 igazgatás cofog'!K137+'5.2 adó cofog'!K137+'5.3 pályázat'!K137+'5.4 ogy, ep választás'!K137</f>
        <v>6299212</v>
      </c>
      <c r="L137" s="244">
        <f>'5.1 igazgatás cofog'!L137+'5.2 adó cofog'!L137+'5.3 pályázat'!L137+'5.4 ogy, ep választás'!L137</f>
        <v>4497148</v>
      </c>
      <c r="M137" s="244">
        <f>'5.1 igazgatás cofog'!M137+'5.2 adó cofog'!M137+'5.3 pályázat'!M137+'5.4 ogy, ep választás'!M137</f>
        <v>0</v>
      </c>
      <c r="N137" s="244">
        <f>'5.1 igazgatás cofog'!N137+'5.2 adó cofog'!N137+'5.3 pályázat'!N137+'5.4 ogy, ep választás'!N137</f>
        <v>4497148</v>
      </c>
    </row>
    <row r="138" spans="1:14" ht="15.75" thickBot="1" x14ac:dyDescent="0.3">
      <c r="A138" s="63" t="s">
        <v>242</v>
      </c>
      <c r="B138" s="64" t="s">
        <v>243</v>
      </c>
      <c r="C138" s="248">
        <f>'5.1 igazgatás cofog'!C138+'5.2 adó cofog'!C138+'5.3 pályázat'!C138</f>
        <v>1700788</v>
      </c>
      <c r="D138" s="248">
        <f>'5.1 igazgatás cofog'!D138+'5.2 adó cofog'!D138+'5.3 pályázat'!D138</f>
        <v>0</v>
      </c>
      <c r="E138" s="248">
        <f>'5.1 igazgatás cofog'!E138+'5.2 adó cofog'!E138+'5.3 pályázat'!E138</f>
        <v>1700788</v>
      </c>
      <c r="F138" s="248">
        <f>'5.1 igazgatás cofog'!F138+'5.2 adó cofog'!F138+'5.3 pályázat'!F138+'5.4 ogy, ep választás'!F138</f>
        <v>1700788</v>
      </c>
      <c r="G138" s="248">
        <f>'5.1 igazgatás cofog'!G138+'5.2 adó cofog'!G138+'5.3 pályázat'!G138+'5.4 ogy, ep választás'!G138</f>
        <v>0</v>
      </c>
      <c r="H138" s="248">
        <f>'5.1 igazgatás cofog'!H138+'5.2 adó cofog'!H138+'5.3 pályázat'!H138+'5.4 ogy, ep választás'!H138</f>
        <v>1700788</v>
      </c>
      <c r="I138" s="248">
        <f>'5.1 igazgatás cofog'!I138+'5.2 adó cofog'!I138+'5.3 pályázat'!I138+'5.4 ogy, ep választás'!I138</f>
        <v>1700788</v>
      </c>
      <c r="J138" s="248">
        <f>'5.1 igazgatás cofog'!J138+'5.2 adó cofog'!J138+'5.3 pályázat'!J138+'5.4 ogy, ep választás'!J138</f>
        <v>0</v>
      </c>
      <c r="K138" s="248">
        <f>'5.1 igazgatás cofog'!K138+'5.2 adó cofog'!K138+'5.3 pályázat'!K138+'5.4 ogy, ep választás'!K138</f>
        <v>1700788</v>
      </c>
      <c r="L138" s="248">
        <f>'5.1 igazgatás cofog'!L138+'5.2 adó cofog'!L138+'5.3 pályázat'!L138+'5.4 ogy, ep választás'!L138</f>
        <v>950225</v>
      </c>
      <c r="M138" s="248">
        <f>'5.1 igazgatás cofog'!M138+'5.2 adó cofog'!M138+'5.3 pályázat'!M138+'5.4 ogy, ep választás'!M138</f>
        <v>0</v>
      </c>
      <c r="N138" s="248">
        <f>'5.1 igazgatás cofog'!N138+'5.2 adó cofog'!N138+'5.3 pályázat'!N138+'5.4 ogy, ep választás'!N138</f>
        <v>950225</v>
      </c>
    </row>
    <row r="139" spans="1:14" x14ac:dyDescent="0.25">
      <c r="A139" s="60" t="s">
        <v>244</v>
      </c>
      <c r="B139" s="48" t="s">
        <v>39</v>
      </c>
      <c r="C139" s="244">
        <f>'5.1 igazgatás cofog'!C139+'5.2 adó cofog'!C139+'5.3 pályázat'!C139</f>
        <v>0</v>
      </c>
      <c r="D139" s="244">
        <f>'5.1 igazgatás cofog'!D139+'5.2 adó cofog'!D139+'5.3 pályázat'!D139</f>
        <v>0</v>
      </c>
      <c r="E139" s="244">
        <f>'5.1 igazgatás cofog'!E139+'5.2 adó cofog'!E139+'5.3 pályázat'!E139</f>
        <v>0</v>
      </c>
      <c r="F139" s="244">
        <f>'5.1 igazgatás cofog'!F139+'5.2 adó cofog'!F139+'5.3 pályázat'!F139+'5.4 ogy, ep választás'!F139</f>
        <v>0</v>
      </c>
      <c r="G139" s="244">
        <f>'5.1 igazgatás cofog'!G139+'5.2 adó cofog'!G139+'5.3 pályázat'!G139+'5.4 ogy, ep választás'!G139</f>
        <v>0</v>
      </c>
      <c r="H139" s="244">
        <f>'5.1 igazgatás cofog'!H139+'5.2 adó cofog'!H139+'5.3 pályázat'!H139+'5.4 ogy, ep választás'!H139</f>
        <v>0</v>
      </c>
      <c r="I139" s="244">
        <f>'5.1 igazgatás cofog'!I139+'5.2 adó cofog'!I139+'5.3 pályázat'!I139+'5.4 ogy, ep választás'!I139</f>
        <v>0</v>
      </c>
      <c r="J139" s="244">
        <f>'5.1 igazgatás cofog'!J139+'5.2 adó cofog'!J139+'5.3 pályázat'!J139+'5.4 ogy, ep választás'!J139</f>
        <v>0</v>
      </c>
      <c r="K139" s="244">
        <f>'5.1 igazgatás cofog'!K139+'5.2 adó cofog'!K139+'5.3 pályázat'!K139+'5.4 ogy, ep választás'!K139</f>
        <v>0</v>
      </c>
      <c r="L139" s="244">
        <f>'5.1 igazgatás cofog'!L139+'5.2 adó cofog'!L139+'5.3 pályázat'!L139+'5.4 ogy, ep választás'!L139</f>
        <v>0</v>
      </c>
      <c r="M139" s="244">
        <f>'5.1 igazgatás cofog'!M139+'5.2 adó cofog'!M139+'5.3 pályázat'!M139+'5.4 ogy, ep választás'!M139</f>
        <v>0</v>
      </c>
      <c r="N139" s="244">
        <f>'5.1 igazgatás cofog'!N139+'5.2 adó cofog'!N139+'5.3 pályázat'!N139+'5.4 ogy, ep választás'!N139</f>
        <v>0</v>
      </c>
    </row>
    <row r="140" spans="1:14" ht="15.75" thickBot="1" x14ac:dyDescent="0.3">
      <c r="A140" s="63" t="s">
        <v>245</v>
      </c>
      <c r="B140" s="64" t="s">
        <v>246</v>
      </c>
      <c r="C140" s="248">
        <f>'5.1 igazgatás cofog'!C140+'5.2 adó cofog'!C140+'5.3 pályázat'!C140</f>
        <v>0</v>
      </c>
      <c r="D140" s="248">
        <f>'5.1 igazgatás cofog'!D140+'5.2 adó cofog'!D140+'5.3 pályázat'!D140</f>
        <v>0</v>
      </c>
      <c r="E140" s="248">
        <f>'5.1 igazgatás cofog'!E140+'5.2 adó cofog'!E140+'5.3 pályázat'!E140</f>
        <v>0</v>
      </c>
      <c r="F140" s="248">
        <f>'5.1 igazgatás cofog'!F140+'5.2 adó cofog'!F140+'5.3 pályázat'!F140+'5.4 ogy, ep választás'!F140</f>
        <v>0</v>
      </c>
      <c r="G140" s="248">
        <f>'5.1 igazgatás cofog'!G140+'5.2 adó cofog'!G140+'5.3 pályázat'!G140+'5.4 ogy, ep választás'!G140</f>
        <v>0</v>
      </c>
      <c r="H140" s="248">
        <f>'5.1 igazgatás cofog'!H140+'5.2 adó cofog'!H140+'5.3 pályázat'!H140+'5.4 ogy, ep választás'!H140</f>
        <v>0</v>
      </c>
      <c r="I140" s="248">
        <f>'5.1 igazgatás cofog'!I140+'5.2 adó cofog'!I140+'5.3 pályázat'!I140+'5.4 ogy, ep választás'!I140</f>
        <v>0</v>
      </c>
      <c r="J140" s="248">
        <f>'5.1 igazgatás cofog'!J140+'5.2 adó cofog'!J140+'5.3 pályázat'!J140+'5.4 ogy, ep választás'!J140</f>
        <v>0</v>
      </c>
      <c r="K140" s="248">
        <f>'5.1 igazgatás cofog'!K140+'5.2 adó cofog'!K140+'5.3 pályázat'!K140+'5.4 ogy, ep választás'!K140</f>
        <v>0</v>
      </c>
      <c r="L140" s="248">
        <f>'5.1 igazgatás cofog'!L140+'5.2 adó cofog'!L140+'5.3 pályázat'!L140+'5.4 ogy, ep választás'!L140</f>
        <v>0</v>
      </c>
      <c r="M140" s="248">
        <f>'5.1 igazgatás cofog'!M140+'5.2 adó cofog'!M140+'5.3 pályázat'!M140+'5.4 ogy, ep választás'!M140</f>
        <v>0</v>
      </c>
      <c r="N140" s="248">
        <f>'5.1 igazgatás cofog'!N140+'5.2 adó cofog'!N140+'5.3 pályázat'!N140+'5.4 ogy, ep választás'!N140</f>
        <v>0</v>
      </c>
    </row>
    <row r="141" spans="1:14" ht="15.75" thickBot="1" x14ac:dyDescent="0.3">
      <c r="A141" s="66" t="s">
        <v>247</v>
      </c>
      <c r="B141" s="49" t="s">
        <v>40</v>
      </c>
      <c r="C141" s="250">
        <f>'5.1 igazgatás cofog'!C141+'5.2 adó cofog'!C141+'5.3 pályázat'!C141</f>
        <v>0</v>
      </c>
      <c r="D141" s="250">
        <f>'5.1 igazgatás cofog'!D141+'5.2 adó cofog'!D141+'5.3 pályázat'!D141</f>
        <v>0</v>
      </c>
      <c r="E141" s="250">
        <f>'5.1 igazgatás cofog'!E141+'5.2 adó cofog'!E141+'5.3 pályázat'!E141</f>
        <v>0</v>
      </c>
      <c r="F141" s="248">
        <f>'5.1 igazgatás cofog'!F141+'5.2 adó cofog'!F141+'5.3 pályázat'!F141+'5.4 ogy, ep választás'!F141</f>
        <v>0</v>
      </c>
      <c r="G141" s="248">
        <f>'5.1 igazgatás cofog'!G141+'5.2 adó cofog'!G141+'5.3 pályázat'!G141+'5.4 ogy, ep választás'!G141</f>
        <v>0</v>
      </c>
      <c r="H141" s="248">
        <f>'5.1 igazgatás cofog'!H141+'5.2 adó cofog'!H141+'5.3 pályázat'!H141+'5.4 ogy, ep választás'!H141</f>
        <v>0</v>
      </c>
      <c r="I141" s="248">
        <f>'5.1 igazgatás cofog'!I141+'5.2 adó cofog'!I141+'5.3 pályázat'!I141+'5.4 ogy, ep választás'!I141</f>
        <v>0</v>
      </c>
      <c r="J141" s="248">
        <f>'5.1 igazgatás cofog'!J141+'5.2 adó cofog'!J141+'5.3 pályázat'!J141+'5.4 ogy, ep választás'!J141</f>
        <v>0</v>
      </c>
      <c r="K141" s="248">
        <f>'5.1 igazgatás cofog'!K141+'5.2 adó cofog'!K141+'5.3 pályázat'!K141+'5.4 ogy, ep választás'!K141</f>
        <v>0</v>
      </c>
      <c r="L141" s="248">
        <f>'5.1 igazgatás cofog'!L141+'5.2 adó cofog'!L141+'5.3 pályázat'!L141+'5.4 ogy, ep választás'!L141</f>
        <v>0</v>
      </c>
      <c r="M141" s="248">
        <f>'5.1 igazgatás cofog'!M141+'5.2 adó cofog'!M141+'5.3 pályázat'!M141+'5.4 ogy, ep választás'!M141</f>
        <v>0</v>
      </c>
      <c r="N141" s="248">
        <f>'5.1 igazgatás cofog'!N141+'5.2 adó cofog'!N141+'5.3 pályázat'!N141+'5.4 ogy, ep választás'!N141</f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'5.1 igazgatás cofog'!C142+'5.2 adó cofog'!C142+'5.3 pályázat'!C142</f>
        <v>195896714</v>
      </c>
      <c r="D142" s="250">
        <f>'5.1 igazgatás cofog'!D142+'5.2 adó cofog'!D142+'5.3 pályázat'!D142</f>
        <v>0</v>
      </c>
      <c r="E142" s="250">
        <f>'5.1 igazgatás cofog'!E142+'5.2 adó cofog'!E142+'5.3 pályázat'!E142</f>
        <v>195896714</v>
      </c>
      <c r="F142" s="248">
        <f>'5.1 igazgatás cofog'!F142+'5.2 adó cofog'!F142+'5.3 pályázat'!F142+'5.4 ogy, ep választás'!F142</f>
        <v>198559654</v>
      </c>
      <c r="G142" s="248">
        <f>'5.1 igazgatás cofog'!G142+'5.2 adó cofog'!G142+'5.3 pályázat'!G142+'5.4 ogy, ep választás'!G142</f>
        <v>0</v>
      </c>
      <c r="H142" s="248">
        <f>'5.1 igazgatás cofog'!H142+'5.2 adó cofog'!H142+'5.3 pályázat'!H142+'5.4 ogy, ep választás'!H142</f>
        <v>198559654</v>
      </c>
      <c r="I142" s="248">
        <f>'5.1 igazgatás cofog'!I142+'5.2 adó cofog'!I142+'5.3 pályázat'!I142+'5.4 ogy, ep választás'!I142</f>
        <v>198559654</v>
      </c>
      <c r="J142" s="248">
        <f>'5.1 igazgatás cofog'!J142+'5.2 adó cofog'!J142+'5.3 pályázat'!J142+'5.4 ogy, ep választás'!J142</f>
        <v>0</v>
      </c>
      <c r="K142" s="248">
        <f>'5.1 igazgatás cofog'!K142+'5.2 adó cofog'!K142+'5.3 pályázat'!K142+'5.4 ogy, ep választás'!K142</f>
        <v>198559654</v>
      </c>
      <c r="L142" s="248">
        <f>'5.1 igazgatás cofog'!L142+'5.2 adó cofog'!L142+'5.3 pályázat'!L142+'5.4 ogy, ep választás'!L142</f>
        <v>170753315</v>
      </c>
      <c r="M142" s="248">
        <f>'5.1 igazgatás cofog'!M142+'5.2 adó cofog'!M142+'5.3 pályázat'!M142+'5.4 ogy, ep választás'!M142</f>
        <v>0</v>
      </c>
      <c r="N142" s="248">
        <f>'5.1 igazgatás cofog'!N142+'5.2 adó cofog'!N142+'5.3 pályázat'!N142+'5.4 ogy, ep választás'!N142</f>
        <v>170753315</v>
      </c>
    </row>
    <row r="143" spans="1:14" ht="15.75" thickBot="1" x14ac:dyDescent="0.3">
      <c r="A143" s="67" t="s">
        <v>250</v>
      </c>
      <c r="B143" s="68" t="s">
        <v>251</v>
      </c>
      <c r="C143" s="244">
        <f>'5.1 igazgatás cofog'!C143+'5.2 adó cofog'!C143+'5.3 pályázat'!C143</f>
        <v>0</v>
      </c>
      <c r="D143" s="244">
        <f>'5.1 igazgatás cofog'!D143+'5.2 adó cofog'!D143+'5.3 pályázat'!D143</f>
        <v>0</v>
      </c>
      <c r="E143" s="244">
        <f>'5.1 igazgatás cofog'!E143+'5.2 adó cofog'!E143+'5.3 pályázat'!E143</f>
        <v>0</v>
      </c>
      <c r="F143" s="244">
        <f>'5.1 igazgatás cofog'!F143+'5.2 adó cofog'!F143+'5.3 pályázat'!F143+'5.4 ogy, ep választás'!F143</f>
        <v>0</v>
      </c>
      <c r="G143" s="244">
        <f>'5.1 igazgatás cofog'!G143+'5.2 adó cofog'!G143+'5.3 pályázat'!G143+'5.4 ogy, ep választás'!G143</f>
        <v>0</v>
      </c>
      <c r="H143" s="244">
        <f>'5.1 igazgatás cofog'!H143+'5.2 adó cofog'!H143+'5.3 pályázat'!H143+'5.4 ogy, ep választás'!H143</f>
        <v>0</v>
      </c>
      <c r="I143" s="244">
        <f>'5.1 igazgatás cofog'!I143+'5.2 adó cofog'!I143+'5.3 pályázat'!I143+'5.4 ogy, ep választás'!I143</f>
        <v>0</v>
      </c>
      <c r="J143" s="244">
        <f>'5.1 igazgatás cofog'!J143+'5.2 adó cofog'!J143+'5.3 pályázat'!J143+'5.4 ogy, ep választás'!J143</f>
        <v>0</v>
      </c>
      <c r="K143" s="244">
        <f>'5.1 igazgatás cofog'!K143+'5.2 adó cofog'!K143+'5.3 pályázat'!K143+'5.4 ogy, ep választás'!K143</f>
        <v>0</v>
      </c>
      <c r="L143" s="244">
        <f>'5.1 igazgatás cofog'!L143+'5.2 adó cofog'!L143+'5.3 pályázat'!L143+'5.4 ogy, ep választás'!L143</f>
        <v>0</v>
      </c>
      <c r="M143" s="244">
        <f>'5.1 igazgatás cofog'!M143+'5.2 adó cofog'!M143+'5.3 pályázat'!M143+'5.4 ogy, ep választás'!M143</f>
        <v>0</v>
      </c>
      <c r="N143" s="244">
        <f>'5.1 igazgatás cofog'!N143+'5.2 adó cofog'!N143+'5.3 pályázat'!N143+'5.4 ogy, ep választás'!N143</f>
        <v>0</v>
      </c>
    </row>
    <row r="144" spans="1:14" ht="15.75" hidden="1" thickBot="1" x14ac:dyDescent="0.3">
      <c r="A144" s="61" t="s">
        <v>252</v>
      </c>
      <c r="B144" s="62" t="s">
        <v>253</v>
      </c>
      <c r="C144" s="246">
        <f>'5.1 igazgatás cofog'!C144+'5.2 adó cofog'!C144+'5.3 pályázat'!C144</f>
        <v>0</v>
      </c>
      <c r="D144" s="246">
        <f>'5.1 igazgatás cofog'!D144+'5.2 adó cofog'!D144+'5.3 pályázat'!D144</f>
        <v>0</v>
      </c>
      <c r="E144" s="246">
        <f>'5.1 igazgatás cofog'!E144+'5.2 adó cofog'!E144+'5.3 pályázat'!E144</f>
        <v>0</v>
      </c>
      <c r="F144" s="246">
        <f>'5.1 igazgatás cofog'!F144+'5.2 adó cofog'!F144+'5.3 pályázat'!F144+'5.4 ogy, ep választás'!F144</f>
        <v>0</v>
      </c>
      <c r="G144" s="246">
        <f>'5.1 igazgatás cofog'!G144+'5.2 adó cofog'!G144+'5.3 pályázat'!G144+'5.4 ogy, ep választás'!G144</f>
        <v>0</v>
      </c>
      <c r="H144" s="246">
        <f>'5.1 igazgatás cofog'!H144+'5.2 adó cofog'!H144+'5.3 pályázat'!H144+'5.4 ogy, ep választás'!H144</f>
        <v>0</v>
      </c>
      <c r="I144" s="246">
        <f>'5.1 igazgatás cofog'!I144+'5.2 adó cofog'!I144+'5.3 pályázat'!I144+'5.4 ogy, ep választás'!I144</f>
        <v>0</v>
      </c>
      <c r="J144" s="246">
        <f>'5.1 igazgatás cofog'!J144+'5.2 adó cofog'!J144+'5.3 pályázat'!J144+'5.4 ogy, ep választás'!J144</f>
        <v>0</v>
      </c>
      <c r="K144" s="246">
        <f>'5.1 igazgatás cofog'!K144+'5.2 adó cofog'!K144+'5.3 pályázat'!K144+'5.4 ogy, ep választás'!K144</f>
        <v>0</v>
      </c>
      <c r="L144" s="246">
        <f>'5.1 igazgatás cofog'!L144+'5.2 adó cofog'!L144+'5.3 pályázat'!L144+'5.4 ogy, ep választás'!L144</f>
        <v>0</v>
      </c>
      <c r="M144" s="246">
        <f>'5.1 igazgatás cofog'!M144+'5.2 adó cofog'!M144+'5.3 pályázat'!M144+'5.4 ogy, ep választás'!M144</f>
        <v>0</v>
      </c>
      <c r="N144" s="246">
        <f>'5.1 igazgatás cofog'!N144+'5.2 adó cofog'!N144+'5.3 pályázat'!N144+'5.4 ogy, ep választás'!N144</f>
        <v>0</v>
      </c>
    </row>
    <row r="145" spans="1:14" ht="15.75" hidden="1" thickBot="1" x14ac:dyDescent="0.3">
      <c r="A145" s="61" t="s">
        <v>254</v>
      </c>
      <c r="B145" s="62" t="s">
        <v>255</v>
      </c>
      <c r="C145" s="246">
        <f>'5.1 igazgatás cofog'!C145+'5.2 adó cofog'!C145+'5.3 pályázat'!C145</f>
        <v>0</v>
      </c>
      <c r="D145" s="246">
        <f>'5.1 igazgatás cofog'!D145+'5.2 adó cofog'!D145+'5.3 pályázat'!D145</f>
        <v>0</v>
      </c>
      <c r="E145" s="246">
        <f>'5.1 igazgatás cofog'!E145+'5.2 adó cofog'!E145+'5.3 pályázat'!E145</f>
        <v>0</v>
      </c>
      <c r="F145" s="246">
        <f>'5.1 igazgatás cofog'!F145+'5.2 adó cofog'!F145+'5.3 pályázat'!F145+'5.4 ogy, ep választás'!F145</f>
        <v>0</v>
      </c>
      <c r="G145" s="246">
        <f>'5.1 igazgatás cofog'!G145+'5.2 adó cofog'!G145+'5.3 pályázat'!G145+'5.4 ogy, ep választás'!G145</f>
        <v>0</v>
      </c>
      <c r="H145" s="246">
        <f>'5.1 igazgatás cofog'!H145+'5.2 adó cofog'!H145+'5.3 pályázat'!H145+'5.4 ogy, ep választás'!H145</f>
        <v>0</v>
      </c>
      <c r="I145" s="246">
        <f>'5.1 igazgatás cofog'!I145+'5.2 adó cofog'!I145+'5.3 pályázat'!I145+'5.4 ogy, ep választás'!I145</f>
        <v>0</v>
      </c>
      <c r="J145" s="246">
        <f>'5.1 igazgatás cofog'!J145+'5.2 adó cofog'!J145+'5.3 pályázat'!J145+'5.4 ogy, ep választás'!J145</f>
        <v>0</v>
      </c>
      <c r="K145" s="246">
        <f>'5.1 igazgatás cofog'!K145+'5.2 adó cofog'!K145+'5.3 pályázat'!K145+'5.4 ogy, ep választás'!K145</f>
        <v>0</v>
      </c>
      <c r="L145" s="246">
        <f>'5.1 igazgatás cofog'!L145+'5.2 adó cofog'!L145+'5.3 pályázat'!L145+'5.4 ogy, ep választás'!L145</f>
        <v>0</v>
      </c>
      <c r="M145" s="246">
        <f>'5.1 igazgatás cofog'!M145+'5.2 adó cofog'!M145+'5.3 pályázat'!M145+'5.4 ogy, ep választás'!M145</f>
        <v>0</v>
      </c>
      <c r="N145" s="246">
        <f>'5.1 igazgatás cofog'!N145+'5.2 adó cofog'!N145+'5.3 pályázat'!N145+'5.4 ogy, ep választás'!N145</f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>
        <f>'5.1 igazgatás cofog'!C146+'5.2 adó cofog'!C146+'5.3 pályázat'!C146</f>
        <v>0</v>
      </c>
      <c r="D146" s="246">
        <f>'5.1 igazgatás cofog'!D146+'5.2 adó cofog'!D146+'5.3 pályázat'!D146</f>
        <v>0</v>
      </c>
      <c r="E146" s="246">
        <f>'5.1 igazgatás cofog'!E146+'5.2 adó cofog'!E146+'5.3 pályázat'!E146</f>
        <v>0</v>
      </c>
      <c r="F146" s="246">
        <f>'5.1 igazgatás cofog'!F146+'5.2 adó cofog'!F146+'5.3 pályázat'!F146+'5.4 ogy, ep választás'!F146</f>
        <v>0</v>
      </c>
      <c r="G146" s="246">
        <f>'5.1 igazgatás cofog'!G146+'5.2 adó cofog'!G146+'5.3 pályázat'!G146+'5.4 ogy, ep választás'!G146</f>
        <v>0</v>
      </c>
      <c r="H146" s="246">
        <f>'5.1 igazgatás cofog'!H146+'5.2 adó cofog'!H146+'5.3 pályázat'!H146+'5.4 ogy, ep választás'!H146</f>
        <v>0</v>
      </c>
      <c r="I146" s="246">
        <f>'5.1 igazgatás cofog'!I146+'5.2 adó cofog'!I146+'5.3 pályázat'!I146+'5.4 ogy, ep választás'!I146</f>
        <v>0</v>
      </c>
      <c r="J146" s="246">
        <f>'5.1 igazgatás cofog'!J146+'5.2 adó cofog'!J146+'5.3 pályázat'!J146+'5.4 ogy, ep választás'!J146</f>
        <v>0</v>
      </c>
      <c r="K146" s="246">
        <f>'5.1 igazgatás cofog'!K146+'5.2 adó cofog'!K146+'5.3 pályázat'!K146+'5.4 ogy, ep választás'!K146</f>
        <v>0</v>
      </c>
      <c r="L146" s="246">
        <f>'5.1 igazgatás cofog'!L146+'5.2 adó cofog'!L146+'5.3 pályázat'!L146+'5.4 ogy, ep választás'!L146</f>
        <v>0</v>
      </c>
      <c r="M146" s="246">
        <f>'5.1 igazgatás cofog'!M146+'5.2 adó cofog'!M146+'5.3 pályázat'!M146+'5.4 ogy, ep választás'!M146</f>
        <v>0</v>
      </c>
      <c r="N146" s="246">
        <f>'5.1 igazgatás cofog'!N146+'5.2 adó cofog'!N146+'5.3 pályázat'!N146+'5.4 ogy, ep választás'!N146</f>
        <v>0</v>
      </c>
    </row>
    <row r="147" spans="1:14" ht="15.75" hidden="1" thickBot="1" x14ac:dyDescent="0.3">
      <c r="A147" s="61" t="s">
        <v>256</v>
      </c>
      <c r="B147" s="62" t="s">
        <v>257</v>
      </c>
      <c r="C147" s="246">
        <f>'5.1 igazgatás cofog'!C147+'5.2 adó cofog'!C147+'5.3 pályázat'!C147</f>
        <v>0</v>
      </c>
      <c r="D147" s="246">
        <f>'5.1 igazgatás cofog'!D147+'5.2 adó cofog'!D147+'5.3 pályázat'!D147</f>
        <v>0</v>
      </c>
      <c r="E147" s="246">
        <f>'5.1 igazgatás cofog'!E147+'5.2 adó cofog'!E147+'5.3 pályázat'!E147</f>
        <v>0</v>
      </c>
      <c r="F147" s="246">
        <f>'5.1 igazgatás cofog'!F147+'5.2 adó cofog'!F147+'5.3 pályázat'!F147+'5.4 ogy, ep választás'!F147</f>
        <v>0</v>
      </c>
      <c r="G147" s="246">
        <f>'5.1 igazgatás cofog'!G147+'5.2 adó cofog'!G147+'5.3 pályázat'!G147+'5.4 ogy, ep választás'!G147</f>
        <v>0</v>
      </c>
      <c r="H147" s="246">
        <f>'5.1 igazgatás cofog'!H147+'5.2 adó cofog'!H147+'5.3 pályázat'!H147+'5.4 ogy, ep választás'!H147</f>
        <v>0</v>
      </c>
      <c r="I147" s="246">
        <f>'5.1 igazgatás cofog'!I147+'5.2 adó cofog'!I147+'5.3 pályázat'!I147+'5.4 ogy, ep választás'!I147</f>
        <v>0</v>
      </c>
      <c r="J147" s="246">
        <f>'5.1 igazgatás cofog'!J147+'5.2 adó cofog'!J147+'5.3 pályázat'!J147+'5.4 ogy, ep választás'!J147</f>
        <v>0</v>
      </c>
      <c r="K147" s="246">
        <f>'5.1 igazgatás cofog'!K147+'5.2 adó cofog'!K147+'5.3 pályázat'!K147+'5.4 ogy, ep választás'!K147</f>
        <v>0</v>
      </c>
      <c r="L147" s="246">
        <f>'5.1 igazgatás cofog'!L147+'5.2 adó cofog'!L147+'5.3 pályázat'!L147+'5.4 ogy, ep választás'!L147</f>
        <v>0</v>
      </c>
      <c r="M147" s="246">
        <f>'5.1 igazgatás cofog'!M147+'5.2 adó cofog'!M147+'5.3 pályázat'!M147+'5.4 ogy, ep választás'!M147</f>
        <v>0</v>
      </c>
      <c r="N147" s="246">
        <f>'5.1 igazgatás cofog'!N147+'5.2 adó cofog'!N147+'5.3 pályázat'!N147+'5.4 ogy, ep választás'!N147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>
        <f>'5.1 igazgatás cofog'!C148+'5.2 adó cofog'!C148+'5.3 pályázat'!C148</f>
        <v>0</v>
      </c>
      <c r="D148" s="246">
        <f>'5.1 igazgatás cofog'!D148+'5.2 adó cofog'!D148+'5.3 pályázat'!D148</f>
        <v>0</v>
      </c>
      <c r="E148" s="246">
        <f>'5.1 igazgatás cofog'!E148+'5.2 adó cofog'!E148+'5.3 pályázat'!E148</f>
        <v>0</v>
      </c>
      <c r="F148" s="246">
        <f>'5.1 igazgatás cofog'!F148+'5.2 adó cofog'!F148+'5.3 pályázat'!F148+'5.4 ogy, ep választás'!F148</f>
        <v>0</v>
      </c>
      <c r="G148" s="246">
        <f>'5.1 igazgatás cofog'!G148+'5.2 adó cofog'!G148+'5.3 pályázat'!G148+'5.4 ogy, ep választás'!G148</f>
        <v>0</v>
      </c>
      <c r="H148" s="246">
        <f>'5.1 igazgatás cofog'!H148+'5.2 adó cofog'!H148+'5.3 pályázat'!H148+'5.4 ogy, ep választás'!H148</f>
        <v>0</v>
      </c>
      <c r="I148" s="246">
        <f>'5.1 igazgatás cofog'!I148+'5.2 adó cofog'!I148+'5.3 pályázat'!I148+'5.4 ogy, ep választás'!I148</f>
        <v>0</v>
      </c>
      <c r="J148" s="246">
        <f>'5.1 igazgatás cofog'!J148+'5.2 adó cofog'!J148+'5.3 pályázat'!J148+'5.4 ogy, ep választás'!J148</f>
        <v>0</v>
      </c>
      <c r="K148" s="246">
        <f>'5.1 igazgatás cofog'!K148+'5.2 adó cofog'!K148+'5.3 pályázat'!K148+'5.4 ogy, ep választás'!K148</f>
        <v>0</v>
      </c>
      <c r="L148" s="246">
        <f>'5.1 igazgatás cofog'!L148+'5.2 adó cofog'!L148+'5.3 pályázat'!L148+'5.4 ogy, ep választás'!L148</f>
        <v>0</v>
      </c>
      <c r="M148" s="246">
        <f>'5.1 igazgatás cofog'!M148+'5.2 adó cofog'!M148+'5.3 pályázat'!M148+'5.4 ogy, ep választás'!M148</f>
        <v>0</v>
      </c>
      <c r="N148" s="246">
        <f>'5.1 igazgatás cofog'!N148+'5.2 adó cofog'!N148+'5.3 pályázat'!N148+'5.4 ogy, ep választás'!N148</f>
        <v>0</v>
      </c>
    </row>
    <row r="149" spans="1:14" ht="15.75" hidden="1" thickBot="1" x14ac:dyDescent="0.3">
      <c r="A149" s="61" t="s">
        <v>260</v>
      </c>
      <c r="B149" s="62" t="s">
        <v>261</v>
      </c>
      <c r="C149" s="246">
        <f>'5.1 igazgatás cofog'!C149+'5.2 adó cofog'!C149+'5.3 pályázat'!C149</f>
        <v>0</v>
      </c>
      <c r="D149" s="246">
        <f>'5.1 igazgatás cofog'!D149+'5.2 adó cofog'!D149+'5.3 pályázat'!D149</f>
        <v>0</v>
      </c>
      <c r="E149" s="246">
        <f>'5.1 igazgatás cofog'!E149+'5.2 adó cofog'!E149+'5.3 pályázat'!E149</f>
        <v>0</v>
      </c>
      <c r="F149" s="246">
        <f>'5.1 igazgatás cofog'!F149+'5.2 adó cofog'!F149+'5.3 pályázat'!F149+'5.4 ogy, ep választás'!F149</f>
        <v>0</v>
      </c>
      <c r="G149" s="246">
        <f>'5.1 igazgatás cofog'!G149+'5.2 adó cofog'!G149+'5.3 pályázat'!G149+'5.4 ogy, ep választás'!G149</f>
        <v>0</v>
      </c>
      <c r="H149" s="246">
        <f>'5.1 igazgatás cofog'!H149+'5.2 adó cofog'!H149+'5.3 pályázat'!H149+'5.4 ogy, ep választás'!H149</f>
        <v>0</v>
      </c>
      <c r="I149" s="246">
        <f>'5.1 igazgatás cofog'!I149+'5.2 adó cofog'!I149+'5.3 pályázat'!I149+'5.4 ogy, ep választás'!I149</f>
        <v>0</v>
      </c>
      <c r="J149" s="246">
        <f>'5.1 igazgatás cofog'!J149+'5.2 adó cofog'!J149+'5.3 pályázat'!J149+'5.4 ogy, ep választás'!J149</f>
        <v>0</v>
      </c>
      <c r="K149" s="246">
        <f>'5.1 igazgatás cofog'!K149+'5.2 adó cofog'!K149+'5.3 pályázat'!K149+'5.4 ogy, ep választás'!K149</f>
        <v>0</v>
      </c>
      <c r="L149" s="246">
        <f>'5.1 igazgatás cofog'!L149+'5.2 adó cofog'!L149+'5.3 pályázat'!L149+'5.4 ogy, ep választás'!L149</f>
        <v>0</v>
      </c>
      <c r="M149" s="246">
        <f>'5.1 igazgatás cofog'!M149+'5.2 adó cofog'!M149+'5.3 pályázat'!M149+'5.4 ogy, ep választás'!M149</f>
        <v>0</v>
      </c>
      <c r="N149" s="246">
        <f>'5.1 igazgatás cofog'!N149+'5.2 adó cofog'!N149+'5.3 pályázat'!N149+'5.4 ogy, ep választás'!N149</f>
        <v>0</v>
      </c>
    </row>
    <row r="150" spans="1:14" ht="15.75" hidden="1" thickBot="1" x14ac:dyDescent="0.3">
      <c r="A150" s="63"/>
      <c r="B150" s="64" t="s">
        <v>262</v>
      </c>
      <c r="C150" s="248">
        <f>'5.1 igazgatás cofog'!C150+'5.2 adó cofog'!C150+'5.3 pályázat'!C150</f>
        <v>0</v>
      </c>
      <c r="D150" s="248">
        <f>'5.1 igazgatás cofog'!D150+'5.2 adó cofog'!D150+'5.3 pályázat'!D150</f>
        <v>0</v>
      </c>
      <c r="E150" s="248">
        <f>'5.1 igazgatás cofog'!E150+'5.2 adó cofog'!E150+'5.3 pályázat'!E150</f>
        <v>0</v>
      </c>
      <c r="F150" s="248">
        <f>'5.1 igazgatás cofog'!F150+'5.2 adó cofog'!F150+'5.3 pályázat'!F150+'5.4 ogy, ep választás'!F150</f>
        <v>0</v>
      </c>
      <c r="G150" s="248">
        <f>'5.1 igazgatás cofog'!G150+'5.2 adó cofog'!G150+'5.3 pályázat'!G150+'5.4 ogy, ep választás'!G150</f>
        <v>0</v>
      </c>
      <c r="H150" s="248">
        <f>'5.1 igazgatás cofog'!H150+'5.2 adó cofog'!H150+'5.3 pályázat'!H150+'5.4 ogy, ep választás'!H150</f>
        <v>0</v>
      </c>
      <c r="I150" s="248">
        <f>'5.1 igazgatás cofog'!I150+'5.2 adó cofog'!I150+'5.3 pályázat'!I150+'5.4 ogy, ep választás'!I150</f>
        <v>0</v>
      </c>
      <c r="J150" s="248">
        <f>'5.1 igazgatás cofog'!J150+'5.2 adó cofog'!J150+'5.3 pályázat'!J150+'5.4 ogy, ep választás'!J150</f>
        <v>0</v>
      </c>
      <c r="K150" s="248">
        <f>'5.1 igazgatás cofog'!K150+'5.2 adó cofog'!K150+'5.3 pályázat'!K150+'5.4 ogy, ep választás'!K150</f>
        <v>0</v>
      </c>
      <c r="L150" s="248">
        <f>'5.1 igazgatás cofog'!L150+'5.2 adó cofog'!L150+'5.3 pályázat'!L150+'5.4 ogy, ep választás'!L150</f>
        <v>0</v>
      </c>
      <c r="M150" s="248">
        <f>'5.1 igazgatás cofog'!M150+'5.2 adó cofog'!M150+'5.3 pályázat'!M150+'5.4 ogy, ep választás'!M150</f>
        <v>0</v>
      </c>
      <c r="N150" s="248">
        <f>'5.1 igazgatás cofog'!N150+'5.2 adó cofog'!N150+'5.3 pályázat'!N150+'5.4 ogy, ep választás'!N150</f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'5.1 igazgatás cofog'!C151+'5.2 adó cofog'!C151+'5.3 pályázat'!C151</f>
        <v>195896714</v>
      </c>
      <c r="D151" s="250">
        <f>'5.1 igazgatás cofog'!D151+'5.2 adó cofog'!D151+'5.3 pályázat'!D151</f>
        <v>0</v>
      </c>
      <c r="E151" s="250">
        <f>'5.1 igazgatás cofog'!E151+'5.2 adó cofog'!E151+'5.3 pályázat'!E151</f>
        <v>195896714</v>
      </c>
      <c r="F151" s="248">
        <f>'5.1 igazgatás cofog'!F151+'5.2 adó cofog'!F151+'5.3 pályázat'!F151+'5.4 ogy, ep választás'!F151</f>
        <v>198559654</v>
      </c>
      <c r="G151" s="248">
        <f>'5.1 igazgatás cofog'!G151+'5.2 adó cofog'!G151+'5.3 pályázat'!G151+'5.4 ogy, ep választás'!G151</f>
        <v>0</v>
      </c>
      <c r="H151" s="248">
        <f>'5.1 igazgatás cofog'!H151+'5.2 adó cofog'!H151+'5.3 pályázat'!H151+'5.4 ogy, ep választás'!H151</f>
        <v>198559654</v>
      </c>
      <c r="I151" s="248">
        <f>'5.1 igazgatás cofog'!I151+'5.2 adó cofog'!I151+'5.3 pályázat'!I151+'5.4 ogy, ep választás'!I151</f>
        <v>198559654</v>
      </c>
      <c r="J151" s="248">
        <f>'5.1 igazgatás cofog'!J151+'5.2 adó cofog'!J151+'5.3 pályázat'!J151+'5.4 ogy, ep választás'!J151</f>
        <v>0</v>
      </c>
      <c r="K151" s="248">
        <f>'5.1 igazgatás cofog'!K151+'5.2 adó cofog'!K151+'5.3 pályázat'!K151+'5.4 ogy, ep választás'!K151</f>
        <v>198559654</v>
      </c>
      <c r="L151" s="248">
        <f>'5.1 igazgatás cofog'!L151+'5.2 adó cofog'!L151+'5.3 pályázat'!L151+'5.4 ogy, ep választás'!L151</f>
        <v>170753315</v>
      </c>
      <c r="M151" s="248">
        <f>'5.1 igazgatás cofog'!M151+'5.2 adó cofog'!M151+'5.3 pályázat'!M151+'5.4 ogy, ep választás'!M151</f>
        <v>0</v>
      </c>
      <c r="N151" s="248">
        <f>'5.1 igazgatás cofog'!N151+'5.2 adó cofog'!N151+'5.3 pályázat'!N151+'5.4 ogy, ep választás'!N151</f>
        <v>170753315</v>
      </c>
    </row>
    <row r="152" spans="1:14" x14ac:dyDescent="0.25">
      <c r="D152" s="388"/>
      <c r="E152" s="388"/>
      <c r="G152" s="388"/>
      <c r="H152" s="388"/>
      <c r="J152" s="388"/>
      <c r="K152" s="388"/>
      <c r="M152" s="388"/>
      <c r="N152" s="388"/>
    </row>
    <row r="153" spans="1:14" x14ac:dyDescent="0.25">
      <c r="C153" s="148">
        <f t="shared" ref="C153:E153" si="3">C85-C151</f>
        <v>0</v>
      </c>
      <c r="D153" s="148">
        <f t="shared" si="3"/>
        <v>0</v>
      </c>
      <c r="E153" s="148">
        <f t="shared" si="3"/>
        <v>0</v>
      </c>
      <c r="F153" s="148">
        <f t="shared" ref="F153:H153" si="4">F85-F151</f>
        <v>0</v>
      </c>
      <c r="G153" s="148">
        <f t="shared" si="4"/>
        <v>0</v>
      </c>
      <c r="H153" s="148">
        <f t="shared" si="4"/>
        <v>0</v>
      </c>
      <c r="I153" s="148">
        <f t="shared" ref="I153:K153" si="5">I85-I151</f>
        <v>0</v>
      </c>
      <c r="J153" s="148">
        <f t="shared" si="5"/>
        <v>0</v>
      </c>
      <c r="K153" s="148">
        <f t="shared" si="5"/>
        <v>0</v>
      </c>
      <c r="L153" s="148">
        <f t="shared" ref="L153:N153" si="6">L85-L151</f>
        <v>811163</v>
      </c>
      <c r="M153" s="148">
        <f t="shared" si="6"/>
        <v>0</v>
      </c>
      <c r="N153" s="148">
        <f t="shared" si="6"/>
        <v>811163</v>
      </c>
    </row>
  </sheetData>
  <mergeCells count="5">
    <mergeCell ref="A1:E1"/>
    <mergeCell ref="A2:E2"/>
    <mergeCell ref="F6:H6"/>
    <mergeCell ref="I6:K6"/>
    <mergeCell ref="L6:N6"/>
  </mergeCells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21830-58B4-4D2E-98AA-930E6D08016B}">
  <sheetPr>
    <pageSetUpPr fitToPage="1"/>
  </sheetPr>
  <dimension ref="A1:O45"/>
  <sheetViews>
    <sheetView workbookViewId="0">
      <selection activeCell="M9" sqref="M9:O9"/>
    </sheetView>
  </sheetViews>
  <sheetFormatPr defaultRowHeight="15" x14ac:dyDescent="0.25"/>
  <cols>
    <col min="1" max="1" width="8.140625" style="179" customWidth="1"/>
    <col min="2" max="2" width="41" style="179" customWidth="1"/>
    <col min="3" max="3" width="11.5703125" style="179" hidden="1" customWidth="1"/>
    <col min="4" max="4" width="11" style="179" hidden="1" customWidth="1"/>
    <col min="5" max="5" width="12.28515625" style="179" hidden="1" customWidth="1"/>
    <col min="6" max="6" width="11.5703125" style="179" hidden="1" customWidth="1"/>
    <col min="7" max="7" width="11.140625" style="179" hidden="1" customWidth="1"/>
    <col min="8" max="8" width="12.28515625" style="179" hidden="1" customWidth="1"/>
    <col min="9" max="9" width="11.5703125" style="179" hidden="1" customWidth="1"/>
    <col min="10" max="11" width="12.28515625" style="179" hidden="1" customWidth="1"/>
    <col min="12" max="12" width="12.28515625" style="179" bestFit="1" customWidth="1"/>
    <col min="13" max="13" width="14.42578125" style="179" customWidth="1"/>
    <col min="14" max="14" width="14.7109375" style="179" customWidth="1"/>
    <col min="15" max="262" width="9.140625" style="179"/>
    <col min="263" max="263" width="8.140625" style="179" customWidth="1"/>
    <col min="264" max="264" width="41" style="179" customWidth="1"/>
    <col min="265" max="267" width="32.85546875" style="179" customWidth="1"/>
    <col min="268" max="518" width="9.140625" style="179"/>
    <col min="519" max="519" width="8.140625" style="179" customWidth="1"/>
    <col min="520" max="520" width="41" style="179" customWidth="1"/>
    <col min="521" max="523" width="32.85546875" style="179" customWidth="1"/>
    <col min="524" max="774" width="9.140625" style="179"/>
    <col min="775" max="775" width="8.140625" style="179" customWidth="1"/>
    <col min="776" max="776" width="41" style="179" customWidth="1"/>
    <col min="777" max="779" width="32.85546875" style="179" customWidth="1"/>
    <col min="780" max="1030" width="9.140625" style="179"/>
    <col min="1031" max="1031" width="8.140625" style="179" customWidth="1"/>
    <col min="1032" max="1032" width="41" style="179" customWidth="1"/>
    <col min="1033" max="1035" width="32.85546875" style="179" customWidth="1"/>
    <col min="1036" max="1286" width="9.140625" style="179"/>
    <col min="1287" max="1287" width="8.140625" style="179" customWidth="1"/>
    <col min="1288" max="1288" width="41" style="179" customWidth="1"/>
    <col min="1289" max="1291" width="32.85546875" style="179" customWidth="1"/>
    <col min="1292" max="1542" width="9.140625" style="179"/>
    <col min="1543" max="1543" width="8.140625" style="179" customWidth="1"/>
    <col min="1544" max="1544" width="41" style="179" customWidth="1"/>
    <col min="1545" max="1547" width="32.85546875" style="179" customWidth="1"/>
    <col min="1548" max="1798" width="9.140625" style="179"/>
    <col min="1799" max="1799" width="8.140625" style="179" customWidth="1"/>
    <col min="1800" max="1800" width="41" style="179" customWidth="1"/>
    <col min="1801" max="1803" width="32.85546875" style="179" customWidth="1"/>
    <col min="1804" max="2054" width="9.140625" style="179"/>
    <col min="2055" max="2055" width="8.140625" style="179" customWidth="1"/>
    <col min="2056" max="2056" width="41" style="179" customWidth="1"/>
    <col min="2057" max="2059" width="32.85546875" style="179" customWidth="1"/>
    <col min="2060" max="2310" width="9.140625" style="179"/>
    <col min="2311" max="2311" width="8.140625" style="179" customWidth="1"/>
    <col min="2312" max="2312" width="41" style="179" customWidth="1"/>
    <col min="2313" max="2315" width="32.85546875" style="179" customWidth="1"/>
    <col min="2316" max="2566" width="9.140625" style="179"/>
    <col min="2567" max="2567" width="8.140625" style="179" customWidth="1"/>
    <col min="2568" max="2568" width="41" style="179" customWidth="1"/>
    <col min="2569" max="2571" width="32.85546875" style="179" customWidth="1"/>
    <col min="2572" max="2822" width="9.140625" style="179"/>
    <col min="2823" max="2823" width="8.140625" style="179" customWidth="1"/>
    <col min="2824" max="2824" width="41" style="179" customWidth="1"/>
    <col min="2825" max="2827" width="32.85546875" style="179" customWidth="1"/>
    <col min="2828" max="3078" width="9.140625" style="179"/>
    <col min="3079" max="3079" width="8.140625" style="179" customWidth="1"/>
    <col min="3080" max="3080" width="41" style="179" customWidth="1"/>
    <col min="3081" max="3083" width="32.85546875" style="179" customWidth="1"/>
    <col min="3084" max="3334" width="9.140625" style="179"/>
    <col min="3335" max="3335" width="8.140625" style="179" customWidth="1"/>
    <col min="3336" max="3336" width="41" style="179" customWidth="1"/>
    <col min="3337" max="3339" width="32.85546875" style="179" customWidth="1"/>
    <col min="3340" max="3590" width="9.140625" style="179"/>
    <col min="3591" max="3591" width="8.140625" style="179" customWidth="1"/>
    <col min="3592" max="3592" width="41" style="179" customWidth="1"/>
    <col min="3593" max="3595" width="32.85546875" style="179" customWidth="1"/>
    <col min="3596" max="3846" width="9.140625" style="179"/>
    <col min="3847" max="3847" width="8.140625" style="179" customWidth="1"/>
    <col min="3848" max="3848" width="41" style="179" customWidth="1"/>
    <col min="3849" max="3851" width="32.85546875" style="179" customWidth="1"/>
    <col min="3852" max="4102" width="9.140625" style="179"/>
    <col min="4103" max="4103" width="8.140625" style="179" customWidth="1"/>
    <col min="4104" max="4104" width="41" style="179" customWidth="1"/>
    <col min="4105" max="4107" width="32.85546875" style="179" customWidth="1"/>
    <col min="4108" max="4358" width="9.140625" style="179"/>
    <col min="4359" max="4359" width="8.140625" style="179" customWidth="1"/>
    <col min="4360" max="4360" width="41" style="179" customWidth="1"/>
    <col min="4361" max="4363" width="32.85546875" style="179" customWidth="1"/>
    <col min="4364" max="4614" width="9.140625" style="179"/>
    <col min="4615" max="4615" width="8.140625" style="179" customWidth="1"/>
    <col min="4616" max="4616" width="41" style="179" customWidth="1"/>
    <col min="4617" max="4619" width="32.85546875" style="179" customWidth="1"/>
    <col min="4620" max="4870" width="9.140625" style="179"/>
    <col min="4871" max="4871" width="8.140625" style="179" customWidth="1"/>
    <col min="4872" max="4872" width="41" style="179" customWidth="1"/>
    <col min="4873" max="4875" width="32.85546875" style="179" customWidth="1"/>
    <col min="4876" max="5126" width="9.140625" style="179"/>
    <col min="5127" max="5127" width="8.140625" style="179" customWidth="1"/>
    <col min="5128" max="5128" width="41" style="179" customWidth="1"/>
    <col min="5129" max="5131" width="32.85546875" style="179" customWidth="1"/>
    <col min="5132" max="5382" width="9.140625" style="179"/>
    <col min="5383" max="5383" width="8.140625" style="179" customWidth="1"/>
    <col min="5384" max="5384" width="41" style="179" customWidth="1"/>
    <col min="5385" max="5387" width="32.85546875" style="179" customWidth="1"/>
    <col min="5388" max="5638" width="9.140625" style="179"/>
    <col min="5639" max="5639" width="8.140625" style="179" customWidth="1"/>
    <col min="5640" max="5640" width="41" style="179" customWidth="1"/>
    <col min="5641" max="5643" width="32.85546875" style="179" customWidth="1"/>
    <col min="5644" max="5894" width="9.140625" style="179"/>
    <col min="5895" max="5895" width="8.140625" style="179" customWidth="1"/>
    <col min="5896" max="5896" width="41" style="179" customWidth="1"/>
    <col min="5897" max="5899" width="32.85546875" style="179" customWidth="1"/>
    <col min="5900" max="6150" width="9.140625" style="179"/>
    <col min="6151" max="6151" width="8.140625" style="179" customWidth="1"/>
    <col min="6152" max="6152" width="41" style="179" customWidth="1"/>
    <col min="6153" max="6155" width="32.85546875" style="179" customWidth="1"/>
    <col min="6156" max="6406" width="9.140625" style="179"/>
    <col min="6407" max="6407" width="8.140625" style="179" customWidth="1"/>
    <col min="6408" max="6408" width="41" style="179" customWidth="1"/>
    <col min="6409" max="6411" width="32.85546875" style="179" customWidth="1"/>
    <col min="6412" max="6662" width="9.140625" style="179"/>
    <col min="6663" max="6663" width="8.140625" style="179" customWidth="1"/>
    <col min="6664" max="6664" width="41" style="179" customWidth="1"/>
    <col min="6665" max="6667" width="32.85546875" style="179" customWidth="1"/>
    <col min="6668" max="6918" width="9.140625" style="179"/>
    <col min="6919" max="6919" width="8.140625" style="179" customWidth="1"/>
    <col min="6920" max="6920" width="41" style="179" customWidth="1"/>
    <col min="6921" max="6923" width="32.85546875" style="179" customWidth="1"/>
    <col min="6924" max="7174" width="9.140625" style="179"/>
    <col min="7175" max="7175" width="8.140625" style="179" customWidth="1"/>
    <col min="7176" max="7176" width="41" style="179" customWidth="1"/>
    <col min="7177" max="7179" width="32.85546875" style="179" customWidth="1"/>
    <col min="7180" max="7430" width="9.140625" style="179"/>
    <col min="7431" max="7431" width="8.140625" style="179" customWidth="1"/>
    <col min="7432" max="7432" width="41" style="179" customWidth="1"/>
    <col min="7433" max="7435" width="32.85546875" style="179" customWidth="1"/>
    <col min="7436" max="7686" width="9.140625" style="179"/>
    <col min="7687" max="7687" width="8.140625" style="179" customWidth="1"/>
    <col min="7688" max="7688" width="41" style="179" customWidth="1"/>
    <col min="7689" max="7691" width="32.85546875" style="179" customWidth="1"/>
    <col min="7692" max="7942" width="9.140625" style="179"/>
    <col min="7943" max="7943" width="8.140625" style="179" customWidth="1"/>
    <col min="7944" max="7944" width="41" style="179" customWidth="1"/>
    <col min="7945" max="7947" width="32.85546875" style="179" customWidth="1"/>
    <col min="7948" max="8198" width="9.140625" style="179"/>
    <col min="8199" max="8199" width="8.140625" style="179" customWidth="1"/>
    <col min="8200" max="8200" width="41" style="179" customWidth="1"/>
    <col min="8201" max="8203" width="32.85546875" style="179" customWidth="1"/>
    <col min="8204" max="8454" width="9.140625" style="179"/>
    <col min="8455" max="8455" width="8.140625" style="179" customWidth="1"/>
    <col min="8456" max="8456" width="41" style="179" customWidth="1"/>
    <col min="8457" max="8459" width="32.85546875" style="179" customWidth="1"/>
    <col min="8460" max="8710" width="9.140625" style="179"/>
    <col min="8711" max="8711" width="8.140625" style="179" customWidth="1"/>
    <col min="8712" max="8712" width="41" style="179" customWidth="1"/>
    <col min="8713" max="8715" width="32.85546875" style="179" customWidth="1"/>
    <col min="8716" max="8966" width="9.140625" style="179"/>
    <col min="8967" max="8967" width="8.140625" style="179" customWidth="1"/>
    <col min="8968" max="8968" width="41" style="179" customWidth="1"/>
    <col min="8969" max="8971" width="32.85546875" style="179" customWidth="1"/>
    <col min="8972" max="9222" width="9.140625" style="179"/>
    <col min="9223" max="9223" width="8.140625" style="179" customWidth="1"/>
    <col min="9224" max="9224" width="41" style="179" customWidth="1"/>
    <col min="9225" max="9227" width="32.85546875" style="179" customWidth="1"/>
    <col min="9228" max="9478" width="9.140625" style="179"/>
    <col min="9479" max="9479" width="8.140625" style="179" customWidth="1"/>
    <col min="9480" max="9480" width="41" style="179" customWidth="1"/>
    <col min="9481" max="9483" width="32.85546875" style="179" customWidth="1"/>
    <col min="9484" max="9734" width="9.140625" style="179"/>
    <col min="9735" max="9735" width="8.140625" style="179" customWidth="1"/>
    <col min="9736" max="9736" width="41" style="179" customWidth="1"/>
    <col min="9737" max="9739" width="32.85546875" style="179" customWidth="1"/>
    <col min="9740" max="9990" width="9.140625" style="179"/>
    <col min="9991" max="9991" width="8.140625" style="179" customWidth="1"/>
    <col min="9992" max="9992" width="41" style="179" customWidth="1"/>
    <col min="9993" max="9995" width="32.85546875" style="179" customWidth="1"/>
    <col min="9996" max="10246" width="9.140625" style="179"/>
    <col min="10247" max="10247" width="8.140625" style="179" customWidth="1"/>
    <col min="10248" max="10248" width="41" style="179" customWidth="1"/>
    <col min="10249" max="10251" width="32.85546875" style="179" customWidth="1"/>
    <col min="10252" max="10502" width="9.140625" style="179"/>
    <col min="10503" max="10503" width="8.140625" style="179" customWidth="1"/>
    <col min="10504" max="10504" width="41" style="179" customWidth="1"/>
    <col min="10505" max="10507" width="32.85546875" style="179" customWidth="1"/>
    <col min="10508" max="10758" width="9.140625" style="179"/>
    <col min="10759" max="10759" width="8.140625" style="179" customWidth="1"/>
    <col min="10760" max="10760" width="41" style="179" customWidth="1"/>
    <col min="10761" max="10763" width="32.85546875" style="179" customWidth="1"/>
    <col min="10764" max="11014" width="9.140625" style="179"/>
    <col min="11015" max="11015" width="8.140625" style="179" customWidth="1"/>
    <col min="11016" max="11016" width="41" style="179" customWidth="1"/>
    <col min="11017" max="11019" width="32.85546875" style="179" customWidth="1"/>
    <col min="11020" max="11270" width="9.140625" style="179"/>
    <col min="11271" max="11271" width="8.140625" style="179" customWidth="1"/>
    <col min="11272" max="11272" width="41" style="179" customWidth="1"/>
    <col min="11273" max="11275" width="32.85546875" style="179" customWidth="1"/>
    <col min="11276" max="11526" width="9.140625" style="179"/>
    <col min="11527" max="11527" width="8.140625" style="179" customWidth="1"/>
    <col min="11528" max="11528" width="41" style="179" customWidth="1"/>
    <col min="11529" max="11531" width="32.85546875" style="179" customWidth="1"/>
    <col min="11532" max="11782" width="9.140625" style="179"/>
    <col min="11783" max="11783" width="8.140625" style="179" customWidth="1"/>
    <col min="11784" max="11784" width="41" style="179" customWidth="1"/>
    <col min="11785" max="11787" width="32.85546875" style="179" customWidth="1"/>
    <col min="11788" max="12038" width="9.140625" style="179"/>
    <col min="12039" max="12039" width="8.140625" style="179" customWidth="1"/>
    <col min="12040" max="12040" width="41" style="179" customWidth="1"/>
    <col min="12041" max="12043" width="32.85546875" style="179" customWidth="1"/>
    <col min="12044" max="12294" width="9.140625" style="179"/>
    <col min="12295" max="12295" width="8.140625" style="179" customWidth="1"/>
    <col min="12296" max="12296" width="41" style="179" customWidth="1"/>
    <col min="12297" max="12299" width="32.85546875" style="179" customWidth="1"/>
    <col min="12300" max="12550" width="9.140625" style="179"/>
    <col min="12551" max="12551" width="8.140625" style="179" customWidth="1"/>
    <col min="12552" max="12552" width="41" style="179" customWidth="1"/>
    <col min="12553" max="12555" width="32.85546875" style="179" customWidth="1"/>
    <col min="12556" max="12806" width="9.140625" style="179"/>
    <col min="12807" max="12807" width="8.140625" style="179" customWidth="1"/>
    <col min="12808" max="12808" width="41" style="179" customWidth="1"/>
    <col min="12809" max="12811" width="32.85546875" style="179" customWidth="1"/>
    <col min="12812" max="13062" width="9.140625" style="179"/>
    <col min="13063" max="13063" width="8.140625" style="179" customWidth="1"/>
    <col min="13064" max="13064" width="41" style="179" customWidth="1"/>
    <col min="13065" max="13067" width="32.85546875" style="179" customWidth="1"/>
    <col min="13068" max="13318" width="9.140625" style="179"/>
    <col min="13319" max="13319" width="8.140625" style="179" customWidth="1"/>
    <col min="13320" max="13320" width="41" style="179" customWidth="1"/>
    <col min="13321" max="13323" width="32.85546875" style="179" customWidth="1"/>
    <col min="13324" max="13574" width="9.140625" style="179"/>
    <col min="13575" max="13575" width="8.140625" style="179" customWidth="1"/>
    <col min="13576" max="13576" width="41" style="179" customWidth="1"/>
    <col min="13577" max="13579" width="32.85546875" style="179" customWidth="1"/>
    <col min="13580" max="13830" width="9.140625" style="179"/>
    <col min="13831" max="13831" width="8.140625" style="179" customWidth="1"/>
    <col min="13832" max="13832" width="41" style="179" customWidth="1"/>
    <col min="13833" max="13835" width="32.85546875" style="179" customWidth="1"/>
    <col min="13836" max="14086" width="9.140625" style="179"/>
    <col min="14087" max="14087" width="8.140625" style="179" customWidth="1"/>
    <col min="14088" max="14088" width="41" style="179" customWidth="1"/>
    <col min="14089" max="14091" width="32.85546875" style="179" customWidth="1"/>
    <col min="14092" max="14342" width="9.140625" style="179"/>
    <col min="14343" max="14343" width="8.140625" style="179" customWidth="1"/>
    <col min="14344" max="14344" width="41" style="179" customWidth="1"/>
    <col min="14345" max="14347" width="32.85546875" style="179" customWidth="1"/>
    <col min="14348" max="14598" width="9.140625" style="179"/>
    <col min="14599" max="14599" width="8.140625" style="179" customWidth="1"/>
    <col min="14600" max="14600" width="41" style="179" customWidth="1"/>
    <col min="14601" max="14603" width="32.85546875" style="179" customWidth="1"/>
    <col min="14604" max="14854" width="9.140625" style="179"/>
    <col min="14855" max="14855" width="8.140625" style="179" customWidth="1"/>
    <col min="14856" max="14856" width="41" style="179" customWidth="1"/>
    <col min="14857" max="14859" width="32.85546875" style="179" customWidth="1"/>
    <col min="14860" max="15110" width="9.140625" style="179"/>
    <col min="15111" max="15111" width="8.140625" style="179" customWidth="1"/>
    <col min="15112" max="15112" width="41" style="179" customWidth="1"/>
    <col min="15113" max="15115" width="32.85546875" style="179" customWidth="1"/>
    <col min="15116" max="15366" width="9.140625" style="179"/>
    <col min="15367" max="15367" width="8.140625" style="179" customWidth="1"/>
    <col min="15368" max="15368" width="41" style="179" customWidth="1"/>
    <col min="15369" max="15371" width="32.85546875" style="179" customWidth="1"/>
    <col min="15372" max="15622" width="9.140625" style="179"/>
    <col min="15623" max="15623" width="8.140625" style="179" customWidth="1"/>
    <col min="15624" max="15624" width="41" style="179" customWidth="1"/>
    <col min="15625" max="15627" width="32.85546875" style="179" customWidth="1"/>
    <col min="15628" max="15878" width="9.140625" style="179"/>
    <col min="15879" max="15879" width="8.140625" style="179" customWidth="1"/>
    <col min="15880" max="15880" width="41" style="179" customWidth="1"/>
    <col min="15881" max="15883" width="32.85546875" style="179" customWidth="1"/>
    <col min="15884" max="16134" width="9.140625" style="179"/>
    <col min="16135" max="16135" width="8.140625" style="179" customWidth="1"/>
    <col min="16136" max="16136" width="41" style="179" customWidth="1"/>
    <col min="16137" max="16139" width="32.85546875" style="179" customWidth="1"/>
    <col min="16140" max="16384" width="9.140625" style="179"/>
  </cols>
  <sheetData>
    <row r="1" spans="1:15" x14ac:dyDescent="0.25">
      <c r="M1" s="179" t="str">
        <f>'16 mérleg'!E1</f>
        <v xml:space="preserve"> 12 / 2020. (VI.15) sz rendelet</v>
      </c>
    </row>
    <row r="3" spans="1:15" x14ac:dyDescent="0.25">
      <c r="A3" s="960" t="s">
        <v>4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</row>
    <row r="4" spans="1:15" x14ac:dyDescent="0.25">
      <c r="A4" s="961" t="s">
        <v>986</v>
      </c>
      <c r="B4" s="961"/>
      <c r="C4" s="961"/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745"/>
    </row>
    <row r="5" spans="1:15" x14ac:dyDescent="0.25">
      <c r="A5" s="960">
        <v>2019</v>
      </c>
      <c r="B5" s="960"/>
      <c r="C5" s="960"/>
      <c r="D5" s="960"/>
      <c r="E5" s="960"/>
      <c r="F5" s="960"/>
      <c r="G5" s="960"/>
      <c r="H5" s="960"/>
      <c r="I5" s="960"/>
      <c r="J5" s="960"/>
      <c r="K5" s="960"/>
      <c r="L5" s="960"/>
      <c r="M5" s="960"/>
      <c r="N5" s="960"/>
    </row>
    <row r="6" spans="1:15" x14ac:dyDescent="0.25">
      <c r="A6" s="960" t="s">
        <v>984</v>
      </c>
      <c r="B6" s="960"/>
      <c r="C6" s="960"/>
      <c r="D6" s="960"/>
      <c r="E6" s="960"/>
      <c r="F6" s="960"/>
      <c r="G6" s="960"/>
      <c r="H6" s="960"/>
      <c r="I6" s="960"/>
      <c r="J6" s="960"/>
      <c r="K6" s="960"/>
      <c r="L6" s="960"/>
      <c r="M6" s="960"/>
      <c r="N6" s="960"/>
    </row>
    <row r="7" spans="1:15" x14ac:dyDescent="0.25">
      <c r="A7" s="830"/>
      <c r="B7" s="830"/>
      <c r="C7" s="830"/>
      <c r="D7" s="830"/>
      <c r="E7" s="830"/>
      <c r="F7" s="830"/>
      <c r="G7" s="830"/>
      <c r="H7" s="830"/>
      <c r="I7" s="830"/>
      <c r="J7" s="830"/>
      <c r="K7" s="830"/>
      <c r="L7" s="830"/>
      <c r="M7" s="830"/>
      <c r="N7" s="830"/>
    </row>
    <row r="8" spans="1:15" x14ac:dyDescent="0.25">
      <c r="A8" s="718"/>
      <c r="B8" s="718"/>
      <c r="C8" s="718"/>
      <c r="D8" s="718"/>
      <c r="E8" s="718"/>
      <c r="F8" s="718"/>
      <c r="G8" s="718"/>
      <c r="H8" s="718"/>
      <c r="I8" s="718"/>
      <c r="J8" s="718"/>
      <c r="K8" s="718"/>
      <c r="L8" s="718"/>
      <c r="M8" s="718"/>
      <c r="N8" s="718"/>
    </row>
    <row r="9" spans="1:15" x14ac:dyDescent="0.25">
      <c r="A9" s="718"/>
      <c r="B9" s="718"/>
      <c r="C9" s="718"/>
      <c r="D9" s="718"/>
      <c r="E9" s="718"/>
      <c r="F9" s="718"/>
      <c r="G9" s="718"/>
      <c r="H9" s="718"/>
      <c r="I9" s="718"/>
      <c r="J9" s="718"/>
      <c r="K9" s="718"/>
      <c r="L9" s="803" t="s">
        <v>302</v>
      </c>
      <c r="M9" s="715" t="str">
        <f>'16 mérleg'!E7</f>
        <v xml:space="preserve"> melléklet az 12/2020. (VI.15.) rendelethez</v>
      </c>
      <c r="N9" s="177"/>
    </row>
    <row r="11" spans="1:15" x14ac:dyDescent="0.25">
      <c r="N11" s="521" t="s">
        <v>392</v>
      </c>
    </row>
    <row r="12" spans="1:15" ht="35.25" customHeight="1" x14ac:dyDescent="0.25">
      <c r="A12" s="963"/>
      <c r="B12" s="965" t="s">
        <v>319</v>
      </c>
      <c r="C12" s="966" t="s">
        <v>952</v>
      </c>
      <c r="D12" s="966"/>
      <c r="E12" s="966"/>
      <c r="F12" s="967" t="s">
        <v>6</v>
      </c>
      <c r="G12" s="967"/>
      <c r="H12" s="967"/>
      <c r="I12" s="967" t="s">
        <v>273</v>
      </c>
      <c r="J12" s="967"/>
      <c r="K12" s="967"/>
      <c r="L12" s="967" t="s">
        <v>18</v>
      </c>
      <c r="M12" s="967"/>
      <c r="N12" s="967"/>
    </row>
    <row r="13" spans="1:15" s="81" customFormat="1" ht="25.5" x14ac:dyDescent="0.2">
      <c r="A13" s="964"/>
      <c r="B13" s="965"/>
      <c r="C13" s="757" t="s">
        <v>948</v>
      </c>
      <c r="D13" s="757" t="s">
        <v>949</v>
      </c>
      <c r="E13" s="757" t="s">
        <v>950</v>
      </c>
      <c r="F13" s="757" t="s">
        <v>948</v>
      </c>
      <c r="G13" s="757" t="s">
        <v>949</v>
      </c>
      <c r="H13" s="757" t="s">
        <v>950</v>
      </c>
      <c r="I13" s="757" t="s">
        <v>948</v>
      </c>
      <c r="J13" s="757" t="s">
        <v>949</v>
      </c>
      <c r="K13" s="757" t="s">
        <v>950</v>
      </c>
      <c r="L13" s="757" t="s">
        <v>948</v>
      </c>
      <c r="M13" s="757" t="s">
        <v>949</v>
      </c>
      <c r="N13" s="757" t="s">
        <v>950</v>
      </c>
    </row>
    <row r="14" spans="1:15" s="81" customFormat="1" ht="12.75" x14ac:dyDescent="0.2">
      <c r="A14" s="757">
        <v>1</v>
      </c>
      <c r="B14" s="757">
        <v>2</v>
      </c>
      <c r="C14" s="757">
        <v>3</v>
      </c>
      <c r="D14" s="757">
        <v>4</v>
      </c>
      <c r="E14" s="757">
        <v>5</v>
      </c>
      <c r="F14" s="757">
        <v>6</v>
      </c>
      <c r="G14" s="757">
        <v>7</v>
      </c>
      <c r="H14" s="757">
        <v>8</v>
      </c>
      <c r="I14" s="757">
        <v>9</v>
      </c>
      <c r="J14" s="757">
        <v>10</v>
      </c>
      <c r="K14" s="757">
        <v>11</v>
      </c>
      <c r="L14" s="757">
        <v>12</v>
      </c>
      <c r="M14" s="757">
        <v>13</v>
      </c>
      <c r="N14" s="757">
        <v>14</v>
      </c>
    </row>
    <row r="15" spans="1:15" ht="15.75" x14ac:dyDescent="0.25">
      <c r="A15" s="737" t="s">
        <v>688</v>
      </c>
      <c r="B15" s="738" t="s">
        <v>953</v>
      </c>
      <c r="C15" s="739"/>
      <c r="D15" s="739"/>
      <c r="E15" s="739"/>
      <c r="F15" s="740">
        <v>76800</v>
      </c>
      <c r="G15" s="740">
        <v>0</v>
      </c>
      <c r="H15" s="740">
        <v>1800</v>
      </c>
      <c r="I15" s="740">
        <v>498766742</v>
      </c>
      <c r="J15" s="740">
        <v>0</v>
      </c>
      <c r="K15" s="740">
        <v>645230362</v>
      </c>
      <c r="L15" s="741">
        <f>C15+F15+I15</f>
        <v>498843542</v>
      </c>
      <c r="M15" s="741">
        <f t="shared" ref="M15:N30" si="0">D15+G15+J15</f>
        <v>0</v>
      </c>
      <c r="N15" s="741">
        <f t="shared" si="0"/>
        <v>645232162</v>
      </c>
    </row>
    <row r="16" spans="1:15" ht="25.5" x14ac:dyDescent="0.25">
      <c r="A16" s="737" t="s">
        <v>690</v>
      </c>
      <c r="B16" s="738" t="s">
        <v>954</v>
      </c>
      <c r="C16" s="740">
        <v>14782284</v>
      </c>
      <c r="D16" s="740">
        <v>0</v>
      </c>
      <c r="E16" s="740">
        <v>11562030</v>
      </c>
      <c r="F16" s="740">
        <v>493504</v>
      </c>
      <c r="G16" s="740">
        <v>0</v>
      </c>
      <c r="H16" s="740">
        <v>304284</v>
      </c>
      <c r="I16" s="740">
        <v>115097687</v>
      </c>
      <c r="J16" s="740">
        <v>0</v>
      </c>
      <c r="K16" s="740">
        <v>111024198</v>
      </c>
      <c r="L16" s="741">
        <f t="shared" ref="L16:N45" si="1">C16+F16+I16</f>
        <v>130373475</v>
      </c>
      <c r="M16" s="741">
        <f t="shared" si="0"/>
        <v>0</v>
      </c>
      <c r="N16" s="741">
        <f t="shared" si="0"/>
        <v>122890512</v>
      </c>
    </row>
    <row r="17" spans="1:14" ht="25.5" x14ac:dyDescent="0.25">
      <c r="A17" s="737" t="s">
        <v>691</v>
      </c>
      <c r="B17" s="738" t="s">
        <v>955</v>
      </c>
      <c r="C17" s="740"/>
      <c r="D17" s="740"/>
      <c r="E17" s="740"/>
      <c r="F17" s="740"/>
      <c r="G17" s="740"/>
      <c r="H17" s="740"/>
      <c r="I17" s="740">
        <v>7258000</v>
      </c>
      <c r="J17" s="740">
        <v>0</v>
      </c>
      <c r="K17" s="740">
        <v>7591000</v>
      </c>
      <c r="L17" s="741">
        <f t="shared" si="1"/>
        <v>7258000</v>
      </c>
      <c r="M17" s="741">
        <f t="shared" si="0"/>
        <v>0</v>
      </c>
      <c r="N17" s="741">
        <f t="shared" si="0"/>
        <v>7591000</v>
      </c>
    </row>
    <row r="18" spans="1:14" ht="25.5" x14ac:dyDescent="0.25">
      <c r="A18" s="742" t="s">
        <v>693</v>
      </c>
      <c r="B18" s="743" t="s">
        <v>956</v>
      </c>
      <c r="C18" s="744">
        <v>14782284</v>
      </c>
      <c r="D18" s="744">
        <v>0</v>
      </c>
      <c r="E18" s="744">
        <v>11562030</v>
      </c>
      <c r="F18" s="744">
        <v>570304</v>
      </c>
      <c r="G18" s="744">
        <v>0</v>
      </c>
      <c r="H18" s="744">
        <v>306084</v>
      </c>
      <c r="I18" s="744">
        <v>621122429</v>
      </c>
      <c r="J18" s="744">
        <v>0</v>
      </c>
      <c r="K18" s="744">
        <v>763845560</v>
      </c>
      <c r="L18" s="741">
        <f t="shared" si="1"/>
        <v>636475017</v>
      </c>
      <c r="M18" s="741">
        <f t="shared" si="0"/>
        <v>0</v>
      </c>
      <c r="N18" s="741">
        <f t="shared" si="0"/>
        <v>775713674</v>
      </c>
    </row>
    <row r="19" spans="1:14" ht="25.5" x14ac:dyDescent="0.25">
      <c r="A19" s="737" t="s">
        <v>700</v>
      </c>
      <c r="B19" s="738" t="s">
        <v>957</v>
      </c>
      <c r="C19" s="740">
        <v>72798964</v>
      </c>
      <c r="D19" s="740">
        <v>0</v>
      </c>
      <c r="E19" s="740">
        <v>103626438</v>
      </c>
      <c r="F19" s="740">
        <v>165362950</v>
      </c>
      <c r="G19" s="740">
        <v>0</v>
      </c>
      <c r="H19" s="740">
        <v>164450496</v>
      </c>
      <c r="I19" s="740">
        <v>420645618</v>
      </c>
      <c r="J19" s="740">
        <v>0</v>
      </c>
      <c r="K19" s="740">
        <v>496055602</v>
      </c>
      <c r="L19" s="741">
        <f t="shared" si="1"/>
        <v>658807532</v>
      </c>
      <c r="M19" s="741">
        <f t="shared" si="0"/>
        <v>0</v>
      </c>
      <c r="N19" s="741">
        <f t="shared" si="0"/>
        <v>764132536</v>
      </c>
    </row>
    <row r="20" spans="1:14" ht="25.5" x14ac:dyDescent="0.25">
      <c r="A20" s="737" t="s">
        <v>702</v>
      </c>
      <c r="B20" s="738" t="s">
        <v>958</v>
      </c>
      <c r="C20" s="740">
        <v>515698</v>
      </c>
      <c r="D20" s="740">
        <v>0</v>
      </c>
      <c r="E20" s="740">
        <v>1881829</v>
      </c>
      <c r="F20" s="740">
        <v>3323233</v>
      </c>
      <c r="G20" s="740">
        <v>0</v>
      </c>
      <c r="H20" s="740">
        <v>6216023</v>
      </c>
      <c r="I20" s="740">
        <v>83258248</v>
      </c>
      <c r="J20" s="740">
        <v>0</v>
      </c>
      <c r="K20" s="740">
        <v>180594379</v>
      </c>
      <c r="L20" s="741">
        <f t="shared" si="1"/>
        <v>87097179</v>
      </c>
      <c r="M20" s="741">
        <f t="shared" si="0"/>
        <v>0</v>
      </c>
      <c r="N20" s="741">
        <f t="shared" si="0"/>
        <v>188692231</v>
      </c>
    </row>
    <row r="21" spans="1:14" ht="25.5" x14ac:dyDescent="0.25">
      <c r="A21" s="737" t="s">
        <v>499</v>
      </c>
      <c r="B21" s="738" t="s">
        <v>959</v>
      </c>
      <c r="C21" s="740"/>
      <c r="D21" s="740"/>
      <c r="E21" s="740"/>
      <c r="F21" s="740"/>
      <c r="G21" s="740"/>
      <c r="H21" s="740"/>
      <c r="I21" s="740">
        <v>333591238</v>
      </c>
      <c r="J21" s="740">
        <v>0</v>
      </c>
      <c r="K21" s="740">
        <v>220418500</v>
      </c>
      <c r="L21" s="741">
        <f t="shared" si="1"/>
        <v>333591238</v>
      </c>
      <c r="M21" s="741">
        <f t="shared" si="0"/>
        <v>0</v>
      </c>
      <c r="N21" s="741">
        <f t="shared" si="0"/>
        <v>220418500</v>
      </c>
    </row>
    <row r="22" spans="1:14" x14ac:dyDescent="0.25">
      <c r="A22" s="737" t="s">
        <v>500</v>
      </c>
      <c r="B22" s="738" t="s">
        <v>960</v>
      </c>
      <c r="C22" s="740">
        <v>6536</v>
      </c>
      <c r="D22" s="740">
        <v>0</v>
      </c>
      <c r="E22" s="740">
        <v>52955</v>
      </c>
      <c r="F22" s="740">
        <v>91530</v>
      </c>
      <c r="G22" s="740">
        <v>0</v>
      </c>
      <c r="H22" s="740">
        <v>831</v>
      </c>
      <c r="I22" s="740">
        <v>104433027</v>
      </c>
      <c r="J22" s="740">
        <v>0</v>
      </c>
      <c r="K22" s="740">
        <v>245230683</v>
      </c>
      <c r="L22" s="741">
        <f t="shared" si="1"/>
        <v>104531093</v>
      </c>
      <c r="M22" s="741">
        <f t="shared" si="0"/>
        <v>0</v>
      </c>
      <c r="N22" s="741">
        <f t="shared" si="0"/>
        <v>245284469</v>
      </c>
    </row>
    <row r="23" spans="1:14" ht="25.5" x14ac:dyDescent="0.25">
      <c r="A23" s="742" t="s">
        <v>501</v>
      </c>
      <c r="B23" s="743" t="s">
        <v>961</v>
      </c>
      <c r="C23" s="744">
        <v>73321198</v>
      </c>
      <c r="D23" s="744">
        <v>0</v>
      </c>
      <c r="E23" s="744">
        <v>105561222</v>
      </c>
      <c r="F23" s="744">
        <v>168777713</v>
      </c>
      <c r="G23" s="744">
        <v>0</v>
      </c>
      <c r="H23" s="744">
        <v>170667350</v>
      </c>
      <c r="I23" s="744">
        <v>941928131</v>
      </c>
      <c r="J23" s="744">
        <v>0</v>
      </c>
      <c r="K23" s="744">
        <v>1142299164</v>
      </c>
      <c r="L23" s="741">
        <f t="shared" si="1"/>
        <v>1184027042</v>
      </c>
      <c r="M23" s="741">
        <f t="shared" si="0"/>
        <v>0</v>
      </c>
      <c r="N23" s="741">
        <f t="shared" si="0"/>
        <v>1418527736</v>
      </c>
    </row>
    <row r="24" spans="1:14" x14ac:dyDescent="0.25">
      <c r="A24" s="737" t="s">
        <v>502</v>
      </c>
      <c r="B24" s="738" t="s">
        <v>962</v>
      </c>
      <c r="C24" s="740">
        <v>6461024</v>
      </c>
      <c r="D24" s="740">
        <v>0</v>
      </c>
      <c r="E24" s="740">
        <v>7710533</v>
      </c>
      <c r="F24" s="740">
        <v>3102383</v>
      </c>
      <c r="G24" s="740">
        <v>0</v>
      </c>
      <c r="H24" s="740">
        <v>2329921</v>
      </c>
      <c r="I24" s="740">
        <v>18692297</v>
      </c>
      <c r="J24" s="740">
        <v>0</v>
      </c>
      <c r="K24" s="740">
        <v>20628685</v>
      </c>
      <c r="L24" s="741">
        <f t="shared" si="1"/>
        <v>28255704</v>
      </c>
      <c r="M24" s="741">
        <f t="shared" si="0"/>
        <v>0</v>
      </c>
      <c r="N24" s="741">
        <f t="shared" si="0"/>
        <v>30669139</v>
      </c>
    </row>
    <row r="25" spans="1:14" x14ac:dyDescent="0.25">
      <c r="A25" s="737" t="s">
        <v>617</v>
      </c>
      <c r="B25" s="738" t="s">
        <v>963</v>
      </c>
      <c r="C25" s="740">
        <v>30407962</v>
      </c>
      <c r="D25" s="740">
        <v>0</v>
      </c>
      <c r="E25" s="740">
        <v>39894016</v>
      </c>
      <c r="F25" s="740">
        <v>15828110</v>
      </c>
      <c r="G25" s="740">
        <v>0</v>
      </c>
      <c r="H25" s="740">
        <v>14239855</v>
      </c>
      <c r="I25" s="740">
        <v>152200768</v>
      </c>
      <c r="J25" s="740">
        <v>0</v>
      </c>
      <c r="K25" s="740">
        <v>238539870</v>
      </c>
      <c r="L25" s="741">
        <f t="shared" si="1"/>
        <v>198436840</v>
      </c>
      <c r="M25" s="741">
        <f t="shared" si="0"/>
        <v>0</v>
      </c>
      <c r="N25" s="741">
        <f t="shared" si="0"/>
        <v>292673741</v>
      </c>
    </row>
    <row r="26" spans="1:14" x14ac:dyDescent="0.25">
      <c r="A26" s="737" t="s">
        <v>503</v>
      </c>
      <c r="B26" s="738" t="s">
        <v>964</v>
      </c>
      <c r="C26" s="740"/>
      <c r="D26" s="740"/>
      <c r="E26" s="740"/>
      <c r="F26" s="740"/>
      <c r="G26" s="740"/>
      <c r="H26" s="740"/>
      <c r="I26" s="740">
        <v>0</v>
      </c>
      <c r="J26" s="740">
        <v>0</v>
      </c>
      <c r="K26" s="740">
        <v>1</v>
      </c>
      <c r="L26" s="741">
        <f t="shared" si="1"/>
        <v>0</v>
      </c>
      <c r="M26" s="741">
        <f t="shared" si="0"/>
        <v>0</v>
      </c>
      <c r="N26" s="741">
        <f t="shared" si="0"/>
        <v>1</v>
      </c>
    </row>
    <row r="27" spans="1:14" x14ac:dyDescent="0.25">
      <c r="A27" s="737" t="s">
        <v>504</v>
      </c>
      <c r="B27" s="738" t="s">
        <v>965</v>
      </c>
      <c r="C27" s="740"/>
      <c r="D27" s="740"/>
      <c r="E27" s="740"/>
      <c r="F27" s="740">
        <v>47319</v>
      </c>
      <c r="G27" s="740">
        <v>0</v>
      </c>
      <c r="H27" s="740">
        <v>50808</v>
      </c>
      <c r="I27" s="740">
        <v>1325430</v>
      </c>
      <c r="J27" s="740">
        <v>0</v>
      </c>
      <c r="K27" s="740">
        <v>2295155</v>
      </c>
      <c r="L27" s="741">
        <f t="shared" si="1"/>
        <v>1372749</v>
      </c>
      <c r="M27" s="741">
        <f t="shared" si="0"/>
        <v>0</v>
      </c>
      <c r="N27" s="741">
        <f t="shared" si="0"/>
        <v>2345963</v>
      </c>
    </row>
    <row r="28" spans="1:14" x14ac:dyDescent="0.25">
      <c r="A28" s="742" t="s">
        <v>505</v>
      </c>
      <c r="B28" s="743" t="s">
        <v>966</v>
      </c>
      <c r="C28" s="744">
        <v>36868986</v>
      </c>
      <c r="D28" s="744">
        <v>0</v>
      </c>
      <c r="E28" s="744">
        <v>47604549</v>
      </c>
      <c r="F28" s="744">
        <v>18977812</v>
      </c>
      <c r="G28" s="744">
        <v>0</v>
      </c>
      <c r="H28" s="744">
        <v>16620584</v>
      </c>
      <c r="I28" s="744">
        <v>172218495</v>
      </c>
      <c r="J28" s="744">
        <v>0</v>
      </c>
      <c r="K28" s="744">
        <v>261463711</v>
      </c>
      <c r="L28" s="741">
        <f t="shared" si="1"/>
        <v>228065293</v>
      </c>
      <c r="M28" s="741">
        <f t="shared" si="0"/>
        <v>0</v>
      </c>
      <c r="N28" s="741">
        <f t="shared" si="0"/>
        <v>325688844</v>
      </c>
    </row>
    <row r="29" spans="1:14" x14ac:dyDescent="0.25">
      <c r="A29" s="737" t="s">
        <v>506</v>
      </c>
      <c r="B29" s="738" t="s">
        <v>967</v>
      </c>
      <c r="C29" s="740">
        <v>30045079</v>
      </c>
      <c r="D29" s="740">
        <v>0</v>
      </c>
      <c r="E29" s="740">
        <v>35933167</v>
      </c>
      <c r="F29" s="740">
        <v>103365113</v>
      </c>
      <c r="G29" s="740">
        <v>0</v>
      </c>
      <c r="H29" s="740">
        <v>108356796</v>
      </c>
      <c r="I29" s="740">
        <v>102118976</v>
      </c>
      <c r="J29" s="740">
        <v>0</v>
      </c>
      <c r="K29" s="740">
        <v>142953638</v>
      </c>
      <c r="L29" s="741">
        <f t="shared" si="1"/>
        <v>235529168</v>
      </c>
      <c r="M29" s="741">
        <f t="shared" si="0"/>
        <v>0</v>
      </c>
      <c r="N29" s="741">
        <f t="shared" si="0"/>
        <v>287243601</v>
      </c>
    </row>
    <row r="30" spans="1:14" x14ac:dyDescent="0.25">
      <c r="A30" s="737" t="s">
        <v>507</v>
      </c>
      <c r="B30" s="738" t="s">
        <v>968</v>
      </c>
      <c r="C30" s="740">
        <v>3125628</v>
      </c>
      <c r="D30" s="740">
        <v>0</v>
      </c>
      <c r="E30" s="740">
        <v>5633432</v>
      </c>
      <c r="F30" s="740">
        <v>13336610</v>
      </c>
      <c r="G30" s="740">
        <v>0</v>
      </c>
      <c r="H30" s="740">
        <v>12205707</v>
      </c>
      <c r="I30" s="740">
        <v>42168612</v>
      </c>
      <c r="J30" s="740">
        <v>0</v>
      </c>
      <c r="K30" s="740">
        <v>57408617</v>
      </c>
      <c r="L30" s="741">
        <f t="shared" si="1"/>
        <v>58630850</v>
      </c>
      <c r="M30" s="741">
        <f t="shared" si="0"/>
        <v>0</v>
      </c>
      <c r="N30" s="741">
        <f t="shared" si="0"/>
        <v>75247756</v>
      </c>
    </row>
    <row r="31" spans="1:14" x14ac:dyDescent="0.25">
      <c r="A31" s="737" t="s">
        <v>508</v>
      </c>
      <c r="B31" s="738" t="s">
        <v>969</v>
      </c>
      <c r="C31" s="740">
        <v>7297737</v>
      </c>
      <c r="D31" s="740">
        <v>0</v>
      </c>
      <c r="E31" s="740">
        <v>8983413</v>
      </c>
      <c r="F31" s="740">
        <v>27716093</v>
      </c>
      <c r="G31" s="740">
        <v>0</v>
      </c>
      <c r="H31" s="740">
        <v>25231789</v>
      </c>
      <c r="I31" s="740">
        <v>29618082</v>
      </c>
      <c r="J31" s="740">
        <v>0</v>
      </c>
      <c r="K31" s="740">
        <v>43610747</v>
      </c>
      <c r="L31" s="741">
        <f t="shared" si="1"/>
        <v>64631912</v>
      </c>
      <c r="M31" s="741">
        <f t="shared" si="1"/>
        <v>0</v>
      </c>
      <c r="N31" s="741">
        <f t="shared" si="1"/>
        <v>77825949</v>
      </c>
    </row>
    <row r="32" spans="1:14" x14ac:dyDescent="0.25">
      <c r="A32" s="742" t="s">
        <v>509</v>
      </c>
      <c r="B32" s="743" t="s">
        <v>970</v>
      </c>
      <c r="C32" s="744">
        <v>40468444</v>
      </c>
      <c r="D32" s="744">
        <v>0</v>
      </c>
      <c r="E32" s="744">
        <v>50550012</v>
      </c>
      <c r="F32" s="744">
        <v>144417816</v>
      </c>
      <c r="G32" s="744">
        <v>0</v>
      </c>
      <c r="H32" s="744">
        <v>145794292</v>
      </c>
      <c r="I32" s="744">
        <v>173905670</v>
      </c>
      <c r="J32" s="744">
        <v>0</v>
      </c>
      <c r="K32" s="744">
        <v>243973002</v>
      </c>
      <c r="L32" s="741">
        <f t="shared" si="1"/>
        <v>358791930</v>
      </c>
      <c r="M32" s="741">
        <f t="shared" si="1"/>
        <v>0</v>
      </c>
      <c r="N32" s="741">
        <f t="shared" si="1"/>
        <v>440317306</v>
      </c>
    </row>
    <row r="33" spans="1:14" x14ac:dyDescent="0.25">
      <c r="A33" s="742" t="s">
        <v>510</v>
      </c>
      <c r="B33" s="743" t="s">
        <v>971</v>
      </c>
      <c r="C33" s="744">
        <v>8631030</v>
      </c>
      <c r="D33" s="744">
        <v>0</v>
      </c>
      <c r="E33" s="744">
        <v>5957481</v>
      </c>
      <c r="F33" s="744">
        <v>1949592</v>
      </c>
      <c r="G33" s="744">
        <v>0</v>
      </c>
      <c r="H33" s="744">
        <v>1852180</v>
      </c>
      <c r="I33" s="744">
        <v>276134410</v>
      </c>
      <c r="J33" s="744">
        <v>0</v>
      </c>
      <c r="K33" s="744">
        <v>354249230</v>
      </c>
      <c r="L33" s="741">
        <f t="shared" si="1"/>
        <v>286715032</v>
      </c>
      <c r="M33" s="741">
        <f t="shared" si="1"/>
        <v>0</v>
      </c>
      <c r="N33" s="741">
        <f t="shared" si="1"/>
        <v>362058891</v>
      </c>
    </row>
    <row r="34" spans="1:14" x14ac:dyDescent="0.25">
      <c r="A34" s="742" t="s">
        <v>511</v>
      </c>
      <c r="B34" s="743" t="s">
        <v>972</v>
      </c>
      <c r="C34" s="744">
        <v>12686186</v>
      </c>
      <c r="D34" s="744">
        <v>0</v>
      </c>
      <c r="E34" s="744">
        <v>9864695</v>
      </c>
      <c r="F34" s="744">
        <v>8453396</v>
      </c>
      <c r="G34" s="744">
        <v>0</v>
      </c>
      <c r="H34" s="744">
        <v>3472404</v>
      </c>
      <c r="I34" s="744">
        <v>928275432</v>
      </c>
      <c r="J34" s="744">
        <v>0</v>
      </c>
      <c r="K34" s="744">
        <v>1244733270</v>
      </c>
      <c r="L34" s="741">
        <f t="shared" si="1"/>
        <v>949415014</v>
      </c>
      <c r="M34" s="741">
        <f t="shared" si="1"/>
        <v>0</v>
      </c>
      <c r="N34" s="741">
        <f t="shared" si="1"/>
        <v>1258070369</v>
      </c>
    </row>
    <row r="35" spans="1:14" ht="25.5" x14ac:dyDescent="0.25">
      <c r="A35" s="742" t="s">
        <v>713</v>
      </c>
      <c r="B35" s="743" t="s">
        <v>973</v>
      </c>
      <c r="C35" s="744">
        <v>-10551164</v>
      </c>
      <c r="D35" s="744">
        <v>0</v>
      </c>
      <c r="E35" s="744">
        <v>3146515</v>
      </c>
      <c r="F35" s="744">
        <v>-4450599</v>
      </c>
      <c r="G35" s="744">
        <v>0</v>
      </c>
      <c r="H35" s="744">
        <v>3233974</v>
      </c>
      <c r="I35" s="744">
        <v>12516553</v>
      </c>
      <c r="J35" s="744">
        <v>0</v>
      </c>
      <c r="K35" s="744">
        <v>-198274489</v>
      </c>
      <c r="L35" s="741">
        <f t="shared" si="1"/>
        <v>-2485210</v>
      </c>
      <c r="M35" s="741">
        <f t="shared" si="1"/>
        <v>0</v>
      </c>
      <c r="N35" s="741">
        <f t="shared" si="1"/>
        <v>-191894000</v>
      </c>
    </row>
    <row r="36" spans="1:14" ht="38.25" x14ac:dyDescent="0.25">
      <c r="A36" s="737" t="s">
        <v>513</v>
      </c>
      <c r="B36" s="738" t="s">
        <v>974</v>
      </c>
      <c r="C36" s="744"/>
      <c r="D36" s="744"/>
      <c r="E36" s="744"/>
      <c r="F36" s="744"/>
      <c r="G36" s="744"/>
      <c r="H36" s="744"/>
      <c r="I36" s="740">
        <v>0</v>
      </c>
      <c r="J36" s="740">
        <v>0</v>
      </c>
      <c r="K36" s="740">
        <v>3799</v>
      </c>
      <c r="L36" s="741">
        <f t="shared" si="1"/>
        <v>0</v>
      </c>
      <c r="M36" s="741">
        <f t="shared" si="1"/>
        <v>0</v>
      </c>
      <c r="N36" s="741">
        <f t="shared" si="1"/>
        <v>3799</v>
      </c>
    </row>
    <row r="37" spans="1:14" ht="25.5" x14ac:dyDescent="0.25">
      <c r="A37" s="737" t="s">
        <v>514</v>
      </c>
      <c r="B37" s="738" t="s">
        <v>975</v>
      </c>
      <c r="C37" s="740">
        <v>51</v>
      </c>
      <c r="D37" s="740">
        <v>0</v>
      </c>
      <c r="E37" s="740">
        <v>42</v>
      </c>
      <c r="F37" s="740">
        <v>50</v>
      </c>
      <c r="G37" s="740">
        <v>0</v>
      </c>
      <c r="H37" s="740">
        <v>71</v>
      </c>
      <c r="I37" s="740">
        <v>107372</v>
      </c>
      <c r="J37" s="740">
        <v>0</v>
      </c>
      <c r="K37" s="740">
        <v>272810</v>
      </c>
      <c r="L37" s="741">
        <f t="shared" si="1"/>
        <v>107473</v>
      </c>
      <c r="M37" s="741">
        <f t="shared" si="1"/>
        <v>0</v>
      </c>
      <c r="N37" s="741">
        <f t="shared" si="1"/>
        <v>272923</v>
      </c>
    </row>
    <row r="38" spans="1:14" ht="25.5" x14ac:dyDescent="0.25">
      <c r="A38" s="742" t="s">
        <v>517</v>
      </c>
      <c r="B38" s="743" t="s">
        <v>976</v>
      </c>
      <c r="C38" s="744">
        <v>51</v>
      </c>
      <c r="D38" s="744">
        <v>0</v>
      </c>
      <c r="E38" s="744">
        <v>42</v>
      </c>
      <c r="F38" s="744">
        <v>50</v>
      </c>
      <c r="G38" s="744">
        <v>0</v>
      </c>
      <c r="H38" s="744">
        <v>71</v>
      </c>
      <c r="I38" s="744">
        <v>107372</v>
      </c>
      <c r="J38" s="744">
        <v>0</v>
      </c>
      <c r="K38" s="744">
        <v>276609</v>
      </c>
      <c r="L38" s="741">
        <f t="shared" si="1"/>
        <v>107473</v>
      </c>
      <c r="M38" s="741">
        <f t="shared" si="1"/>
        <v>0</v>
      </c>
      <c r="N38" s="741">
        <f t="shared" si="1"/>
        <v>276722</v>
      </c>
    </row>
    <row r="39" spans="1:14" ht="25.5" x14ac:dyDescent="0.25">
      <c r="A39" s="737" t="s">
        <v>518</v>
      </c>
      <c r="B39" s="738" t="s">
        <v>977</v>
      </c>
      <c r="C39" s="744"/>
      <c r="D39" s="744"/>
      <c r="E39" s="744"/>
      <c r="F39" s="744"/>
      <c r="G39" s="744"/>
      <c r="H39" s="744"/>
      <c r="I39" s="740">
        <v>601679</v>
      </c>
      <c r="J39" s="740">
        <v>0</v>
      </c>
      <c r="K39" s="740">
        <v>65891</v>
      </c>
      <c r="L39" s="741">
        <f t="shared" si="1"/>
        <v>601679</v>
      </c>
      <c r="M39" s="741">
        <f t="shared" si="1"/>
        <v>0</v>
      </c>
      <c r="N39" s="741">
        <f t="shared" si="1"/>
        <v>65891</v>
      </c>
    </row>
    <row r="40" spans="1:14" ht="25.5" x14ac:dyDescent="0.25">
      <c r="A40" s="737" t="s">
        <v>519</v>
      </c>
      <c r="B40" s="738" t="s">
        <v>978</v>
      </c>
      <c r="C40" s="744"/>
      <c r="D40" s="744"/>
      <c r="E40" s="744"/>
      <c r="F40" s="744"/>
      <c r="G40" s="744"/>
      <c r="H40" s="744"/>
      <c r="I40" s="740">
        <v>0</v>
      </c>
      <c r="J40" s="740">
        <v>0</v>
      </c>
      <c r="K40" s="740">
        <v>3238</v>
      </c>
      <c r="L40" s="741">
        <f t="shared" si="1"/>
        <v>0</v>
      </c>
      <c r="M40" s="741">
        <f t="shared" si="1"/>
        <v>0</v>
      </c>
      <c r="N40" s="741">
        <f t="shared" si="1"/>
        <v>3238</v>
      </c>
    </row>
    <row r="41" spans="1:14" ht="25.5" x14ac:dyDescent="0.25">
      <c r="A41" s="737" t="s">
        <v>520</v>
      </c>
      <c r="B41" s="738" t="s">
        <v>979</v>
      </c>
      <c r="C41" s="744"/>
      <c r="D41" s="744"/>
      <c r="E41" s="744"/>
      <c r="F41" s="744"/>
      <c r="G41" s="744"/>
      <c r="H41" s="744"/>
      <c r="I41" s="740">
        <v>1802</v>
      </c>
      <c r="J41" s="740">
        <v>0</v>
      </c>
      <c r="K41" s="740">
        <v>1229</v>
      </c>
      <c r="L41" s="741">
        <f t="shared" si="1"/>
        <v>1802</v>
      </c>
      <c r="M41" s="741">
        <f t="shared" si="1"/>
        <v>0</v>
      </c>
      <c r="N41" s="741">
        <f t="shared" si="1"/>
        <v>1229</v>
      </c>
    </row>
    <row r="42" spans="1:14" ht="25.5" x14ac:dyDescent="0.25">
      <c r="A42" s="737" t="s">
        <v>521</v>
      </c>
      <c r="B42" s="738" t="s">
        <v>980</v>
      </c>
      <c r="C42" s="744"/>
      <c r="D42" s="744"/>
      <c r="E42" s="744"/>
      <c r="F42" s="744"/>
      <c r="G42" s="744"/>
      <c r="H42" s="744"/>
      <c r="I42" s="740">
        <v>3675</v>
      </c>
      <c r="J42" s="740">
        <v>0</v>
      </c>
      <c r="K42" s="740">
        <v>0</v>
      </c>
      <c r="L42" s="741">
        <f t="shared" si="1"/>
        <v>3675</v>
      </c>
      <c r="M42" s="741">
        <f t="shared" si="1"/>
        <v>0</v>
      </c>
      <c r="N42" s="741">
        <f t="shared" si="1"/>
        <v>0</v>
      </c>
    </row>
    <row r="43" spans="1:14" ht="25.5" x14ac:dyDescent="0.25">
      <c r="A43" s="742" t="s">
        <v>618</v>
      </c>
      <c r="B43" s="743" t="s">
        <v>981</v>
      </c>
      <c r="C43" s="744"/>
      <c r="D43" s="744"/>
      <c r="E43" s="744"/>
      <c r="F43" s="744"/>
      <c r="G43" s="744"/>
      <c r="H43" s="744"/>
      <c r="I43" s="744">
        <v>607156</v>
      </c>
      <c r="J43" s="744">
        <v>0</v>
      </c>
      <c r="K43" s="744">
        <v>70358</v>
      </c>
      <c r="L43" s="741">
        <f t="shared" si="1"/>
        <v>607156</v>
      </c>
      <c r="M43" s="741">
        <f t="shared" si="1"/>
        <v>0</v>
      </c>
      <c r="N43" s="741">
        <f t="shared" si="1"/>
        <v>70358</v>
      </c>
    </row>
    <row r="44" spans="1:14" x14ac:dyDescent="0.25">
      <c r="A44" s="742" t="s">
        <v>522</v>
      </c>
      <c r="B44" s="743" t="s">
        <v>982</v>
      </c>
      <c r="C44" s="744">
        <v>51</v>
      </c>
      <c r="D44" s="744">
        <v>0</v>
      </c>
      <c r="E44" s="744">
        <v>42</v>
      </c>
      <c r="F44" s="744">
        <v>50</v>
      </c>
      <c r="G44" s="744">
        <v>0</v>
      </c>
      <c r="H44" s="744">
        <v>71</v>
      </c>
      <c r="I44" s="744">
        <v>-499784</v>
      </c>
      <c r="J44" s="744">
        <v>0</v>
      </c>
      <c r="K44" s="744">
        <v>206251</v>
      </c>
      <c r="L44" s="741">
        <f t="shared" si="1"/>
        <v>-499683</v>
      </c>
      <c r="M44" s="741">
        <f t="shared" si="1"/>
        <v>0</v>
      </c>
      <c r="N44" s="741">
        <f t="shared" si="1"/>
        <v>206364</v>
      </c>
    </row>
    <row r="45" spans="1:14" x14ac:dyDescent="0.25">
      <c r="A45" s="742" t="s">
        <v>523</v>
      </c>
      <c r="B45" s="743" t="s">
        <v>983</v>
      </c>
      <c r="C45" s="744">
        <v>-10551113</v>
      </c>
      <c r="D45" s="744">
        <v>0</v>
      </c>
      <c r="E45" s="744">
        <v>3146557</v>
      </c>
      <c r="F45" s="744">
        <v>-4450549</v>
      </c>
      <c r="G45" s="744">
        <v>0</v>
      </c>
      <c r="H45" s="744">
        <v>3234045</v>
      </c>
      <c r="I45" s="744">
        <v>12016769</v>
      </c>
      <c r="J45" s="744">
        <v>0</v>
      </c>
      <c r="K45" s="744">
        <v>-198068238</v>
      </c>
      <c r="L45" s="741">
        <f t="shared" si="1"/>
        <v>-2984893</v>
      </c>
      <c r="M45" s="741">
        <f t="shared" si="1"/>
        <v>0</v>
      </c>
      <c r="N45" s="741">
        <f t="shared" si="1"/>
        <v>-191687636</v>
      </c>
    </row>
  </sheetData>
  <mergeCells count="10">
    <mergeCell ref="A3:N3"/>
    <mergeCell ref="A5:N5"/>
    <mergeCell ref="A6:N6"/>
    <mergeCell ref="A12:A13"/>
    <mergeCell ref="A4:N4"/>
    <mergeCell ref="B12:B13"/>
    <mergeCell ref="C12:E12"/>
    <mergeCell ref="F12:H12"/>
    <mergeCell ref="I12:K12"/>
    <mergeCell ref="L12:N12"/>
  </mergeCells>
  <pageMargins left="0.7" right="0.7" top="0.38" bottom="0.33" header="0.3" footer="0.3"/>
  <pageSetup paperSize="9" scale="8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A5E9A-7974-4485-93F1-E62128DF06F1}">
  <sheetPr>
    <pageSetUpPr fitToPage="1"/>
  </sheetPr>
  <dimension ref="A1:L125"/>
  <sheetViews>
    <sheetView workbookViewId="0">
      <selection activeCell="N61" sqref="N61"/>
    </sheetView>
  </sheetViews>
  <sheetFormatPr defaultRowHeight="15" x14ac:dyDescent="0.25"/>
  <cols>
    <col min="1" max="1" width="55.28515625" style="179" customWidth="1"/>
    <col min="2" max="2" width="7.42578125" style="179" customWidth="1"/>
    <col min="3" max="4" width="13" style="179" customWidth="1"/>
    <col min="5" max="5" width="8.28515625" style="774" customWidth="1"/>
  </cols>
  <sheetData>
    <row r="1" spans="1:12" s="179" customFormat="1" x14ac:dyDescent="0.25">
      <c r="D1" s="179" t="str">
        <f>'17 eredmény kimutatás'!M1</f>
        <v xml:space="preserve"> 12 / 2020. (VI.15) sz rendelet</v>
      </c>
      <c r="E1" s="774"/>
    </row>
    <row r="2" spans="1:12" s="179" customFormat="1" x14ac:dyDescent="0.25">
      <c r="E2" s="774"/>
    </row>
    <row r="3" spans="1:12" s="125" customFormat="1" x14ac:dyDescent="0.25">
      <c r="A3" s="970" t="s">
        <v>1179</v>
      </c>
      <c r="B3" s="970"/>
      <c r="C3" s="970"/>
      <c r="D3" s="970"/>
      <c r="E3" s="970"/>
      <c r="F3" s="770"/>
      <c r="G3" s="770"/>
      <c r="H3" s="770"/>
      <c r="I3" s="770"/>
      <c r="J3" s="770"/>
      <c r="K3" s="770"/>
      <c r="L3" s="770"/>
    </row>
    <row r="4" spans="1:12" s="125" customFormat="1" x14ac:dyDescent="0.25">
      <c r="A4" s="970" t="s">
        <v>1180</v>
      </c>
      <c r="B4" s="970"/>
      <c r="C4" s="970"/>
      <c r="D4" s="970"/>
      <c r="E4" s="970"/>
      <c r="F4" s="770"/>
      <c r="G4" s="770"/>
      <c r="H4" s="770"/>
      <c r="I4" s="770"/>
      <c r="J4" s="770"/>
      <c r="K4" s="770"/>
      <c r="L4" s="770"/>
    </row>
    <row r="5" spans="1:12" s="125" customFormat="1" x14ac:dyDescent="0.25">
      <c r="A5" s="969" t="s">
        <v>1181</v>
      </c>
      <c r="B5" s="969"/>
      <c r="C5" s="969"/>
      <c r="D5" s="969"/>
      <c r="E5" s="969"/>
      <c r="F5" s="771"/>
      <c r="G5" s="771"/>
      <c r="H5" s="771"/>
      <c r="I5" s="771"/>
      <c r="J5" s="771"/>
      <c r="K5" s="771"/>
      <c r="L5" s="771"/>
    </row>
    <row r="6" spans="1:12" s="125" customFormat="1" x14ac:dyDescent="0.25">
      <c r="A6" s="969" t="s">
        <v>1182</v>
      </c>
      <c r="B6" s="969"/>
      <c r="C6" s="969"/>
      <c r="D6" s="969"/>
      <c r="E6" s="969"/>
      <c r="F6" s="771"/>
      <c r="G6" s="771"/>
      <c r="H6" s="771"/>
      <c r="I6" s="771"/>
      <c r="J6" s="771"/>
      <c r="K6" s="771"/>
      <c r="L6" s="771"/>
    </row>
    <row r="7" spans="1:12" s="125" customFormat="1" x14ac:dyDescent="0.25">
      <c r="A7" s="831"/>
      <c r="B7" s="831"/>
      <c r="C7" s="831"/>
      <c r="D7" s="831"/>
      <c r="E7" s="831"/>
      <c r="F7" s="771"/>
      <c r="G7" s="771"/>
      <c r="H7" s="771"/>
      <c r="I7" s="771"/>
      <c r="J7" s="771"/>
      <c r="K7" s="771"/>
      <c r="L7" s="771"/>
    </row>
    <row r="8" spans="1:12" s="125" customFormat="1" x14ac:dyDescent="0.25">
      <c r="A8" s="772"/>
      <c r="B8" s="772"/>
      <c r="C8" s="772"/>
      <c r="D8" s="772"/>
      <c r="E8" s="772"/>
      <c r="F8" s="771"/>
      <c r="G8" s="771"/>
      <c r="H8" s="771"/>
      <c r="I8" s="771"/>
      <c r="J8" s="771"/>
      <c r="K8" s="771"/>
      <c r="L8" s="771"/>
    </row>
    <row r="9" spans="1:12" s="125" customFormat="1" x14ac:dyDescent="0.25">
      <c r="A9" s="772"/>
      <c r="B9" s="835" t="s">
        <v>303</v>
      </c>
      <c r="C9" s="715" t="str">
        <f>'17 eredmény kimutatás'!M9</f>
        <v xml:space="preserve"> melléklet az 12/2020. (VI.15.) rendelethez</v>
      </c>
      <c r="D9" s="177"/>
      <c r="E9" s="831"/>
      <c r="F9" s="771"/>
      <c r="G9" s="771"/>
      <c r="H9" s="771"/>
      <c r="I9" s="771"/>
      <c r="J9" s="771"/>
      <c r="K9" s="771"/>
      <c r="L9" s="771"/>
    </row>
    <row r="10" spans="1:12" s="179" customFormat="1" ht="15.75" x14ac:dyDescent="0.25">
      <c r="A10" s="968"/>
      <c r="B10" s="968"/>
      <c r="C10" s="968"/>
      <c r="D10" s="968"/>
      <c r="E10" s="968"/>
    </row>
    <row r="12" spans="1:12" x14ac:dyDescent="0.25">
      <c r="A12" s="775" t="s">
        <v>319</v>
      </c>
      <c r="B12" s="775" t="s">
        <v>318</v>
      </c>
      <c r="C12" s="775" t="s">
        <v>1006</v>
      </c>
      <c r="D12" s="775" t="s">
        <v>1007</v>
      </c>
      <c r="E12" s="775" t="s">
        <v>1008</v>
      </c>
    </row>
    <row r="13" spans="1:12" x14ac:dyDescent="0.25">
      <c r="A13" s="776">
        <v>1</v>
      </c>
      <c r="B13" s="776">
        <v>2</v>
      </c>
      <c r="C13" s="776">
        <v>3</v>
      </c>
      <c r="D13" s="776">
        <v>4</v>
      </c>
      <c r="E13" s="776">
        <v>5</v>
      </c>
    </row>
    <row r="14" spans="1:12" x14ac:dyDescent="0.25">
      <c r="A14" s="777" t="s">
        <v>1009</v>
      </c>
      <c r="B14" s="778" t="s">
        <v>157</v>
      </c>
      <c r="C14" s="778" t="s">
        <v>157</v>
      </c>
      <c r="D14" s="778" t="s">
        <v>157</v>
      </c>
      <c r="E14" s="778" t="s">
        <v>157</v>
      </c>
    </row>
    <row r="15" spans="1:12" x14ac:dyDescent="0.25">
      <c r="A15" s="779" t="s">
        <v>1010</v>
      </c>
      <c r="B15" s="778" t="s">
        <v>1011</v>
      </c>
      <c r="C15" s="780">
        <f>[7]önk!C10+[7]hivatal!C10+[7]HKSK!C10</f>
        <v>9630536363</v>
      </c>
      <c r="D15" s="780">
        <f>[7]önk!D10+[7]hivatal!D10+[7]HKSK!D10</f>
        <v>10959502867</v>
      </c>
      <c r="E15" s="781">
        <f>D15/C15*100</f>
        <v>113.79950663086449</v>
      </c>
    </row>
    <row r="16" spans="1:12" x14ac:dyDescent="0.25">
      <c r="A16" s="779" t="s">
        <v>1012</v>
      </c>
      <c r="B16" s="778" t="s">
        <v>1013</v>
      </c>
      <c r="C16" s="780">
        <f>[7]önk!C11+[7]hivatal!C11+[7]HKSK!C11</f>
        <v>5804013</v>
      </c>
      <c r="D16" s="780">
        <f>[7]önk!D11+[7]hivatal!D11+[7]HKSK!D11</f>
        <v>4312848</v>
      </c>
      <c r="E16" s="781">
        <f t="shared" ref="E16:E63" si="0">D16/C16*100</f>
        <v>74.308034802816607</v>
      </c>
    </row>
    <row r="17" spans="1:5" s="774" customFormat="1" x14ac:dyDescent="0.25">
      <c r="A17" s="777" t="s">
        <v>1014</v>
      </c>
      <c r="B17" s="778" t="s">
        <v>1015</v>
      </c>
      <c r="C17" s="780">
        <f>[7]önk!C12+[7]hivatal!C12+[7]HKSK!C12</f>
        <v>665879</v>
      </c>
      <c r="D17" s="780">
        <f>[7]önk!D12+[7]hivatal!D12+[7]HKSK!D12</f>
        <v>324502</v>
      </c>
      <c r="E17" s="781">
        <f t="shared" si="0"/>
        <v>48.732877895233216</v>
      </c>
    </row>
    <row r="18" spans="1:5" s="774" customFormat="1" x14ac:dyDescent="0.25">
      <c r="A18" s="777" t="s">
        <v>1016</v>
      </c>
      <c r="B18" s="778" t="s">
        <v>1017</v>
      </c>
      <c r="C18" s="780">
        <f>[7]önk!C13+[7]hivatal!C13+[7]HKSK!C13</f>
        <v>0</v>
      </c>
      <c r="D18" s="780">
        <f>[7]önk!D13+[7]hivatal!D13+[7]HKSK!D13</f>
        <v>0</v>
      </c>
      <c r="E18" s="781"/>
    </row>
    <row r="19" spans="1:5" s="774" customFormat="1" x14ac:dyDescent="0.25">
      <c r="A19" s="777" t="s">
        <v>1018</v>
      </c>
      <c r="B19" s="778" t="s">
        <v>1019</v>
      </c>
      <c r="C19" s="780">
        <f>[7]önk!C14+[7]hivatal!C14+[7]HKSK!C14</f>
        <v>0</v>
      </c>
      <c r="D19" s="780">
        <f>[7]önk!D14+[7]hivatal!D14+[7]HKSK!D14</f>
        <v>0</v>
      </c>
      <c r="E19" s="781"/>
    </row>
    <row r="20" spans="1:5" s="774" customFormat="1" x14ac:dyDescent="0.25">
      <c r="A20" s="777" t="s">
        <v>1020</v>
      </c>
      <c r="B20" s="778" t="s">
        <v>1021</v>
      </c>
      <c r="C20" s="780">
        <f>[7]önk!C15+[7]hivatal!C15+[7]HKSK!C15</f>
        <v>-1048234</v>
      </c>
      <c r="D20" s="780">
        <f>[7]önk!D15+[7]hivatal!D15+[7]HKSK!D15</f>
        <v>324772</v>
      </c>
      <c r="E20" s="781">
        <f t="shared" si="0"/>
        <v>-30.982776746413492</v>
      </c>
    </row>
    <row r="21" spans="1:5" s="774" customFormat="1" x14ac:dyDescent="0.25">
      <c r="A21" s="777" t="s">
        <v>1022</v>
      </c>
      <c r="B21" s="778" t="s">
        <v>1023</v>
      </c>
      <c r="C21" s="780">
        <f>[7]önk!C16+[7]hivatal!C16+[7]HKSK!C16</f>
        <v>1714113</v>
      </c>
      <c r="D21" s="780">
        <f>[7]önk!D16+[7]hivatal!D16+[7]HKSK!D16</f>
        <v>-270</v>
      </c>
      <c r="E21" s="781">
        <f t="shared" si="0"/>
        <v>-1.5751586972387467E-2</v>
      </c>
    </row>
    <row r="22" spans="1:5" s="774" customFormat="1" x14ac:dyDescent="0.25">
      <c r="A22" s="777" t="s">
        <v>1024</v>
      </c>
      <c r="B22" s="778" t="s">
        <v>1025</v>
      </c>
      <c r="C22" s="780">
        <f>[7]önk!C17+[7]hivatal!C17+[7]HKSK!C17</f>
        <v>5138134</v>
      </c>
      <c r="D22" s="780">
        <f>[7]önk!D17+[7]hivatal!D17+[7]HKSK!D17</f>
        <v>3988346</v>
      </c>
      <c r="E22" s="781">
        <f t="shared" si="0"/>
        <v>77.622459826855433</v>
      </c>
    </row>
    <row r="23" spans="1:5" s="774" customFormat="1" x14ac:dyDescent="0.25">
      <c r="A23" s="777" t="s">
        <v>1016</v>
      </c>
      <c r="B23" s="778" t="s">
        <v>1026</v>
      </c>
      <c r="C23" s="780">
        <f>[7]önk!C18+[7]hivatal!C18+[7]HKSK!C18</f>
        <v>0</v>
      </c>
      <c r="D23" s="780">
        <f>[7]önk!D18+[7]hivatal!D18+[7]HKSK!D18</f>
        <v>0</v>
      </c>
      <c r="E23" s="781"/>
    </row>
    <row r="24" spans="1:5" s="774" customFormat="1" x14ac:dyDescent="0.25">
      <c r="A24" s="777" t="s">
        <v>1018</v>
      </c>
      <c r="B24" s="778" t="s">
        <v>1027</v>
      </c>
      <c r="C24" s="780">
        <f>[7]önk!C19+[7]hivatal!C19+[7]HKSK!C19</f>
        <v>0</v>
      </c>
      <c r="D24" s="780">
        <f>[7]önk!D19+[7]hivatal!D19+[7]HKSK!D19</f>
        <v>0</v>
      </c>
      <c r="E24" s="781"/>
    </row>
    <row r="25" spans="1:5" s="774" customFormat="1" x14ac:dyDescent="0.25">
      <c r="A25" s="777" t="s">
        <v>1020</v>
      </c>
      <c r="B25" s="778" t="s">
        <v>1028</v>
      </c>
      <c r="C25" s="780">
        <f>[7]önk!C20+[7]hivatal!C20+[7]HKSK!C20</f>
        <v>-1328245</v>
      </c>
      <c r="D25" s="780">
        <f>[7]önk!D20+[7]hivatal!D20+[7]HKSK!D20</f>
        <v>2591404</v>
      </c>
      <c r="E25" s="781">
        <f t="shared" si="0"/>
        <v>-195.09984980180616</v>
      </c>
    </row>
    <row r="26" spans="1:5" s="774" customFormat="1" x14ac:dyDescent="0.25">
      <c r="A26" s="777" t="s">
        <v>1022</v>
      </c>
      <c r="B26" s="778" t="s">
        <v>1029</v>
      </c>
      <c r="C26" s="780">
        <f>[7]önk!C21+[7]hivatal!C21+[7]HKSK!C21</f>
        <v>6466379</v>
      </c>
      <c r="D26" s="780">
        <f>[7]önk!D21+[7]hivatal!D21+[7]HKSK!D21</f>
        <v>1396942</v>
      </c>
      <c r="E26" s="781">
        <f t="shared" si="0"/>
        <v>21.603156882700503</v>
      </c>
    </row>
    <row r="27" spans="1:5" s="774" customFormat="1" x14ac:dyDescent="0.25">
      <c r="A27" s="777" t="s">
        <v>1030</v>
      </c>
      <c r="B27" s="778" t="s">
        <v>1031</v>
      </c>
      <c r="C27" s="780">
        <f>[7]önk!C22+[7]hivatal!C22+[7]HKSK!C22</f>
        <v>0</v>
      </c>
      <c r="D27" s="780">
        <f>[7]önk!D22+[7]hivatal!D22+[7]HKSK!D22</f>
        <v>0</v>
      </c>
      <c r="E27" s="781"/>
    </row>
    <row r="28" spans="1:5" s="774" customFormat="1" hidden="1" x14ac:dyDescent="0.25">
      <c r="A28" s="777" t="s">
        <v>1016</v>
      </c>
      <c r="B28" s="778" t="s">
        <v>1032</v>
      </c>
      <c r="C28" s="780">
        <f>[7]önk!C23+[7]hivatal!C23+[7]HKSK!C23</f>
        <v>0</v>
      </c>
      <c r="D28" s="780">
        <f>[7]önk!D23+[7]hivatal!D23+[7]HKSK!D23</f>
        <v>0</v>
      </c>
      <c r="E28" s="781"/>
    </row>
    <row r="29" spans="1:5" s="774" customFormat="1" hidden="1" x14ac:dyDescent="0.25">
      <c r="A29" s="777" t="s">
        <v>1018</v>
      </c>
      <c r="B29" s="778" t="s">
        <v>1033</v>
      </c>
      <c r="C29" s="780">
        <f>[7]önk!C24+[7]hivatal!C24+[7]HKSK!C24</f>
        <v>0</v>
      </c>
      <c r="D29" s="780">
        <f>[7]önk!D24+[7]hivatal!D24+[7]HKSK!D24</f>
        <v>0</v>
      </c>
      <c r="E29" s="781"/>
    </row>
    <row r="30" spans="1:5" s="774" customFormat="1" hidden="1" x14ac:dyDescent="0.25">
      <c r="A30" s="777" t="s">
        <v>1020</v>
      </c>
      <c r="B30" s="778" t="s">
        <v>1034</v>
      </c>
      <c r="C30" s="780">
        <f>[7]önk!C25+[7]hivatal!C25+[7]HKSK!C25</f>
        <v>0</v>
      </c>
      <c r="D30" s="780">
        <f>[7]önk!D25+[7]hivatal!D25+[7]HKSK!D25</f>
        <v>0</v>
      </c>
      <c r="E30" s="781"/>
    </row>
    <row r="31" spans="1:5" s="774" customFormat="1" hidden="1" x14ac:dyDescent="0.25">
      <c r="A31" s="777" t="s">
        <v>1022</v>
      </c>
      <c r="B31" s="778" t="s">
        <v>1035</v>
      </c>
      <c r="C31" s="780">
        <f>[7]önk!C26+[7]hivatal!C26+[7]HKSK!C26</f>
        <v>0</v>
      </c>
      <c r="D31" s="780">
        <f>[7]önk!D26+[7]hivatal!D26+[7]HKSK!D26</f>
        <v>0</v>
      </c>
      <c r="E31" s="781"/>
    </row>
    <row r="32" spans="1:5" x14ac:dyDescent="0.25">
      <c r="A32" s="779" t="s">
        <v>1036</v>
      </c>
      <c r="B32" s="782" t="s">
        <v>1037</v>
      </c>
      <c r="C32" s="783">
        <f>[7]önk!C27+[7]hivatal!C27+[7]HKSK!C27</f>
        <v>7486294294</v>
      </c>
      <c r="D32" s="783">
        <f>[7]önk!D27+[7]hivatal!D27+[7]HKSK!D27</f>
        <v>8816819083</v>
      </c>
      <c r="E32" s="784">
        <f t="shared" si="0"/>
        <v>117.77280903939842</v>
      </c>
    </row>
    <row r="33" spans="1:5" s="774" customFormat="1" x14ac:dyDescent="0.25">
      <c r="A33" s="777" t="s">
        <v>1038</v>
      </c>
      <c r="B33" s="778" t="s">
        <v>1039</v>
      </c>
      <c r="C33" s="780">
        <f>[7]önk!C28+[7]hivatal!C28+[7]HKSK!C28</f>
        <v>6659001058</v>
      </c>
      <c r="D33" s="780">
        <f>[7]önk!D28+[7]hivatal!D28+[7]HKSK!D28</f>
        <v>8059813453</v>
      </c>
      <c r="E33" s="781">
        <f t="shared" si="0"/>
        <v>121.03637441710706</v>
      </c>
    </row>
    <row r="34" spans="1:5" s="774" customFormat="1" x14ac:dyDescent="0.25">
      <c r="A34" s="777" t="s">
        <v>1016</v>
      </c>
      <c r="B34" s="778" t="s">
        <v>1040</v>
      </c>
      <c r="C34" s="780">
        <f>[7]önk!C29+[7]hivatal!C29+[7]HKSK!C29</f>
        <v>2308201760</v>
      </c>
      <c r="D34" s="780">
        <f>[7]önk!D29+[7]hivatal!D29+[7]HKSK!D29</f>
        <v>2655962585</v>
      </c>
      <c r="E34" s="781">
        <f t="shared" si="0"/>
        <v>115.06630967130013</v>
      </c>
    </row>
    <row r="35" spans="1:5" s="774" customFormat="1" x14ac:dyDescent="0.25">
      <c r="A35" s="777" t="s">
        <v>1018</v>
      </c>
      <c r="B35" s="778" t="s">
        <v>1041</v>
      </c>
      <c r="C35" s="780">
        <f>[7]önk!C30+[7]hivatal!C30+[7]HKSK!C30</f>
        <v>13264498</v>
      </c>
      <c r="D35" s="780">
        <f>[7]önk!D30+[7]hivatal!D30+[7]HKSK!D30</f>
        <v>0</v>
      </c>
      <c r="E35" s="781">
        <f t="shared" si="0"/>
        <v>0</v>
      </c>
    </row>
    <row r="36" spans="1:5" s="774" customFormat="1" x14ac:dyDescent="0.25">
      <c r="A36" s="777" t="s">
        <v>1020</v>
      </c>
      <c r="B36" s="778" t="s">
        <v>1042</v>
      </c>
      <c r="C36" s="780">
        <f>[7]önk!C31+[7]hivatal!C31+[7]HKSK!C31</f>
        <v>2612132401</v>
      </c>
      <c r="D36" s="780">
        <f>[7]önk!D31+[7]hivatal!D31+[7]HKSK!D31</f>
        <v>2929870694</v>
      </c>
      <c r="E36" s="781">
        <f t="shared" si="0"/>
        <v>112.16394287205198</v>
      </c>
    </row>
    <row r="37" spans="1:5" s="774" customFormat="1" x14ac:dyDescent="0.25">
      <c r="A37" s="777" t="s">
        <v>1022</v>
      </c>
      <c r="B37" s="778" t="s">
        <v>1043</v>
      </c>
      <c r="C37" s="780">
        <f>[7]önk!C32+[7]hivatal!C32+[7]HKSK!C32</f>
        <v>1725402399</v>
      </c>
      <c r="D37" s="780">
        <f>[7]önk!D32+[7]hivatal!D32+[7]HKSK!D32</f>
        <v>2473980174</v>
      </c>
      <c r="E37" s="781">
        <f t="shared" si="0"/>
        <v>143.38569225554903</v>
      </c>
    </row>
    <row r="38" spans="1:5" s="774" customFormat="1" x14ac:dyDescent="0.25">
      <c r="A38" s="777" t="s">
        <v>1044</v>
      </c>
      <c r="B38" s="778" t="s">
        <v>1045</v>
      </c>
      <c r="C38" s="780">
        <f>[7]önk!C33+[7]hivatal!C33+[7]HKSK!C33</f>
        <v>96955578</v>
      </c>
      <c r="D38" s="780">
        <f>[7]önk!D33+[7]hivatal!D33+[7]HKSK!D33</f>
        <v>144547046</v>
      </c>
      <c r="E38" s="781">
        <f t="shared" si="0"/>
        <v>149.08584836655814</v>
      </c>
    </row>
    <row r="39" spans="1:5" s="774" customFormat="1" x14ac:dyDescent="0.25">
      <c r="A39" s="777" t="s">
        <v>1016</v>
      </c>
      <c r="B39" s="778" t="s">
        <v>1046</v>
      </c>
      <c r="C39" s="780">
        <f>[7]önk!C34+[7]hivatal!C34+[7]HKSK!C34</f>
        <v>120000</v>
      </c>
      <c r="D39" s="780">
        <f>[7]önk!D34+[7]hivatal!D34+[7]HKSK!D34</f>
        <v>120000</v>
      </c>
      <c r="E39" s="781">
        <f t="shared" si="0"/>
        <v>100</v>
      </c>
    </row>
    <row r="40" spans="1:5" s="774" customFormat="1" x14ac:dyDescent="0.25">
      <c r="A40" s="777" t="s">
        <v>1018</v>
      </c>
      <c r="B40" s="778" t="s">
        <v>1047</v>
      </c>
      <c r="C40" s="780">
        <f>[7]önk!C35+[7]hivatal!C35+[7]HKSK!C35</f>
        <v>0</v>
      </c>
      <c r="D40" s="780">
        <f>[7]önk!D35+[7]hivatal!D35+[7]HKSK!D35</f>
        <v>0</v>
      </c>
      <c r="E40" s="781"/>
    </row>
    <row r="41" spans="1:5" s="774" customFormat="1" x14ac:dyDescent="0.25">
      <c r="A41" s="777" t="s">
        <v>1020</v>
      </c>
      <c r="B41" s="778" t="s">
        <v>1048</v>
      </c>
      <c r="C41" s="780">
        <f>[7]önk!C36+[7]hivatal!C36+[7]HKSK!C36</f>
        <v>52630277</v>
      </c>
      <c r="D41" s="780">
        <f>[7]önk!D36+[7]hivatal!D36+[7]HKSK!D36</f>
        <v>66539610</v>
      </c>
      <c r="E41" s="781">
        <f t="shared" si="0"/>
        <v>126.42838645899583</v>
      </c>
    </row>
    <row r="42" spans="1:5" s="774" customFormat="1" x14ac:dyDescent="0.25">
      <c r="A42" s="777" t="s">
        <v>1022</v>
      </c>
      <c r="B42" s="778" t="s">
        <v>1049</v>
      </c>
      <c r="C42" s="780">
        <f>[7]önk!C37+[7]hivatal!C37+[7]HKSK!C37</f>
        <v>44205301</v>
      </c>
      <c r="D42" s="780">
        <f>[7]önk!D37+[7]hivatal!D37+[7]HKSK!D37</f>
        <v>77887436</v>
      </c>
      <c r="E42" s="781">
        <f t="shared" si="0"/>
        <v>176.19478713650204</v>
      </c>
    </row>
    <row r="43" spans="1:5" s="774" customFormat="1" x14ac:dyDescent="0.25">
      <c r="A43" s="777" t="s">
        <v>1050</v>
      </c>
      <c r="B43" s="778" t="s">
        <v>1051</v>
      </c>
      <c r="C43" s="780">
        <f>[7]önk!C38+[7]hivatal!C38+[7]HKSK!C38</f>
        <v>0</v>
      </c>
      <c r="D43" s="780">
        <f>[7]önk!D38+[7]hivatal!D38+[7]HKSK!D38</f>
        <v>0</v>
      </c>
      <c r="E43" s="781"/>
    </row>
    <row r="44" spans="1:5" s="774" customFormat="1" hidden="1" x14ac:dyDescent="0.25">
      <c r="A44" s="777" t="s">
        <v>1016</v>
      </c>
      <c r="B44" s="778" t="s">
        <v>1052</v>
      </c>
      <c r="C44" s="780">
        <f>[7]önk!C39+[7]hivatal!C39+[7]HKSK!C39</f>
        <v>0</v>
      </c>
      <c r="D44" s="780">
        <f>[7]önk!D39+[7]hivatal!D39+[7]HKSK!D39</f>
        <v>0</v>
      </c>
      <c r="E44" s="781"/>
    </row>
    <row r="45" spans="1:5" s="774" customFormat="1" hidden="1" x14ac:dyDescent="0.25">
      <c r="A45" s="777" t="s">
        <v>1018</v>
      </c>
      <c r="B45" s="778" t="s">
        <v>1053</v>
      </c>
      <c r="C45" s="780">
        <f>[7]önk!C40+[7]hivatal!C40+[7]HKSK!C40</f>
        <v>0</v>
      </c>
      <c r="D45" s="780">
        <f>[7]önk!D40+[7]hivatal!D40+[7]HKSK!D40</f>
        <v>0</v>
      </c>
      <c r="E45" s="781"/>
    </row>
    <row r="46" spans="1:5" s="774" customFormat="1" hidden="1" x14ac:dyDescent="0.25">
      <c r="A46" s="777" t="s">
        <v>1020</v>
      </c>
      <c r="B46" s="778" t="s">
        <v>1054</v>
      </c>
      <c r="C46" s="780">
        <f>[7]önk!C41+[7]hivatal!C41+[7]HKSK!C41</f>
        <v>0</v>
      </c>
      <c r="D46" s="780">
        <f>[7]önk!D41+[7]hivatal!D41+[7]HKSK!D41</f>
        <v>0</v>
      </c>
      <c r="E46" s="781"/>
    </row>
    <row r="47" spans="1:5" s="774" customFormat="1" hidden="1" x14ac:dyDescent="0.25">
      <c r="A47" s="777" t="s">
        <v>1022</v>
      </c>
      <c r="B47" s="778" t="s">
        <v>1055</v>
      </c>
      <c r="C47" s="780">
        <f>[7]önk!C42+[7]hivatal!C42+[7]HKSK!C42</f>
        <v>0</v>
      </c>
      <c r="D47" s="780">
        <f>[7]önk!D42+[7]hivatal!D42+[7]HKSK!D42</f>
        <v>0</v>
      </c>
      <c r="E47" s="781"/>
    </row>
    <row r="48" spans="1:5" s="774" customFormat="1" x14ac:dyDescent="0.25">
      <c r="A48" s="777" t="s">
        <v>1056</v>
      </c>
      <c r="B48" s="778" t="s">
        <v>1057</v>
      </c>
      <c r="C48" s="780">
        <f>[7]önk!C43+[7]hivatal!C43+[7]HKSK!C43</f>
        <v>730337658</v>
      </c>
      <c r="D48" s="780">
        <f>[7]önk!D43+[7]hivatal!D43+[7]HKSK!D43</f>
        <v>612458584</v>
      </c>
      <c r="E48" s="781">
        <f t="shared" si="0"/>
        <v>83.859647286597948</v>
      </c>
    </row>
    <row r="49" spans="1:5" s="774" customFormat="1" x14ac:dyDescent="0.25">
      <c r="A49" s="777" t="s">
        <v>1016</v>
      </c>
      <c r="B49" s="778" t="s">
        <v>1058</v>
      </c>
      <c r="C49" s="780">
        <f>[7]önk!C44+[7]hivatal!C44+[7]HKSK!C44</f>
        <v>0</v>
      </c>
      <c r="D49" s="780">
        <f>[7]önk!D44+[7]hivatal!D44+[7]HKSK!D44</f>
        <v>0</v>
      </c>
      <c r="E49" s="781"/>
    </row>
    <row r="50" spans="1:5" s="774" customFormat="1" x14ac:dyDescent="0.25">
      <c r="A50" s="777" t="s">
        <v>1018</v>
      </c>
      <c r="B50" s="778" t="s">
        <v>1059</v>
      </c>
      <c r="C50" s="780">
        <f>[7]önk!C45+[7]hivatal!C45+[7]HKSK!C45</f>
        <v>0</v>
      </c>
      <c r="D50" s="780">
        <f>[7]önk!D45+[7]hivatal!D45+[7]HKSK!D45</f>
        <v>0</v>
      </c>
      <c r="E50" s="781"/>
    </row>
    <row r="51" spans="1:5" s="774" customFormat="1" x14ac:dyDescent="0.25">
      <c r="A51" s="777" t="s">
        <v>1020</v>
      </c>
      <c r="B51" s="778" t="s">
        <v>1060</v>
      </c>
      <c r="C51" s="780">
        <f>[7]önk!C46+[7]hivatal!C46+[7]HKSK!C46</f>
        <v>0</v>
      </c>
      <c r="D51" s="780">
        <f>[7]önk!D46+[7]hivatal!D46+[7]HKSK!D46</f>
        <v>0</v>
      </c>
      <c r="E51" s="781"/>
    </row>
    <row r="52" spans="1:5" s="774" customFormat="1" x14ac:dyDescent="0.25">
      <c r="A52" s="777" t="s">
        <v>1022</v>
      </c>
      <c r="B52" s="778" t="s">
        <v>1061</v>
      </c>
      <c r="C52" s="780">
        <f>[7]önk!C47+[7]hivatal!C47+[7]HKSK!C47</f>
        <v>730337658</v>
      </c>
      <c r="D52" s="780">
        <f>[7]önk!D47+[7]hivatal!D47+[7]HKSK!D47</f>
        <v>612458584</v>
      </c>
      <c r="E52" s="781">
        <f t="shared" si="0"/>
        <v>83.859647286597948</v>
      </c>
    </row>
    <row r="53" spans="1:5" s="774" customFormat="1" x14ac:dyDescent="0.25">
      <c r="A53" s="777" t="s">
        <v>1062</v>
      </c>
      <c r="B53" s="778" t="s">
        <v>1063</v>
      </c>
      <c r="C53" s="780">
        <f>[7]önk!C48+[7]hivatal!C48+[7]HKSK!C48</f>
        <v>0</v>
      </c>
      <c r="D53" s="780">
        <f>[7]önk!D48+[7]hivatal!D48+[7]HKSK!D48</f>
        <v>0</v>
      </c>
      <c r="E53" s="781"/>
    </row>
    <row r="54" spans="1:5" s="774" customFormat="1" hidden="1" x14ac:dyDescent="0.25">
      <c r="A54" s="777" t="s">
        <v>1016</v>
      </c>
      <c r="B54" s="778" t="s">
        <v>1064</v>
      </c>
      <c r="C54" s="780">
        <f>[7]önk!C49+[7]hivatal!C49+[7]HKSK!C49</f>
        <v>0</v>
      </c>
      <c r="D54" s="780">
        <f>[7]önk!D49+[7]hivatal!D49+[7]HKSK!D49</f>
        <v>0</v>
      </c>
      <c r="E54" s="781"/>
    </row>
    <row r="55" spans="1:5" s="774" customFormat="1" hidden="1" x14ac:dyDescent="0.25">
      <c r="A55" s="777" t="s">
        <v>1018</v>
      </c>
      <c r="B55" s="778" t="s">
        <v>1065</v>
      </c>
      <c r="C55" s="780">
        <f>[7]önk!C50+[7]hivatal!C50+[7]HKSK!C50</f>
        <v>0</v>
      </c>
      <c r="D55" s="780">
        <f>[7]önk!D50+[7]hivatal!D50+[7]HKSK!D50</f>
        <v>0</v>
      </c>
      <c r="E55" s="781"/>
    </row>
    <row r="56" spans="1:5" s="774" customFormat="1" hidden="1" x14ac:dyDescent="0.25">
      <c r="A56" s="777" t="s">
        <v>1020</v>
      </c>
      <c r="B56" s="778" t="s">
        <v>1066</v>
      </c>
      <c r="C56" s="780">
        <f>[7]önk!C51+[7]hivatal!C51+[7]HKSK!C51</f>
        <v>0</v>
      </c>
      <c r="D56" s="780">
        <f>[7]önk!D51+[7]hivatal!D51+[7]HKSK!D51</f>
        <v>0</v>
      </c>
      <c r="E56" s="781"/>
    </row>
    <row r="57" spans="1:5" s="774" customFormat="1" hidden="1" x14ac:dyDescent="0.25">
      <c r="A57" s="777" t="s">
        <v>1022</v>
      </c>
      <c r="B57" s="778" t="s">
        <v>1067</v>
      </c>
      <c r="C57" s="780">
        <f>[7]önk!C52+[7]hivatal!C52+[7]HKSK!C52</f>
        <v>0</v>
      </c>
      <c r="D57" s="780">
        <f>[7]önk!D52+[7]hivatal!D52+[7]HKSK!D52</f>
        <v>0</v>
      </c>
      <c r="E57" s="781"/>
    </row>
    <row r="58" spans="1:5" x14ac:dyDescent="0.25">
      <c r="A58" s="779" t="s">
        <v>1068</v>
      </c>
      <c r="B58" s="782" t="s">
        <v>1069</v>
      </c>
      <c r="C58" s="783">
        <f>[7]önk!C53+[7]hivatal!C53+[7]HKSK!C53</f>
        <v>2138438056</v>
      </c>
      <c r="D58" s="783">
        <f>[7]önk!D53+[7]hivatal!D53+[7]HKSK!D53</f>
        <v>2138370936</v>
      </c>
      <c r="E58" s="784">
        <f t="shared" si="0"/>
        <v>99.996861260497511</v>
      </c>
    </row>
    <row r="59" spans="1:5" s="774" customFormat="1" x14ac:dyDescent="0.25">
      <c r="A59" s="777" t="s">
        <v>1070</v>
      </c>
      <c r="B59" s="778" t="s">
        <v>1071</v>
      </c>
      <c r="C59" s="780">
        <f>[7]önk!C54+[7]hivatal!C54+[7]HKSK!C54</f>
        <v>2138438056</v>
      </c>
      <c r="D59" s="780">
        <f>[7]önk!D54+[7]hivatal!D54+[7]HKSK!D54</f>
        <v>2138370936</v>
      </c>
      <c r="E59" s="781">
        <f t="shared" si="0"/>
        <v>99.996861260497511</v>
      </c>
    </row>
    <row r="60" spans="1:5" s="774" customFormat="1" ht="15.75" customHeight="1" x14ac:dyDescent="0.25">
      <c r="A60" s="777" t="s">
        <v>1016</v>
      </c>
      <c r="B60" s="785" t="s">
        <v>1072</v>
      </c>
      <c r="C60" s="780">
        <f>[7]önk!C55+[7]hivatal!C55+[7]HKSK!C55</f>
        <v>0</v>
      </c>
      <c r="D60" s="780">
        <f>[7]önk!D55+[7]hivatal!D55+[7]HKSK!D55</f>
        <v>0</v>
      </c>
      <c r="E60" s="781"/>
    </row>
    <row r="61" spans="1:5" s="774" customFormat="1" ht="15" customHeight="1" x14ac:dyDescent="0.25">
      <c r="A61" s="777" t="s">
        <v>1018</v>
      </c>
      <c r="B61" s="785" t="s">
        <v>1073</v>
      </c>
      <c r="C61" s="780">
        <f>[7]önk!C56+[7]hivatal!C56+[7]HKSK!C56</f>
        <v>0</v>
      </c>
      <c r="D61" s="780">
        <f>[7]önk!D56+[7]hivatal!D56+[7]HKSK!D56</f>
        <v>0</v>
      </c>
      <c r="E61" s="781"/>
    </row>
    <row r="62" spans="1:5" s="774" customFormat="1" x14ac:dyDescent="0.25">
      <c r="A62" s="777" t="s">
        <v>1020</v>
      </c>
      <c r="B62" s="785" t="s">
        <v>1074</v>
      </c>
      <c r="C62" s="780">
        <f>[7]önk!C57+[7]hivatal!C57+[7]HKSK!C57</f>
        <v>2138428056</v>
      </c>
      <c r="D62" s="780">
        <f>[7]önk!D57+[7]hivatal!D57+[7]HKSK!D57</f>
        <v>2138360936</v>
      </c>
      <c r="E62" s="781">
        <f t="shared" si="0"/>
        <v>99.99686124581973</v>
      </c>
    </row>
    <row r="63" spans="1:5" s="774" customFormat="1" ht="14.25" customHeight="1" x14ac:dyDescent="0.25">
      <c r="A63" s="777" t="s">
        <v>1022</v>
      </c>
      <c r="B63" s="785" t="s">
        <v>1075</v>
      </c>
      <c r="C63" s="780">
        <f>[7]önk!C58+[7]hivatal!C58+[7]HKSK!C58</f>
        <v>10000</v>
      </c>
      <c r="D63" s="780">
        <f>[7]önk!D58+[7]hivatal!D58+[7]HKSK!D58</f>
        <v>10000</v>
      </c>
      <c r="E63" s="781">
        <f t="shared" si="0"/>
        <v>100</v>
      </c>
    </row>
    <row r="64" spans="1:5" s="774" customFormat="1" x14ac:dyDescent="0.25">
      <c r="A64" s="777" t="s">
        <v>1076</v>
      </c>
      <c r="B64" s="778" t="s">
        <v>1077</v>
      </c>
      <c r="C64" s="780">
        <f>[7]önk!C59+[7]hivatal!C59+[7]HKSK!C59</f>
        <v>0</v>
      </c>
      <c r="D64" s="780">
        <f>[7]önk!D59+[7]hivatal!D59+[7]HKSK!D59</f>
        <v>0</v>
      </c>
      <c r="E64" s="781"/>
    </row>
    <row r="65" spans="1:5" s="774" customFormat="1" ht="24.75" hidden="1" x14ac:dyDescent="0.25">
      <c r="A65" s="777" t="s">
        <v>1016</v>
      </c>
      <c r="B65" s="785" t="s">
        <v>1078</v>
      </c>
      <c r="C65" s="780">
        <f>[7]önk!C60+[7]hivatal!C60+[7]HKSK!C60</f>
        <v>0</v>
      </c>
      <c r="D65" s="780">
        <f>[7]önk!D60+[7]hivatal!D60+[7]HKSK!D60</f>
        <v>0</v>
      </c>
      <c r="E65" s="781"/>
    </row>
    <row r="66" spans="1:5" s="774" customFormat="1" ht="24.75" hidden="1" x14ac:dyDescent="0.25">
      <c r="A66" s="777" t="s">
        <v>1018</v>
      </c>
      <c r="B66" s="785" t="s">
        <v>1079</v>
      </c>
      <c r="C66" s="780">
        <f>[7]önk!C61+[7]hivatal!C61+[7]HKSK!C61</f>
        <v>0</v>
      </c>
      <c r="D66" s="780">
        <f>[7]önk!D61+[7]hivatal!D61+[7]HKSK!D61</f>
        <v>0</v>
      </c>
      <c r="E66" s="781"/>
    </row>
    <row r="67" spans="1:5" s="774" customFormat="1" hidden="1" x14ac:dyDescent="0.25">
      <c r="A67" s="777" t="s">
        <v>1020</v>
      </c>
      <c r="B67" s="785" t="s">
        <v>1080</v>
      </c>
      <c r="C67" s="780">
        <f>[7]önk!C62+[7]hivatal!C62+[7]HKSK!C62</f>
        <v>0</v>
      </c>
      <c r="D67" s="780">
        <f>[7]önk!D62+[7]hivatal!D62+[7]HKSK!D62</f>
        <v>0</v>
      </c>
      <c r="E67" s="781"/>
    </row>
    <row r="68" spans="1:5" s="774" customFormat="1" ht="24.75" hidden="1" x14ac:dyDescent="0.25">
      <c r="A68" s="777" t="s">
        <v>1022</v>
      </c>
      <c r="B68" s="785" t="s">
        <v>1081</v>
      </c>
      <c r="C68" s="780">
        <f>[7]önk!C63+[7]hivatal!C63+[7]HKSK!C63</f>
        <v>0</v>
      </c>
      <c r="D68" s="780">
        <f>[7]önk!D63+[7]hivatal!D63+[7]HKSK!D63</f>
        <v>0</v>
      </c>
      <c r="E68" s="781"/>
    </row>
    <row r="69" spans="1:5" s="774" customFormat="1" x14ac:dyDescent="0.25">
      <c r="A69" s="777" t="s">
        <v>1082</v>
      </c>
      <c r="B69" s="778" t="s">
        <v>1083</v>
      </c>
      <c r="C69" s="780">
        <f>[7]önk!C64+[7]hivatal!C64+[7]HKSK!C64</f>
        <v>0</v>
      </c>
      <c r="D69" s="780">
        <f>[7]önk!D64+[7]hivatal!D64+[7]HKSK!D64</f>
        <v>0</v>
      </c>
      <c r="E69" s="781"/>
    </row>
    <row r="70" spans="1:5" s="774" customFormat="1" ht="24.75" hidden="1" x14ac:dyDescent="0.25">
      <c r="A70" s="777" t="s">
        <v>1016</v>
      </c>
      <c r="B70" s="785" t="s">
        <v>1084</v>
      </c>
      <c r="C70" s="780">
        <f>[7]önk!C65+[7]hivatal!C65+[7]HKSK!C65</f>
        <v>0</v>
      </c>
      <c r="D70" s="780">
        <f>[7]önk!D65+[7]hivatal!D65+[7]HKSK!D65</f>
        <v>0</v>
      </c>
      <c r="E70" s="781"/>
    </row>
    <row r="71" spans="1:5" s="774" customFormat="1" ht="24.75" hidden="1" x14ac:dyDescent="0.25">
      <c r="A71" s="777" t="s">
        <v>1018</v>
      </c>
      <c r="B71" s="785" t="s">
        <v>1085</v>
      </c>
      <c r="C71" s="780">
        <f>[7]önk!C66+[7]hivatal!C66+[7]HKSK!C66</f>
        <v>0</v>
      </c>
      <c r="D71" s="780">
        <f>[7]önk!D66+[7]hivatal!D66+[7]HKSK!D66</f>
        <v>0</v>
      </c>
      <c r="E71" s="781"/>
    </row>
    <row r="72" spans="1:5" s="774" customFormat="1" hidden="1" x14ac:dyDescent="0.25">
      <c r="A72" s="777" t="s">
        <v>1020</v>
      </c>
      <c r="B72" s="785" t="s">
        <v>1086</v>
      </c>
      <c r="C72" s="780">
        <f>[7]önk!C67+[7]hivatal!C67+[7]HKSK!C67</f>
        <v>0</v>
      </c>
      <c r="D72" s="780">
        <f>[7]önk!D67+[7]hivatal!D67+[7]HKSK!D67</f>
        <v>0</v>
      </c>
      <c r="E72" s="781"/>
    </row>
    <row r="73" spans="1:5" s="774" customFormat="1" ht="24.75" hidden="1" x14ac:dyDescent="0.25">
      <c r="A73" s="777" t="s">
        <v>1022</v>
      </c>
      <c r="B73" s="785" t="s">
        <v>1087</v>
      </c>
      <c r="C73" s="780">
        <f>[7]önk!C68+[7]hivatal!C68+[7]HKSK!C68</f>
        <v>0</v>
      </c>
      <c r="D73" s="780">
        <f>[7]önk!D68+[7]hivatal!D68+[7]HKSK!D68</f>
        <v>0</v>
      </c>
      <c r="E73" s="781"/>
    </row>
    <row r="74" spans="1:5" x14ac:dyDescent="0.25">
      <c r="A74" s="779" t="s">
        <v>1088</v>
      </c>
      <c r="B74" s="782" t="s">
        <v>1089</v>
      </c>
      <c r="C74" s="783">
        <f>[7]önk!C69+[7]hivatal!C69+[7]HKSK!C69</f>
        <v>0</v>
      </c>
      <c r="D74" s="783">
        <f>[7]önk!D69+[7]hivatal!D69+[7]HKSK!D69</f>
        <v>0</v>
      </c>
      <c r="E74" s="784"/>
    </row>
    <row r="75" spans="1:5" s="774" customFormat="1" hidden="1" x14ac:dyDescent="0.25">
      <c r="A75" s="777" t="s">
        <v>1090</v>
      </c>
      <c r="B75" s="778" t="s">
        <v>1091</v>
      </c>
      <c r="C75" s="780">
        <f>[7]önk!C70+[7]hivatal!C70+[7]HKSK!C70</f>
        <v>0</v>
      </c>
      <c r="D75" s="780">
        <f>[7]önk!D70+[7]hivatal!D70+[7]HKSK!D70</f>
        <v>0</v>
      </c>
      <c r="E75" s="781"/>
    </row>
    <row r="76" spans="1:5" s="774" customFormat="1" ht="24.75" hidden="1" x14ac:dyDescent="0.25">
      <c r="A76" s="777" t="s">
        <v>1016</v>
      </c>
      <c r="B76" s="778" t="s">
        <v>1092</v>
      </c>
      <c r="C76" s="780">
        <f>[7]önk!C71+[7]hivatal!C71+[7]HKSK!C71</f>
        <v>0</v>
      </c>
      <c r="D76" s="780">
        <f>[7]önk!D71+[7]hivatal!D71+[7]HKSK!D71</f>
        <v>0</v>
      </c>
      <c r="E76" s="781"/>
    </row>
    <row r="77" spans="1:5" s="774" customFormat="1" ht="24.75" hidden="1" x14ac:dyDescent="0.25">
      <c r="A77" s="777" t="s">
        <v>1018</v>
      </c>
      <c r="B77" s="778" t="s">
        <v>1093</v>
      </c>
      <c r="C77" s="780">
        <f>[7]önk!C72+[7]hivatal!C72+[7]HKSK!C72</f>
        <v>0</v>
      </c>
      <c r="D77" s="780">
        <f>[7]önk!D72+[7]hivatal!D72+[7]HKSK!D72</f>
        <v>0</v>
      </c>
      <c r="E77" s="781"/>
    </row>
    <row r="78" spans="1:5" s="774" customFormat="1" hidden="1" x14ac:dyDescent="0.25">
      <c r="A78" s="777" t="s">
        <v>1020</v>
      </c>
      <c r="B78" s="778" t="s">
        <v>1094</v>
      </c>
      <c r="C78" s="780">
        <f>[7]önk!C73+[7]hivatal!C73+[7]HKSK!C73</f>
        <v>0</v>
      </c>
      <c r="D78" s="780">
        <f>[7]önk!D73+[7]hivatal!D73+[7]HKSK!D73</f>
        <v>0</v>
      </c>
      <c r="E78" s="781"/>
    </row>
    <row r="79" spans="1:5" s="774" customFormat="1" ht="24.75" hidden="1" x14ac:dyDescent="0.25">
      <c r="A79" s="777" t="s">
        <v>1022</v>
      </c>
      <c r="B79" s="778" t="s">
        <v>1095</v>
      </c>
      <c r="C79" s="780">
        <f>[7]önk!C74+[7]hivatal!C74+[7]HKSK!C74</f>
        <v>0</v>
      </c>
      <c r="D79" s="780">
        <f>[7]önk!D74+[7]hivatal!D74+[7]HKSK!D74</f>
        <v>0</v>
      </c>
      <c r="E79" s="781"/>
    </row>
    <row r="80" spans="1:5" s="774" customFormat="1" hidden="1" x14ac:dyDescent="0.25">
      <c r="A80" s="777" t="s">
        <v>1096</v>
      </c>
      <c r="B80" s="778" t="s">
        <v>1097</v>
      </c>
      <c r="C80" s="780">
        <f>[7]önk!C75+[7]hivatal!C75+[7]HKSK!C75</f>
        <v>0</v>
      </c>
      <c r="D80" s="780">
        <f>[7]önk!D75+[7]hivatal!D75+[7]HKSK!D75</f>
        <v>0</v>
      </c>
      <c r="E80" s="781"/>
    </row>
    <row r="81" spans="1:5" s="774" customFormat="1" ht="24.75" hidden="1" x14ac:dyDescent="0.25">
      <c r="A81" s="777" t="s">
        <v>1016</v>
      </c>
      <c r="B81" s="778" t="s">
        <v>1098</v>
      </c>
      <c r="C81" s="780">
        <f>[7]önk!C76+[7]hivatal!C76+[7]HKSK!C76</f>
        <v>0</v>
      </c>
      <c r="D81" s="780">
        <f>[7]önk!D76+[7]hivatal!D76+[7]HKSK!D76</f>
        <v>0</v>
      </c>
      <c r="E81" s="781"/>
    </row>
    <row r="82" spans="1:5" s="774" customFormat="1" ht="24.75" hidden="1" x14ac:dyDescent="0.25">
      <c r="A82" s="777" t="s">
        <v>1018</v>
      </c>
      <c r="B82" s="778" t="s">
        <v>1099</v>
      </c>
      <c r="C82" s="780">
        <f>[7]önk!C77+[7]hivatal!C77+[7]HKSK!C77</f>
        <v>0</v>
      </c>
      <c r="D82" s="780">
        <f>[7]önk!D77+[7]hivatal!D77+[7]HKSK!D77</f>
        <v>0</v>
      </c>
      <c r="E82" s="781"/>
    </row>
    <row r="83" spans="1:5" s="774" customFormat="1" hidden="1" x14ac:dyDescent="0.25">
      <c r="A83" s="777" t="s">
        <v>1020</v>
      </c>
      <c r="B83" s="778" t="s">
        <v>1100</v>
      </c>
      <c r="C83" s="780">
        <f>[7]önk!C78+[7]hivatal!C78+[7]HKSK!C78</f>
        <v>0</v>
      </c>
      <c r="D83" s="780">
        <f>[7]önk!D78+[7]hivatal!D78+[7]HKSK!D78</f>
        <v>0</v>
      </c>
      <c r="E83" s="781"/>
    </row>
    <row r="84" spans="1:5" s="774" customFormat="1" ht="24.75" hidden="1" x14ac:dyDescent="0.25">
      <c r="A84" s="777" t="s">
        <v>1022</v>
      </c>
      <c r="B84" s="778" t="s">
        <v>1101</v>
      </c>
      <c r="C84" s="780">
        <f>[7]önk!C79+[7]hivatal!C79+[7]HKSK!C79</f>
        <v>0</v>
      </c>
      <c r="D84" s="780">
        <f>[7]önk!D79+[7]hivatal!D79+[7]HKSK!D79</f>
        <v>0</v>
      </c>
      <c r="E84" s="781"/>
    </row>
    <row r="85" spans="1:5" x14ac:dyDescent="0.25">
      <c r="A85" s="779" t="s">
        <v>1102</v>
      </c>
      <c r="B85" s="782" t="s">
        <v>1103</v>
      </c>
      <c r="C85" s="783">
        <f>[7]önk!C80+[7]hivatal!C80+[7]HKSK!C80</f>
        <v>0</v>
      </c>
      <c r="D85" s="783">
        <f>[7]önk!D80+[7]hivatal!D80+[7]HKSK!D80</f>
        <v>0</v>
      </c>
      <c r="E85" s="784"/>
    </row>
    <row r="86" spans="1:5" s="774" customFormat="1" x14ac:dyDescent="0.25">
      <c r="A86" s="777" t="s">
        <v>1104</v>
      </c>
      <c r="B86" s="778" t="s">
        <v>1105</v>
      </c>
      <c r="C86" s="780">
        <f>[7]önk!C81+[7]hivatal!C81+[7]HKSK!C81</f>
        <v>0</v>
      </c>
      <c r="D86" s="780">
        <f>[7]önk!D81+[7]hivatal!D81+[7]HKSK!D81</f>
        <v>0</v>
      </c>
      <c r="E86" s="781"/>
    </row>
    <row r="87" spans="1:5" s="774" customFormat="1" x14ac:dyDescent="0.25">
      <c r="A87" s="777" t="s">
        <v>1106</v>
      </c>
      <c r="B87" s="778" t="s">
        <v>1107</v>
      </c>
      <c r="C87" s="780">
        <f>[7]önk!C82+[7]hivatal!C82+[7]HKSK!C82</f>
        <v>0</v>
      </c>
      <c r="D87" s="780">
        <f>[7]önk!D82+[7]hivatal!D82+[7]HKSK!D82</f>
        <v>0</v>
      </c>
      <c r="E87" s="781"/>
    </row>
    <row r="88" spans="1:5" x14ac:dyDescent="0.25">
      <c r="A88" s="779" t="s">
        <v>1108</v>
      </c>
      <c r="B88" s="782" t="s">
        <v>1109</v>
      </c>
      <c r="C88" s="783">
        <f>[7]önk!C83+[7]hivatal!C83+[7]HKSK!C83</f>
        <v>2502859251</v>
      </c>
      <c r="D88" s="783">
        <f>[7]önk!D83+[7]hivatal!D83+[7]HKSK!D83</f>
        <v>1275864217</v>
      </c>
      <c r="E88" s="784">
        <f t="shared" ref="E88:E121" si="1">D88/C88*100</f>
        <v>50.976267102923877</v>
      </c>
    </row>
    <row r="89" spans="1:5" s="774" customFormat="1" x14ac:dyDescent="0.25">
      <c r="A89" s="777" t="s">
        <v>1110</v>
      </c>
      <c r="B89" s="778" t="s">
        <v>1111</v>
      </c>
      <c r="C89" s="780">
        <f>[7]önk!C84+[7]hivatal!C84+[7]HKSK!C84</f>
        <v>0</v>
      </c>
      <c r="D89" s="780">
        <f>[7]önk!D84+[7]hivatal!D84+[7]HKSK!D84</f>
        <v>0</v>
      </c>
      <c r="E89" s="781"/>
    </row>
    <row r="90" spans="1:5" s="774" customFormat="1" x14ac:dyDescent="0.25">
      <c r="A90" s="777" t="s">
        <v>1112</v>
      </c>
      <c r="B90" s="778" t="s">
        <v>1113</v>
      </c>
      <c r="C90" s="780">
        <f>[7]önk!C85+[7]hivatal!C85+[7]HKSK!C85</f>
        <v>7046895</v>
      </c>
      <c r="D90" s="780">
        <f>[7]önk!D85+[7]hivatal!D85+[7]HKSK!D85</f>
        <v>6416148</v>
      </c>
      <c r="E90" s="781">
        <f t="shared" si="1"/>
        <v>91.04929192218701</v>
      </c>
    </row>
    <row r="91" spans="1:5" s="774" customFormat="1" x14ac:dyDescent="0.25">
      <c r="A91" s="777" t="s">
        <v>1114</v>
      </c>
      <c r="B91" s="778" t="s">
        <v>1115</v>
      </c>
      <c r="C91" s="780">
        <f>[7]önk!C86+[7]hivatal!C86+[7]HKSK!C86</f>
        <v>2436709672</v>
      </c>
      <c r="D91" s="780">
        <f>[7]önk!D86+[7]hivatal!D86+[7]HKSK!D86</f>
        <v>1210391788</v>
      </c>
      <c r="E91" s="781">
        <f t="shared" si="1"/>
        <v>49.67320489217478</v>
      </c>
    </row>
    <row r="92" spans="1:5" s="774" customFormat="1" x14ac:dyDescent="0.25">
      <c r="A92" s="777" t="s">
        <v>1116</v>
      </c>
      <c r="B92" s="778" t="s">
        <v>1117</v>
      </c>
      <c r="C92" s="780">
        <f>[7]önk!C87+[7]hivatal!C87+[7]HKSK!C87</f>
        <v>59102684</v>
      </c>
      <c r="D92" s="780">
        <f>[7]önk!D87+[7]hivatal!D87+[7]HKSK!D87</f>
        <v>59056281</v>
      </c>
      <c r="E92" s="781">
        <f t="shared" si="1"/>
        <v>99.921487491160292</v>
      </c>
    </row>
    <row r="93" spans="1:5" x14ac:dyDescent="0.25">
      <c r="A93" s="779" t="s">
        <v>1118</v>
      </c>
      <c r="B93" s="782" t="s">
        <v>1119</v>
      </c>
      <c r="C93" s="783">
        <f>[7]önk!C88+[7]hivatal!C88+[7]HKSK!C88</f>
        <v>214569377</v>
      </c>
      <c r="D93" s="783">
        <f>[7]önk!D88+[7]hivatal!D88+[7]HKSK!D88</f>
        <v>507862726</v>
      </c>
      <c r="E93" s="784">
        <f t="shared" si="1"/>
        <v>236.68928581546842</v>
      </c>
    </row>
    <row r="94" spans="1:5" s="774" customFormat="1" x14ac:dyDescent="0.25">
      <c r="A94" s="777" t="s">
        <v>1120</v>
      </c>
      <c r="B94" s="778" t="s">
        <v>1121</v>
      </c>
      <c r="C94" s="780">
        <f>[7]önk!C89+[7]hivatal!C89+[7]HKSK!C89</f>
        <v>206738008</v>
      </c>
      <c r="D94" s="780">
        <f>[7]önk!D89+[7]hivatal!D89+[7]HKSK!D89</f>
        <v>291963240</v>
      </c>
      <c r="E94" s="781">
        <f t="shared" si="1"/>
        <v>141.22378503327749</v>
      </c>
    </row>
    <row r="95" spans="1:5" s="774" customFormat="1" x14ac:dyDescent="0.25">
      <c r="A95" s="777" t="s">
        <v>1122</v>
      </c>
      <c r="B95" s="778" t="s">
        <v>1123</v>
      </c>
      <c r="C95" s="780">
        <f>[7]önk!C90+[7]hivatal!C90+[7]HKSK!C90</f>
        <v>2640000</v>
      </c>
      <c r="D95" s="780">
        <f>[7]önk!D90+[7]hivatal!D90+[7]HKSK!D90</f>
        <v>13862767</v>
      </c>
      <c r="E95" s="781">
        <f t="shared" si="1"/>
        <v>525.1048106060606</v>
      </c>
    </row>
    <row r="96" spans="1:5" s="774" customFormat="1" x14ac:dyDescent="0.25">
      <c r="A96" s="777" t="s">
        <v>1124</v>
      </c>
      <c r="B96" s="778" t="s">
        <v>1125</v>
      </c>
      <c r="C96" s="780">
        <f>[7]önk!C91+[7]hivatal!C91+[7]HKSK!C91</f>
        <v>5191369</v>
      </c>
      <c r="D96" s="780">
        <f>[7]önk!D91+[7]hivatal!D91+[7]HKSK!D91</f>
        <v>202036719</v>
      </c>
      <c r="E96" s="781">
        <f t="shared" si="1"/>
        <v>3891.7811274829432</v>
      </c>
    </row>
    <row r="97" spans="1:5" x14ac:dyDescent="0.25">
      <c r="A97" s="779" t="s">
        <v>1126</v>
      </c>
      <c r="B97" s="782" t="s">
        <v>1127</v>
      </c>
      <c r="C97" s="783">
        <f>[7]önk!C92+[7]hivatal!C92+[7]HKSK!C92</f>
        <v>-2349689</v>
      </c>
      <c r="D97" s="783">
        <f>[7]önk!D92+[7]hivatal!D92+[7]HKSK!D92</f>
        <v>64607882</v>
      </c>
      <c r="E97" s="784">
        <f t="shared" si="1"/>
        <v>-2749.6354623952361</v>
      </c>
    </row>
    <row r="98" spans="1:5" x14ac:dyDescent="0.25">
      <c r="A98" s="779" t="s">
        <v>1128</v>
      </c>
      <c r="B98" s="782" t="s">
        <v>1129</v>
      </c>
      <c r="C98" s="783">
        <f>[7]önk!C93+[7]hivatal!C93+[7]HKSK!C93</f>
        <v>0</v>
      </c>
      <c r="D98" s="783">
        <f>[7]önk!D93+[7]hivatal!D93+[7]HKSK!D93</f>
        <v>0</v>
      </c>
      <c r="E98" s="784"/>
    </row>
    <row r="99" spans="1:5" x14ac:dyDescent="0.25">
      <c r="A99" s="786" t="s">
        <v>1130</v>
      </c>
      <c r="B99" s="787" t="s">
        <v>1131</v>
      </c>
      <c r="C99" s="788">
        <f>[7]önk!C94+[7]hivatal!C94+[7]HKSK!C94</f>
        <v>12345615302</v>
      </c>
      <c r="D99" s="788">
        <f>[7]önk!D94+[7]hivatal!D94+[7]HKSK!D94</f>
        <v>12807837692</v>
      </c>
      <c r="E99" s="789">
        <f t="shared" si="1"/>
        <v>103.744020680161</v>
      </c>
    </row>
    <row r="100" spans="1:5" x14ac:dyDescent="0.25">
      <c r="A100" s="777" t="s">
        <v>157</v>
      </c>
      <c r="B100" s="778" t="s">
        <v>157</v>
      </c>
      <c r="C100" s="780"/>
      <c r="D100" s="780"/>
      <c r="E100" s="781"/>
    </row>
    <row r="101" spans="1:5" x14ac:dyDescent="0.25">
      <c r="A101" s="777" t="s">
        <v>1132</v>
      </c>
      <c r="B101" s="778" t="s">
        <v>157</v>
      </c>
      <c r="C101" s="780"/>
      <c r="D101" s="780"/>
      <c r="E101" s="781"/>
    </row>
    <row r="102" spans="1:5" x14ac:dyDescent="0.25">
      <c r="A102" s="779" t="s">
        <v>1133</v>
      </c>
      <c r="B102" s="782" t="s">
        <v>1134</v>
      </c>
      <c r="C102" s="783">
        <f>[7]önk!C97+[7]hivatal!C97+[7]HKSK!C97</f>
        <v>10193199990</v>
      </c>
      <c r="D102" s="783">
        <f>[7]önk!D97+[7]hivatal!D97+[7]HKSK!D97</f>
        <v>9489657241</v>
      </c>
      <c r="E102" s="784">
        <f t="shared" si="1"/>
        <v>93.097920675644474</v>
      </c>
    </row>
    <row r="103" spans="1:5" s="774" customFormat="1" x14ac:dyDescent="0.25">
      <c r="A103" s="779" t="s">
        <v>1135</v>
      </c>
      <c r="B103" s="778" t="s">
        <v>1136</v>
      </c>
      <c r="C103" s="783">
        <f>[7]önk!C98+[7]hivatal!C98+[7]HKSK!C98</f>
        <v>12312531034</v>
      </c>
      <c r="D103" s="783">
        <f>[7]önk!D98+[7]hivatal!D98+[7]HKSK!D98</f>
        <v>12312531034</v>
      </c>
      <c r="E103" s="784">
        <f t="shared" si="1"/>
        <v>100</v>
      </c>
    </row>
    <row r="104" spans="1:5" s="774" customFormat="1" x14ac:dyDescent="0.25">
      <c r="A104" s="779" t="s">
        <v>1137</v>
      </c>
      <c r="B104" s="778" t="s">
        <v>1138</v>
      </c>
      <c r="C104" s="783">
        <f>[7]önk!C99+[7]hivatal!C99+[7]HKSK!C99</f>
        <v>-165788594</v>
      </c>
      <c r="D104" s="783">
        <f>[7]önk!D99+[7]hivatal!D99+[7]HKSK!D99</f>
        <v>-165788594</v>
      </c>
      <c r="E104" s="784">
        <f t="shared" si="1"/>
        <v>100</v>
      </c>
    </row>
    <row r="105" spans="1:5" s="774" customFormat="1" x14ac:dyDescent="0.25">
      <c r="A105" s="779" t="s">
        <v>1139</v>
      </c>
      <c r="B105" s="778" t="s">
        <v>1140</v>
      </c>
      <c r="C105" s="783">
        <f>[7]önk!C100+[7]hivatal!C100+[7]HKSK!C100</f>
        <v>70918190</v>
      </c>
      <c r="D105" s="783">
        <f>[7]önk!D100+[7]hivatal!D100+[7]HKSK!D100</f>
        <v>70918190</v>
      </c>
      <c r="E105" s="784">
        <f t="shared" si="1"/>
        <v>100</v>
      </c>
    </row>
    <row r="106" spans="1:5" x14ac:dyDescent="0.25">
      <c r="A106" s="779" t="s">
        <v>1141</v>
      </c>
      <c r="B106" s="782" t="s">
        <v>1142</v>
      </c>
      <c r="C106" s="783">
        <f>[7]önk!C101+[7]hivatal!C101+[7]HKSK!C101</f>
        <v>-2021475747</v>
      </c>
      <c r="D106" s="783">
        <f>[7]önk!D101+[7]hivatal!D101+[7]HKSK!D101</f>
        <v>-2536315753</v>
      </c>
      <c r="E106" s="784">
        <f t="shared" si="1"/>
        <v>125.46852252687452</v>
      </c>
    </row>
    <row r="107" spans="1:5" x14ac:dyDescent="0.25">
      <c r="A107" s="779" t="s">
        <v>1143</v>
      </c>
      <c r="B107" s="782" t="s">
        <v>1144</v>
      </c>
      <c r="C107" s="783">
        <f>[7]önk!C102+[7]hivatal!C102+[7]HKSK!C102</f>
        <v>0</v>
      </c>
      <c r="D107" s="783">
        <f>[7]önk!D102+[7]hivatal!D102+[7]HKSK!D102</f>
        <v>0</v>
      </c>
      <c r="E107" s="784"/>
    </row>
    <row r="108" spans="1:5" x14ac:dyDescent="0.25">
      <c r="A108" s="779" t="s">
        <v>1145</v>
      </c>
      <c r="B108" s="782" t="s">
        <v>1146</v>
      </c>
      <c r="C108" s="783">
        <f>[7]önk!C103+[7]hivatal!C103+[7]HKSK!C103</f>
        <v>-2984893</v>
      </c>
      <c r="D108" s="783">
        <f>[7]önk!D103+[7]hivatal!D103+[7]HKSK!D103</f>
        <v>-191687636</v>
      </c>
      <c r="E108" s="784">
        <f t="shared" si="1"/>
        <v>6421.9265481208213</v>
      </c>
    </row>
    <row r="109" spans="1:5" x14ac:dyDescent="0.25">
      <c r="A109" s="779" t="s">
        <v>1147</v>
      </c>
      <c r="B109" s="782" t="s">
        <v>1148</v>
      </c>
      <c r="C109" s="783">
        <f>[7]önk!C104+[7]hivatal!C104+[7]HKSK!C104</f>
        <v>63458563</v>
      </c>
      <c r="D109" s="783">
        <f>[7]önk!D104+[7]hivatal!D104+[7]HKSK!D104</f>
        <v>78769648</v>
      </c>
      <c r="E109" s="784">
        <f t="shared" si="1"/>
        <v>124.12768943412726</v>
      </c>
    </row>
    <row r="110" spans="1:5" s="774" customFormat="1" x14ac:dyDescent="0.25">
      <c r="A110" s="777" t="s">
        <v>1149</v>
      </c>
      <c r="B110" s="778" t="s">
        <v>1150</v>
      </c>
      <c r="C110" s="780">
        <f>[7]önk!C105+[7]hivatal!C105+[7]HKSK!C105</f>
        <v>18951913</v>
      </c>
      <c r="D110" s="780">
        <f>[7]önk!D105+[7]hivatal!D105+[7]HKSK!D105</f>
        <v>32667029</v>
      </c>
      <c r="E110" s="781">
        <f t="shared" si="1"/>
        <v>172.3679767841906</v>
      </c>
    </row>
    <row r="111" spans="1:5" s="774" customFormat="1" x14ac:dyDescent="0.25">
      <c r="A111" s="777" t="s">
        <v>1151</v>
      </c>
      <c r="B111" s="778" t="s">
        <v>1152</v>
      </c>
      <c r="C111" s="780">
        <f>[7]önk!C106+[7]hivatal!C106+[7]HKSK!C106</f>
        <v>16920538</v>
      </c>
      <c r="D111" s="780">
        <f>[7]önk!D106+[7]hivatal!D106+[7]HKSK!D106</f>
        <v>19068717</v>
      </c>
      <c r="E111" s="781">
        <f t="shared" si="1"/>
        <v>112.69568969970103</v>
      </c>
    </row>
    <row r="112" spans="1:5" s="774" customFormat="1" x14ac:dyDescent="0.25">
      <c r="A112" s="777" t="s">
        <v>1153</v>
      </c>
      <c r="B112" s="778" t="s">
        <v>1154</v>
      </c>
      <c r="C112" s="780">
        <f>[7]önk!C107+[7]hivatal!C107+[7]HKSK!C107</f>
        <v>27586112</v>
      </c>
      <c r="D112" s="780">
        <f>[7]önk!D107+[7]hivatal!D107+[7]HKSK!D107</f>
        <v>27033902</v>
      </c>
      <c r="E112" s="781">
        <f t="shared" si="1"/>
        <v>97.99823186391761</v>
      </c>
    </row>
    <row r="113" spans="1:5" x14ac:dyDescent="0.25">
      <c r="A113" s="779" t="s">
        <v>1155</v>
      </c>
      <c r="B113" s="782" t="s">
        <v>1156</v>
      </c>
      <c r="C113" s="783">
        <f>[7]önk!C108+[7]hivatal!C108+[7]HKSK!C108</f>
        <v>0</v>
      </c>
      <c r="D113" s="783">
        <f>[7]önk!D108+[7]hivatal!D108+[7]HKSK!D108</f>
        <v>0</v>
      </c>
      <c r="E113" s="784"/>
    </row>
    <row r="114" spans="1:5" x14ac:dyDescent="0.25">
      <c r="A114" s="779" t="s">
        <v>1157</v>
      </c>
      <c r="B114" s="782" t="s">
        <v>1158</v>
      </c>
      <c r="C114" s="783">
        <f>[7]önk!C109+[7]hivatal!C109+[7]HKSK!C109</f>
        <v>2088956749</v>
      </c>
      <c r="D114" s="783">
        <f>[7]önk!D109+[7]hivatal!D109+[7]HKSK!D109</f>
        <v>3239410803</v>
      </c>
      <c r="E114" s="784">
        <f t="shared" si="1"/>
        <v>155.0731389987242</v>
      </c>
    </row>
    <row r="115" spans="1:5" x14ac:dyDescent="0.25">
      <c r="A115" s="786" t="s">
        <v>1159</v>
      </c>
      <c r="B115" s="787" t="s">
        <v>1160</v>
      </c>
      <c r="C115" s="788">
        <f>[7]önk!C110+[7]hivatal!C110+[7]HKSK!C110</f>
        <v>12345615302</v>
      </c>
      <c r="D115" s="788">
        <f>[7]önk!D110+[7]hivatal!D110+[7]HKSK!D110</f>
        <v>12807837692</v>
      </c>
      <c r="E115" s="789">
        <f t="shared" si="1"/>
        <v>103.744020680161</v>
      </c>
    </row>
    <row r="116" spans="1:5" x14ac:dyDescent="0.25">
      <c r="A116" s="767" t="s">
        <v>157</v>
      </c>
      <c r="B116" s="768" t="s">
        <v>157</v>
      </c>
      <c r="C116" s="769"/>
      <c r="D116" s="769"/>
      <c r="E116" s="773"/>
    </row>
    <row r="117" spans="1:5" x14ac:dyDescent="0.25">
      <c r="A117" s="777" t="s">
        <v>1161</v>
      </c>
      <c r="B117" s="778" t="s">
        <v>1162</v>
      </c>
      <c r="C117" s="780"/>
      <c r="D117" s="780"/>
      <c r="E117" s="781"/>
    </row>
    <row r="118" spans="1:5" s="774" customFormat="1" x14ac:dyDescent="0.25">
      <c r="A118" s="777" t="s">
        <v>1163</v>
      </c>
      <c r="B118" s="778" t="s">
        <v>1164</v>
      </c>
      <c r="C118" s="780">
        <f>[7]önk!C113+[7]hivatal!C113+[7]HKSK!C113</f>
        <v>111893096</v>
      </c>
      <c r="D118" s="780">
        <f>[7]önk!D113+[7]hivatal!D113+[7]HKSK!D113</f>
        <v>238729690</v>
      </c>
      <c r="E118" s="781">
        <f t="shared" si="1"/>
        <v>213.35515642537945</v>
      </c>
    </row>
    <row r="119" spans="1:5" s="774" customFormat="1" x14ac:dyDescent="0.25">
      <c r="A119" s="777" t="s">
        <v>1165</v>
      </c>
      <c r="B119" s="778" t="s">
        <v>1166</v>
      </c>
      <c r="C119" s="780">
        <f>[7]önk!C114+[7]hivatal!C114+[7]HKSK!C114</f>
        <v>48375806</v>
      </c>
      <c r="D119" s="780">
        <f>[7]önk!D114+[7]hivatal!D114+[7]HKSK!D114</f>
        <v>104001360</v>
      </c>
      <c r="E119" s="781">
        <f t="shared" si="1"/>
        <v>214.98630947875063</v>
      </c>
    </row>
    <row r="120" spans="1:5" s="774" customFormat="1" x14ac:dyDescent="0.25">
      <c r="A120" s="777" t="s">
        <v>1167</v>
      </c>
      <c r="B120" s="778" t="s">
        <v>1168</v>
      </c>
      <c r="C120" s="780">
        <f>[7]önk!C115+[7]hivatal!C115+[7]HKSK!C115</f>
        <v>0</v>
      </c>
      <c r="D120" s="780">
        <f>[7]önk!D115+[7]hivatal!D115+[7]HKSK!D115</f>
        <v>0</v>
      </c>
      <c r="E120" s="781"/>
    </row>
    <row r="121" spans="1:5" s="774" customFormat="1" ht="39" x14ac:dyDescent="0.25">
      <c r="A121" s="777" t="s">
        <v>1169</v>
      </c>
      <c r="B121" s="778" t="s">
        <v>1170</v>
      </c>
      <c r="C121" s="780">
        <f>[7]önk!C116+[7]hivatal!C116+[7]HKSK!C116</f>
        <v>298382137</v>
      </c>
      <c r="D121" s="780">
        <f>[7]önk!D116+[7]hivatal!D116+[7]HKSK!D116</f>
        <v>298382137</v>
      </c>
      <c r="E121" s="781">
        <f t="shared" si="1"/>
        <v>100</v>
      </c>
    </row>
    <row r="122" spans="1:5" s="774" customFormat="1" ht="39" x14ac:dyDescent="0.25">
      <c r="A122" s="777" t="s">
        <v>1171</v>
      </c>
      <c r="B122" s="778" t="s">
        <v>1172</v>
      </c>
      <c r="C122" s="780">
        <f>[7]önk!C117+[7]hivatal!C117+[7]HKSK!C117</f>
        <v>0</v>
      </c>
      <c r="D122" s="780">
        <f>[7]önk!D117+[7]hivatal!D117+[7]HKSK!D117</f>
        <v>0</v>
      </c>
      <c r="E122" s="781"/>
    </row>
    <row r="123" spans="1:5" s="774" customFormat="1" x14ac:dyDescent="0.25">
      <c r="A123" s="777" t="s">
        <v>1173</v>
      </c>
      <c r="B123" s="778" t="s">
        <v>1174</v>
      </c>
      <c r="C123" s="780">
        <f>[7]önk!C118+[7]hivatal!C118+[7]HKSK!C118</f>
        <v>0</v>
      </c>
      <c r="D123" s="780">
        <f>[7]önk!D118+[7]hivatal!D118+[7]HKSK!D118</f>
        <v>0</v>
      </c>
      <c r="E123" s="781"/>
    </row>
    <row r="124" spans="1:5" s="774" customFormat="1" x14ac:dyDescent="0.25">
      <c r="A124" s="777" t="s">
        <v>1175</v>
      </c>
      <c r="B124" s="778" t="s">
        <v>1176</v>
      </c>
      <c r="C124" s="780">
        <f>[7]önk!C119+[7]hivatal!C119+[7]HKSK!C119</f>
        <v>0</v>
      </c>
      <c r="D124" s="780">
        <f>[7]önk!D119+[7]hivatal!D119+[7]HKSK!D119</f>
        <v>0</v>
      </c>
      <c r="E124" s="781"/>
    </row>
    <row r="125" spans="1:5" s="774" customFormat="1" x14ac:dyDescent="0.25">
      <c r="A125" s="777" t="s">
        <v>1177</v>
      </c>
      <c r="B125" s="778" t="s">
        <v>1178</v>
      </c>
      <c r="C125" s="780">
        <f>[7]önk!C120+[7]hivatal!C120+[7]HKSK!C120</f>
        <v>0</v>
      </c>
      <c r="D125" s="780">
        <f>[7]önk!D120+[7]hivatal!D120+[7]HKSK!D120</f>
        <v>0</v>
      </c>
      <c r="E125" s="781"/>
    </row>
  </sheetData>
  <mergeCells count="5">
    <mergeCell ref="A10:E10"/>
    <mergeCell ref="A6:E6"/>
    <mergeCell ref="A3:E3"/>
    <mergeCell ref="A4:E4"/>
    <mergeCell ref="A5:E5"/>
  </mergeCells>
  <pageMargins left="0.62" right="0.16" top="0.3" bottom="0.16" header="0.3" footer="0.16"/>
  <pageSetup paperSize="9" scale="91" fitToHeight="0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A35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M6" sqref="M6:P6"/>
    </sheetView>
  </sheetViews>
  <sheetFormatPr defaultRowHeight="12.75" x14ac:dyDescent="0.2"/>
  <cols>
    <col min="1" max="1" width="5.7109375" style="83" customWidth="1"/>
    <col min="2" max="2" width="29.28515625" style="87" customWidth="1"/>
    <col min="3" max="3" width="13" style="87" customWidth="1"/>
    <col min="4" max="4" width="13" style="85" customWidth="1"/>
    <col min="5" max="5" width="14.85546875" style="86" bestFit="1" customWidth="1"/>
    <col min="6" max="6" width="14" style="85" hidden="1" customWidth="1"/>
    <col min="7" max="9" width="13" style="85" customWidth="1"/>
    <col min="10" max="10" width="13" style="85" hidden="1" customWidth="1"/>
    <col min="11" max="12" width="13" style="85" customWidth="1"/>
    <col min="13" max="13" width="14.85546875" style="85" bestFit="1" customWidth="1"/>
    <col min="14" max="14" width="14.28515625" style="85" hidden="1" customWidth="1"/>
    <col min="15" max="17" width="13" style="85" customWidth="1"/>
    <col min="18" max="18" width="13" style="85" hidden="1" customWidth="1"/>
    <col min="19" max="19" width="13" style="85" customWidth="1"/>
    <col min="20" max="21" width="13" style="83" customWidth="1"/>
    <col min="22" max="22" width="13" style="83" hidden="1" customWidth="1"/>
    <col min="23" max="25" width="13" style="83" customWidth="1"/>
    <col min="26" max="26" width="13" style="83" hidden="1" customWidth="1"/>
    <col min="27" max="29" width="13" style="83" customWidth="1"/>
    <col min="30" max="30" width="13" style="83" hidden="1" customWidth="1"/>
    <col min="31" max="33" width="13" style="83" customWidth="1"/>
    <col min="34" max="34" width="13" style="83" hidden="1" customWidth="1"/>
    <col min="35" max="37" width="13" style="83" customWidth="1"/>
    <col min="38" max="38" width="13" style="83" hidden="1" customWidth="1"/>
    <col min="39" max="41" width="13" style="83" customWidth="1"/>
    <col min="42" max="42" width="13" style="83" hidden="1" customWidth="1"/>
    <col min="43" max="45" width="13" style="83" customWidth="1"/>
    <col min="46" max="46" width="13" style="83" hidden="1" customWidth="1"/>
    <col min="47" max="49" width="13" style="83" customWidth="1"/>
    <col min="50" max="50" width="13" style="83" hidden="1" customWidth="1"/>
    <col min="51" max="51" width="12.42578125" style="83" bestFit="1" customWidth="1"/>
    <col min="52" max="52" width="13.28515625" style="83" customWidth="1"/>
    <col min="53" max="53" width="14.140625" style="83" customWidth="1"/>
    <col min="54" max="57" width="20.140625" style="83" customWidth="1"/>
    <col min="58" max="16384" width="9.140625" style="83"/>
  </cols>
  <sheetData>
    <row r="1" spans="1:53" s="79" customFormat="1" ht="19.5" customHeight="1" x14ac:dyDescent="0.2">
      <c r="J1" s="45"/>
      <c r="K1" s="45"/>
      <c r="M1" s="45" t="str">
        <f>'18 vagyonkimutatás'!D1</f>
        <v xml:space="preserve"> 12 / 2020. (VI.15) sz rendelet</v>
      </c>
      <c r="N1" s="45"/>
      <c r="O1" s="45"/>
      <c r="P1" s="306"/>
      <c r="Q1" s="306"/>
      <c r="S1" s="306"/>
    </row>
    <row r="2" spans="1:53" s="79" customFormat="1" ht="19.5" customHeight="1" x14ac:dyDescent="0.2">
      <c r="I2" s="45"/>
      <c r="J2" s="45"/>
      <c r="K2" s="45"/>
      <c r="L2" s="45"/>
      <c r="M2" s="45"/>
      <c r="N2" s="45"/>
      <c r="O2" s="45"/>
      <c r="P2" s="306"/>
      <c r="Q2" s="306"/>
      <c r="S2" s="306"/>
    </row>
    <row r="3" spans="1:53" s="79" customFormat="1" ht="15.75" customHeight="1" x14ac:dyDescent="0.2">
      <c r="A3" s="912" t="s">
        <v>1203</v>
      </c>
      <c r="B3" s="912"/>
      <c r="C3" s="912"/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306"/>
      <c r="Q3" s="306"/>
      <c r="R3" s="306"/>
      <c r="S3" s="306"/>
    </row>
    <row r="4" spans="1:53" s="79" customFormat="1" ht="15" customHeight="1" x14ac:dyDescent="0.2">
      <c r="A4" s="912">
        <v>2019</v>
      </c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306"/>
      <c r="Q4" s="306"/>
      <c r="R4" s="306"/>
      <c r="S4" s="306"/>
    </row>
    <row r="5" spans="1:53" s="44" customFormat="1" ht="15" x14ac:dyDescent="0.25">
      <c r="A5" s="79"/>
      <c r="C5" s="179"/>
      <c r="P5" s="148"/>
      <c r="Q5" s="148"/>
      <c r="R5" s="148"/>
      <c r="S5" s="148"/>
    </row>
    <row r="6" spans="1:53" s="44" customFormat="1" ht="15" x14ac:dyDescent="0.25">
      <c r="C6" s="179"/>
      <c r="L6" s="603" t="s">
        <v>304</v>
      </c>
      <c r="M6" s="622" t="str">
        <f>'18 vagyonkimutatás'!C9</f>
        <v xml:space="preserve"> melléklet az 12/2020. (VI.15.) rendelethez</v>
      </c>
      <c r="N6" s="45"/>
      <c r="O6" s="45"/>
      <c r="P6" s="148"/>
      <c r="Q6" s="148"/>
      <c r="R6" s="148"/>
      <c r="S6" s="148"/>
    </row>
    <row r="7" spans="1:53" ht="15.75" customHeight="1" thickBot="1" x14ac:dyDescent="0.25">
      <c r="B7" s="88"/>
      <c r="C7" s="515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</row>
    <row r="8" spans="1:53" s="720" customFormat="1" ht="14.25" x14ac:dyDescent="0.2">
      <c r="A8" s="971" t="s">
        <v>913</v>
      </c>
      <c r="B8" s="971" t="s">
        <v>319</v>
      </c>
      <c r="C8" s="971" t="s">
        <v>275</v>
      </c>
      <c r="D8" s="971"/>
      <c r="E8" s="971"/>
      <c r="F8" s="719"/>
      <c r="G8" s="971" t="s">
        <v>276</v>
      </c>
      <c r="H8" s="971"/>
      <c r="I8" s="971"/>
      <c r="J8" s="719"/>
      <c r="K8" s="971" t="s">
        <v>277</v>
      </c>
      <c r="L8" s="971"/>
      <c r="M8" s="971"/>
      <c r="N8" s="719"/>
      <c r="O8" s="971" t="s">
        <v>278</v>
      </c>
      <c r="P8" s="971"/>
      <c r="Q8" s="971"/>
      <c r="R8" s="719"/>
      <c r="S8" s="971" t="s">
        <v>279</v>
      </c>
      <c r="T8" s="971"/>
      <c r="U8" s="971"/>
      <c r="V8" s="719"/>
      <c r="W8" s="971" t="s">
        <v>280</v>
      </c>
      <c r="X8" s="971"/>
      <c r="Y8" s="971"/>
      <c r="Z8" s="719"/>
      <c r="AA8" s="971" t="s">
        <v>281</v>
      </c>
      <c r="AB8" s="971"/>
      <c r="AC8" s="971"/>
      <c r="AD8" s="719"/>
      <c r="AE8" s="971" t="s">
        <v>282</v>
      </c>
      <c r="AF8" s="971"/>
      <c r="AG8" s="971"/>
      <c r="AH8" s="719"/>
      <c r="AI8" s="971" t="s">
        <v>283</v>
      </c>
      <c r="AJ8" s="971"/>
      <c r="AK8" s="971"/>
      <c r="AL8" s="719"/>
      <c r="AM8" s="971" t="s">
        <v>284</v>
      </c>
      <c r="AN8" s="971"/>
      <c r="AO8" s="971"/>
      <c r="AP8" s="719"/>
      <c r="AQ8" s="971" t="s">
        <v>285</v>
      </c>
      <c r="AR8" s="971"/>
      <c r="AS8" s="971"/>
      <c r="AT8" s="719"/>
      <c r="AU8" s="971" t="s">
        <v>286</v>
      </c>
      <c r="AV8" s="971"/>
      <c r="AW8" s="971"/>
      <c r="AX8" s="719"/>
      <c r="AY8" s="971" t="s">
        <v>18</v>
      </c>
      <c r="AZ8" s="971"/>
      <c r="BA8" s="971"/>
    </row>
    <row r="9" spans="1:53" s="720" customFormat="1" ht="57" customHeight="1" x14ac:dyDescent="0.2">
      <c r="A9" s="971"/>
      <c r="B9" s="971"/>
      <c r="C9" s="721" t="s">
        <v>6</v>
      </c>
      <c r="D9" s="721" t="s">
        <v>914</v>
      </c>
      <c r="E9" s="721" t="s">
        <v>4</v>
      </c>
      <c r="F9" s="721"/>
      <c r="G9" s="721" t="s">
        <v>6</v>
      </c>
      <c r="H9" s="721" t="s">
        <v>914</v>
      </c>
      <c r="I9" s="721" t="s">
        <v>4</v>
      </c>
      <c r="J9" s="721"/>
      <c r="K9" s="721" t="s">
        <v>6</v>
      </c>
      <c r="L9" s="721" t="s">
        <v>914</v>
      </c>
      <c r="M9" s="721" t="s">
        <v>4</v>
      </c>
      <c r="N9" s="721"/>
      <c r="O9" s="721" t="s">
        <v>6</v>
      </c>
      <c r="P9" s="721" t="s">
        <v>914</v>
      </c>
      <c r="Q9" s="721" t="s">
        <v>4</v>
      </c>
      <c r="R9" s="721"/>
      <c r="S9" s="721" t="s">
        <v>6</v>
      </c>
      <c r="T9" s="721" t="s">
        <v>914</v>
      </c>
      <c r="U9" s="721" t="s">
        <v>4</v>
      </c>
      <c r="V9" s="721"/>
      <c r="W9" s="721" t="s">
        <v>6</v>
      </c>
      <c r="X9" s="721" t="s">
        <v>914</v>
      </c>
      <c r="Y9" s="721" t="s">
        <v>4</v>
      </c>
      <c r="Z9" s="721"/>
      <c r="AA9" s="721" t="s">
        <v>6</v>
      </c>
      <c r="AB9" s="721" t="s">
        <v>914</v>
      </c>
      <c r="AC9" s="721" t="s">
        <v>4</v>
      </c>
      <c r="AD9" s="721"/>
      <c r="AE9" s="721" t="s">
        <v>6</v>
      </c>
      <c r="AF9" s="721" t="s">
        <v>914</v>
      </c>
      <c r="AG9" s="721" t="s">
        <v>4</v>
      </c>
      <c r="AH9" s="721"/>
      <c r="AI9" s="721" t="s">
        <v>6</v>
      </c>
      <c r="AJ9" s="721" t="s">
        <v>914</v>
      </c>
      <c r="AK9" s="721" t="s">
        <v>4</v>
      </c>
      <c r="AL9" s="721"/>
      <c r="AM9" s="721" t="s">
        <v>6</v>
      </c>
      <c r="AN9" s="721" t="s">
        <v>914</v>
      </c>
      <c r="AO9" s="721" t="s">
        <v>4</v>
      </c>
      <c r="AP9" s="721"/>
      <c r="AQ9" s="721" t="s">
        <v>6</v>
      </c>
      <c r="AR9" s="721" t="s">
        <v>914</v>
      </c>
      <c r="AS9" s="721" t="s">
        <v>4</v>
      </c>
      <c r="AT9" s="721"/>
      <c r="AU9" s="721" t="s">
        <v>6</v>
      </c>
      <c r="AV9" s="721" t="s">
        <v>914</v>
      </c>
      <c r="AW9" s="721" t="s">
        <v>4</v>
      </c>
      <c r="AX9" s="721"/>
      <c r="AY9" s="721" t="s">
        <v>6</v>
      </c>
      <c r="AZ9" s="721" t="s">
        <v>914</v>
      </c>
      <c r="BA9" s="721" t="s">
        <v>4</v>
      </c>
    </row>
    <row r="10" spans="1:53" s="125" customFormat="1" ht="15" x14ac:dyDescent="0.25">
      <c r="A10" s="722" t="s">
        <v>160</v>
      </c>
      <c r="B10" s="722" t="s">
        <v>34</v>
      </c>
      <c r="C10" s="723">
        <v>7763606</v>
      </c>
      <c r="D10" s="723">
        <v>3017650</v>
      </c>
      <c r="E10" s="214">
        <v>14193195</v>
      </c>
      <c r="F10" s="724">
        <f>SUM(C10:E10)</f>
        <v>24974451</v>
      </c>
      <c r="G10" s="723">
        <v>7468309</v>
      </c>
      <c r="H10" s="723">
        <v>4394220</v>
      </c>
      <c r="I10" s="723">
        <v>15740538</v>
      </c>
      <c r="J10" s="724">
        <f>SUM(G10:I10)</f>
        <v>27603067</v>
      </c>
      <c r="K10" s="723">
        <v>15159201</v>
      </c>
      <c r="L10" s="723">
        <v>2958073</v>
      </c>
      <c r="M10" s="723">
        <v>12529566</v>
      </c>
      <c r="N10" s="724">
        <f>SUM(K10:M10)</f>
        <v>30646840</v>
      </c>
      <c r="O10" s="723">
        <v>8904234</v>
      </c>
      <c r="P10" s="723">
        <v>2945122</v>
      </c>
      <c r="Q10" s="723">
        <v>16464285</v>
      </c>
      <c r="R10" s="724">
        <f>SUM(O10:Q10)</f>
        <v>28313641</v>
      </c>
      <c r="S10" s="214">
        <v>13815717</v>
      </c>
      <c r="T10" s="214">
        <v>2998919</v>
      </c>
      <c r="U10" s="214">
        <v>14130739</v>
      </c>
      <c r="V10" s="724">
        <f>SUM(S10:U10)</f>
        <v>30945375</v>
      </c>
      <c r="W10" s="214">
        <v>9533374</v>
      </c>
      <c r="X10" s="214">
        <v>4254656</v>
      </c>
      <c r="Y10" s="214">
        <v>15993035</v>
      </c>
      <c r="Z10" s="724">
        <f>SUM(W10:Y10)</f>
        <v>29781065</v>
      </c>
      <c r="AA10" s="214">
        <v>8477782</v>
      </c>
      <c r="AB10" s="214">
        <v>2978218</v>
      </c>
      <c r="AC10" s="214">
        <v>15296050</v>
      </c>
      <c r="AD10" s="724">
        <f>SUM(AA10:AC10)</f>
        <v>26752050</v>
      </c>
      <c r="AE10" s="214">
        <v>9581496</v>
      </c>
      <c r="AF10" s="214">
        <v>2832335</v>
      </c>
      <c r="AG10" s="214">
        <v>17955634</v>
      </c>
      <c r="AH10" s="724">
        <f>SUM(AE10:AG10)</f>
        <v>30369465</v>
      </c>
      <c r="AI10" s="214">
        <v>12342806</v>
      </c>
      <c r="AJ10" s="214">
        <v>3811202</v>
      </c>
      <c r="AK10" s="214">
        <v>20243797</v>
      </c>
      <c r="AL10" s="724">
        <f>SUM(AI10:AK10)</f>
        <v>36397805</v>
      </c>
      <c r="AM10" s="214">
        <v>10195117</v>
      </c>
      <c r="AN10" s="214">
        <v>4314346</v>
      </c>
      <c r="AO10" s="214">
        <v>16608201</v>
      </c>
      <c r="AP10" s="724">
        <f>SUM(AM10:AO10)</f>
        <v>31117664</v>
      </c>
      <c r="AQ10" s="214">
        <v>8778459</v>
      </c>
      <c r="AR10" s="214">
        <v>3487275</v>
      </c>
      <c r="AS10" s="214">
        <v>16271887</v>
      </c>
      <c r="AT10" s="724">
        <f>SUM(AQ10:AS10)</f>
        <v>28537621</v>
      </c>
      <c r="AU10" s="214">
        <v>9050906</v>
      </c>
      <c r="AV10" s="214">
        <v>3783470</v>
      </c>
      <c r="AW10" s="214">
        <v>23517514</v>
      </c>
      <c r="AX10" s="724">
        <f>SUM(AU10:AW10)</f>
        <v>36351890</v>
      </c>
      <c r="AY10" s="725">
        <f>SUMIF($C$9:$AU$9,"Harkányi Közös Önkormányzati Hivatal",C10:AU10)</f>
        <v>121071007</v>
      </c>
      <c r="AZ10" s="725">
        <f t="shared" ref="AZ10:BA10" si="0">SUMIF($C$9:$AU$9,"Harkányi Közös Önkormányzati Hivatal",D10:AV10)</f>
        <v>41775486</v>
      </c>
      <c r="BA10" s="725">
        <f t="shared" si="0"/>
        <v>198944441</v>
      </c>
    </row>
    <row r="11" spans="1:53" s="598" customFormat="1" ht="36.75" customHeight="1" x14ac:dyDescent="0.25">
      <c r="A11" s="726" t="s">
        <v>191</v>
      </c>
      <c r="B11" s="727" t="s">
        <v>915</v>
      </c>
      <c r="C11" s="723">
        <v>1645649</v>
      </c>
      <c r="D11" s="723">
        <v>634499</v>
      </c>
      <c r="E11" s="214">
        <v>2863976</v>
      </c>
      <c r="F11" s="724">
        <f t="shared" ref="F11:F35" si="1">SUM(C11:E11)</f>
        <v>5144124</v>
      </c>
      <c r="G11" s="723">
        <v>1851665</v>
      </c>
      <c r="H11" s="723">
        <v>1106449</v>
      </c>
      <c r="I11" s="723">
        <v>5144608</v>
      </c>
      <c r="J11" s="724">
        <f t="shared" ref="J11:J35" si="2">SUM(G11:I11)</f>
        <v>8102722</v>
      </c>
      <c r="K11" s="723">
        <v>3016739</v>
      </c>
      <c r="L11" s="723">
        <v>602544</v>
      </c>
      <c r="M11" s="723">
        <v>3192572</v>
      </c>
      <c r="N11" s="724">
        <f t="shared" ref="N11:N35" si="3">SUM(K11:M11)</f>
        <v>6811855</v>
      </c>
      <c r="O11" s="723">
        <v>2220948</v>
      </c>
      <c r="P11" s="723">
        <v>539529</v>
      </c>
      <c r="Q11" s="723">
        <v>3954333</v>
      </c>
      <c r="R11" s="724">
        <f t="shared" ref="R11:R35" si="4">SUM(O11:Q11)</f>
        <v>6714810</v>
      </c>
      <c r="S11" s="723">
        <v>3049501</v>
      </c>
      <c r="T11" s="723">
        <v>554202</v>
      </c>
      <c r="U11" s="723">
        <v>3095778</v>
      </c>
      <c r="V11" s="724">
        <f t="shared" ref="V11:V35" si="5">SUM(S11:U11)</f>
        <v>6699481</v>
      </c>
      <c r="W11" s="214">
        <v>2066603</v>
      </c>
      <c r="X11" s="214">
        <v>777126</v>
      </c>
      <c r="Y11" s="214">
        <v>3233231</v>
      </c>
      <c r="Z11" s="724">
        <f t="shared" ref="Z11:Z35" si="6">SUM(W11:Y11)</f>
        <v>6076960</v>
      </c>
      <c r="AA11" s="214">
        <v>2238808</v>
      </c>
      <c r="AB11" s="214">
        <v>598447</v>
      </c>
      <c r="AC11" s="214">
        <v>4216378</v>
      </c>
      <c r="AD11" s="724">
        <f t="shared" ref="AD11:AD35" si="7">SUM(AA11:AC11)</f>
        <v>7053633</v>
      </c>
      <c r="AE11" s="214">
        <v>1718042</v>
      </c>
      <c r="AF11" s="214">
        <v>750053</v>
      </c>
      <c r="AG11" s="214">
        <v>3233520</v>
      </c>
      <c r="AH11" s="724">
        <f t="shared" ref="AH11:AH35" si="8">SUM(AE11:AG11)</f>
        <v>5701615</v>
      </c>
      <c r="AI11" s="214">
        <v>2196156</v>
      </c>
      <c r="AJ11" s="214">
        <v>559494</v>
      </c>
      <c r="AK11" s="214">
        <v>3141467</v>
      </c>
      <c r="AL11" s="724">
        <f t="shared" ref="AL11:AL35" si="9">SUM(AI11:AK11)</f>
        <v>5897117</v>
      </c>
      <c r="AM11" s="214">
        <v>1889652</v>
      </c>
      <c r="AN11" s="214">
        <v>1709785</v>
      </c>
      <c r="AO11" s="214">
        <v>4651644</v>
      </c>
      <c r="AP11" s="724">
        <f t="shared" ref="AP11:AP35" si="10">SUM(AM11:AO11)</f>
        <v>8251081</v>
      </c>
      <c r="AQ11" s="214">
        <v>2029890</v>
      </c>
      <c r="AR11" s="214">
        <v>593571</v>
      </c>
      <c r="AS11" s="214">
        <v>2898533</v>
      </c>
      <c r="AT11" s="724">
        <f t="shared" ref="AT11:AT35" si="11">SUM(AQ11:AS11)</f>
        <v>5521994</v>
      </c>
      <c r="AU11" s="214">
        <v>1345813</v>
      </c>
      <c r="AV11" s="214">
        <v>534506</v>
      </c>
      <c r="AW11" s="214">
        <v>3353786</v>
      </c>
      <c r="AX11" s="724">
        <f t="shared" ref="AX11:AX35" si="12">SUM(AU11:AW11)</f>
        <v>5234105</v>
      </c>
      <c r="AY11" s="725">
        <f t="shared" ref="AY11:AY35" si="13">SUMIF($C$9:$AU$9,"Harkányi Közös Önkormányzati Hivatal",C11:AU11)</f>
        <v>25269466</v>
      </c>
      <c r="AZ11" s="725">
        <f t="shared" ref="AZ11:AZ35" si="14">SUMIF($C$9:$AU$9,"Harkányi Közös Önkormányzati Hivatal",D11:AV11)</f>
        <v>8960205</v>
      </c>
      <c r="BA11" s="725">
        <f t="shared" ref="BA11:BA18" si="15">SUMIF($C$9:$AU$9,"Harkányi Közös Önkormányzati Hivatal",E11:AW11)</f>
        <v>42979826</v>
      </c>
    </row>
    <row r="12" spans="1:53" s="125" customFormat="1" ht="15" x14ac:dyDescent="0.25">
      <c r="A12" s="722" t="s">
        <v>198</v>
      </c>
      <c r="B12" s="722" t="s">
        <v>35</v>
      </c>
      <c r="C12" s="723">
        <v>1613696</v>
      </c>
      <c r="D12" s="723">
        <v>4525871</v>
      </c>
      <c r="E12" s="214">
        <v>14137749</v>
      </c>
      <c r="F12" s="724">
        <f t="shared" si="1"/>
        <v>20277316</v>
      </c>
      <c r="G12" s="723">
        <v>1656801</v>
      </c>
      <c r="H12" s="723">
        <v>4252445</v>
      </c>
      <c r="I12" s="723">
        <v>93291650</v>
      </c>
      <c r="J12" s="724">
        <f t="shared" si="2"/>
        <v>99200896</v>
      </c>
      <c r="K12" s="723">
        <v>2746630</v>
      </c>
      <c r="L12" s="723">
        <v>3683060</v>
      </c>
      <c r="M12" s="723">
        <v>13564741</v>
      </c>
      <c r="N12" s="724">
        <f t="shared" si="3"/>
        <v>19994431</v>
      </c>
      <c r="O12" s="723">
        <v>1310930</v>
      </c>
      <c r="P12" s="723">
        <v>3408264</v>
      </c>
      <c r="Q12" s="723">
        <v>16626550</v>
      </c>
      <c r="R12" s="724">
        <f t="shared" si="4"/>
        <v>21345744</v>
      </c>
      <c r="S12" s="723">
        <v>1638161</v>
      </c>
      <c r="T12" s="723">
        <v>3628759</v>
      </c>
      <c r="U12" s="723">
        <v>77527730</v>
      </c>
      <c r="V12" s="724">
        <f t="shared" si="5"/>
        <v>82794650</v>
      </c>
      <c r="W12" s="214">
        <v>1269953</v>
      </c>
      <c r="X12" s="214">
        <v>4504790</v>
      </c>
      <c r="Y12" s="214">
        <v>36537311</v>
      </c>
      <c r="Z12" s="724">
        <f t="shared" si="6"/>
        <v>42312054</v>
      </c>
      <c r="AA12" s="214">
        <v>1955734</v>
      </c>
      <c r="AB12" s="214">
        <v>6299732</v>
      </c>
      <c r="AC12" s="214">
        <v>34981701</v>
      </c>
      <c r="AD12" s="724">
        <f t="shared" si="7"/>
        <v>43237167</v>
      </c>
      <c r="AE12" s="214">
        <v>1657885</v>
      </c>
      <c r="AF12" s="214">
        <v>2313243</v>
      </c>
      <c r="AG12" s="214">
        <v>52414291</v>
      </c>
      <c r="AH12" s="724">
        <f t="shared" si="8"/>
        <v>56385419</v>
      </c>
      <c r="AI12" s="214">
        <v>1244923</v>
      </c>
      <c r="AJ12" s="214">
        <v>5710069</v>
      </c>
      <c r="AK12" s="214">
        <v>44377359</v>
      </c>
      <c r="AL12" s="724">
        <f t="shared" si="9"/>
        <v>51332351</v>
      </c>
      <c r="AM12" s="214">
        <v>1856367</v>
      </c>
      <c r="AN12" s="214">
        <f>10070326+209</f>
        <v>10070535</v>
      </c>
      <c r="AO12" s="214">
        <v>35311801</v>
      </c>
      <c r="AP12" s="724">
        <f t="shared" si="10"/>
        <v>47238703</v>
      </c>
      <c r="AQ12" s="214">
        <v>694891</v>
      </c>
      <c r="AR12" s="214">
        <v>2381176</v>
      </c>
      <c r="AS12" s="214">
        <v>58317625</v>
      </c>
      <c r="AT12" s="724">
        <f t="shared" si="11"/>
        <v>61393692</v>
      </c>
      <c r="AU12" s="214">
        <v>1319498</v>
      </c>
      <c r="AV12" s="214">
        <v>6190596</v>
      </c>
      <c r="AW12" s="214">
        <v>54574595</v>
      </c>
      <c r="AX12" s="724">
        <f t="shared" si="12"/>
        <v>62084689</v>
      </c>
      <c r="AY12" s="725">
        <f t="shared" si="13"/>
        <v>18965469</v>
      </c>
      <c r="AZ12" s="725">
        <f t="shared" si="14"/>
        <v>56968540</v>
      </c>
      <c r="BA12" s="725">
        <f t="shared" si="15"/>
        <v>531663103</v>
      </c>
    </row>
    <row r="13" spans="1:53" s="125" customFormat="1" ht="15" x14ac:dyDescent="0.25">
      <c r="A13" s="722" t="s">
        <v>227</v>
      </c>
      <c r="B13" s="722" t="s">
        <v>581</v>
      </c>
      <c r="C13" s="723"/>
      <c r="D13" s="723"/>
      <c r="E13" s="214">
        <v>238500</v>
      </c>
      <c r="F13" s="724">
        <f t="shared" si="1"/>
        <v>238500</v>
      </c>
      <c r="G13" s="723"/>
      <c r="H13" s="723"/>
      <c r="I13" s="723">
        <v>184500</v>
      </c>
      <c r="J13" s="724">
        <f t="shared" si="2"/>
        <v>184500</v>
      </c>
      <c r="K13" s="723"/>
      <c r="L13" s="723"/>
      <c r="M13" s="723">
        <v>360500</v>
      </c>
      <c r="N13" s="724">
        <f t="shared" si="3"/>
        <v>360500</v>
      </c>
      <c r="O13" s="723"/>
      <c r="P13" s="723"/>
      <c r="Q13" s="723">
        <v>386755</v>
      </c>
      <c r="R13" s="724">
        <f t="shared" si="4"/>
        <v>386755</v>
      </c>
      <c r="S13" s="723"/>
      <c r="T13" s="723"/>
      <c r="U13" s="723">
        <v>159000</v>
      </c>
      <c r="V13" s="724">
        <f t="shared" si="5"/>
        <v>159000</v>
      </c>
      <c r="W13" s="214"/>
      <c r="X13" s="214"/>
      <c r="Y13" s="214">
        <v>225000</v>
      </c>
      <c r="Z13" s="724">
        <f t="shared" si="6"/>
        <v>225000</v>
      </c>
      <c r="AA13" s="214"/>
      <c r="AB13" s="214"/>
      <c r="AC13" s="214">
        <v>272000</v>
      </c>
      <c r="AD13" s="724">
        <f t="shared" si="7"/>
        <v>272000</v>
      </c>
      <c r="AE13" s="214"/>
      <c r="AF13" s="214"/>
      <c r="AG13" s="214">
        <v>210000</v>
      </c>
      <c r="AH13" s="724">
        <f t="shared" si="8"/>
        <v>210000</v>
      </c>
      <c r="AI13" s="214"/>
      <c r="AJ13" s="214"/>
      <c r="AK13" s="214">
        <v>187000</v>
      </c>
      <c r="AL13" s="724">
        <f t="shared" si="9"/>
        <v>187000</v>
      </c>
      <c r="AM13" s="214"/>
      <c r="AN13" s="214"/>
      <c r="AO13" s="214">
        <v>353000</v>
      </c>
      <c r="AP13" s="724">
        <f t="shared" si="10"/>
        <v>353000</v>
      </c>
      <c r="AQ13" s="214"/>
      <c r="AR13" s="214"/>
      <c r="AS13" s="214">
        <v>110000</v>
      </c>
      <c r="AT13" s="724">
        <f t="shared" si="11"/>
        <v>110000</v>
      </c>
      <c r="AU13" s="214"/>
      <c r="AV13" s="214"/>
      <c r="AW13" s="214">
        <v>2465047</v>
      </c>
      <c r="AX13" s="724">
        <f t="shared" si="12"/>
        <v>2465047</v>
      </c>
      <c r="AY13" s="725">
        <f t="shared" si="13"/>
        <v>0</v>
      </c>
      <c r="AZ13" s="725">
        <f t="shared" si="14"/>
        <v>0</v>
      </c>
      <c r="BA13" s="725">
        <f t="shared" si="15"/>
        <v>5151302</v>
      </c>
    </row>
    <row r="14" spans="1:53" s="125" customFormat="1" ht="15" x14ac:dyDescent="0.25">
      <c r="A14" s="722" t="s">
        <v>228</v>
      </c>
      <c r="B14" s="722" t="s">
        <v>37</v>
      </c>
      <c r="C14" s="723"/>
      <c r="D14" s="723"/>
      <c r="E14" s="214">
        <v>35450677</v>
      </c>
      <c r="F14" s="724">
        <f t="shared" si="1"/>
        <v>35450677</v>
      </c>
      <c r="G14" s="723"/>
      <c r="H14" s="723"/>
      <c r="I14" s="723">
        <v>35452863</v>
      </c>
      <c r="J14" s="724">
        <f t="shared" si="2"/>
        <v>35452863</v>
      </c>
      <c r="K14" s="723"/>
      <c r="L14" s="723"/>
      <c r="M14" s="723">
        <v>35984548</v>
      </c>
      <c r="N14" s="724">
        <f t="shared" si="3"/>
        <v>35984548</v>
      </c>
      <c r="O14" s="723"/>
      <c r="P14" s="723"/>
      <c r="Q14" s="723">
        <v>46748845</v>
      </c>
      <c r="R14" s="724">
        <f t="shared" si="4"/>
        <v>46748845</v>
      </c>
      <c r="S14" s="214"/>
      <c r="T14" s="214"/>
      <c r="U14" s="214">
        <v>34415322</v>
      </c>
      <c r="V14" s="724">
        <f t="shared" si="5"/>
        <v>34415322</v>
      </c>
      <c r="W14" s="214"/>
      <c r="X14" s="214"/>
      <c r="Y14" s="214">
        <v>36827569</v>
      </c>
      <c r="Z14" s="724">
        <f t="shared" si="6"/>
        <v>36827569</v>
      </c>
      <c r="AA14" s="214"/>
      <c r="AB14" s="214"/>
      <c r="AC14" s="214">
        <v>46060335</v>
      </c>
      <c r="AD14" s="724">
        <f t="shared" si="7"/>
        <v>46060335</v>
      </c>
      <c r="AE14" s="214"/>
      <c r="AF14" s="214"/>
      <c r="AG14" s="214">
        <v>33471698</v>
      </c>
      <c r="AH14" s="724">
        <f t="shared" si="8"/>
        <v>33471698</v>
      </c>
      <c r="AI14" s="214"/>
      <c r="AJ14" s="214"/>
      <c r="AK14" s="214">
        <v>39825304</v>
      </c>
      <c r="AL14" s="724">
        <f t="shared" si="9"/>
        <v>39825304</v>
      </c>
      <c r="AM14" s="214"/>
      <c r="AN14" s="214"/>
      <c r="AO14" s="214">
        <f>52396899-2203265</f>
        <v>50193634</v>
      </c>
      <c r="AP14" s="724">
        <f t="shared" si="10"/>
        <v>50193634</v>
      </c>
      <c r="AQ14" s="214"/>
      <c r="AR14" s="214"/>
      <c r="AS14" s="214">
        <f>20972733</f>
        <v>20972733</v>
      </c>
      <c r="AT14" s="724">
        <f t="shared" si="11"/>
        <v>20972733</v>
      </c>
      <c r="AU14" s="214"/>
      <c r="AV14" s="214"/>
      <c r="AW14" s="214">
        <v>39240281</v>
      </c>
      <c r="AX14" s="724">
        <f t="shared" si="12"/>
        <v>39240281</v>
      </c>
      <c r="AY14" s="725">
        <f t="shared" si="13"/>
        <v>0</v>
      </c>
      <c r="AZ14" s="725">
        <f t="shared" si="14"/>
        <v>0</v>
      </c>
      <c r="BA14" s="725">
        <f t="shared" si="15"/>
        <v>454643809</v>
      </c>
    </row>
    <row r="15" spans="1:53" s="125" customFormat="1" ht="15" x14ac:dyDescent="0.25">
      <c r="A15" s="722" t="s">
        <v>241</v>
      </c>
      <c r="B15" s="722" t="s">
        <v>38</v>
      </c>
      <c r="C15" s="723"/>
      <c r="D15" s="723">
        <v>372370</v>
      </c>
      <c r="E15" s="214">
        <v>258576012</v>
      </c>
      <c r="F15" s="724">
        <f t="shared" si="1"/>
        <v>258948382</v>
      </c>
      <c r="G15" s="723">
        <v>467365</v>
      </c>
      <c r="H15" s="723">
        <v>182463</v>
      </c>
      <c r="I15" s="723">
        <v>762551</v>
      </c>
      <c r="J15" s="724">
        <f t="shared" si="2"/>
        <v>1412379</v>
      </c>
      <c r="K15" s="723">
        <v>1560939</v>
      </c>
      <c r="L15" s="723"/>
      <c r="M15" s="723">
        <v>2537884</v>
      </c>
      <c r="N15" s="724">
        <f t="shared" si="3"/>
        <v>4098823</v>
      </c>
      <c r="O15" s="723">
        <v>105060</v>
      </c>
      <c r="P15" s="723">
        <v>358035</v>
      </c>
      <c r="Q15" s="723">
        <v>282934443</v>
      </c>
      <c r="R15" s="724">
        <f t="shared" si="4"/>
        <v>283397538</v>
      </c>
      <c r="S15" s="214">
        <v>812639</v>
      </c>
      <c r="T15" s="214">
        <v>923375</v>
      </c>
      <c r="U15" s="214">
        <v>4235458</v>
      </c>
      <c r="V15" s="724">
        <f t="shared" si="5"/>
        <v>5971472</v>
      </c>
      <c r="W15" s="214"/>
      <c r="X15" s="214">
        <v>865885</v>
      </c>
      <c r="Y15" s="214">
        <v>23218880</v>
      </c>
      <c r="Z15" s="724">
        <f t="shared" si="6"/>
        <v>24084765</v>
      </c>
      <c r="AA15" s="214"/>
      <c r="AB15" s="214">
        <v>6653151</v>
      </c>
      <c r="AC15" s="214">
        <v>215441094</v>
      </c>
      <c r="AD15" s="724">
        <f t="shared" si="7"/>
        <v>222094245</v>
      </c>
      <c r="AE15" s="214">
        <v>548250</v>
      </c>
      <c r="AF15" s="214">
        <v>320686</v>
      </c>
      <c r="AG15" s="214">
        <v>1569734</v>
      </c>
      <c r="AH15" s="724">
        <f t="shared" si="8"/>
        <v>2438670</v>
      </c>
      <c r="AI15" s="214">
        <v>255080</v>
      </c>
      <c r="AJ15" s="214">
        <v>356640</v>
      </c>
      <c r="AK15" s="214">
        <v>194308509</v>
      </c>
      <c r="AL15" s="724">
        <f t="shared" si="9"/>
        <v>194920229</v>
      </c>
      <c r="AM15" s="214">
        <v>289800</v>
      </c>
      <c r="AN15" s="214">
        <v>312640</v>
      </c>
      <c r="AO15" s="214">
        <v>278688911</v>
      </c>
      <c r="AP15" s="724">
        <f t="shared" si="10"/>
        <v>279291351</v>
      </c>
      <c r="AQ15" s="214">
        <v>1408240</v>
      </c>
      <c r="AR15" s="214">
        <f>35980+99900</f>
        <v>135880</v>
      </c>
      <c r="AS15" s="214">
        <v>35917235</v>
      </c>
      <c r="AT15" s="724">
        <f t="shared" si="11"/>
        <v>37461355</v>
      </c>
      <c r="AU15" s="214"/>
      <c r="AV15" s="214">
        <v>662900</v>
      </c>
      <c r="AW15" s="214">
        <v>221561828</v>
      </c>
      <c r="AX15" s="724">
        <f t="shared" si="12"/>
        <v>222224728</v>
      </c>
      <c r="AY15" s="725">
        <f t="shared" si="13"/>
        <v>5447373</v>
      </c>
      <c r="AZ15" s="725">
        <f t="shared" si="14"/>
        <v>11144025</v>
      </c>
      <c r="BA15" s="725">
        <f t="shared" si="15"/>
        <v>1519752539</v>
      </c>
    </row>
    <row r="16" spans="1:53" s="125" customFormat="1" ht="15" x14ac:dyDescent="0.25">
      <c r="A16" s="722" t="s">
        <v>244</v>
      </c>
      <c r="B16" s="722" t="s">
        <v>39</v>
      </c>
      <c r="C16" s="723"/>
      <c r="D16" s="723"/>
      <c r="E16" s="214">
        <v>36567110</v>
      </c>
      <c r="F16" s="724">
        <f t="shared" si="1"/>
        <v>36567110</v>
      </c>
      <c r="G16" s="723"/>
      <c r="H16" s="723"/>
      <c r="I16" s="723">
        <v>6532006</v>
      </c>
      <c r="J16" s="724">
        <f t="shared" si="2"/>
        <v>6532006</v>
      </c>
      <c r="K16" s="723"/>
      <c r="L16" s="723"/>
      <c r="M16" s="723">
        <v>4121258</v>
      </c>
      <c r="N16" s="724">
        <f t="shared" si="3"/>
        <v>4121258</v>
      </c>
      <c r="O16" s="723"/>
      <c r="P16" s="723"/>
      <c r="Q16" s="723">
        <v>5238142</v>
      </c>
      <c r="R16" s="724">
        <f t="shared" si="4"/>
        <v>5238142</v>
      </c>
      <c r="S16" s="214"/>
      <c r="T16" s="214"/>
      <c r="U16" s="214">
        <v>12527048</v>
      </c>
      <c r="V16" s="724">
        <f t="shared" si="5"/>
        <v>12527048</v>
      </c>
      <c r="W16" s="214"/>
      <c r="X16" s="214"/>
      <c r="Y16" s="214">
        <v>6563331</v>
      </c>
      <c r="Z16" s="724">
        <f t="shared" si="6"/>
        <v>6563331</v>
      </c>
      <c r="AA16" s="214"/>
      <c r="AB16" s="214"/>
      <c r="AC16" s="214">
        <v>10940834</v>
      </c>
      <c r="AD16" s="724">
        <f t="shared" si="7"/>
        <v>10940834</v>
      </c>
      <c r="AE16" s="214"/>
      <c r="AF16" s="214"/>
      <c r="AG16" s="214">
        <v>4951532</v>
      </c>
      <c r="AH16" s="724">
        <f t="shared" si="8"/>
        <v>4951532</v>
      </c>
      <c r="AI16" s="214"/>
      <c r="AJ16" s="214"/>
      <c r="AK16" s="214">
        <v>55183723</v>
      </c>
      <c r="AL16" s="724">
        <f t="shared" si="9"/>
        <v>55183723</v>
      </c>
      <c r="AM16" s="214"/>
      <c r="AN16" s="214"/>
      <c r="AO16" s="214">
        <f>90951844-563</f>
        <v>90951281</v>
      </c>
      <c r="AP16" s="724">
        <f t="shared" si="10"/>
        <v>90951281</v>
      </c>
      <c r="AQ16" s="214"/>
      <c r="AR16" s="214"/>
      <c r="AS16" s="214">
        <v>59370765</v>
      </c>
      <c r="AT16" s="724">
        <f t="shared" si="11"/>
        <v>59370765</v>
      </c>
      <c r="AU16" s="214"/>
      <c r="AV16" s="214">
        <v>254000</v>
      </c>
      <c r="AW16" s="214">
        <v>63710685</v>
      </c>
      <c r="AX16" s="724">
        <f t="shared" si="12"/>
        <v>63964685</v>
      </c>
      <c r="AY16" s="725">
        <f t="shared" si="13"/>
        <v>0</v>
      </c>
      <c r="AZ16" s="725">
        <f t="shared" si="14"/>
        <v>254000</v>
      </c>
      <c r="BA16" s="725">
        <f t="shared" si="15"/>
        <v>356657715</v>
      </c>
    </row>
    <row r="17" spans="1:53" s="125" customFormat="1" ht="15" x14ac:dyDescent="0.25">
      <c r="A17" s="722" t="s">
        <v>247</v>
      </c>
      <c r="B17" s="722" t="s">
        <v>627</v>
      </c>
      <c r="C17" s="723"/>
      <c r="D17" s="723"/>
      <c r="E17" s="214"/>
      <c r="F17" s="724">
        <f t="shared" si="1"/>
        <v>0</v>
      </c>
      <c r="G17" s="723"/>
      <c r="H17" s="723"/>
      <c r="I17" s="723"/>
      <c r="J17" s="724">
        <f t="shared" si="2"/>
        <v>0</v>
      </c>
      <c r="K17" s="723"/>
      <c r="L17" s="723"/>
      <c r="M17" s="723"/>
      <c r="N17" s="724">
        <f t="shared" si="3"/>
        <v>0</v>
      </c>
      <c r="O17" s="723"/>
      <c r="P17" s="723"/>
      <c r="Q17" s="723"/>
      <c r="R17" s="724">
        <f t="shared" si="4"/>
        <v>0</v>
      </c>
      <c r="S17" s="214"/>
      <c r="T17" s="214"/>
      <c r="U17" s="214">
        <v>2912000</v>
      </c>
      <c r="V17" s="724">
        <f t="shared" si="5"/>
        <v>2912000</v>
      </c>
      <c r="W17" s="214"/>
      <c r="X17" s="214"/>
      <c r="Y17" s="214"/>
      <c r="Z17" s="724">
        <f t="shared" si="6"/>
        <v>0</v>
      </c>
      <c r="AA17" s="214"/>
      <c r="AB17" s="214"/>
      <c r="AC17" s="214">
        <v>5122863</v>
      </c>
      <c r="AD17" s="724">
        <f t="shared" si="7"/>
        <v>5122863</v>
      </c>
      <c r="AE17" s="214"/>
      <c r="AF17" s="214"/>
      <c r="AG17" s="214"/>
      <c r="AH17" s="724">
        <f t="shared" si="8"/>
        <v>0</v>
      </c>
      <c r="AI17" s="214"/>
      <c r="AJ17" s="214"/>
      <c r="AK17" s="214"/>
      <c r="AL17" s="724">
        <f t="shared" si="9"/>
        <v>0</v>
      </c>
      <c r="AM17" s="214"/>
      <c r="AN17" s="214"/>
      <c r="AO17" s="214"/>
      <c r="AP17" s="724">
        <f t="shared" si="10"/>
        <v>0</v>
      </c>
      <c r="AQ17" s="214"/>
      <c r="AR17" s="214"/>
      <c r="AS17" s="214">
        <v>2000000</v>
      </c>
      <c r="AT17" s="724">
        <f t="shared" si="11"/>
        <v>2000000</v>
      </c>
      <c r="AU17" s="214"/>
      <c r="AV17" s="214"/>
      <c r="AW17" s="214">
        <v>18579904</v>
      </c>
      <c r="AX17" s="724">
        <f t="shared" si="12"/>
        <v>18579904</v>
      </c>
      <c r="AY17" s="725">
        <f t="shared" si="13"/>
        <v>0</v>
      </c>
      <c r="AZ17" s="725">
        <f t="shared" si="14"/>
        <v>0</v>
      </c>
      <c r="BA17" s="725">
        <f t="shared" si="15"/>
        <v>28614767</v>
      </c>
    </row>
    <row r="18" spans="1:53" s="730" customFormat="1" ht="14.25" x14ac:dyDescent="0.2">
      <c r="A18" s="728"/>
      <c r="B18" s="728" t="s">
        <v>249</v>
      </c>
      <c r="C18" s="729">
        <f t="shared" ref="C18:L18" si="16">SUM(C10:C16)</f>
        <v>11022951</v>
      </c>
      <c r="D18" s="729">
        <f t="shared" si="16"/>
        <v>8550390</v>
      </c>
      <c r="E18" s="729">
        <f t="shared" si="16"/>
        <v>362027219</v>
      </c>
      <c r="F18" s="724">
        <f t="shared" si="1"/>
        <v>381600560</v>
      </c>
      <c r="G18" s="729">
        <f t="shared" si="16"/>
        <v>11444140</v>
      </c>
      <c r="H18" s="729">
        <f t="shared" si="16"/>
        <v>9935577</v>
      </c>
      <c r="I18" s="729">
        <f>SUM(I10:I17)</f>
        <v>157108716</v>
      </c>
      <c r="J18" s="724">
        <f t="shared" si="2"/>
        <v>178488433</v>
      </c>
      <c r="K18" s="729">
        <f t="shared" si="16"/>
        <v>22483509</v>
      </c>
      <c r="L18" s="729">
        <f t="shared" si="16"/>
        <v>7243677</v>
      </c>
      <c r="M18" s="729">
        <f>SUM(M10:M17)</f>
        <v>72291069</v>
      </c>
      <c r="N18" s="724">
        <f t="shared" si="3"/>
        <v>102018255</v>
      </c>
      <c r="O18" s="729">
        <f>SUM(O10:O16)</f>
        <v>12541172</v>
      </c>
      <c r="P18" s="729">
        <f>SUM(P10:P16)</f>
        <v>7250950</v>
      </c>
      <c r="Q18" s="729">
        <f>SUM(Q10:Q16)</f>
        <v>372353353</v>
      </c>
      <c r="R18" s="724">
        <f t="shared" si="4"/>
        <v>392145475</v>
      </c>
      <c r="S18" s="729">
        <f>SUM(S10:S16)</f>
        <v>19316018</v>
      </c>
      <c r="T18" s="729">
        <f>SUM(T10:T16)</f>
        <v>8105255</v>
      </c>
      <c r="U18" s="729">
        <f>SUM(U10:U17)</f>
        <v>149003075</v>
      </c>
      <c r="V18" s="724">
        <f t="shared" si="5"/>
        <v>176424348</v>
      </c>
      <c r="W18" s="729">
        <f>SUM(W10:W16)</f>
        <v>12869930</v>
      </c>
      <c r="X18" s="729">
        <f>SUM(X10:X16)</f>
        <v>10402457</v>
      </c>
      <c r="Y18" s="729">
        <f>SUM(Y10:Y17)</f>
        <v>122598357</v>
      </c>
      <c r="Z18" s="724">
        <f t="shared" si="6"/>
        <v>145870744</v>
      </c>
      <c r="AA18" s="729">
        <f>SUM(AA10:AA16)</f>
        <v>12672324</v>
      </c>
      <c r="AB18" s="729">
        <f>SUM(AB10:AB16)</f>
        <v>16529548</v>
      </c>
      <c r="AC18" s="729">
        <f>SUM(AC10:AC17)</f>
        <v>332331255</v>
      </c>
      <c r="AD18" s="724">
        <f t="shared" si="7"/>
        <v>361533127</v>
      </c>
      <c r="AE18" s="729">
        <f t="shared" ref="AE18:AV18" si="17">SUM(AE10:AE16)</f>
        <v>13505673</v>
      </c>
      <c r="AF18" s="729">
        <f t="shared" si="17"/>
        <v>6216317</v>
      </c>
      <c r="AG18" s="729">
        <f t="shared" si="17"/>
        <v>113806409</v>
      </c>
      <c r="AH18" s="724">
        <f t="shared" si="8"/>
        <v>133528399</v>
      </c>
      <c r="AI18" s="729">
        <f t="shared" si="17"/>
        <v>16038965</v>
      </c>
      <c r="AJ18" s="729">
        <f t="shared" si="17"/>
        <v>10437405</v>
      </c>
      <c r="AK18" s="729">
        <f t="shared" si="17"/>
        <v>357267159</v>
      </c>
      <c r="AL18" s="724">
        <f t="shared" si="9"/>
        <v>383743529</v>
      </c>
      <c r="AM18" s="729">
        <f t="shared" si="17"/>
        <v>14230936</v>
      </c>
      <c r="AN18" s="729">
        <f t="shared" si="17"/>
        <v>16407306</v>
      </c>
      <c r="AO18" s="729">
        <f t="shared" si="17"/>
        <v>476758472</v>
      </c>
      <c r="AP18" s="724">
        <f t="shared" si="10"/>
        <v>507396714</v>
      </c>
      <c r="AQ18" s="729">
        <f t="shared" si="17"/>
        <v>12911480</v>
      </c>
      <c r="AR18" s="729">
        <f t="shared" si="17"/>
        <v>6597902</v>
      </c>
      <c r="AS18" s="729">
        <f>SUM(AS10:AS17)</f>
        <v>195858778</v>
      </c>
      <c r="AT18" s="724">
        <f t="shared" si="11"/>
        <v>215368160</v>
      </c>
      <c r="AU18" s="729">
        <f t="shared" si="17"/>
        <v>11716217</v>
      </c>
      <c r="AV18" s="729">
        <f t="shared" si="17"/>
        <v>11425472</v>
      </c>
      <c r="AW18" s="729">
        <f>SUM(AW10:AW17)</f>
        <v>427003640</v>
      </c>
      <c r="AX18" s="724">
        <f t="shared" si="12"/>
        <v>450145329</v>
      </c>
      <c r="AY18" s="725">
        <f t="shared" si="13"/>
        <v>170753315</v>
      </c>
      <c r="AZ18" s="725">
        <f t="shared" si="14"/>
        <v>119102256</v>
      </c>
      <c r="BA18" s="725">
        <f t="shared" si="15"/>
        <v>3138407502</v>
      </c>
    </row>
    <row r="19" spans="1:53" s="125" customFormat="1" ht="15.75" customHeight="1" x14ac:dyDescent="0.25">
      <c r="A19" s="722" t="s">
        <v>250</v>
      </c>
      <c r="B19" s="722" t="s">
        <v>251</v>
      </c>
      <c r="C19" s="723"/>
      <c r="D19" s="723"/>
      <c r="E19" s="723">
        <f>21793235-3263096</f>
        <v>18530139</v>
      </c>
      <c r="F19" s="724">
        <f t="shared" si="1"/>
        <v>18530139</v>
      </c>
      <c r="G19" s="723"/>
      <c r="H19" s="723"/>
      <c r="I19" s="723">
        <v>19481898</v>
      </c>
      <c r="J19" s="724">
        <f t="shared" si="2"/>
        <v>19481898</v>
      </c>
      <c r="K19" s="723"/>
      <c r="L19" s="723"/>
      <c r="M19" s="723">
        <v>29355152</v>
      </c>
      <c r="N19" s="724">
        <f t="shared" si="3"/>
        <v>29355152</v>
      </c>
      <c r="O19" s="723"/>
      <c r="P19" s="723"/>
      <c r="Q19" s="723">
        <v>22730138</v>
      </c>
      <c r="R19" s="724">
        <f t="shared" si="4"/>
        <v>22730138</v>
      </c>
      <c r="S19" s="723"/>
      <c r="T19" s="723"/>
      <c r="U19" s="723">
        <v>23020650</v>
      </c>
      <c r="V19" s="724">
        <f t="shared" si="5"/>
        <v>23020650</v>
      </c>
      <c r="W19" s="723"/>
      <c r="X19" s="723"/>
      <c r="Y19" s="723">
        <v>21250774</v>
      </c>
      <c r="Z19" s="724">
        <f t="shared" si="6"/>
        <v>21250774</v>
      </c>
      <c r="AA19" s="723"/>
      <c r="AB19" s="723"/>
      <c r="AC19" s="723">
        <v>27498472</v>
      </c>
      <c r="AD19" s="724">
        <f t="shared" si="7"/>
        <v>27498472</v>
      </c>
      <c r="AE19" s="723"/>
      <c r="AF19" s="723"/>
      <c r="AG19" s="723">
        <v>23532218</v>
      </c>
      <c r="AH19" s="724">
        <f t="shared" si="8"/>
        <v>23532218</v>
      </c>
      <c r="AI19" s="723"/>
      <c r="AJ19" s="723"/>
      <c r="AK19" s="723">
        <v>20304143</v>
      </c>
      <c r="AL19" s="724">
        <f t="shared" si="9"/>
        <v>20304143</v>
      </c>
      <c r="AM19" s="723"/>
      <c r="AN19" s="723"/>
      <c r="AO19" s="723">
        <v>29571844</v>
      </c>
      <c r="AP19" s="724">
        <f t="shared" si="10"/>
        <v>29571844</v>
      </c>
      <c r="AQ19" s="723"/>
      <c r="AR19" s="723"/>
      <c r="AS19" s="723">
        <v>13516635</v>
      </c>
      <c r="AT19" s="724">
        <f t="shared" si="11"/>
        <v>13516635</v>
      </c>
      <c r="AU19" s="723"/>
      <c r="AV19" s="723"/>
      <c r="AW19" s="723">
        <v>19284871</v>
      </c>
      <c r="AX19" s="724">
        <f t="shared" si="12"/>
        <v>19284871</v>
      </c>
      <c r="AY19" s="725">
        <f t="shared" si="13"/>
        <v>0</v>
      </c>
      <c r="AZ19" s="725">
        <f t="shared" si="14"/>
        <v>0</v>
      </c>
      <c r="BA19" s="725">
        <f ca="1">SUMIF($C$9:$AX$9,"Harkányi Közös Önkormányzati Hivatal",E19:AW19)</f>
        <v>268076934</v>
      </c>
    </row>
    <row r="20" spans="1:53" s="730" customFormat="1" ht="14.25" x14ac:dyDescent="0.2">
      <c r="A20" s="728"/>
      <c r="B20" s="728" t="s">
        <v>251</v>
      </c>
      <c r="C20" s="729">
        <f t="shared" ref="C20:AW20" si="18">SUM(C19:C19)</f>
        <v>0</v>
      </c>
      <c r="D20" s="729">
        <f t="shared" si="18"/>
        <v>0</v>
      </c>
      <c r="E20" s="729">
        <f t="shared" si="18"/>
        <v>18530139</v>
      </c>
      <c r="F20" s="724">
        <f t="shared" si="1"/>
        <v>18530139</v>
      </c>
      <c r="G20" s="729">
        <f t="shared" si="18"/>
        <v>0</v>
      </c>
      <c r="H20" s="729">
        <f t="shared" si="18"/>
        <v>0</v>
      </c>
      <c r="I20" s="729">
        <f t="shared" si="18"/>
        <v>19481898</v>
      </c>
      <c r="J20" s="724">
        <f t="shared" si="2"/>
        <v>19481898</v>
      </c>
      <c r="K20" s="729">
        <f t="shared" si="18"/>
        <v>0</v>
      </c>
      <c r="L20" s="729">
        <f t="shared" si="18"/>
        <v>0</v>
      </c>
      <c r="M20" s="729">
        <f t="shared" si="18"/>
        <v>29355152</v>
      </c>
      <c r="N20" s="724">
        <f t="shared" si="3"/>
        <v>29355152</v>
      </c>
      <c r="O20" s="729">
        <f t="shared" si="18"/>
        <v>0</v>
      </c>
      <c r="P20" s="729">
        <f t="shared" si="18"/>
        <v>0</v>
      </c>
      <c r="Q20" s="729">
        <f t="shared" si="18"/>
        <v>22730138</v>
      </c>
      <c r="R20" s="724">
        <f t="shared" si="4"/>
        <v>22730138</v>
      </c>
      <c r="S20" s="729">
        <f t="shared" si="18"/>
        <v>0</v>
      </c>
      <c r="T20" s="729">
        <f t="shared" si="18"/>
        <v>0</v>
      </c>
      <c r="U20" s="729">
        <f t="shared" si="18"/>
        <v>23020650</v>
      </c>
      <c r="V20" s="724">
        <f t="shared" si="5"/>
        <v>23020650</v>
      </c>
      <c r="W20" s="729">
        <f t="shared" si="18"/>
        <v>0</v>
      </c>
      <c r="X20" s="729">
        <f t="shared" si="18"/>
        <v>0</v>
      </c>
      <c r="Y20" s="729">
        <f t="shared" si="18"/>
        <v>21250774</v>
      </c>
      <c r="Z20" s="724">
        <f t="shared" si="6"/>
        <v>21250774</v>
      </c>
      <c r="AA20" s="729">
        <f t="shared" si="18"/>
        <v>0</v>
      </c>
      <c r="AB20" s="729">
        <f t="shared" si="18"/>
        <v>0</v>
      </c>
      <c r="AC20" s="729">
        <f t="shared" si="18"/>
        <v>27498472</v>
      </c>
      <c r="AD20" s="724">
        <f t="shared" si="7"/>
        <v>27498472</v>
      </c>
      <c r="AE20" s="729">
        <f t="shared" si="18"/>
        <v>0</v>
      </c>
      <c r="AF20" s="729">
        <f t="shared" si="18"/>
        <v>0</v>
      </c>
      <c r="AG20" s="729">
        <f t="shared" si="18"/>
        <v>23532218</v>
      </c>
      <c r="AH20" s="724">
        <f t="shared" si="8"/>
        <v>23532218</v>
      </c>
      <c r="AI20" s="729">
        <f t="shared" si="18"/>
        <v>0</v>
      </c>
      <c r="AJ20" s="729">
        <f t="shared" si="18"/>
        <v>0</v>
      </c>
      <c r="AK20" s="729">
        <f t="shared" si="18"/>
        <v>20304143</v>
      </c>
      <c r="AL20" s="724">
        <f t="shared" si="9"/>
        <v>20304143</v>
      </c>
      <c r="AM20" s="729">
        <f t="shared" si="18"/>
        <v>0</v>
      </c>
      <c r="AN20" s="729">
        <f t="shared" si="18"/>
        <v>0</v>
      </c>
      <c r="AO20" s="729">
        <f t="shared" si="18"/>
        <v>29571844</v>
      </c>
      <c r="AP20" s="724">
        <f t="shared" si="10"/>
        <v>29571844</v>
      </c>
      <c r="AQ20" s="729">
        <f t="shared" si="18"/>
        <v>0</v>
      </c>
      <c r="AR20" s="729">
        <f t="shared" si="18"/>
        <v>0</v>
      </c>
      <c r="AS20" s="729">
        <f t="shared" si="18"/>
        <v>13516635</v>
      </c>
      <c r="AT20" s="724">
        <f t="shared" si="11"/>
        <v>13516635</v>
      </c>
      <c r="AU20" s="729">
        <f t="shared" si="18"/>
        <v>0</v>
      </c>
      <c r="AV20" s="729">
        <f t="shared" si="18"/>
        <v>0</v>
      </c>
      <c r="AW20" s="729">
        <f t="shared" si="18"/>
        <v>19284871</v>
      </c>
      <c r="AX20" s="724">
        <f t="shared" si="12"/>
        <v>19284871</v>
      </c>
      <c r="AY20" s="725">
        <f t="shared" si="13"/>
        <v>0</v>
      </c>
      <c r="AZ20" s="725">
        <f t="shared" si="14"/>
        <v>0</v>
      </c>
      <c r="BA20" s="725">
        <f t="shared" ref="BA20:BA35" si="19">SUMIF($C$9:$AU$9,"Harkányi Közös Önkormányzati Hivatal",E20:AW20)</f>
        <v>268076934</v>
      </c>
    </row>
    <row r="21" spans="1:53" s="733" customFormat="1" ht="15" x14ac:dyDescent="0.25">
      <c r="A21" s="731"/>
      <c r="B21" s="731" t="s">
        <v>916</v>
      </c>
      <c r="C21" s="732">
        <f t="shared" ref="C21:AW21" si="20">C20+C18</f>
        <v>11022951</v>
      </c>
      <c r="D21" s="732">
        <f t="shared" si="20"/>
        <v>8550390</v>
      </c>
      <c r="E21" s="732">
        <f t="shared" si="20"/>
        <v>380557358</v>
      </c>
      <c r="F21" s="724">
        <f t="shared" si="1"/>
        <v>400130699</v>
      </c>
      <c r="G21" s="732">
        <f t="shared" si="20"/>
        <v>11444140</v>
      </c>
      <c r="H21" s="732">
        <f t="shared" si="20"/>
        <v>9935577</v>
      </c>
      <c r="I21" s="732">
        <f t="shared" si="20"/>
        <v>176590614</v>
      </c>
      <c r="J21" s="724">
        <f t="shared" si="2"/>
        <v>197970331</v>
      </c>
      <c r="K21" s="732">
        <f t="shared" si="20"/>
        <v>22483509</v>
      </c>
      <c r="L21" s="732">
        <f t="shared" si="20"/>
        <v>7243677</v>
      </c>
      <c r="M21" s="732">
        <f t="shared" si="20"/>
        <v>101646221</v>
      </c>
      <c r="N21" s="724">
        <f t="shared" si="3"/>
        <v>131373407</v>
      </c>
      <c r="O21" s="732">
        <f t="shared" si="20"/>
        <v>12541172</v>
      </c>
      <c r="P21" s="732">
        <f t="shared" si="20"/>
        <v>7250950</v>
      </c>
      <c r="Q21" s="732">
        <f t="shared" si="20"/>
        <v>395083491</v>
      </c>
      <c r="R21" s="724">
        <f t="shared" si="4"/>
        <v>414875613</v>
      </c>
      <c r="S21" s="732">
        <f t="shared" si="20"/>
        <v>19316018</v>
      </c>
      <c r="T21" s="732">
        <f t="shared" si="20"/>
        <v>8105255</v>
      </c>
      <c r="U21" s="732">
        <f t="shared" si="20"/>
        <v>172023725</v>
      </c>
      <c r="V21" s="724">
        <f t="shared" si="5"/>
        <v>199444998</v>
      </c>
      <c r="W21" s="732">
        <f t="shared" si="20"/>
        <v>12869930</v>
      </c>
      <c r="X21" s="732">
        <f t="shared" si="20"/>
        <v>10402457</v>
      </c>
      <c r="Y21" s="732">
        <f t="shared" si="20"/>
        <v>143849131</v>
      </c>
      <c r="Z21" s="724">
        <f t="shared" si="6"/>
        <v>167121518</v>
      </c>
      <c r="AA21" s="732">
        <f t="shared" si="20"/>
        <v>12672324</v>
      </c>
      <c r="AB21" s="732">
        <f t="shared" si="20"/>
        <v>16529548</v>
      </c>
      <c r="AC21" s="732">
        <f t="shared" si="20"/>
        <v>359829727</v>
      </c>
      <c r="AD21" s="724">
        <f t="shared" si="7"/>
        <v>389031599</v>
      </c>
      <c r="AE21" s="732">
        <f t="shared" si="20"/>
        <v>13505673</v>
      </c>
      <c r="AF21" s="732">
        <f t="shared" si="20"/>
        <v>6216317</v>
      </c>
      <c r="AG21" s="732">
        <f t="shared" si="20"/>
        <v>137338627</v>
      </c>
      <c r="AH21" s="724">
        <f t="shared" si="8"/>
        <v>157060617</v>
      </c>
      <c r="AI21" s="732">
        <f t="shared" si="20"/>
        <v>16038965</v>
      </c>
      <c r="AJ21" s="732">
        <f t="shared" si="20"/>
        <v>10437405</v>
      </c>
      <c r="AK21" s="732">
        <f t="shared" si="20"/>
        <v>377571302</v>
      </c>
      <c r="AL21" s="724">
        <f t="shared" si="9"/>
        <v>404047672</v>
      </c>
      <c r="AM21" s="732">
        <f t="shared" si="20"/>
        <v>14230936</v>
      </c>
      <c r="AN21" s="732">
        <f t="shared" si="20"/>
        <v>16407306</v>
      </c>
      <c r="AO21" s="732">
        <f t="shared" si="20"/>
        <v>506330316</v>
      </c>
      <c r="AP21" s="724">
        <f t="shared" si="10"/>
        <v>536968558</v>
      </c>
      <c r="AQ21" s="732">
        <f t="shared" si="20"/>
        <v>12911480</v>
      </c>
      <c r="AR21" s="732">
        <f t="shared" si="20"/>
        <v>6597902</v>
      </c>
      <c r="AS21" s="732">
        <f t="shared" si="20"/>
        <v>209375413</v>
      </c>
      <c r="AT21" s="724">
        <f t="shared" si="11"/>
        <v>228884795</v>
      </c>
      <c r="AU21" s="732">
        <f t="shared" si="20"/>
        <v>11716217</v>
      </c>
      <c r="AV21" s="732">
        <f t="shared" si="20"/>
        <v>11425472</v>
      </c>
      <c r="AW21" s="732">
        <f t="shared" si="20"/>
        <v>446288511</v>
      </c>
      <c r="AX21" s="724">
        <f t="shared" si="12"/>
        <v>469430200</v>
      </c>
      <c r="AY21" s="725">
        <f t="shared" si="13"/>
        <v>170753315</v>
      </c>
      <c r="AZ21" s="725">
        <f t="shared" si="14"/>
        <v>119102256</v>
      </c>
      <c r="BA21" s="725">
        <f t="shared" si="19"/>
        <v>3406484436</v>
      </c>
    </row>
    <row r="22" spans="1:53" s="125" customFormat="1" ht="15" x14ac:dyDescent="0.25">
      <c r="A22" s="734"/>
      <c r="B22" s="734"/>
      <c r="C22" s="735"/>
      <c r="D22" s="735"/>
      <c r="E22" s="735"/>
      <c r="F22" s="724">
        <f t="shared" si="1"/>
        <v>0</v>
      </c>
      <c r="G22" s="735"/>
      <c r="H22" s="735"/>
      <c r="I22" s="735"/>
      <c r="J22" s="724">
        <f t="shared" si="2"/>
        <v>0</v>
      </c>
      <c r="K22" s="735"/>
      <c r="L22" s="735"/>
      <c r="M22" s="735"/>
      <c r="N22" s="724">
        <f t="shared" si="3"/>
        <v>0</v>
      </c>
      <c r="O22" s="735"/>
      <c r="P22" s="735"/>
      <c r="Q22" s="735"/>
      <c r="R22" s="724">
        <f t="shared" si="4"/>
        <v>0</v>
      </c>
      <c r="S22" s="735"/>
      <c r="T22" s="735"/>
      <c r="U22" s="735"/>
      <c r="V22" s="724">
        <f t="shared" si="5"/>
        <v>0</v>
      </c>
      <c r="W22" s="735"/>
      <c r="X22" s="735"/>
      <c r="Y22" s="735"/>
      <c r="Z22" s="724">
        <f t="shared" si="6"/>
        <v>0</v>
      </c>
      <c r="AA22" s="735"/>
      <c r="AB22" s="735"/>
      <c r="AC22" s="735"/>
      <c r="AD22" s="724">
        <f t="shared" si="7"/>
        <v>0</v>
      </c>
      <c r="AE22" s="735"/>
      <c r="AF22" s="735"/>
      <c r="AG22" s="735"/>
      <c r="AH22" s="724">
        <f t="shared" si="8"/>
        <v>0</v>
      </c>
      <c r="AI22" s="735"/>
      <c r="AJ22" s="735"/>
      <c r="AK22" s="735"/>
      <c r="AL22" s="724">
        <f t="shared" si="9"/>
        <v>0</v>
      </c>
      <c r="AM22" s="735"/>
      <c r="AN22" s="735"/>
      <c r="AO22" s="735"/>
      <c r="AP22" s="724">
        <f t="shared" si="10"/>
        <v>0</v>
      </c>
      <c r="AQ22" s="735"/>
      <c r="AR22" s="735"/>
      <c r="AS22" s="735"/>
      <c r="AT22" s="724">
        <f t="shared" si="11"/>
        <v>0</v>
      </c>
      <c r="AU22" s="735"/>
      <c r="AV22" s="735"/>
      <c r="AW22" s="735"/>
      <c r="AX22" s="724">
        <f t="shared" si="12"/>
        <v>0</v>
      </c>
      <c r="AY22" s="725">
        <f t="shared" si="13"/>
        <v>0</v>
      </c>
      <c r="AZ22" s="725">
        <f t="shared" si="14"/>
        <v>0</v>
      </c>
      <c r="BA22" s="725">
        <f t="shared" si="19"/>
        <v>0</v>
      </c>
    </row>
    <row r="23" spans="1:53" s="125" customFormat="1" ht="15" x14ac:dyDescent="0.25">
      <c r="A23" s="722" t="s">
        <v>45</v>
      </c>
      <c r="B23" s="722" t="s">
        <v>46</v>
      </c>
      <c r="C23" s="723"/>
      <c r="D23" s="723"/>
      <c r="E23" s="723">
        <v>55064459</v>
      </c>
      <c r="F23" s="724">
        <f t="shared" si="1"/>
        <v>55064459</v>
      </c>
      <c r="G23" s="723"/>
      <c r="H23" s="723"/>
      <c r="I23" s="723">
        <v>37027214</v>
      </c>
      <c r="J23" s="724">
        <f t="shared" si="2"/>
        <v>37027214</v>
      </c>
      <c r="K23" s="723"/>
      <c r="L23" s="723"/>
      <c r="M23" s="723">
        <v>53786017</v>
      </c>
      <c r="N23" s="724">
        <f t="shared" si="3"/>
        <v>53786017</v>
      </c>
      <c r="O23" s="723"/>
      <c r="P23" s="723"/>
      <c r="Q23" s="723">
        <v>37032392</v>
      </c>
      <c r="R23" s="724">
        <f t="shared" si="4"/>
        <v>37032392</v>
      </c>
      <c r="S23" s="723"/>
      <c r="T23" s="723"/>
      <c r="U23" s="723">
        <v>37169194</v>
      </c>
      <c r="V23" s="724">
        <f t="shared" si="5"/>
        <v>37169194</v>
      </c>
      <c r="W23" s="723"/>
      <c r="X23" s="723"/>
      <c r="Y23" s="723">
        <v>37038598</v>
      </c>
      <c r="Z23" s="724">
        <f t="shared" si="6"/>
        <v>37038598</v>
      </c>
      <c r="AA23" s="723"/>
      <c r="AB23" s="723"/>
      <c r="AC23" s="723">
        <v>44973579</v>
      </c>
      <c r="AD23" s="724">
        <f t="shared" si="7"/>
        <v>44973579</v>
      </c>
      <c r="AE23" s="723"/>
      <c r="AF23" s="723"/>
      <c r="AG23" s="723">
        <v>39825901</v>
      </c>
      <c r="AH23" s="724">
        <f t="shared" si="8"/>
        <v>39825901</v>
      </c>
      <c r="AI23" s="723"/>
      <c r="AJ23" s="723"/>
      <c r="AK23" s="723">
        <v>37641136</v>
      </c>
      <c r="AL23" s="724">
        <f t="shared" si="9"/>
        <v>37641136</v>
      </c>
      <c r="AM23" s="723"/>
      <c r="AN23" s="723"/>
      <c r="AO23" s="723">
        <v>37625440</v>
      </c>
      <c r="AP23" s="724">
        <f t="shared" si="10"/>
        <v>37625440</v>
      </c>
      <c r="AQ23" s="723"/>
      <c r="AR23" s="723"/>
      <c r="AS23" s="723">
        <v>37641397</v>
      </c>
      <c r="AT23" s="724">
        <f t="shared" si="11"/>
        <v>37641397</v>
      </c>
      <c r="AU23" s="723"/>
      <c r="AV23" s="723"/>
      <c r="AW23" s="723">
        <v>41230275</v>
      </c>
      <c r="AX23" s="724">
        <f t="shared" si="12"/>
        <v>41230275</v>
      </c>
      <c r="AY23" s="725">
        <f t="shared" si="13"/>
        <v>0</v>
      </c>
      <c r="AZ23" s="725">
        <f t="shared" si="14"/>
        <v>0</v>
      </c>
      <c r="BA23" s="725">
        <f t="shared" si="19"/>
        <v>496055602</v>
      </c>
    </row>
    <row r="24" spans="1:53" s="125" customFormat="1" ht="27" customHeight="1" x14ac:dyDescent="0.25">
      <c r="A24" s="722" t="s">
        <v>266</v>
      </c>
      <c r="B24" s="736" t="s">
        <v>917</v>
      </c>
      <c r="C24" s="723"/>
      <c r="D24" s="723"/>
      <c r="E24" s="723"/>
      <c r="F24" s="724">
        <f t="shared" si="1"/>
        <v>0</v>
      </c>
      <c r="G24" s="723"/>
      <c r="H24" s="723"/>
      <c r="I24" s="723"/>
      <c r="J24" s="724">
        <f t="shared" si="2"/>
        <v>0</v>
      </c>
      <c r="K24" s="723"/>
      <c r="L24" s="723"/>
      <c r="M24" s="723"/>
      <c r="N24" s="724">
        <f t="shared" si="3"/>
        <v>0</v>
      </c>
      <c r="O24" s="723"/>
      <c r="P24" s="723"/>
      <c r="Q24" s="723"/>
      <c r="R24" s="724">
        <f t="shared" si="4"/>
        <v>0</v>
      </c>
      <c r="S24" s="723"/>
      <c r="T24" s="723"/>
      <c r="U24" s="723"/>
      <c r="V24" s="724">
        <f t="shared" si="5"/>
        <v>0</v>
      </c>
      <c r="W24" s="723"/>
      <c r="X24" s="723"/>
      <c r="Y24" s="723"/>
      <c r="Z24" s="724">
        <f t="shared" si="6"/>
        <v>0</v>
      </c>
      <c r="AA24" s="723"/>
      <c r="AB24" s="723"/>
      <c r="AC24" s="723"/>
      <c r="AD24" s="724">
        <f t="shared" si="7"/>
        <v>0</v>
      </c>
      <c r="AE24" s="723"/>
      <c r="AF24" s="723"/>
      <c r="AG24" s="723"/>
      <c r="AH24" s="724">
        <f t="shared" si="8"/>
        <v>0</v>
      </c>
      <c r="AI24" s="723"/>
      <c r="AJ24" s="723"/>
      <c r="AK24" s="723"/>
      <c r="AL24" s="724">
        <f t="shared" si="9"/>
        <v>0</v>
      </c>
      <c r="AM24" s="723"/>
      <c r="AN24" s="723"/>
      <c r="AO24" s="723"/>
      <c r="AP24" s="724">
        <f t="shared" si="10"/>
        <v>0</v>
      </c>
      <c r="AQ24" s="723"/>
      <c r="AR24" s="723"/>
      <c r="AS24" s="723"/>
      <c r="AT24" s="724">
        <f t="shared" si="11"/>
        <v>0</v>
      </c>
      <c r="AU24" s="723"/>
      <c r="AV24" s="723"/>
      <c r="AW24" s="723"/>
      <c r="AX24" s="724">
        <f t="shared" si="12"/>
        <v>0</v>
      </c>
      <c r="AY24" s="725">
        <f t="shared" si="13"/>
        <v>0</v>
      </c>
      <c r="AZ24" s="725">
        <f t="shared" si="14"/>
        <v>0</v>
      </c>
      <c r="BA24" s="725">
        <f t="shared" si="19"/>
        <v>0</v>
      </c>
    </row>
    <row r="25" spans="1:53" s="125" customFormat="1" ht="15" x14ac:dyDescent="0.25">
      <c r="A25" s="722" t="s">
        <v>65</v>
      </c>
      <c r="B25" s="722" t="s">
        <v>918</v>
      </c>
      <c r="C25" s="723"/>
      <c r="D25" s="723">
        <v>215698</v>
      </c>
      <c r="E25" s="723">
        <v>3549900</v>
      </c>
      <c r="F25" s="724">
        <f t="shared" si="1"/>
        <v>3765598</v>
      </c>
      <c r="G25" s="723"/>
      <c r="H25" s="723">
        <v>196941</v>
      </c>
      <c r="I25" s="723">
        <v>79628359</v>
      </c>
      <c r="J25" s="724">
        <f t="shared" si="2"/>
        <v>79825300</v>
      </c>
      <c r="K25" s="723"/>
      <c r="L25" s="723">
        <v>175665</v>
      </c>
      <c r="M25" s="723">
        <v>5472718</v>
      </c>
      <c r="N25" s="724">
        <f t="shared" si="3"/>
        <v>5648383</v>
      </c>
      <c r="O25" s="723">
        <v>239100</v>
      </c>
      <c r="P25" s="723">
        <v>173030</v>
      </c>
      <c r="Q25" s="723">
        <v>2326389</v>
      </c>
      <c r="R25" s="724">
        <f t="shared" si="4"/>
        <v>2738519</v>
      </c>
      <c r="S25" s="723">
        <v>1966949</v>
      </c>
      <c r="T25" s="723">
        <v>175665</v>
      </c>
      <c r="U25" s="723">
        <v>1907989</v>
      </c>
      <c r="V25" s="724">
        <f t="shared" si="5"/>
        <v>4050603</v>
      </c>
      <c r="W25" s="723">
        <v>209125</v>
      </c>
      <c r="X25" s="723">
        <v>175665</v>
      </c>
      <c r="Y25" s="723">
        <v>2039400</v>
      </c>
      <c r="Z25" s="724">
        <f t="shared" si="6"/>
        <v>2424190</v>
      </c>
      <c r="AA25" s="723"/>
      <c r="AB25" s="723">
        <v>175665</v>
      </c>
      <c r="AC25" s="723">
        <v>1642800</v>
      </c>
      <c r="AD25" s="724">
        <f t="shared" si="7"/>
        <v>1818465</v>
      </c>
      <c r="AE25" s="723"/>
      <c r="AF25" s="723">
        <v>172725</v>
      </c>
      <c r="AG25" s="723">
        <v>2183614</v>
      </c>
      <c r="AH25" s="724">
        <f t="shared" si="8"/>
        <v>2356339</v>
      </c>
      <c r="AI25" s="723">
        <v>294713</v>
      </c>
      <c r="AJ25" s="723">
        <v>172725</v>
      </c>
      <c r="AK25" s="723">
        <v>77706487</v>
      </c>
      <c r="AL25" s="724">
        <f t="shared" si="9"/>
        <v>78173925</v>
      </c>
      <c r="AM25" s="723">
        <v>3139136</v>
      </c>
      <c r="AN25" s="723">
        <v>148050</v>
      </c>
      <c r="AO25" s="723">
        <v>18554298</v>
      </c>
      <c r="AP25" s="724">
        <f t="shared" si="10"/>
        <v>21841484</v>
      </c>
      <c r="AQ25" s="723">
        <v>367000</v>
      </c>
      <c r="AR25" s="723"/>
      <c r="AS25" s="723">
        <v>1535400</v>
      </c>
      <c r="AT25" s="724">
        <f t="shared" si="11"/>
        <v>1902400</v>
      </c>
      <c r="AU25" s="723"/>
      <c r="AV25" s="723"/>
      <c r="AW25" s="723">
        <v>2772600</v>
      </c>
      <c r="AX25" s="724">
        <f t="shared" si="12"/>
        <v>2772600</v>
      </c>
      <c r="AY25" s="725">
        <f t="shared" si="13"/>
        <v>6216023</v>
      </c>
      <c r="AZ25" s="725">
        <f t="shared" si="14"/>
        <v>1781829</v>
      </c>
      <c r="BA25" s="725">
        <f t="shared" si="19"/>
        <v>199319954</v>
      </c>
    </row>
    <row r="26" spans="1:53" s="125" customFormat="1" ht="15" x14ac:dyDescent="0.25">
      <c r="A26" s="722" t="s">
        <v>67</v>
      </c>
      <c r="B26" s="722" t="s">
        <v>919</v>
      </c>
      <c r="C26" s="723"/>
      <c r="D26" s="723"/>
      <c r="E26" s="723"/>
      <c r="F26" s="724">
        <f t="shared" si="1"/>
        <v>0</v>
      </c>
      <c r="G26" s="723"/>
      <c r="H26" s="723"/>
      <c r="I26" s="723"/>
      <c r="J26" s="724">
        <f t="shared" si="2"/>
        <v>0</v>
      </c>
      <c r="K26" s="723"/>
      <c r="L26" s="723"/>
      <c r="M26" s="723">
        <v>952148000</v>
      </c>
      <c r="N26" s="724">
        <f t="shared" si="3"/>
        <v>952148000</v>
      </c>
      <c r="O26" s="723"/>
      <c r="P26" s="723"/>
      <c r="Q26" s="723"/>
      <c r="R26" s="724">
        <f t="shared" si="4"/>
        <v>0</v>
      </c>
      <c r="S26" s="723"/>
      <c r="T26" s="723"/>
      <c r="U26" s="723"/>
      <c r="V26" s="724">
        <f t="shared" si="5"/>
        <v>0</v>
      </c>
      <c r="W26" s="723"/>
      <c r="X26" s="723"/>
      <c r="Y26" s="723"/>
      <c r="Z26" s="724">
        <f t="shared" si="6"/>
        <v>0</v>
      </c>
      <c r="AA26" s="723"/>
      <c r="AB26" s="723"/>
      <c r="AC26" s="723"/>
      <c r="AD26" s="724">
        <f t="shared" si="7"/>
        <v>0</v>
      </c>
      <c r="AE26" s="723"/>
      <c r="AF26" s="723"/>
      <c r="AG26" s="723"/>
      <c r="AH26" s="724">
        <f t="shared" si="8"/>
        <v>0</v>
      </c>
      <c r="AI26" s="723"/>
      <c r="AJ26" s="723"/>
      <c r="AK26" s="723"/>
      <c r="AL26" s="724">
        <f t="shared" si="9"/>
        <v>0</v>
      </c>
      <c r="AM26" s="723"/>
      <c r="AN26" s="723"/>
      <c r="AO26" s="723"/>
      <c r="AP26" s="724">
        <f t="shared" si="10"/>
        <v>0</v>
      </c>
      <c r="AQ26" s="723"/>
      <c r="AR26" s="723"/>
      <c r="AS26" s="723"/>
      <c r="AT26" s="724">
        <f t="shared" si="11"/>
        <v>0</v>
      </c>
      <c r="AU26" s="723"/>
      <c r="AV26" s="723"/>
      <c r="AW26" s="723">
        <v>4975845</v>
      </c>
      <c r="AX26" s="724">
        <f t="shared" si="12"/>
        <v>4975845</v>
      </c>
      <c r="AY26" s="725">
        <f t="shared" si="13"/>
        <v>0</v>
      </c>
      <c r="AZ26" s="725">
        <f t="shared" si="14"/>
        <v>0</v>
      </c>
      <c r="BA26" s="725">
        <f t="shared" si="19"/>
        <v>957123845</v>
      </c>
    </row>
    <row r="27" spans="1:53" s="125" customFormat="1" ht="15" x14ac:dyDescent="0.25">
      <c r="A27" s="722" t="s">
        <v>68</v>
      </c>
      <c r="B27" s="722" t="s">
        <v>25</v>
      </c>
      <c r="C27" s="723"/>
      <c r="D27" s="723"/>
      <c r="E27" s="723">
        <v>17416569</v>
      </c>
      <c r="F27" s="724">
        <f t="shared" si="1"/>
        <v>17416569</v>
      </c>
      <c r="G27" s="723"/>
      <c r="H27" s="723"/>
      <c r="I27" s="723">
        <v>43699745</v>
      </c>
      <c r="J27" s="724">
        <f t="shared" si="2"/>
        <v>43699745</v>
      </c>
      <c r="K27" s="723"/>
      <c r="L27" s="723"/>
      <c r="M27" s="723">
        <v>158591157</v>
      </c>
      <c r="N27" s="724">
        <f t="shared" si="3"/>
        <v>158591157</v>
      </c>
      <c r="O27" s="723"/>
      <c r="P27" s="723"/>
      <c r="Q27" s="723">
        <v>12591912</v>
      </c>
      <c r="R27" s="724">
        <f t="shared" si="4"/>
        <v>12591912</v>
      </c>
      <c r="S27" s="723"/>
      <c r="T27" s="723"/>
      <c r="U27" s="723">
        <v>21536308</v>
      </c>
      <c r="V27" s="724">
        <f t="shared" si="5"/>
        <v>21536308</v>
      </c>
      <c r="W27" s="723"/>
      <c r="X27" s="723"/>
      <c r="Y27" s="723">
        <v>22099706</v>
      </c>
      <c r="Z27" s="724">
        <f t="shared" si="6"/>
        <v>22099706</v>
      </c>
      <c r="AA27" s="723">
        <v>1800</v>
      </c>
      <c r="AB27" s="723"/>
      <c r="AC27" s="723">
        <v>28839888</v>
      </c>
      <c r="AD27" s="724">
        <f t="shared" si="7"/>
        <v>28841688</v>
      </c>
      <c r="AE27" s="723"/>
      <c r="AF27" s="723"/>
      <c r="AG27" s="723">
        <v>30028553</v>
      </c>
      <c r="AH27" s="724">
        <f t="shared" si="8"/>
        <v>30028553</v>
      </c>
      <c r="AI27" s="723"/>
      <c r="AJ27" s="723"/>
      <c r="AK27" s="723">
        <v>154798223</v>
      </c>
      <c r="AL27" s="724">
        <f t="shared" si="9"/>
        <v>154798223</v>
      </c>
      <c r="AM27" s="723"/>
      <c r="AN27" s="723"/>
      <c r="AO27" s="723">
        <v>39865135</v>
      </c>
      <c r="AP27" s="724">
        <f t="shared" si="10"/>
        <v>39865135</v>
      </c>
      <c r="AQ27" s="723"/>
      <c r="AR27" s="723"/>
      <c r="AS27" s="723">
        <v>10792651</v>
      </c>
      <c r="AT27" s="724">
        <f t="shared" si="11"/>
        <v>10792651</v>
      </c>
      <c r="AU27" s="723"/>
      <c r="AV27" s="723"/>
      <c r="AW27" s="723">
        <v>30011777</v>
      </c>
      <c r="AX27" s="724">
        <f t="shared" si="12"/>
        <v>30011777</v>
      </c>
      <c r="AY27" s="725">
        <f t="shared" si="13"/>
        <v>1800</v>
      </c>
      <c r="AZ27" s="725">
        <f t="shared" si="14"/>
        <v>0</v>
      </c>
      <c r="BA27" s="725">
        <f t="shared" si="19"/>
        <v>570271624</v>
      </c>
    </row>
    <row r="28" spans="1:53" s="125" customFormat="1" ht="15" x14ac:dyDescent="0.25">
      <c r="A28" s="722" t="s">
        <v>94</v>
      </c>
      <c r="B28" s="722" t="s">
        <v>26</v>
      </c>
      <c r="C28" s="723">
        <v>49404</v>
      </c>
      <c r="D28" s="723">
        <v>496942</v>
      </c>
      <c r="E28" s="723">
        <v>10325114</v>
      </c>
      <c r="F28" s="724">
        <f t="shared" si="1"/>
        <v>10871460</v>
      </c>
      <c r="G28" s="723">
        <v>10401</v>
      </c>
      <c r="H28" s="723">
        <v>809999</v>
      </c>
      <c r="I28" s="723">
        <v>8372475</v>
      </c>
      <c r="J28" s="724">
        <f t="shared" si="2"/>
        <v>9192875</v>
      </c>
      <c r="K28" s="723">
        <v>29760</v>
      </c>
      <c r="L28" s="723">
        <v>286176</v>
      </c>
      <c r="M28" s="723">
        <v>7123480</v>
      </c>
      <c r="N28" s="724">
        <f t="shared" si="3"/>
        <v>7439416</v>
      </c>
      <c r="O28" s="723">
        <v>53033</v>
      </c>
      <c r="P28" s="723">
        <v>509061</v>
      </c>
      <c r="Q28" s="723">
        <v>12688248</v>
      </c>
      <c r="R28" s="724">
        <f t="shared" si="4"/>
        <v>13250342</v>
      </c>
      <c r="S28" s="723">
        <v>14290</v>
      </c>
      <c r="T28" s="723">
        <v>185852</v>
      </c>
      <c r="U28" s="723">
        <v>8805403</v>
      </c>
      <c r="V28" s="724">
        <f t="shared" si="5"/>
        <v>9005545</v>
      </c>
      <c r="W28" s="723">
        <v>5477</v>
      </c>
      <c r="X28" s="723">
        <v>411023</v>
      </c>
      <c r="Y28" s="723">
        <v>10974071</v>
      </c>
      <c r="Z28" s="724">
        <f t="shared" si="6"/>
        <v>11390571</v>
      </c>
      <c r="AA28" s="723">
        <v>75526</v>
      </c>
      <c r="AB28" s="723">
        <v>1630801</v>
      </c>
      <c r="AC28" s="723">
        <v>17675185</v>
      </c>
      <c r="AD28" s="724">
        <f t="shared" si="7"/>
        <v>19381512</v>
      </c>
      <c r="AE28" s="723">
        <v>40861</v>
      </c>
      <c r="AF28" s="723">
        <v>1007218</v>
      </c>
      <c r="AG28" s="723">
        <v>17007824</v>
      </c>
      <c r="AH28" s="724">
        <f t="shared" si="8"/>
        <v>18055903</v>
      </c>
      <c r="AI28" s="723">
        <v>6765</v>
      </c>
      <c r="AJ28" s="723">
        <v>3905129</v>
      </c>
      <c r="AK28" s="723">
        <v>12665080</v>
      </c>
      <c r="AL28" s="724">
        <f t="shared" si="9"/>
        <v>16576974</v>
      </c>
      <c r="AM28" s="723">
        <v>-25428</v>
      </c>
      <c r="AN28" s="723">
        <f>93139+117335</f>
        <v>210474</v>
      </c>
      <c r="AO28" s="723">
        <v>9774600</v>
      </c>
      <c r="AP28" s="724">
        <f t="shared" si="10"/>
        <v>9959646</v>
      </c>
      <c r="AQ28" s="723">
        <v>34360</v>
      </c>
      <c r="AR28" s="723">
        <v>432412</v>
      </c>
      <c r="AS28" s="723">
        <v>8663450</v>
      </c>
      <c r="AT28" s="724">
        <f t="shared" si="11"/>
        <v>9130222</v>
      </c>
      <c r="AU28" s="723">
        <v>3766</v>
      </c>
      <c r="AV28" s="723">
        <v>3042061</v>
      </c>
      <c r="AW28" s="723">
        <f>19706582+60</f>
        <v>19706642</v>
      </c>
      <c r="AX28" s="724">
        <f t="shared" si="12"/>
        <v>22752469</v>
      </c>
      <c r="AY28" s="725">
        <f t="shared" si="13"/>
        <v>298215</v>
      </c>
      <c r="AZ28" s="725">
        <f t="shared" si="14"/>
        <v>12927148</v>
      </c>
      <c r="BA28" s="725">
        <f t="shared" si="19"/>
        <v>143781572</v>
      </c>
    </row>
    <row r="29" spans="1:53" s="125" customFormat="1" ht="15" x14ac:dyDescent="0.25">
      <c r="A29" s="722" t="s">
        <v>121</v>
      </c>
      <c r="B29" s="722" t="s">
        <v>28</v>
      </c>
      <c r="C29" s="723"/>
      <c r="D29" s="723"/>
      <c r="E29" s="723">
        <v>6200000</v>
      </c>
      <c r="F29" s="724">
        <f t="shared" si="1"/>
        <v>6200000</v>
      </c>
      <c r="G29" s="723"/>
      <c r="H29" s="723"/>
      <c r="I29" s="723">
        <v>2200000</v>
      </c>
      <c r="J29" s="724">
        <f t="shared" si="2"/>
        <v>2200000</v>
      </c>
      <c r="K29" s="723"/>
      <c r="L29" s="723"/>
      <c r="M29" s="723"/>
      <c r="N29" s="724">
        <f t="shared" si="3"/>
        <v>0</v>
      </c>
      <c r="O29" s="723"/>
      <c r="P29" s="723"/>
      <c r="Q29" s="723"/>
      <c r="R29" s="724">
        <f t="shared" si="4"/>
        <v>0</v>
      </c>
      <c r="S29" s="723"/>
      <c r="T29" s="723"/>
      <c r="U29" s="723"/>
      <c r="V29" s="724">
        <f t="shared" si="5"/>
        <v>0</v>
      </c>
      <c r="W29" s="723"/>
      <c r="X29" s="723"/>
      <c r="Y29" s="723">
        <v>226400</v>
      </c>
      <c r="Z29" s="724">
        <f t="shared" si="6"/>
        <v>226400</v>
      </c>
      <c r="AA29" s="723"/>
      <c r="AB29" s="723"/>
      <c r="AC29" s="723">
        <v>598426</v>
      </c>
      <c r="AD29" s="724">
        <f t="shared" si="7"/>
        <v>598426</v>
      </c>
      <c r="AE29" s="723"/>
      <c r="AF29" s="723"/>
      <c r="AG29" s="723">
        <v>74000</v>
      </c>
      <c r="AH29" s="724">
        <f t="shared" si="8"/>
        <v>74000</v>
      </c>
      <c r="AI29" s="723"/>
      <c r="AJ29" s="723"/>
      <c r="AK29" s="723"/>
      <c r="AL29" s="724">
        <f t="shared" si="9"/>
        <v>0</v>
      </c>
      <c r="AM29" s="723"/>
      <c r="AN29" s="723"/>
      <c r="AO29" s="723"/>
      <c r="AP29" s="724">
        <f t="shared" si="10"/>
        <v>0</v>
      </c>
      <c r="AQ29" s="723"/>
      <c r="AR29" s="723"/>
      <c r="AS29" s="723"/>
      <c r="AT29" s="724">
        <f t="shared" si="11"/>
        <v>0</v>
      </c>
      <c r="AU29" s="723"/>
      <c r="AV29" s="723"/>
      <c r="AW29" s="723"/>
      <c r="AX29" s="724">
        <f t="shared" si="12"/>
        <v>0</v>
      </c>
      <c r="AY29" s="725">
        <f t="shared" si="13"/>
        <v>0</v>
      </c>
      <c r="AZ29" s="725">
        <f t="shared" si="14"/>
        <v>0</v>
      </c>
      <c r="BA29" s="725">
        <f t="shared" si="19"/>
        <v>9298826</v>
      </c>
    </row>
    <row r="30" spans="1:53" s="125" customFormat="1" ht="15" x14ac:dyDescent="0.25">
      <c r="A30" s="722" t="s">
        <v>132</v>
      </c>
      <c r="B30" s="722" t="s">
        <v>137</v>
      </c>
      <c r="C30" s="723"/>
      <c r="D30" s="723"/>
      <c r="E30" s="723"/>
      <c r="F30" s="724">
        <f t="shared" si="1"/>
        <v>0</v>
      </c>
      <c r="G30" s="723"/>
      <c r="H30" s="723"/>
      <c r="I30" s="723"/>
      <c r="J30" s="724">
        <f t="shared" si="2"/>
        <v>0</v>
      </c>
      <c r="K30" s="723"/>
      <c r="L30" s="723"/>
      <c r="M30" s="723"/>
      <c r="N30" s="724">
        <f t="shared" si="3"/>
        <v>0</v>
      </c>
      <c r="O30" s="723"/>
      <c r="P30" s="723"/>
      <c r="Q30" s="723">
        <v>21730</v>
      </c>
      <c r="R30" s="724">
        <f t="shared" si="4"/>
        <v>21730</v>
      </c>
      <c r="S30" s="723"/>
      <c r="T30" s="723"/>
      <c r="U30" s="723"/>
      <c r="V30" s="724">
        <f t="shared" si="5"/>
        <v>0</v>
      </c>
      <c r="W30" s="723"/>
      <c r="X30" s="723"/>
      <c r="Y30" s="723"/>
      <c r="Z30" s="724">
        <f t="shared" si="6"/>
        <v>0</v>
      </c>
      <c r="AA30" s="723"/>
      <c r="AB30" s="723">
        <v>100000</v>
      </c>
      <c r="AC30" s="723">
        <v>147000</v>
      </c>
      <c r="AD30" s="724">
        <f t="shared" si="7"/>
        <v>247000</v>
      </c>
      <c r="AE30" s="723"/>
      <c r="AF30" s="723"/>
      <c r="AG30" s="723"/>
      <c r="AH30" s="724">
        <f t="shared" si="8"/>
        <v>0</v>
      </c>
      <c r="AI30" s="723"/>
      <c r="AJ30" s="723"/>
      <c r="AK30" s="723"/>
      <c r="AL30" s="724">
        <f t="shared" si="9"/>
        <v>0</v>
      </c>
      <c r="AM30" s="723"/>
      <c r="AN30" s="723"/>
      <c r="AO30" s="723"/>
      <c r="AP30" s="724">
        <f t="shared" si="10"/>
        <v>0</v>
      </c>
      <c r="AQ30" s="723"/>
      <c r="AR30" s="723"/>
      <c r="AS30" s="723"/>
      <c r="AT30" s="724">
        <f t="shared" si="11"/>
        <v>0</v>
      </c>
      <c r="AU30" s="723"/>
      <c r="AV30" s="723"/>
      <c r="AW30" s="723"/>
      <c r="AX30" s="724">
        <f t="shared" si="12"/>
        <v>0</v>
      </c>
      <c r="AY30" s="725">
        <f t="shared" si="13"/>
        <v>0</v>
      </c>
      <c r="AZ30" s="725">
        <f t="shared" si="14"/>
        <v>100000</v>
      </c>
      <c r="BA30" s="725">
        <f t="shared" si="19"/>
        <v>168730</v>
      </c>
    </row>
    <row r="31" spans="1:53" s="125" customFormat="1" ht="15" x14ac:dyDescent="0.25">
      <c r="A31" s="722" t="s">
        <v>138</v>
      </c>
      <c r="B31" s="722" t="s">
        <v>139</v>
      </c>
      <c r="C31" s="723"/>
      <c r="D31" s="723"/>
      <c r="E31" s="723">
        <v>3600</v>
      </c>
      <c r="F31" s="724">
        <f t="shared" si="1"/>
        <v>3600</v>
      </c>
      <c r="G31" s="723"/>
      <c r="H31" s="723"/>
      <c r="I31" s="723">
        <v>33600</v>
      </c>
      <c r="J31" s="724">
        <f t="shared" si="2"/>
        <v>33600</v>
      </c>
      <c r="K31" s="723"/>
      <c r="L31" s="723"/>
      <c r="M31" s="723">
        <v>39465</v>
      </c>
      <c r="N31" s="724">
        <f t="shared" si="3"/>
        <v>39465</v>
      </c>
      <c r="O31" s="723"/>
      <c r="P31" s="723"/>
      <c r="Q31" s="723">
        <v>15000</v>
      </c>
      <c r="R31" s="724">
        <f t="shared" si="4"/>
        <v>15000</v>
      </c>
      <c r="S31" s="723"/>
      <c r="T31" s="723"/>
      <c r="U31" s="723">
        <v>15000</v>
      </c>
      <c r="V31" s="724">
        <f t="shared" si="5"/>
        <v>15000</v>
      </c>
      <c r="W31" s="723"/>
      <c r="X31" s="723"/>
      <c r="Y31" s="723"/>
      <c r="Z31" s="724">
        <f t="shared" si="6"/>
        <v>0</v>
      </c>
      <c r="AA31" s="723"/>
      <c r="AB31" s="723"/>
      <c r="AC31" s="723">
        <v>15000</v>
      </c>
      <c r="AD31" s="724">
        <f t="shared" si="7"/>
        <v>15000</v>
      </c>
      <c r="AE31" s="723"/>
      <c r="AF31" s="723"/>
      <c r="AG31" s="723"/>
      <c r="AH31" s="724">
        <f t="shared" si="8"/>
        <v>0</v>
      </c>
      <c r="AI31" s="723"/>
      <c r="AJ31" s="723"/>
      <c r="AK31" s="723">
        <v>90000</v>
      </c>
      <c r="AL31" s="724">
        <f t="shared" si="9"/>
        <v>90000</v>
      </c>
      <c r="AM31" s="723"/>
      <c r="AN31" s="723"/>
      <c r="AO31" s="723">
        <v>180000</v>
      </c>
      <c r="AP31" s="724">
        <f t="shared" si="10"/>
        <v>180000</v>
      </c>
      <c r="AQ31" s="723"/>
      <c r="AR31" s="723"/>
      <c r="AS31" s="723">
        <v>15000</v>
      </c>
      <c r="AT31" s="724">
        <f t="shared" si="11"/>
        <v>15000</v>
      </c>
      <c r="AU31" s="723"/>
      <c r="AV31" s="723"/>
      <c r="AW31" s="723"/>
      <c r="AX31" s="724">
        <f t="shared" si="12"/>
        <v>0</v>
      </c>
      <c r="AY31" s="725">
        <f t="shared" si="13"/>
        <v>0</v>
      </c>
      <c r="AZ31" s="725">
        <f t="shared" si="14"/>
        <v>0</v>
      </c>
      <c r="BA31" s="725">
        <f t="shared" si="19"/>
        <v>406665</v>
      </c>
    </row>
    <row r="32" spans="1:53" s="730" customFormat="1" ht="14.25" x14ac:dyDescent="0.2">
      <c r="A32" s="728"/>
      <c r="B32" s="728" t="s">
        <v>142</v>
      </c>
      <c r="C32" s="729">
        <f>C23+C25+C26+C27+C28+C29+C30+C31</f>
        <v>49404</v>
      </c>
      <c r="D32" s="729">
        <f t="shared" ref="D32:AV32" si="21">D23+D25+D26+D27+D28+D29+D30+D31</f>
        <v>712640</v>
      </c>
      <c r="E32" s="729">
        <f t="shared" si="21"/>
        <v>92559642</v>
      </c>
      <c r="F32" s="724">
        <f t="shared" si="1"/>
        <v>93321686</v>
      </c>
      <c r="G32" s="729">
        <f t="shared" si="21"/>
        <v>10401</v>
      </c>
      <c r="H32" s="729">
        <f t="shared" si="21"/>
        <v>1006940</v>
      </c>
      <c r="I32" s="729">
        <f t="shared" si="21"/>
        <v>170961393</v>
      </c>
      <c r="J32" s="724">
        <f t="shared" si="2"/>
        <v>171978734</v>
      </c>
      <c r="K32" s="729">
        <f t="shared" si="21"/>
        <v>29760</v>
      </c>
      <c r="L32" s="729">
        <f t="shared" si="21"/>
        <v>461841</v>
      </c>
      <c r="M32" s="729">
        <f t="shared" si="21"/>
        <v>1177160837</v>
      </c>
      <c r="N32" s="724">
        <f t="shared" si="3"/>
        <v>1177652438</v>
      </c>
      <c r="O32" s="729">
        <f t="shared" si="21"/>
        <v>292133</v>
      </c>
      <c r="P32" s="729">
        <f t="shared" si="21"/>
        <v>682091</v>
      </c>
      <c r="Q32" s="729">
        <f t="shared" si="21"/>
        <v>64675671</v>
      </c>
      <c r="R32" s="724">
        <f t="shared" si="4"/>
        <v>65649895</v>
      </c>
      <c r="S32" s="729">
        <f t="shared" si="21"/>
        <v>1981239</v>
      </c>
      <c r="T32" s="729">
        <f t="shared" si="21"/>
        <v>361517</v>
      </c>
      <c r="U32" s="729">
        <f t="shared" si="21"/>
        <v>69433894</v>
      </c>
      <c r="V32" s="724">
        <f t="shared" si="5"/>
        <v>71776650</v>
      </c>
      <c r="W32" s="729">
        <f t="shared" si="21"/>
        <v>214602</v>
      </c>
      <c r="X32" s="729">
        <f t="shared" si="21"/>
        <v>586688</v>
      </c>
      <c r="Y32" s="729">
        <f t="shared" si="21"/>
        <v>72378175</v>
      </c>
      <c r="Z32" s="724">
        <f t="shared" si="6"/>
        <v>73179465</v>
      </c>
      <c r="AA32" s="729">
        <f t="shared" si="21"/>
        <v>77326</v>
      </c>
      <c r="AB32" s="729">
        <f t="shared" si="21"/>
        <v>1906466</v>
      </c>
      <c r="AC32" s="729">
        <f t="shared" si="21"/>
        <v>93891878</v>
      </c>
      <c r="AD32" s="724">
        <f t="shared" si="7"/>
        <v>95875670</v>
      </c>
      <c r="AE32" s="729">
        <f t="shared" si="21"/>
        <v>40861</v>
      </c>
      <c r="AF32" s="729">
        <f t="shared" si="21"/>
        <v>1179943</v>
      </c>
      <c r="AG32" s="729">
        <f t="shared" si="21"/>
        <v>89119892</v>
      </c>
      <c r="AH32" s="724">
        <f t="shared" si="8"/>
        <v>90340696</v>
      </c>
      <c r="AI32" s="729">
        <f t="shared" si="21"/>
        <v>301478</v>
      </c>
      <c r="AJ32" s="729">
        <f t="shared" si="21"/>
        <v>4077854</v>
      </c>
      <c r="AK32" s="729">
        <f t="shared" si="21"/>
        <v>282900926</v>
      </c>
      <c r="AL32" s="724">
        <f t="shared" si="9"/>
        <v>287280258</v>
      </c>
      <c r="AM32" s="729">
        <f t="shared" si="21"/>
        <v>3113708</v>
      </c>
      <c r="AN32" s="729">
        <f t="shared" si="21"/>
        <v>358524</v>
      </c>
      <c r="AO32" s="729">
        <f t="shared" si="21"/>
        <v>105999473</v>
      </c>
      <c r="AP32" s="724">
        <f t="shared" si="10"/>
        <v>109471705</v>
      </c>
      <c r="AQ32" s="729">
        <f t="shared" si="21"/>
        <v>401360</v>
      </c>
      <c r="AR32" s="729">
        <f t="shared" si="21"/>
        <v>432412</v>
      </c>
      <c r="AS32" s="729">
        <f t="shared" si="21"/>
        <v>58647898</v>
      </c>
      <c r="AT32" s="724">
        <f t="shared" si="11"/>
        <v>59481670</v>
      </c>
      <c r="AU32" s="729">
        <f t="shared" si="21"/>
        <v>3766</v>
      </c>
      <c r="AV32" s="729">
        <f t="shared" si="21"/>
        <v>3042061</v>
      </c>
      <c r="AW32" s="729">
        <f>AW23+AW25+AW26+AW27+AW28+AW29+AW30+AW31+AW24</f>
        <v>98697139</v>
      </c>
      <c r="AX32" s="724">
        <f t="shared" si="12"/>
        <v>101742966</v>
      </c>
      <c r="AY32" s="725">
        <f t="shared" si="13"/>
        <v>6516038</v>
      </c>
      <c r="AZ32" s="725">
        <f t="shared" si="14"/>
        <v>14808977</v>
      </c>
      <c r="BA32" s="725">
        <f t="shared" si="19"/>
        <v>2376426818</v>
      </c>
    </row>
    <row r="33" spans="1:53" s="125" customFormat="1" ht="15" x14ac:dyDescent="0.25">
      <c r="A33" s="722" t="s">
        <v>143</v>
      </c>
      <c r="B33" s="722" t="s">
        <v>144</v>
      </c>
      <c r="C33" s="723">
        <f>11687435</f>
        <v>11687435</v>
      </c>
      <c r="D33" s="723">
        <f>10105800</f>
        <v>10105800</v>
      </c>
      <c r="E33" s="723">
        <v>2473017443</v>
      </c>
      <c r="F33" s="724">
        <f t="shared" si="1"/>
        <v>2494810678</v>
      </c>
      <c r="G33" s="723">
        <v>11479594</v>
      </c>
      <c r="H33" s="723">
        <v>8002304</v>
      </c>
      <c r="I33" s="723"/>
      <c r="J33" s="724">
        <f t="shared" si="2"/>
        <v>19481898</v>
      </c>
      <c r="K33" s="723">
        <f>22206268-29760</f>
        <v>22176508</v>
      </c>
      <c r="L33" s="723">
        <v>7178644</v>
      </c>
      <c r="M33" s="723"/>
      <c r="N33" s="724">
        <f t="shared" si="3"/>
        <v>29355152</v>
      </c>
      <c r="O33" s="723">
        <v>16582222</v>
      </c>
      <c r="P33" s="723">
        <v>6147916</v>
      </c>
      <c r="Q33" s="723"/>
      <c r="R33" s="724">
        <f t="shared" si="4"/>
        <v>22730138</v>
      </c>
      <c r="S33" s="723">
        <v>13537997</v>
      </c>
      <c r="T33" s="723">
        <v>9482653</v>
      </c>
      <c r="U33" s="723"/>
      <c r="V33" s="724">
        <f t="shared" si="5"/>
        <v>23020650</v>
      </c>
      <c r="W33" s="723">
        <v>12353362</v>
      </c>
      <c r="X33" s="723">
        <v>8897412</v>
      </c>
      <c r="Y33" s="723"/>
      <c r="Z33" s="724">
        <f t="shared" si="6"/>
        <v>21250774</v>
      </c>
      <c r="AA33" s="723">
        <v>12929592</v>
      </c>
      <c r="AB33" s="723">
        <v>14568880</v>
      </c>
      <c r="AC33" s="723"/>
      <c r="AD33" s="724">
        <f t="shared" si="7"/>
        <v>27498472</v>
      </c>
      <c r="AE33" s="723">
        <v>13499593</v>
      </c>
      <c r="AF33" s="723">
        <v>10032625</v>
      </c>
      <c r="AG33" s="723"/>
      <c r="AH33" s="724">
        <f t="shared" si="8"/>
        <v>23532218</v>
      </c>
      <c r="AI33" s="723">
        <v>15566753</v>
      </c>
      <c r="AJ33" s="723">
        <v>4737390</v>
      </c>
      <c r="AK33" s="723"/>
      <c r="AL33" s="724">
        <f t="shared" si="9"/>
        <v>20304143</v>
      </c>
      <c r="AM33" s="723">
        <v>16542027</v>
      </c>
      <c r="AN33" s="723">
        <f>12529817+67588</f>
        <v>12597405</v>
      </c>
      <c r="AO33" s="723"/>
      <c r="AP33" s="724">
        <f t="shared" si="10"/>
        <v>29139432</v>
      </c>
      <c r="AQ33" s="723">
        <v>7215991</v>
      </c>
      <c r="AR33" s="723">
        <v>6733056</v>
      </c>
      <c r="AS33" s="723"/>
      <c r="AT33" s="724">
        <f t="shared" si="11"/>
        <v>13949047</v>
      </c>
      <c r="AU33" s="723">
        <v>11336313</v>
      </c>
      <c r="AV33" s="723">
        <v>7948558</v>
      </c>
      <c r="AW33" s="723">
        <v>19068717</v>
      </c>
      <c r="AX33" s="724">
        <f t="shared" si="12"/>
        <v>38353588</v>
      </c>
      <c r="AY33" s="725">
        <f t="shared" si="13"/>
        <v>164907387</v>
      </c>
      <c r="AZ33" s="725">
        <f t="shared" si="14"/>
        <v>106432643</v>
      </c>
      <c r="BA33" s="725">
        <f t="shared" si="19"/>
        <v>2492086160</v>
      </c>
    </row>
    <row r="34" spans="1:53" s="730" customFormat="1" ht="14.25" x14ac:dyDescent="0.2">
      <c r="A34" s="728"/>
      <c r="B34" s="728" t="s">
        <v>920</v>
      </c>
      <c r="C34" s="729">
        <f t="shared" ref="C34:AW34" si="22">SUM(C33:C33)</f>
        <v>11687435</v>
      </c>
      <c r="D34" s="729">
        <f t="shared" si="22"/>
        <v>10105800</v>
      </c>
      <c r="E34" s="729">
        <f t="shared" si="22"/>
        <v>2473017443</v>
      </c>
      <c r="F34" s="724">
        <f t="shared" si="1"/>
        <v>2494810678</v>
      </c>
      <c r="G34" s="729">
        <f t="shared" si="22"/>
        <v>11479594</v>
      </c>
      <c r="H34" s="729">
        <f t="shared" si="22"/>
        <v>8002304</v>
      </c>
      <c r="I34" s="729">
        <f t="shared" si="22"/>
        <v>0</v>
      </c>
      <c r="J34" s="724">
        <f t="shared" si="2"/>
        <v>19481898</v>
      </c>
      <c r="K34" s="729">
        <f t="shared" si="22"/>
        <v>22176508</v>
      </c>
      <c r="L34" s="729">
        <f t="shared" si="22"/>
        <v>7178644</v>
      </c>
      <c r="M34" s="729">
        <f t="shared" si="22"/>
        <v>0</v>
      </c>
      <c r="N34" s="724">
        <f t="shared" si="3"/>
        <v>29355152</v>
      </c>
      <c r="O34" s="729">
        <f t="shared" si="22"/>
        <v>16582222</v>
      </c>
      <c r="P34" s="729">
        <f t="shared" si="22"/>
        <v>6147916</v>
      </c>
      <c r="Q34" s="729">
        <f t="shared" si="22"/>
        <v>0</v>
      </c>
      <c r="R34" s="724">
        <f t="shared" si="4"/>
        <v>22730138</v>
      </c>
      <c r="S34" s="729">
        <f t="shared" si="22"/>
        <v>13537997</v>
      </c>
      <c r="T34" s="729">
        <f t="shared" si="22"/>
        <v>9482653</v>
      </c>
      <c r="U34" s="729">
        <f t="shared" si="22"/>
        <v>0</v>
      </c>
      <c r="V34" s="724">
        <f t="shared" si="5"/>
        <v>23020650</v>
      </c>
      <c r="W34" s="729">
        <f t="shared" si="22"/>
        <v>12353362</v>
      </c>
      <c r="X34" s="729">
        <f t="shared" si="22"/>
        <v>8897412</v>
      </c>
      <c r="Y34" s="729">
        <f t="shared" si="22"/>
        <v>0</v>
      </c>
      <c r="Z34" s="724">
        <f t="shared" si="6"/>
        <v>21250774</v>
      </c>
      <c r="AA34" s="729">
        <f t="shared" si="22"/>
        <v>12929592</v>
      </c>
      <c r="AB34" s="729">
        <f t="shared" si="22"/>
        <v>14568880</v>
      </c>
      <c r="AC34" s="729">
        <f t="shared" si="22"/>
        <v>0</v>
      </c>
      <c r="AD34" s="724">
        <f t="shared" si="7"/>
        <v>27498472</v>
      </c>
      <c r="AE34" s="729">
        <f t="shared" si="22"/>
        <v>13499593</v>
      </c>
      <c r="AF34" s="729">
        <f t="shared" si="22"/>
        <v>10032625</v>
      </c>
      <c r="AG34" s="729">
        <f t="shared" si="22"/>
        <v>0</v>
      </c>
      <c r="AH34" s="724">
        <f t="shared" si="8"/>
        <v>23532218</v>
      </c>
      <c r="AI34" s="729">
        <f t="shared" si="22"/>
        <v>15566753</v>
      </c>
      <c r="AJ34" s="729">
        <f t="shared" si="22"/>
        <v>4737390</v>
      </c>
      <c r="AK34" s="729">
        <f t="shared" si="22"/>
        <v>0</v>
      </c>
      <c r="AL34" s="724">
        <f t="shared" si="9"/>
        <v>20304143</v>
      </c>
      <c r="AM34" s="729">
        <f t="shared" si="22"/>
        <v>16542027</v>
      </c>
      <c r="AN34" s="729">
        <f t="shared" si="22"/>
        <v>12597405</v>
      </c>
      <c r="AO34" s="729">
        <f t="shared" si="22"/>
        <v>0</v>
      </c>
      <c r="AP34" s="724">
        <f t="shared" si="10"/>
        <v>29139432</v>
      </c>
      <c r="AQ34" s="729">
        <f t="shared" si="22"/>
        <v>7215991</v>
      </c>
      <c r="AR34" s="729">
        <f t="shared" si="22"/>
        <v>6733056</v>
      </c>
      <c r="AS34" s="729">
        <f t="shared" si="22"/>
        <v>0</v>
      </c>
      <c r="AT34" s="724">
        <f t="shared" si="11"/>
        <v>13949047</v>
      </c>
      <c r="AU34" s="729">
        <f t="shared" si="22"/>
        <v>11336313</v>
      </c>
      <c r="AV34" s="729">
        <f t="shared" si="22"/>
        <v>7948558</v>
      </c>
      <c r="AW34" s="729">
        <f t="shared" si="22"/>
        <v>19068717</v>
      </c>
      <c r="AX34" s="724">
        <f t="shared" si="12"/>
        <v>38353588</v>
      </c>
      <c r="AY34" s="725">
        <f t="shared" si="13"/>
        <v>164907387</v>
      </c>
      <c r="AZ34" s="725">
        <f t="shared" si="14"/>
        <v>106432643</v>
      </c>
      <c r="BA34" s="725">
        <f t="shared" si="19"/>
        <v>2492086160</v>
      </c>
    </row>
    <row r="35" spans="1:53" s="733" customFormat="1" ht="15" x14ac:dyDescent="0.25">
      <c r="A35" s="731"/>
      <c r="B35" s="731" t="s">
        <v>921</v>
      </c>
      <c r="C35" s="732">
        <f t="shared" ref="C35:AV35" si="23">C34+C32</f>
        <v>11736839</v>
      </c>
      <c r="D35" s="732">
        <f t="shared" si="23"/>
        <v>10818440</v>
      </c>
      <c r="E35" s="732">
        <f t="shared" si="23"/>
        <v>2565577085</v>
      </c>
      <c r="F35" s="724">
        <f t="shared" si="1"/>
        <v>2588132364</v>
      </c>
      <c r="G35" s="732">
        <f t="shared" si="23"/>
        <v>11489995</v>
      </c>
      <c r="H35" s="732">
        <f t="shared" si="23"/>
        <v>9009244</v>
      </c>
      <c r="I35" s="732">
        <f t="shared" si="23"/>
        <v>170961393</v>
      </c>
      <c r="J35" s="724">
        <f t="shared" si="2"/>
        <v>191460632</v>
      </c>
      <c r="K35" s="732">
        <f t="shared" si="23"/>
        <v>22206268</v>
      </c>
      <c r="L35" s="732">
        <f t="shared" si="23"/>
        <v>7640485</v>
      </c>
      <c r="M35" s="732">
        <f t="shared" si="23"/>
        <v>1177160837</v>
      </c>
      <c r="N35" s="724">
        <f t="shared" si="3"/>
        <v>1207007590</v>
      </c>
      <c r="O35" s="732">
        <f t="shared" si="23"/>
        <v>16874355</v>
      </c>
      <c r="P35" s="732">
        <f t="shared" si="23"/>
        <v>6830007</v>
      </c>
      <c r="Q35" s="732">
        <f t="shared" si="23"/>
        <v>64675671</v>
      </c>
      <c r="R35" s="724">
        <f t="shared" si="4"/>
        <v>88380033</v>
      </c>
      <c r="S35" s="732">
        <f t="shared" si="23"/>
        <v>15519236</v>
      </c>
      <c r="T35" s="732">
        <f t="shared" si="23"/>
        <v>9844170</v>
      </c>
      <c r="U35" s="732">
        <f t="shared" si="23"/>
        <v>69433894</v>
      </c>
      <c r="V35" s="724">
        <f t="shared" si="5"/>
        <v>94797300</v>
      </c>
      <c r="W35" s="732">
        <f t="shared" si="23"/>
        <v>12567964</v>
      </c>
      <c r="X35" s="732">
        <f t="shared" si="23"/>
        <v>9484100</v>
      </c>
      <c r="Y35" s="732">
        <f t="shared" si="23"/>
        <v>72378175</v>
      </c>
      <c r="Z35" s="724">
        <f t="shared" si="6"/>
        <v>94430239</v>
      </c>
      <c r="AA35" s="732">
        <f t="shared" si="23"/>
        <v>13006918</v>
      </c>
      <c r="AB35" s="732">
        <f t="shared" si="23"/>
        <v>16475346</v>
      </c>
      <c r="AC35" s="732">
        <f t="shared" si="23"/>
        <v>93891878</v>
      </c>
      <c r="AD35" s="724">
        <f t="shared" si="7"/>
        <v>123374142</v>
      </c>
      <c r="AE35" s="732">
        <f t="shared" si="23"/>
        <v>13540454</v>
      </c>
      <c r="AF35" s="732">
        <f t="shared" si="23"/>
        <v>11212568</v>
      </c>
      <c r="AG35" s="732">
        <f t="shared" si="23"/>
        <v>89119892</v>
      </c>
      <c r="AH35" s="724">
        <f t="shared" si="8"/>
        <v>113872914</v>
      </c>
      <c r="AI35" s="732">
        <f t="shared" si="23"/>
        <v>15868231</v>
      </c>
      <c r="AJ35" s="732">
        <f t="shared" si="23"/>
        <v>8815244</v>
      </c>
      <c r="AK35" s="732">
        <f t="shared" si="23"/>
        <v>282900926</v>
      </c>
      <c r="AL35" s="724">
        <f t="shared" si="9"/>
        <v>307584401</v>
      </c>
      <c r="AM35" s="732">
        <f t="shared" si="23"/>
        <v>19655735</v>
      </c>
      <c r="AN35" s="732">
        <f t="shared" si="23"/>
        <v>12955929</v>
      </c>
      <c r="AO35" s="732">
        <f t="shared" si="23"/>
        <v>105999473</v>
      </c>
      <c r="AP35" s="724">
        <f t="shared" si="10"/>
        <v>138611137</v>
      </c>
      <c r="AQ35" s="732">
        <f t="shared" si="23"/>
        <v>7617351</v>
      </c>
      <c r="AR35" s="732">
        <f t="shared" si="23"/>
        <v>7165468</v>
      </c>
      <c r="AS35" s="732">
        <f t="shared" si="23"/>
        <v>58647898</v>
      </c>
      <c r="AT35" s="724">
        <f t="shared" si="11"/>
        <v>73430717</v>
      </c>
      <c r="AU35" s="732">
        <f t="shared" si="23"/>
        <v>11340079</v>
      </c>
      <c r="AV35" s="732">
        <f t="shared" si="23"/>
        <v>10990619</v>
      </c>
      <c r="AW35" s="732">
        <f>AW34+AW32</f>
        <v>117765856</v>
      </c>
      <c r="AX35" s="724">
        <f t="shared" si="12"/>
        <v>140096554</v>
      </c>
      <c r="AY35" s="725">
        <f t="shared" si="13"/>
        <v>171423425</v>
      </c>
      <c r="AZ35" s="725">
        <f t="shared" si="14"/>
        <v>121241620</v>
      </c>
      <c r="BA35" s="725">
        <f t="shared" si="19"/>
        <v>4868512978</v>
      </c>
    </row>
  </sheetData>
  <mergeCells count="17">
    <mergeCell ref="A3:O3"/>
    <mergeCell ref="A4:O4"/>
    <mergeCell ref="A8:A9"/>
    <mergeCell ref="B8:B9"/>
    <mergeCell ref="C8:E8"/>
    <mergeCell ref="G8:I8"/>
    <mergeCell ref="K8:M8"/>
    <mergeCell ref="O8:Q8"/>
    <mergeCell ref="AM8:AO8"/>
    <mergeCell ref="AQ8:AS8"/>
    <mergeCell ref="AU8:AW8"/>
    <mergeCell ref="AY8:BA8"/>
    <mergeCell ref="S8:U8"/>
    <mergeCell ref="W8:Y8"/>
    <mergeCell ref="AA8:AC8"/>
    <mergeCell ref="AE8:AG8"/>
    <mergeCell ref="AI8:AK8"/>
  </mergeCells>
  <pageMargins left="0.55118110236220474" right="0.15748031496062992" top="0.51" bottom="0.43307086614173229" header="0.57999999999999996" footer="0.31496062992125984"/>
  <pageSetup paperSize="9" scale="57" orientation="landscape" horizontalDpi="300" verticalDpi="300" r:id="rId1"/>
  <headerFooter>
    <oddFooter>&amp;R&amp;P</oddFooter>
  </headerFooter>
  <colBreaks count="2" manualBreakCount="2">
    <brk id="22" max="1048575" man="1"/>
    <brk id="42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307"/>
  <sheetViews>
    <sheetView view="pageBreakPreview" topLeftCell="A241" zoomScale="60" zoomScaleNormal="100" workbookViewId="0">
      <selection activeCell="N25" sqref="N25"/>
    </sheetView>
  </sheetViews>
  <sheetFormatPr defaultRowHeight="15" x14ac:dyDescent="0.25"/>
  <cols>
    <col min="1" max="1" width="33.42578125" style="44" customWidth="1"/>
    <col min="2" max="2" width="17.42578125" style="44" customWidth="1"/>
    <col min="3" max="3" width="16.140625" style="44" bestFit="1" customWidth="1"/>
    <col min="4" max="4" width="16" style="44" customWidth="1"/>
    <col min="5" max="5" width="15.85546875" style="44" customWidth="1"/>
    <col min="6" max="7" width="16.140625" style="44" bestFit="1" customWidth="1"/>
    <col min="8" max="8" width="9.140625" style="44"/>
    <col min="9" max="9" width="11" style="44" bestFit="1" customWidth="1"/>
    <col min="10" max="10" width="9.85546875" style="44" bestFit="1" customWidth="1"/>
    <col min="11" max="255" width="9.140625" style="44"/>
    <col min="256" max="256" width="33.42578125" style="44" customWidth="1"/>
    <col min="257" max="257" width="13" style="44" customWidth="1"/>
    <col min="258" max="258" width="15.85546875" style="44" customWidth="1"/>
    <col min="259" max="259" width="16.140625" style="44" bestFit="1" customWidth="1"/>
    <col min="260" max="260" width="14.42578125" style="44" customWidth="1"/>
    <col min="261" max="261" width="16.7109375" style="44" customWidth="1"/>
    <col min="262" max="262" width="9.140625" style="44"/>
    <col min="263" max="263" width="12.7109375" style="44" bestFit="1" customWidth="1"/>
    <col min="264" max="511" width="9.140625" style="44"/>
    <col min="512" max="512" width="33.42578125" style="44" customWidth="1"/>
    <col min="513" max="513" width="13" style="44" customWidth="1"/>
    <col min="514" max="514" width="15.85546875" style="44" customWidth="1"/>
    <col min="515" max="515" width="16.140625" style="44" bestFit="1" customWidth="1"/>
    <col min="516" max="516" width="14.42578125" style="44" customWidth="1"/>
    <col min="517" max="517" width="16.7109375" style="44" customWidth="1"/>
    <col min="518" max="518" width="9.140625" style="44"/>
    <col min="519" max="519" width="12.7109375" style="44" bestFit="1" customWidth="1"/>
    <col min="520" max="767" width="9.140625" style="44"/>
    <col min="768" max="768" width="33.42578125" style="44" customWidth="1"/>
    <col min="769" max="769" width="13" style="44" customWidth="1"/>
    <col min="770" max="770" width="15.85546875" style="44" customWidth="1"/>
    <col min="771" max="771" width="16.140625" style="44" bestFit="1" customWidth="1"/>
    <col min="772" max="772" width="14.42578125" style="44" customWidth="1"/>
    <col min="773" max="773" width="16.7109375" style="44" customWidth="1"/>
    <col min="774" max="774" width="9.140625" style="44"/>
    <col min="775" max="775" width="12.7109375" style="44" bestFit="1" customWidth="1"/>
    <col min="776" max="1023" width="9.140625" style="44"/>
    <col min="1024" max="1024" width="33.42578125" style="44" customWidth="1"/>
    <col min="1025" max="1025" width="13" style="44" customWidth="1"/>
    <col min="1026" max="1026" width="15.85546875" style="44" customWidth="1"/>
    <col min="1027" max="1027" width="16.140625" style="44" bestFit="1" customWidth="1"/>
    <col min="1028" max="1028" width="14.42578125" style="44" customWidth="1"/>
    <col min="1029" max="1029" width="16.7109375" style="44" customWidth="1"/>
    <col min="1030" max="1030" width="9.140625" style="44"/>
    <col min="1031" max="1031" width="12.7109375" style="44" bestFit="1" customWidth="1"/>
    <col min="1032" max="1279" width="9.140625" style="44"/>
    <col min="1280" max="1280" width="33.42578125" style="44" customWidth="1"/>
    <col min="1281" max="1281" width="13" style="44" customWidth="1"/>
    <col min="1282" max="1282" width="15.85546875" style="44" customWidth="1"/>
    <col min="1283" max="1283" width="16.140625" style="44" bestFit="1" customWidth="1"/>
    <col min="1284" max="1284" width="14.42578125" style="44" customWidth="1"/>
    <col min="1285" max="1285" width="16.7109375" style="44" customWidth="1"/>
    <col min="1286" max="1286" width="9.140625" style="44"/>
    <col min="1287" max="1287" width="12.7109375" style="44" bestFit="1" customWidth="1"/>
    <col min="1288" max="1535" width="9.140625" style="44"/>
    <col min="1536" max="1536" width="33.42578125" style="44" customWidth="1"/>
    <col min="1537" max="1537" width="13" style="44" customWidth="1"/>
    <col min="1538" max="1538" width="15.85546875" style="44" customWidth="1"/>
    <col min="1539" max="1539" width="16.140625" style="44" bestFit="1" customWidth="1"/>
    <col min="1540" max="1540" width="14.42578125" style="44" customWidth="1"/>
    <col min="1541" max="1541" width="16.7109375" style="44" customWidth="1"/>
    <col min="1542" max="1542" width="9.140625" style="44"/>
    <col min="1543" max="1543" width="12.7109375" style="44" bestFit="1" customWidth="1"/>
    <col min="1544" max="1791" width="9.140625" style="44"/>
    <col min="1792" max="1792" width="33.42578125" style="44" customWidth="1"/>
    <col min="1793" max="1793" width="13" style="44" customWidth="1"/>
    <col min="1794" max="1794" width="15.85546875" style="44" customWidth="1"/>
    <col min="1795" max="1795" width="16.140625" style="44" bestFit="1" customWidth="1"/>
    <col min="1796" max="1796" width="14.42578125" style="44" customWidth="1"/>
    <col min="1797" max="1797" width="16.7109375" style="44" customWidth="1"/>
    <col min="1798" max="1798" width="9.140625" style="44"/>
    <col min="1799" max="1799" width="12.7109375" style="44" bestFit="1" customWidth="1"/>
    <col min="1800" max="2047" width="9.140625" style="44"/>
    <col min="2048" max="2048" width="33.42578125" style="44" customWidth="1"/>
    <col min="2049" max="2049" width="13" style="44" customWidth="1"/>
    <col min="2050" max="2050" width="15.85546875" style="44" customWidth="1"/>
    <col min="2051" max="2051" width="16.140625" style="44" bestFit="1" customWidth="1"/>
    <col min="2052" max="2052" width="14.42578125" style="44" customWidth="1"/>
    <col min="2053" max="2053" width="16.7109375" style="44" customWidth="1"/>
    <col min="2054" max="2054" width="9.140625" style="44"/>
    <col min="2055" max="2055" width="12.7109375" style="44" bestFit="1" customWidth="1"/>
    <col min="2056" max="2303" width="9.140625" style="44"/>
    <col min="2304" max="2304" width="33.42578125" style="44" customWidth="1"/>
    <col min="2305" max="2305" width="13" style="44" customWidth="1"/>
    <col min="2306" max="2306" width="15.85546875" style="44" customWidth="1"/>
    <col min="2307" max="2307" width="16.140625" style="44" bestFit="1" customWidth="1"/>
    <col min="2308" max="2308" width="14.42578125" style="44" customWidth="1"/>
    <col min="2309" max="2309" width="16.7109375" style="44" customWidth="1"/>
    <col min="2310" max="2310" width="9.140625" style="44"/>
    <col min="2311" max="2311" width="12.7109375" style="44" bestFit="1" customWidth="1"/>
    <col min="2312" max="2559" width="9.140625" style="44"/>
    <col min="2560" max="2560" width="33.42578125" style="44" customWidth="1"/>
    <col min="2561" max="2561" width="13" style="44" customWidth="1"/>
    <col min="2562" max="2562" width="15.85546875" style="44" customWidth="1"/>
    <col min="2563" max="2563" width="16.140625" style="44" bestFit="1" customWidth="1"/>
    <col min="2564" max="2564" width="14.42578125" style="44" customWidth="1"/>
    <col min="2565" max="2565" width="16.7109375" style="44" customWidth="1"/>
    <col min="2566" max="2566" width="9.140625" style="44"/>
    <col min="2567" max="2567" width="12.7109375" style="44" bestFit="1" customWidth="1"/>
    <col min="2568" max="2815" width="9.140625" style="44"/>
    <col min="2816" max="2816" width="33.42578125" style="44" customWidth="1"/>
    <col min="2817" max="2817" width="13" style="44" customWidth="1"/>
    <col min="2818" max="2818" width="15.85546875" style="44" customWidth="1"/>
    <col min="2819" max="2819" width="16.140625" style="44" bestFit="1" customWidth="1"/>
    <col min="2820" max="2820" width="14.42578125" style="44" customWidth="1"/>
    <col min="2821" max="2821" width="16.7109375" style="44" customWidth="1"/>
    <col min="2822" max="2822" width="9.140625" style="44"/>
    <col min="2823" max="2823" width="12.7109375" style="44" bestFit="1" customWidth="1"/>
    <col min="2824" max="3071" width="9.140625" style="44"/>
    <col min="3072" max="3072" width="33.42578125" style="44" customWidth="1"/>
    <col min="3073" max="3073" width="13" style="44" customWidth="1"/>
    <col min="3074" max="3074" width="15.85546875" style="44" customWidth="1"/>
    <col min="3075" max="3075" width="16.140625" style="44" bestFit="1" customWidth="1"/>
    <col min="3076" max="3076" width="14.42578125" style="44" customWidth="1"/>
    <col min="3077" max="3077" width="16.7109375" style="44" customWidth="1"/>
    <col min="3078" max="3078" width="9.140625" style="44"/>
    <col min="3079" max="3079" width="12.7109375" style="44" bestFit="1" customWidth="1"/>
    <col min="3080" max="3327" width="9.140625" style="44"/>
    <col min="3328" max="3328" width="33.42578125" style="44" customWidth="1"/>
    <col min="3329" max="3329" width="13" style="44" customWidth="1"/>
    <col min="3330" max="3330" width="15.85546875" style="44" customWidth="1"/>
    <col min="3331" max="3331" width="16.140625" style="44" bestFit="1" customWidth="1"/>
    <col min="3332" max="3332" width="14.42578125" style="44" customWidth="1"/>
    <col min="3333" max="3333" width="16.7109375" style="44" customWidth="1"/>
    <col min="3334" max="3334" width="9.140625" style="44"/>
    <col min="3335" max="3335" width="12.7109375" style="44" bestFit="1" customWidth="1"/>
    <col min="3336" max="3583" width="9.140625" style="44"/>
    <col min="3584" max="3584" width="33.42578125" style="44" customWidth="1"/>
    <col min="3585" max="3585" width="13" style="44" customWidth="1"/>
    <col min="3586" max="3586" width="15.85546875" style="44" customWidth="1"/>
    <col min="3587" max="3587" width="16.140625" style="44" bestFit="1" customWidth="1"/>
    <col min="3588" max="3588" width="14.42578125" style="44" customWidth="1"/>
    <col min="3589" max="3589" width="16.7109375" style="44" customWidth="1"/>
    <col min="3590" max="3590" width="9.140625" style="44"/>
    <col min="3591" max="3591" width="12.7109375" style="44" bestFit="1" customWidth="1"/>
    <col min="3592" max="3839" width="9.140625" style="44"/>
    <col min="3840" max="3840" width="33.42578125" style="44" customWidth="1"/>
    <col min="3841" max="3841" width="13" style="44" customWidth="1"/>
    <col min="3842" max="3842" width="15.85546875" style="44" customWidth="1"/>
    <col min="3843" max="3843" width="16.140625" style="44" bestFit="1" customWidth="1"/>
    <col min="3844" max="3844" width="14.42578125" style="44" customWidth="1"/>
    <col min="3845" max="3845" width="16.7109375" style="44" customWidth="1"/>
    <col min="3846" max="3846" width="9.140625" style="44"/>
    <col min="3847" max="3847" width="12.7109375" style="44" bestFit="1" customWidth="1"/>
    <col min="3848" max="4095" width="9.140625" style="44"/>
    <col min="4096" max="4096" width="33.42578125" style="44" customWidth="1"/>
    <col min="4097" max="4097" width="13" style="44" customWidth="1"/>
    <col min="4098" max="4098" width="15.85546875" style="44" customWidth="1"/>
    <col min="4099" max="4099" width="16.140625" style="44" bestFit="1" customWidth="1"/>
    <col min="4100" max="4100" width="14.42578125" style="44" customWidth="1"/>
    <col min="4101" max="4101" width="16.7109375" style="44" customWidth="1"/>
    <col min="4102" max="4102" width="9.140625" style="44"/>
    <col min="4103" max="4103" width="12.7109375" style="44" bestFit="1" customWidth="1"/>
    <col min="4104" max="4351" width="9.140625" style="44"/>
    <col min="4352" max="4352" width="33.42578125" style="44" customWidth="1"/>
    <col min="4353" max="4353" width="13" style="44" customWidth="1"/>
    <col min="4354" max="4354" width="15.85546875" style="44" customWidth="1"/>
    <col min="4355" max="4355" width="16.140625" style="44" bestFit="1" customWidth="1"/>
    <col min="4356" max="4356" width="14.42578125" style="44" customWidth="1"/>
    <col min="4357" max="4357" width="16.7109375" style="44" customWidth="1"/>
    <col min="4358" max="4358" width="9.140625" style="44"/>
    <col min="4359" max="4359" width="12.7109375" style="44" bestFit="1" customWidth="1"/>
    <col min="4360" max="4607" width="9.140625" style="44"/>
    <col min="4608" max="4608" width="33.42578125" style="44" customWidth="1"/>
    <col min="4609" max="4609" width="13" style="44" customWidth="1"/>
    <col min="4610" max="4610" width="15.85546875" style="44" customWidth="1"/>
    <col min="4611" max="4611" width="16.140625" style="44" bestFit="1" customWidth="1"/>
    <col min="4612" max="4612" width="14.42578125" style="44" customWidth="1"/>
    <col min="4613" max="4613" width="16.7109375" style="44" customWidth="1"/>
    <col min="4614" max="4614" width="9.140625" style="44"/>
    <col min="4615" max="4615" width="12.7109375" style="44" bestFit="1" customWidth="1"/>
    <col min="4616" max="4863" width="9.140625" style="44"/>
    <col min="4864" max="4864" width="33.42578125" style="44" customWidth="1"/>
    <col min="4865" max="4865" width="13" style="44" customWidth="1"/>
    <col min="4866" max="4866" width="15.85546875" style="44" customWidth="1"/>
    <col min="4867" max="4867" width="16.140625" style="44" bestFit="1" customWidth="1"/>
    <col min="4868" max="4868" width="14.42578125" style="44" customWidth="1"/>
    <col min="4869" max="4869" width="16.7109375" style="44" customWidth="1"/>
    <col min="4870" max="4870" width="9.140625" style="44"/>
    <col min="4871" max="4871" width="12.7109375" style="44" bestFit="1" customWidth="1"/>
    <col min="4872" max="5119" width="9.140625" style="44"/>
    <col min="5120" max="5120" width="33.42578125" style="44" customWidth="1"/>
    <col min="5121" max="5121" width="13" style="44" customWidth="1"/>
    <col min="5122" max="5122" width="15.85546875" style="44" customWidth="1"/>
    <col min="5123" max="5123" width="16.140625" style="44" bestFit="1" customWidth="1"/>
    <col min="5124" max="5124" width="14.42578125" style="44" customWidth="1"/>
    <col min="5125" max="5125" width="16.7109375" style="44" customWidth="1"/>
    <col min="5126" max="5126" width="9.140625" style="44"/>
    <col min="5127" max="5127" width="12.7109375" style="44" bestFit="1" customWidth="1"/>
    <col min="5128" max="5375" width="9.140625" style="44"/>
    <col min="5376" max="5376" width="33.42578125" style="44" customWidth="1"/>
    <col min="5377" max="5377" width="13" style="44" customWidth="1"/>
    <col min="5378" max="5378" width="15.85546875" style="44" customWidth="1"/>
    <col min="5379" max="5379" width="16.140625" style="44" bestFit="1" customWidth="1"/>
    <col min="5380" max="5380" width="14.42578125" style="44" customWidth="1"/>
    <col min="5381" max="5381" width="16.7109375" style="44" customWidth="1"/>
    <col min="5382" max="5382" width="9.140625" style="44"/>
    <col min="5383" max="5383" width="12.7109375" style="44" bestFit="1" customWidth="1"/>
    <col min="5384" max="5631" width="9.140625" style="44"/>
    <col min="5632" max="5632" width="33.42578125" style="44" customWidth="1"/>
    <col min="5633" max="5633" width="13" style="44" customWidth="1"/>
    <col min="5634" max="5634" width="15.85546875" style="44" customWidth="1"/>
    <col min="5635" max="5635" width="16.140625" style="44" bestFit="1" customWidth="1"/>
    <col min="5636" max="5636" width="14.42578125" style="44" customWidth="1"/>
    <col min="5637" max="5637" width="16.7109375" style="44" customWidth="1"/>
    <col min="5638" max="5638" width="9.140625" style="44"/>
    <col min="5639" max="5639" width="12.7109375" style="44" bestFit="1" customWidth="1"/>
    <col min="5640" max="5887" width="9.140625" style="44"/>
    <col min="5888" max="5888" width="33.42578125" style="44" customWidth="1"/>
    <col min="5889" max="5889" width="13" style="44" customWidth="1"/>
    <col min="5890" max="5890" width="15.85546875" style="44" customWidth="1"/>
    <col min="5891" max="5891" width="16.140625" style="44" bestFit="1" customWidth="1"/>
    <col min="5892" max="5892" width="14.42578125" style="44" customWidth="1"/>
    <col min="5893" max="5893" width="16.7109375" style="44" customWidth="1"/>
    <col min="5894" max="5894" width="9.140625" style="44"/>
    <col min="5895" max="5895" width="12.7109375" style="44" bestFit="1" customWidth="1"/>
    <col min="5896" max="6143" width="9.140625" style="44"/>
    <col min="6144" max="6144" width="33.42578125" style="44" customWidth="1"/>
    <col min="6145" max="6145" width="13" style="44" customWidth="1"/>
    <col min="6146" max="6146" width="15.85546875" style="44" customWidth="1"/>
    <col min="6147" max="6147" width="16.140625" style="44" bestFit="1" customWidth="1"/>
    <col min="6148" max="6148" width="14.42578125" style="44" customWidth="1"/>
    <col min="6149" max="6149" width="16.7109375" style="44" customWidth="1"/>
    <col min="6150" max="6150" width="9.140625" style="44"/>
    <col min="6151" max="6151" width="12.7109375" style="44" bestFit="1" customWidth="1"/>
    <col min="6152" max="6399" width="9.140625" style="44"/>
    <col min="6400" max="6400" width="33.42578125" style="44" customWidth="1"/>
    <col min="6401" max="6401" width="13" style="44" customWidth="1"/>
    <col min="6402" max="6402" width="15.85546875" style="44" customWidth="1"/>
    <col min="6403" max="6403" width="16.140625" style="44" bestFit="1" customWidth="1"/>
    <col min="6404" max="6404" width="14.42578125" style="44" customWidth="1"/>
    <col min="6405" max="6405" width="16.7109375" style="44" customWidth="1"/>
    <col min="6406" max="6406" width="9.140625" style="44"/>
    <col min="6407" max="6407" width="12.7109375" style="44" bestFit="1" customWidth="1"/>
    <col min="6408" max="6655" width="9.140625" style="44"/>
    <col min="6656" max="6656" width="33.42578125" style="44" customWidth="1"/>
    <col min="6657" max="6657" width="13" style="44" customWidth="1"/>
    <col min="6658" max="6658" width="15.85546875" style="44" customWidth="1"/>
    <col min="6659" max="6659" width="16.140625" style="44" bestFit="1" customWidth="1"/>
    <col min="6660" max="6660" width="14.42578125" style="44" customWidth="1"/>
    <col min="6661" max="6661" width="16.7109375" style="44" customWidth="1"/>
    <col min="6662" max="6662" width="9.140625" style="44"/>
    <col min="6663" max="6663" width="12.7109375" style="44" bestFit="1" customWidth="1"/>
    <col min="6664" max="6911" width="9.140625" style="44"/>
    <col min="6912" max="6912" width="33.42578125" style="44" customWidth="1"/>
    <col min="6913" max="6913" width="13" style="44" customWidth="1"/>
    <col min="6914" max="6914" width="15.85546875" style="44" customWidth="1"/>
    <col min="6915" max="6915" width="16.140625" style="44" bestFit="1" customWidth="1"/>
    <col min="6916" max="6916" width="14.42578125" style="44" customWidth="1"/>
    <col min="6917" max="6917" width="16.7109375" style="44" customWidth="1"/>
    <col min="6918" max="6918" width="9.140625" style="44"/>
    <col min="6919" max="6919" width="12.7109375" style="44" bestFit="1" customWidth="1"/>
    <col min="6920" max="7167" width="9.140625" style="44"/>
    <col min="7168" max="7168" width="33.42578125" style="44" customWidth="1"/>
    <col min="7169" max="7169" width="13" style="44" customWidth="1"/>
    <col min="7170" max="7170" width="15.85546875" style="44" customWidth="1"/>
    <col min="7171" max="7171" width="16.140625" style="44" bestFit="1" customWidth="1"/>
    <col min="7172" max="7172" width="14.42578125" style="44" customWidth="1"/>
    <col min="7173" max="7173" width="16.7109375" style="44" customWidth="1"/>
    <col min="7174" max="7174" width="9.140625" style="44"/>
    <col min="7175" max="7175" width="12.7109375" style="44" bestFit="1" customWidth="1"/>
    <col min="7176" max="7423" width="9.140625" style="44"/>
    <col min="7424" max="7424" width="33.42578125" style="44" customWidth="1"/>
    <col min="7425" max="7425" width="13" style="44" customWidth="1"/>
    <col min="7426" max="7426" width="15.85546875" style="44" customWidth="1"/>
    <col min="7427" max="7427" width="16.140625" style="44" bestFit="1" customWidth="1"/>
    <col min="7428" max="7428" width="14.42578125" style="44" customWidth="1"/>
    <col min="7429" max="7429" width="16.7109375" style="44" customWidth="1"/>
    <col min="7430" max="7430" width="9.140625" style="44"/>
    <col min="7431" max="7431" width="12.7109375" style="44" bestFit="1" customWidth="1"/>
    <col min="7432" max="7679" width="9.140625" style="44"/>
    <col min="7680" max="7680" width="33.42578125" style="44" customWidth="1"/>
    <col min="7681" max="7681" width="13" style="44" customWidth="1"/>
    <col min="7682" max="7682" width="15.85546875" style="44" customWidth="1"/>
    <col min="7683" max="7683" width="16.140625" style="44" bestFit="1" customWidth="1"/>
    <col min="7684" max="7684" width="14.42578125" style="44" customWidth="1"/>
    <col min="7685" max="7685" width="16.7109375" style="44" customWidth="1"/>
    <col min="7686" max="7686" width="9.140625" style="44"/>
    <col min="7687" max="7687" width="12.7109375" style="44" bestFit="1" customWidth="1"/>
    <col min="7688" max="7935" width="9.140625" style="44"/>
    <col min="7936" max="7936" width="33.42578125" style="44" customWidth="1"/>
    <col min="7937" max="7937" width="13" style="44" customWidth="1"/>
    <col min="7938" max="7938" width="15.85546875" style="44" customWidth="1"/>
    <col min="7939" max="7939" width="16.140625" style="44" bestFit="1" customWidth="1"/>
    <col min="7940" max="7940" width="14.42578125" style="44" customWidth="1"/>
    <col min="7941" max="7941" width="16.7109375" style="44" customWidth="1"/>
    <col min="7942" max="7942" width="9.140625" style="44"/>
    <col min="7943" max="7943" width="12.7109375" style="44" bestFit="1" customWidth="1"/>
    <col min="7944" max="8191" width="9.140625" style="44"/>
    <col min="8192" max="8192" width="33.42578125" style="44" customWidth="1"/>
    <col min="8193" max="8193" width="13" style="44" customWidth="1"/>
    <col min="8194" max="8194" width="15.85546875" style="44" customWidth="1"/>
    <col min="8195" max="8195" width="16.140625" style="44" bestFit="1" customWidth="1"/>
    <col min="8196" max="8196" width="14.42578125" style="44" customWidth="1"/>
    <col min="8197" max="8197" width="16.7109375" style="44" customWidth="1"/>
    <col min="8198" max="8198" width="9.140625" style="44"/>
    <col min="8199" max="8199" width="12.7109375" style="44" bestFit="1" customWidth="1"/>
    <col min="8200" max="8447" width="9.140625" style="44"/>
    <col min="8448" max="8448" width="33.42578125" style="44" customWidth="1"/>
    <col min="8449" max="8449" width="13" style="44" customWidth="1"/>
    <col min="8450" max="8450" width="15.85546875" style="44" customWidth="1"/>
    <col min="8451" max="8451" width="16.140625" style="44" bestFit="1" customWidth="1"/>
    <col min="8452" max="8452" width="14.42578125" style="44" customWidth="1"/>
    <col min="8453" max="8453" width="16.7109375" style="44" customWidth="1"/>
    <col min="8454" max="8454" width="9.140625" style="44"/>
    <col min="8455" max="8455" width="12.7109375" style="44" bestFit="1" customWidth="1"/>
    <col min="8456" max="8703" width="9.140625" style="44"/>
    <col min="8704" max="8704" width="33.42578125" style="44" customWidth="1"/>
    <col min="8705" max="8705" width="13" style="44" customWidth="1"/>
    <col min="8706" max="8706" width="15.85546875" style="44" customWidth="1"/>
    <col min="8707" max="8707" width="16.140625" style="44" bestFit="1" customWidth="1"/>
    <col min="8708" max="8708" width="14.42578125" style="44" customWidth="1"/>
    <col min="8709" max="8709" width="16.7109375" style="44" customWidth="1"/>
    <col min="8710" max="8710" width="9.140625" style="44"/>
    <col min="8711" max="8711" width="12.7109375" style="44" bestFit="1" customWidth="1"/>
    <col min="8712" max="8959" width="9.140625" style="44"/>
    <col min="8960" max="8960" width="33.42578125" style="44" customWidth="1"/>
    <col min="8961" max="8961" width="13" style="44" customWidth="1"/>
    <col min="8962" max="8962" width="15.85546875" style="44" customWidth="1"/>
    <col min="8963" max="8963" width="16.140625" style="44" bestFit="1" customWidth="1"/>
    <col min="8964" max="8964" width="14.42578125" style="44" customWidth="1"/>
    <col min="8965" max="8965" width="16.7109375" style="44" customWidth="1"/>
    <col min="8966" max="8966" width="9.140625" style="44"/>
    <col min="8967" max="8967" width="12.7109375" style="44" bestFit="1" customWidth="1"/>
    <col min="8968" max="9215" width="9.140625" style="44"/>
    <col min="9216" max="9216" width="33.42578125" style="44" customWidth="1"/>
    <col min="9217" max="9217" width="13" style="44" customWidth="1"/>
    <col min="9218" max="9218" width="15.85546875" style="44" customWidth="1"/>
    <col min="9219" max="9219" width="16.140625" style="44" bestFit="1" customWidth="1"/>
    <col min="9220" max="9220" width="14.42578125" style="44" customWidth="1"/>
    <col min="9221" max="9221" width="16.7109375" style="44" customWidth="1"/>
    <col min="9222" max="9222" width="9.140625" style="44"/>
    <col min="9223" max="9223" width="12.7109375" style="44" bestFit="1" customWidth="1"/>
    <col min="9224" max="9471" width="9.140625" style="44"/>
    <col min="9472" max="9472" width="33.42578125" style="44" customWidth="1"/>
    <col min="9473" max="9473" width="13" style="44" customWidth="1"/>
    <col min="9474" max="9474" width="15.85546875" style="44" customWidth="1"/>
    <col min="9475" max="9475" width="16.140625" style="44" bestFit="1" customWidth="1"/>
    <col min="9476" max="9476" width="14.42578125" style="44" customWidth="1"/>
    <col min="9477" max="9477" width="16.7109375" style="44" customWidth="1"/>
    <col min="9478" max="9478" width="9.140625" style="44"/>
    <col min="9479" max="9479" width="12.7109375" style="44" bestFit="1" customWidth="1"/>
    <col min="9480" max="9727" width="9.140625" style="44"/>
    <col min="9728" max="9728" width="33.42578125" style="44" customWidth="1"/>
    <col min="9729" max="9729" width="13" style="44" customWidth="1"/>
    <col min="9730" max="9730" width="15.85546875" style="44" customWidth="1"/>
    <col min="9731" max="9731" width="16.140625" style="44" bestFit="1" customWidth="1"/>
    <col min="9732" max="9732" width="14.42578125" style="44" customWidth="1"/>
    <col min="9733" max="9733" width="16.7109375" style="44" customWidth="1"/>
    <col min="9734" max="9734" width="9.140625" style="44"/>
    <col min="9735" max="9735" width="12.7109375" style="44" bestFit="1" customWidth="1"/>
    <col min="9736" max="9983" width="9.140625" style="44"/>
    <col min="9984" max="9984" width="33.42578125" style="44" customWidth="1"/>
    <col min="9985" max="9985" width="13" style="44" customWidth="1"/>
    <col min="9986" max="9986" width="15.85546875" style="44" customWidth="1"/>
    <col min="9987" max="9987" width="16.140625" style="44" bestFit="1" customWidth="1"/>
    <col min="9988" max="9988" width="14.42578125" style="44" customWidth="1"/>
    <col min="9989" max="9989" width="16.7109375" style="44" customWidth="1"/>
    <col min="9990" max="9990" width="9.140625" style="44"/>
    <col min="9991" max="9991" width="12.7109375" style="44" bestFit="1" customWidth="1"/>
    <col min="9992" max="10239" width="9.140625" style="44"/>
    <col min="10240" max="10240" width="33.42578125" style="44" customWidth="1"/>
    <col min="10241" max="10241" width="13" style="44" customWidth="1"/>
    <col min="10242" max="10242" width="15.85546875" style="44" customWidth="1"/>
    <col min="10243" max="10243" width="16.140625" style="44" bestFit="1" customWidth="1"/>
    <col min="10244" max="10244" width="14.42578125" style="44" customWidth="1"/>
    <col min="10245" max="10245" width="16.7109375" style="44" customWidth="1"/>
    <col min="10246" max="10246" width="9.140625" style="44"/>
    <col min="10247" max="10247" width="12.7109375" style="44" bestFit="1" customWidth="1"/>
    <col min="10248" max="10495" width="9.140625" style="44"/>
    <col min="10496" max="10496" width="33.42578125" style="44" customWidth="1"/>
    <col min="10497" max="10497" width="13" style="44" customWidth="1"/>
    <col min="10498" max="10498" width="15.85546875" style="44" customWidth="1"/>
    <col min="10499" max="10499" width="16.140625" style="44" bestFit="1" customWidth="1"/>
    <col min="10500" max="10500" width="14.42578125" style="44" customWidth="1"/>
    <col min="10501" max="10501" width="16.7109375" style="44" customWidth="1"/>
    <col min="10502" max="10502" width="9.140625" style="44"/>
    <col min="10503" max="10503" width="12.7109375" style="44" bestFit="1" customWidth="1"/>
    <col min="10504" max="10751" width="9.140625" style="44"/>
    <col min="10752" max="10752" width="33.42578125" style="44" customWidth="1"/>
    <col min="10753" max="10753" width="13" style="44" customWidth="1"/>
    <col min="10754" max="10754" width="15.85546875" style="44" customWidth="1"/>
    <col min="10755" max="10755" width="16.140625" style="44" bestFit="1" customWidth="1"/>
    <col min="10756" max="10756" width="14.42578125" style="44" customWidth="1"/>
    <col min="10757" max="10757" width="16.7109375" style="44" customWidth="1"/>
    <col min="10758" max="10758" width="9.140625" style="44"/>
    <col min="10759" max="10759" width="12.7109375" style="44" bestFit="1" customWidth="1"/>
    <col min="10760" max="11007" width="9.140625" style="44"/>
    <col min="11008" max="11008" width="33.42578125" style="44" customWidth="1"/>
    <col min="11009" max="11009" width="13" style="44" customWidth="1"/>
    <col min="11010" max="11010" width="15.85546875" style="44" customWidth="1"/>
    <col min="11011" max="11011" width="16.140625" style="44" bestFit="1" customWidth="1"/>
    <col min="11012" max="11012" width="14.42578125" style="44" customWidth="1"/>
    <col min="11013" max="11013" width="16.7109375" style="44" customWidth="1"/>
    <col min="11014" max="11014" width="9.140625" style="44"/>
    <col min="11015" max="11015" width="12.7109375" style="44" bestFit="1" customWidth="1"/>
    <col min="11016" max="11263" width="9.140625" style="44"/>
    <col min="11264" max="11264" width="33.42578125" style="44" customWidth="1"/>
    <col min="11265" max="11265" width="13" style="44" customWidth="1"/>
    <col min="11266" max="11266" width="15.85546875" style="44" customWidth="1"/>
    <col min="11267" max="11267" width="16.140625" style="44" bestFit="1" customWidth="1"/>
    <col min="11268" max="11268" width="14.42578125" style="44" customWidth="1"/>
    <col min="11269" max="11269" width="16.7109375" style="44" customWidth="1"/>
    <col min="11270" max="11270" width="9.140625" style="44"/>
    <col min="11271" max="11271" width="12.7109375" style="44" bestFit="1" customWidth="1"/>
    <col min="11272" max="11519" width="9.140625" style="44"/>
    <col min="11520" max="11520" width="33.42578125" style="44" customWidth="1"/>
    <col min="11521" max="11521" width="13" style="44" customWidth="1"/>
    <col min="11522" max="11522" width="15.85546875" style="44" customWidth="1"/>
    <col min="11523" max="11523" width="16.140625" style="44" bestFit="1" customWidth="1"/>
    <col min="11524" max="11524" width="14.42578125" style="44" customWidth="1"/>
    <col min="11525" max="11525" width="16.7109375" style="44" customWidth="1"/>
    <col min="11526" max="11526" width="9.140625" style="44"/>
    <col min="11527" max="11527" width="12.7109375" style="44" bestFit="1" customWidth="1"/>
    <col min="11528" max="11775" width="9.140625" style="44"/>
    <col min="11776" max="11776" width="33.42578125" style="44" customWidth="1"/>
    <col min="11777" max="11777" width="13" style="44" customWidth="1"/>
    <col min="11778" max="11778" width="15.85546875" style="44" customWidth="1"/>
    <col min="11779" max="11779" width="16.140625" style="44" bestFit="1" customWidth="1"/>
    <col min="11780" max="11780" width="14.42578125" style="44" customWidth="1"/>
    <col min="11781" max="11781" width="16.7109375" style="44" customWidth="1"/>
    <col min="11782" max="11782" width="9.140625" style="44"/>
    <col min="11783" max="11783" width="12.7109375" style="44" bestFit="1" customWidth="1"/>
    <col min="11784" max="12031" width="9.140625" style="44"/>
    <col min="12032" max="12032" width="33.42578125" style="44" customWidth="1"/>
    <col min="12033" max="12033" width="13" style="44" customWidth="1"/>
    <col min="12034" max="12034" width="15.85546875" style="44" customWidth="1"/>
    <col min="12035" max="12035" width="16.140625" style="44" bestFit="1" customWidth="1"/>
    <col min="12036" max="12036" width="14.42578125" style="44" customWidth="1"/>
    <col min="12037" max="12037" width="16.7109375" style="44" customWidth="1"/>
    <col min="12038" max="12038" width="9.140625" style="44"/>
    <col min="12039" max="12039" width="12.7109375" style="44" bestFit="1" customWidth="1"/>
    <col min="12040" max="12287" width="9.140625" style="44"/>
    <col min="12288" max="12288" width="33.42578125" style="44" customWidth="1"/>
    <col min="12289" max="12289" width="13" style="44" customWidth="1"/>
    <col min="12290" max="12290" width="15.85546875" style="44" customWidth="1"/>
    <col min="12291" max="12291" width="16.140625" style="44" bestFit="1" customWidth="1"/>
    <col min="12292" max="12292" width="14.42578125" style="44" customWidth="1"/>
    <col min="12293" max="12293" width="16.7109375" style="44" customWidth="1"/>
    <col min="12294" max="12294" width="9.140625" style="44"/>
    <col min="12295" max="12295" width="12.7109375" style="44" bestFit="1" customWidth="1"/>
    <col min="12296" max="12543" width="9.140625" style="44"/>
    <col min="12544" max="12544" width="33.42578125" style="44" customWidth="1"/>
    <col min="12545" max="12545" width="13" style="44" customWidth="1"/>
    <col min="12546" max="12546" width="15.85546875" style="44" customWidth="1"/>
    <col min="12547" max="12547" width="16.140625" style="44" bestFit="1" customWidth="1"/>
    <col min="12548" max="12548" width="14.42578125" style="44" customWidth="1"/>
    <col min="12549" max="12549" width="16.7109375" style="44" customWidth="1"/>
    <col min="12550" max="12550" width="9.140625" style="44"/>
    <col min="12551" max="12551" width="12.7109375" style="44" bestFit="1" customWidth="1"/>
    <col min="12552" max="12799" width="9.140625" style="44"/>
    <col min="12800" max="12800" width="33.42578125" style="44" customWidth="1"/>
    <col min="12801" max="12801" width="13" style="44" customWidth="1"/>
    <col min="12802" max="12802" width="15.85546875" style="44" customWidth="1"/>
    <col min="12803" max="12803" width="16.140625" style="44" bestFit="1" customWidth="1"/>
    <col min="12804" max="12804" width="14.42578125" style="44" customWidth="1"/>
    <col min="12805" max="12805" width="16.7109375" style="44" customWidth="1"/>
    <col min="12806" max="12806" width="9.140625" style="44"/>
    <col min="12807" max="12807" width="12.7109375" style="44" bestFit="1" customWidth="1"/>
    <col min="12808" max="13055" width="9.140625" style="44"/>
    <col min="13056" max="13056" width="33.42578125" style="44" customWidth="1"/>
    <col min="13057" max="13057" width="13" style="44" customWidth="1"/>
    <col min="13058" max="13058" width="15.85546875" style="44" customWidth="1"/>
    <col min="13059" max="13059" width="16.140625" style="44" bestFit="1" customWidth="1"/>
    <col min="13060" max="13060" width="14.42578125" style="44" customWidth="1"/>
    <col min="13061" max="13061" width="16.7109375" style="44" customWidth="1"/>
    <col min="13062" max="13062" width="9.140625" style="44"/>
    <col min="13063" max="13063" width="12.7109375" style="44" bestFit="1" customWidth="1"/>
    <col min="13064" max="13311" width="9.140625" style="44"/>
    <col min="13312" max="13312" width="33.42578125" style="44" customWidth="1"/>
    <col min="13313" max="13313" width="13" style="44" customWidth="1"/>
    <col min="13314" max="13314" width="15.85546875" style="44" customWidth="1"/>
    <col min="13315" max="13315" width="16.140625" style="44" bestFit="1" customWidth="1"/>
    <col min="13316" max="13316" width="14.42578125" style="44" customWidth="1"/>
    <col min="13317" max="13317" width="16.7109375" style="44" customWidth="1"/>
    <col min="13318" max="13318" width="9.140625" style="44"/>
    <col min="13319" max="13319" width="12.7109375" style="44" bestFit="1" customWidth="1"/>
    <col min="13320" max="13567" width="9.140625" style="44"/>
    <col min="13568" max="13568" width="33.42578125" style="44" customWidth="1"/>
    <col min="13569" max="13569" width="13" style="44" customWidth="1"/>
    <col min="13570" max="13570" width="15.85546875" style="44" customWidth="1"/>
    <col min="13571" max="13571" width="16.140625" style="44" bestFit="1" customWidth="1"/>
    <col min="13572" max="13572" width="14.42578125" style="44" customWidth="1"/>
    <col min="13573" max="13573" width="16.7109375" style="44" customWidth="1"/>
    <col min="13574" max="13574" width="9.140625" style="44"/>
    <col min="13575" max="13575" width="12.7109375" style="44" bestFit="1" customWidth="1"/>
    <col min="13576" max="13823" width="9.140625" style="44"/>
    <col min="13824" max="13824" width="33.42578125" style="44" customWidth="1"/>
    <col min="13825" max="13825" width="13" style="44" customWidth="1"/>
    <col min="13826" max="13826" width="15.85546875" style="44" customWidth="1"/>
    <col min="13827" max="13827" width="16.140625" style="44" bestFit="1" customWidth="1"/>
    <col min="13828" max="13828" width="14.42578125" style="44" customWidth="1"/>
    <col min="13829" max="13829" width="16.7109375" style="44" customWidth="1"/>
    <col min="13830" max="13830" width="9.140625" style="44"/>
    <col min="13831" max="13831" width="12.7109375" style="44" bestFit="1" customWidth="1"/>
    <col min="13832" max="14079" width="9.140625" style="44"/>
    <col min="14080" max="14080" width="33.42578125" style="44" customWidth="1"/>
    <col min="14081" max="14081" width="13" style="44" customWidth="1"/>
    <col min="14082" max="14082" width="15.85546875" style="44" customWidth="1"/>
    <col min="14083" max="14083" width="16.140625" style="44" bestFit="1" customWidth="1"/>
    <col min="14084" max="14084" width="14.42578125" style="44" customWidth="1"/>
    <col min="14085" max="14085" width="16.7109375" style="44" customWidth="1"/>
    <col min="14086" max="14086" width="9.140625" style="44"/>
    <col min="14087" max="14087" width="12.7109375" style="44" bestFit="1" customWidth="1"/>
    <col min="14088" max="14335" width="9.140625" style="44"/>
    <col min="14336" max="14336" width="33.42578125" style="44" customWidth="1"/>
    <col min="14337" max="14337" width="13" style="44" customWidth="1"/>
    <col min="14338" max="14338" width="15.85546875" style="44" customWidth="1"/>
    <col min="14339" max="14339" width="16.140625" style="44" bestFit="1" customWidth="1"/>
    <col min="14340" max="14340" width="14.42578125" style="44" customWidth="1"/>
    <col min="14341" max="14341" width="16.7109375" style="44" customWidth="1"/>
    <col min="14342" max="14342" width="9.140625" style="44"/>
    <col min="14343" max="14343" width="12.7109375" style="44" bestFit="1" customWidth="1"/>
    <col min="14344" max="14591" width="9.140625" style="44"/>
    <col min="14592" max="14592" width="33.42578125" style="44" customWidth="1"/>
    <col min="14593" max="14593" width="13" style="44" customWidth="1"/>
    <col min="14594" max="14594" width="15.85546875" style="44" customWidth="1"/>
    <col min="14595" max="14595" width="16.140625" style="44" bestFit="1" customWidth="1"/>
    <col min="14596" max="14596" width="14.42578125" style="44" customWidth="1"/>
    <col min="14597" max="14597" width="16.7109375" style="44" customWidth="1"/>
    <col min="14598" max="14598" width="9.140625" style="44"/>
    <col min="14599" max="14599" width="12.7109375" style="44" bestFit="1" customWidth="1"/>
    <col min="14600" max="14847" width="9.140625" style="44"/>
    <col min="14848" max="14848" width="33.42578125" style="44" customWidth="1"/>
    <col min="14849" max="14849" width="13" style="44" customWidth="1"/>
    <col min="14850" max="14850" width="15.85546875" style="44" customWidth="1"/>
    <col min="14851" max="14851" width="16.140625" style="44" bestFit="1" customWidth="1"/>
    <col min="14852" max="14852" width="14.42578125" style="44" customWidth="1"/>
    <col min="14853" max="14853" width="16.7109375" style="44" customWidth="1"/>
    <col min="14854" max="14854" width="9.140625" style="44"/>
    <col min="14855" max="14855" width="12.7109375" style="44" bestFit="1" customWidth="1"/>
    <col min="14856" max="15103" width="9.140625" style="44"/>
    <col min="15104" max="15104" width="33.42578125" style="44" customWidth="1"/>
    <col min="15105" max="15105" width="13" style="44" customWidth="1"/>
    <col min="15106" max="15106" width="15.85546875" style="44" customWidth="1"/>
    <col min="15107" max="15107" width="16.140625" style="44" bestFit="1" customWidth="1"/>
    <col min="15108" max="15108" width="14.42578125" style="44" customWidth="1"/>
    <col min="15109" max="15109" width="16.7109375" style="44" customWidth="1"/>
    <col min="15110" max="15110" width="9.140625" style="44"/>
    <col min="15111" max="15111" width="12.7109375" style="44" bestFit="1" customWidth="1"/>
    <col min="15112" max="15359" width="9.140625" style="44"/>
    <col min="15360" max="15360" width="33.42578125" style="44" customWidth="1"/>
    <col min="15361" max="15361" width="13" style="44" customWidth="1"/>
    <col min="15362" max="15362" width="15.85546875" style="44" customWidth="1"/>
    <col min="15363" max="15363" width="16.140625" style="44" bestFit="1" customWidth="1"/>
    <col min="15364" max="15364" width="14.42578125" style="44" customWidth="1"/>
    <col min="15365" max="15365" width="16.7109375" style="44" customWidth="1"/>
    <col min="15366" max="15366" width="9.140625" style="44"/>
    <col min="15367" max="15367" width="12.7109375" style="44" bestFit="1" customWidth="1"/>
    <col min="15368" max="15615" width="9.140625" style="44"/>
    <col min="15616" max="15616" width="33.42578125" style="44" customWidth="1"/>
    <col min="15617" max="15617" width="13" style="44" customWidth="1"/>
    <col min="15618" max="15618" width="15.85546875" style="44" customWidth="1"/>
    <col min="15619" max="15619" width="16.140625" style="44" bestFit="1" customWidth="1"/>
    <col min="15620" max="15620" width="14.42578125" style="44" customWidth="1"/>
    <col min="15621" max="15621" width="16.7109375" style="44" customWidth="1"/>
    <col min="15622" max="15622" width="9.140625" style="44"/>
    <col min="15623" max="15623" width="12.7109375" style="44" bestFit="1" customWidth="1"/>
    <col min="15624" max="15871" width="9.140625" style="44"/>
    <col min="15872" max="15872" width="33.42578125" style="44" customWidth="1"/>
    <col min="15873" max="15873" width="13" style="44" customWidth="1"/>
    <col min="15874" max="15874" width="15.85546875" style="44" customWidth="1"/>
    <col min="15875" max="15875" width="16.140625" style="44" bestFit="1" customWidth="1"/>
    <col min="15876" max="15876" width="14.42578125" style="44" customWidth="1"/>
    <col min="15877" max="15877" width="16.7109375" style="44" customWidth="1"/>
    <col min="15878" max="15878" width="9.140625" style="44"/>
    <col min="15879" max="15879" width="12.7109375" style="44" bestFit="1" customWidth="1"/>
    <col min="15880" max="16127" width="9.140625" style="44"/>
    <col min="16128" max="16128" width="33.42578125" style="44" customWidth="1"/>
    <col min="16129" max="16129" width="13" style="44" customWidth="1"/>
    <col min="16130" max="16130" width="15.85546875" style="44" customWidth="1"/>
    <col min="16131" max="16131" width="16.140625" style="44" bestFit="1" customWidth="1"/>
    <col min="16132" max="16132" width="14.42578125" style="44" customWidth="1"/>
    <col min="16133" max="16133" width="16.7109375" style="44" customWidth="1"/>
    <col min="16134" max="16134" width="9.140625" style="44"/>
    <col min="16135" max="16135" width="12.7109375" style="44" bestFit="1" customWidth="1"/>
    <col min="16136" max="16384" width="9.140625" style="44"/>
  </cols>
  <sheetData>
    <row r="1" spans="1:14" s="179" customFormat="1" x14ac:dyDescent="0.25">
      <c r="D1" s="45"/>
      <c r="E1" s="45"/>
      <c r="F1" s="45" t="str">
        <f>'8 többéves'!O1</f>
        <v xml:space="preserve"> 12 / 2020. (VI.15) sz rendelet</v>
      </c>
      <c r="G1" s="45"/>
      <c r="H1" s="45"/>
      <c r="I1" s="45"/>
    </row>
    <row r="2" spans="1:14" s="179" customFormat="1" x14ac:dyDescent="0.25"/>
    <row r="3" spans="1:14" x14ac:dyDescent="0.25">
      <c r="B3" s="44" t="s">
        <v>4</v>
      </c>
    </row>
    <row r="4" spans="1:14" x14ac:dyDescent="0.25">
      <c r="A4" s="975" t="s">
        <v>467</v>
      </c>
      <c r="B4" s="975"/>
      <c r="C4" s="975"/>
      <c r="D4" s="975"/>
      <c r="E4" s="975"/>
    </row>
    <row r="5" spans="1:14" s="179" customFormat="1" x14ac:dyDescent="0.25">
      <c r="A5" s="175"/>
      <c r="B5" s="175"/>
      <c r="C5" s="175"/>
      <c r="D5" s="175"/>
      <c r="E5" s="175"/>
    </row>
    <row r="6" spans="1:14" s="179" customFormat="1" x14ac:dyDescent="0.25">
      <c r="A6" s="175"/>
      <c r="B6" s="175"/>
      <c r="C6" s="175"/>
      <c r="D6" s="175"/>
      <c r="E6" s="521" t="s">
        <v>305</v>
      </c>
      <c r="F6" s="715" t="str">
        <f>'19 pénzeszközfelhaszn'!M6</f>
        <v xml:space="preserve"> melléklet az 12/2020. (VI.15.) rendelethez</v>
      </c>
      <c r="G6" s="177"/>
      <c r="H6" s="177"/>
    </row>
    <row r="9" spans="1:14" ht="15" customHeight="1" x14ac:dyDescent="0.25">
      <c r="A9" s="149" t="s">
        <v>468</v>
      </c>
      <c r="B9" s="976" t="s">
        <v>481</v>
      </c>
      <c r="C9" s="976"/>
      <c r="D9" s="976"/>
      <c r="E9" s="976"/>
      <c r="F9" s="976"/>
      <c r="G9" s="976"/>
      <c r="N9" s="3"/>
    </row>
    <row r="10" spans="1:14" ht="15" customHeight="1" x14ac:dyDescent="0.25">
      <c r="A10" s="149"/>
      <c r="B10" s="977" t="s">
        <v>682</v>
      </c>
      <c r="C10" s="977"/>
      <c r="D10" s="977"/>
      <c r="E10" s="977"/>
      <c r="F10" s="977"/>
      <c r="G10" s="977"/>
    </row>
    <row r="11" spans="1:14" ht="15.75" thickBot="1" x14ac:dyDescent="0.3">
      <c r="A11" s="150"/>
      <c r="B11" s="972"/>
      <c r="C11" s="972"/>
      <c r="D11" s="173"/>
      <c r="E11" s="173"/>
      <c r="F11" s="173"/>
      <c r="G11" s="174" t="s">
        <v>392</v>
      </c>
    </row>
    <row r="12" spans="1:14" ht="15.75" thickBot="1" x14ac:dyDescent="0.3">
      <c r="A12" s="152" t="s">
        <v>469</v>
      </c>
      <c r="B12" s="170">
        <v>2017</v>
      </c>
      <c r="C12" s="170">
        <v>2018</v>
      </c>
      <c r="D12" s="170">
        <v>2019</v>
      </c>
      <c r="E12" s="754">
        <v>2020</v>
      </c>
      <c r="F12" s="487">
        <v>2021</v>
      </c>
      <c r="G12" s="171" t="s">
        <v>18</v>
      </c>
    </row>
    <row r="13" spans="1:14" x14ac:dyDescent="0.25">
      <c r="A13" s="155" t="s">
        <v>470</v>
      </c>
      <c r="B13" s="172">
        <v>0</v>
      </c>
      <c r="C13" s="157">
        <v>441100</v>
      </c>
      <c r="D13" s="157">
        <f>91410638+16754043</f>
        <v>108164681</v>
      </c>
      <c r="E13" s="488"/>
      <c r="F13" s="488"/>
      <c r="G13" s="158">
        <f t="shared" ref="G13:G19" si="0">SUM(B13:F13)</f>
        <v>108605781</v>
      </c>
    </row>
    <row r="14" spans="1:14" x14ac:dyDescent="0.25">
      <c r="A14" s="159" t="s">
        <v>471</v>
      </c>
      <c r="B14" s="160"/>
      <c r="C14" s="161">
        <v>0</v>
      </c>
      <c r="D14" s="161"/>
      <c r="E14" s="488"/>
      <c r="F14" s="488"/>
      <c r="G14" s="158">
        <f t="shared" si="0"/>
        <v>0</v>
      </c>
    </row>
    <row r="15" spans="1:14" x14ac:dyDescent="0.25">
      <c r="A15" s="159" t="s">
        <v>472</v>
      </c>
      <c r="B15" s="160">
        <v>916054125</v>
      </c>
      <c r="C15" s="161">
        <v>0</v>
      </c>
      <c r="D15" s="161"/>
      <c r="E15" s="488">
        <v>50673000</v>
      </c>
      <c r="F15" s="488"/>
      <c r="G15" s="158">
        <f t="shared" si="0"/>
        <v>966727125</v>
      </c>
    </row>
    <row r="16" spans="1:14" x14ac:dyDescent="0.25">
      <c r="A16" s="159" t="s">
        <v>473</v>
      </c>
      <c r="B16" s="160"/>
      <c r="C16" s="161"/>
      <c r="D16" s="161"/>
      <c r="E16" s="488"/>
      <c r="F16" s="488"/>
      <c r="G16" s="158">
        <f t="shared" si="0"/>
        <v>0</v>
      </c>
    </row>
    <row r="17" spans="1:10" x14ac:dyDescent="0.25">
      <c r="A17" s="159" t="s">
        <v>474</v>
      </c>
      <c r="B17" s="160"/>
      <c r="C17" s="161"/>
      <c r="D17" s="161"/>
      <c r="E17" s="488"/>
      <c r="F17" s="488"/>
      <c r="G17" s="158">
        <f t="shared" si="0"/>
        <v>0</v>
      </c>
    </row>
    <row r="18" spans="1:10" x14ac:dyDescent="0.25">
      <c r="A18" s="159" t="s">
        <v>475</v>
      </c>
      <c r="B18" s="160"/>
      <c r="C18" s="161"/>
      <c r="D18" s="161"/>
      <c r="E18" s="488"/>
      <c r="F18" s="488"/>
      <c r="G18" s="158">
        <f t="shared" si="0"/>
        <v>0</v>
      </c>
    </row>
    <row r="19" spans="1:10" ht="15.75" thickBot="1" x14ac:dyDescent="0.3">
      <c r="A19" s="162"/>
      <c r="B19" s="163"/>
      <c r="C19" s="164"/>
      <c r="D19" s="164"/>
      <c r="E19" s="489"/>
      <c r="F19" s="489"/>
      <c r="G19" s="158">
        <f t="shared" si="0"/>
        <v>0</v>
      </c>
    </row>
    <row r="20" spans="1:10" ht="15.75" thickBot="1" x14ac:dyDescent="0.3">
      <c r="A20" s="165" t="s">
        <v>476</v>
      </c>
      <c r="B20" s="166">
        <f>SUM(B13:B19)</f>
        <v>916054125</v>
      </c>
      <c r="C20" s="166">
        <f t="shared" ref="C20:G20" si="1">SUM(C13:C19)</f>
        <v>441100</v>
      </c>
      <c r="D20" s="166">
        <f t="shared" si="1"/>
        <v>108164681</v>
      </c>
      <c r="E20" s="166">
        <f t="shared" si="1"/>
        <v>50673000</v>
      </c>
      <c r="F20" s="166">
        <f t="shared" si="1"/>
        <v>0</v>
      </c>
      <c r="G20" s="166">
        <f t="shared" si="1"/>
        <v>1075332906</v>
      </c>
    </row>
    <row r="21" spans="1:10" ht="15.75" thickBot="1" x14ac:dyDescent="0.3">
      <c r="A21" s="168"/>
      <c r="B21" s="173"/>
      <c r="C21" s="173"/>
      <c r="D21" s="173"/>
      <c r="E21" s="173"/>
      <c r="F21" s="173"/>
      <c r="G21" s="169"/>
      <c r="I21" s="148"/>
    </row>
    <row r="22" spans="1:10" ht="15.75" thickBot="1" x14ac:dyDescent="0.3">
      <c r="A22" s="152" t="s">
        <v>477</v>
      </c>
      <c r="B22" s="170">
        <v>2017</v>
      </c>
      <c r="C22" s="170">
        <v>2018</v>
      </c>
      <c r="D22" s="170">
        <v>2019</v>
      </c>
      <c r="E22" s="170">
        <v>2020</v>
      </c>
      <c r="F22" s="170">
        <v>2021</v>
      </c>
      <c r="G22" s="171" t="s">
        <v>18</v>
      </c>
    </row>
    <row r="23" spans="1:10" x14ac:dyDescent="0.25">
      <c r="A23" s="155" t="s">
        <v>478</v>
      </c>
      <c r="B23" s="172">
        <v>0</v>
      </c>
      <c r="C23" s="157"/>
      <c r="D23" s="157"/>
      <c r="E23" s="488"/>
      <c r="F23" s="488"/>
      <c r="G23" s="158">
        <f t="shared" ref="G23:G29" si="2">SUM(B23:F23)</f>
        <v>0</v>
      </c>
    </row>
    <row r="24" spans="1:10" x14ac:dyDescent="0.25">
      <c r="A24" s="159" t="s">
        <v>479</v>
      </c>
      <c r="B24" s="160">
        <v>407670</v>
      </c>
      <c r="C24" s="161">
        <f>501100+441100</f>
        <v>942200</v>
      </c>
      <c r="D24" s="161">
        <v>77498044</v>
      </c>
      <c r="E24" s="488">
        <v>9843770</v>
      </c>
      <c r="F24" s="488"/>
      <c r="G24" s="158">
        <f t="shared" si="2"/>
        <v>88691684</v>
      </c>
    </row>
    <row r="25" spans="1:10" x14ac:dyDescent="0.25">
      <c r="A25" s="159" t="s">
        <v>683</v>
      </c>
      <c r="B25" s="160"/>
      <c r="C25" s="161">
        <v>46101000</v>
      </c>
      <c r="D25" s="161">
        <v>832285690</v>
      </c>
      <c r="E25" s="488">
        <f>37731700-5633246</f>
        <v>32098454</v>
      </c>
      <c r="F25" s="488"/>
      <c r="G25" s="158">
        <f t="shared" si="2"/>
        <v>910485144</v>
      </c>
    </row>
    <row r="26" spans="1:10" x14ac:dyDescent="0.25">
      <c r="A26" s="159" t="s">
        <v>39</v>
      </c>
      <c r="B26" s="160"/>
      <c r="C26" s="161"/>
      <c r="D26" s="161">
        <v>76156078</v>
      </c>
      <c r="E26" s="488"/>
      <c r="F26" s="488"/>
      <c r="G26" s="158">
        <f t="shared" si="2"/>
        <v>76156078</v>
      </c>
    </row>
    <row r="27" spans="1:10" x14ac:dyDescent="0.25">
      <c r="A27" s="159" t="s">
        <v>480</v>
      </c>
      <c r="B27" s="160"/>
      <c r="C27" s="161"/>
      <c r="D27" s="161"/>
      <c r="E27" s="488"/>
      <c r="F27" s="488"/>
      <c r="G27" s="158">
        <f t="shared" si="2"/>
        <v>0</v>
      </c>
    </row>
    <row r="28" spans="1:10" x14ac:dyDescent="0.25">
      <c r="A28" s="159"/>
      <c r="B28" s="160"/>
      <c r="C28" s="161"/>
      <c r="D28" s="161"/>
      <c r="E28" s="488"/>
      <c r="F28" s="488"/>
      <c r="G28" s="158">
        <f t="shared" si="2"/>
        <v>0</v>
      </c>
    </row>
    <row r="29" spans="1:10" ht="15.75" thickBot="1" x14ac:dyDescent="0.3">
      <c r="A29" s="162"/>
      <c r="B29" s="163"/>
      <c r="C29" s="164"/>
      <c r="D29" s="164"/>
      <c r="E29" s="489"/>
      <c r="F29" s="489"/>
      <c r="G29" s="158">
        <f t="shared" si="2"/>
        <v>0</v>
      </c>
    </row>
    <row r="30" spans="1:10" ht="15.75" thickBot="1" x14ac:dyDescent="0.3">
      <c r="A30" s="165" t="s">
        <v>18</v>
      </c>
      <c r="B30" s="166">
        <f t="shared" ref="B30:F30" si="3">SUM(B23:B29)</f>
        <v>407670</v>
      </c>
      <c r="C30" s="166">
        <f t="shared" si="3"/>
        <v>47043200</v>
      </c>
      <c r="D30" s="166">
        <f t="shared" si="3"/>
        <v>985939812</v>
      </c>
      <c r="E30" s="166">
        <f t="shared" si="3"/>
        <v>41942224</v>
      </c>
      <c r="F30" s="166">
        <f t="shared" si="3"/>
        <v>0</v>
      </c>
      <c r="G30" s="166">
        <f>SUM(G23:G29)</f>
        <v>1075332906</v>
      </c>
      <c r="I30" s="148"/>
      <c r="J30" s="148"/>
    </row>
    <row r="31" spans="1:10" x14ac:dyDescent="0.25">
      <c r="A31" s="490"/>
      <c r="B31" s="491"/>
      <c r="C31" s="491"/>
      <c r="D31" s="491"/>
      <c r="E31" s="491"/>
      <c r="F31" s="491"/>
      <c r="G31" s="491"/>
    </row>
    <row r="32" spans="1:10" x14ac:dyDescent="0.25">
      <c r="A32" s="490"/>
      <c r="B32" s="491"/>
      <c r="C32" s="491"/>
      <c r="D32" s="491"/>
      <c r="E32" s="491"/>
      <c r="F32" s="491"/>
      <c r="G32" s="491"/>
    </row>
    <row r="33" spans="1:7" ht="15" customHeight="1" x14ac:dyDescent="0.25">
      <c r="A33" s="149" t="s">
        <v>468</v>
      </c>
      <c r="B33" s="973" t="s">
        <v>482</v>
      </c>
      <c r="C33" s="973"/>
      <c r="D33" s="973"/>
      <c r="E33" s="973"/>
      <c r="F33" s="973"/>
      <c r="G33" s="973"/>
    </row>
    <row r="34" spans="1:7" ht="15" customHeight="1" x14ac:dyDescent="0.25">
      <c r="A34" s="149"/>
      <c r="B34" s="974" t="s">
        <v>684</v>
      </c>
      <c r="C34" s="974"/>
      <c r="D34" s="974"/>
      <c r="E34" s="974"/>
      <c r="F34" s="974"/>
      <c r="G34" s="974"/>
    </row>
    <row r="35" spans="1:7" ht="15.75" thickBot="1" x14ac:dyDescent="0.3">
      <c r="A35" s="150"/>
      <c r="B35" s="972"/>
      <c r="C35" s="972"/>
      <c r="D35" s="173"/>
      <c r="E35" s="173"/>
      <c r="F35" s="173"/>
      <c r="G35" s="174" t="s">
        <v>392</v>
      </c>
    </row>
    <row r="36" spans="1:7" ht="15.75" thickBot="1" x14ac:dyDescent="0.3">
      <c r="A36" s="152" t="s">
        <v>469</v>
      </c>
      <c r="B36" s="170">
        <v>2017</v>
      </c>
      <c r="C36" s="170">
        <v>2018</v>
      </c>
      <c r="D36" s="170">
        <v>2019</v>
      </c>
      <c r="E36" s="170">
        <v>2020</v>
      </c>
      <c r="F36" s="170">
        <v>2021</v>
      </c>
      <c r="G36" s="171" t="s">
        <v>18</v>
      </c>
    </row>
    <row r="37" spans="1:7" x14ac:dyDescent="0.25">
      <c r="A37" s="155" t="s">
        <v>470</v>
      </c>
      <c r="B37" s="172"/>
      <c r="C37" s="157"/>
      <c r="D37" s="868">
        <v>1243033</v>
      </c>
      <c r="E37" s="488"/>
      <c r="F37" s="488"/>
      <c r="G37" s="158">
        <f t="shared" ref="G37:G43" si="4">SUM(B37:F37)</f>
        <v>1243033</v>
      </c>
    </row>
    <row r="38" spans="1:7" x14ac:dyDescent="0.25">
      <c r="A38" s="159" t="s">
        <v>471</v>
      </c>
      <c r="B38" s="160"/>
      <c r="C38" s="161"/>
      <c r="D38" s="161"/>
      <c r="E38" s="488"/>
      <c r="F38" s="488"/>
      <c r="G38" s="158">
        <f t="shared" si="4"/>
        <v>0</v>
      </c>
    </row>
    <row r="39" spans="1:7" x14ac:dyDescent="0.25">
      <c r="A39" s="159" t="s">
        <v>472</v>
      </c>
      <c r="B39" s="160">
        <v>15049500</v>
      </c>
      <c r="C39" s="161">
        <v>0</v>
      </c>
      <c r="D39" s="161"/>
      <c r="E39" s="488">
        <v>3115000</v>
      </c>
      <c r="F39" s="488"/>
      <c r="G39" s="158">
        <f t="shared" si="4"/>
        <v>18164500</v>
      </c>
    </row>
    <row r="40" spans="1:7" x14ac:dyDescent="0.25">
      <c r="A40" s="159" t="s">
        <v>473</v>
      </c>
      <c r="B40" s="160"/>
      <c r="C40" s="161"/>
      <c r="D40" s="161"/>
      <c r="E40" s="488"/>
      <c r="F40" s="488"/>
      <c r="G40" s="158">
        <f t="shared" si="4"/>
        <v>0</v>
      </c>
    </row>
    <row r="41" spans="1:7" x14ac:dyDescent="0.25">
      <c r="A41" s="159" t="s">
        <v>474</v>
      </c>
      <c r="B41" s="160"/>
      <c r="C41" s="161"/>
      <c r="D41" s="161"/>
      <c r="E41" s="488"/>
      <c r="F41" s="488"/>
      <c r="G41" s="158">
        <f t="shared" si="4"/>
        <v>0</v>
      </c>
    </row>
    <row r="42" spans="1:7" x14ac:dyDescent="0.25">
      <c r="A42" s="159" t="s">
        <v>475</v>
      </c>
      <c r="B42" s="160"/>
      <c r="C42" s="161"/>
      <c r="D42" s="161">
        <v>712</v>
      </c>
      <c r="E42" s="488"/>
      <c r="F42" s="488"/>
      <c r="G42" s="158">
        <f t="shared" si="4"/>
        <v>712</v>
      </c>
    </row>
    <row r="43" spans="1:7" ht="15.75" thickBot="1" x14ac:dyDescent="0.3">
      <c r="A43" s="162"/>
      <c r="B43" s="163"/>
      <c r="C43" s="164"/>
      <c r="D43" s="164"/>
      <c r="E43" s="489"/>
      <c r="F43" s="489"/>
      <c r="G43" s="158">
        <f t="shared" si="4"/>
        <v>0</v>
      </c>
    </row>
    <row r="44" spans="1:7" ht="15.75" thickBot="1" x14ac:dyDescent="0.3">
      <c r="A44" s="165" t="s">
        <v>476</v>
      </c>
      <c r="B44" s="166">
        <f t="shared" ref="B44:G44" si="5">SUM(B37:B43)</f>
        <v>15049500</v>
      </c>
      <c r="C44" s="166">
        <f t="shared" si="5"/>
        <v>0</v>
      </c>
      <c r="D44" s="166">
        <f t="shared" si="5"/>
        <v>1243745</v>
      </c>
      <c r="E44" s="166">
        <f t="shared" si="5"/>
        <v>3115000</v>
      </c>
      <c r="F44" s="166">
        <f t="shared" si="5"/>
        <v>0</v>
      </c>
      <c r="G44" s="166">
        <f t="shared" si="5"/>
        <v>19408245</v>
      </c>
    </row>
    <row r="45" spans="1:7" ht="15.75" thickBot="1" x14ac:dyDescent="0.3">
      <c r="A45" s="168"/>
      <c r="B45" s="173"/>
      <c r="C45" s="173"/>
      <c r="D45" s="173"/>
      <c r="E45" s="173"/>
      <c r="F45" s="173"/>
      <c r="G45" s="169"/>
    </row>
    <row r="46" spans="1:7" ht="15.75" thickBot="1" x14ac:dyDescent="0.3">
      <c r="A46" s="152" t="s">
        <v>477</v>
      </c>
      <c r="B46" s="170">
        <v>2017</v>
      </c>
      <c r="C46" s="170">
        <v>2018</v>
      </c>
      <c r="D46" s="170">
        <v>2019</v>
      </c>
      <c r="E46" s="170">
        <v>2020</v>
      </c>
      <c r="F46" s="170">
        <v>2021</v>
      </c>
      <c r="G46" s="171" t="s">
        <v>18</v>
      </c>
    </row>
    <row r="47" spans="1:7" x14ac:dyDescent="0.25">
      <c r="A47" s="155" t="s">
        <v>478</v>
      </c>
      <c r="B47" s="172">
        <v>0</v>
      </c>
      <c r="C47" s="157"/>
      <c r="D47" s="157"/>
      <c r="E47" s="488"/>
      <c r="F47" s="488"/>
      <c r="G47" s="158">
        <f t="shared" ref="G47:G53" si="6">SUM(B47:F47)</f>
        <v>0</v>
      </c>
    </row>
    <row r="48" spans="1:7" x14ac:dyDescent="0.25">
      <c r="A48" s="159" t="s">
        <v>479</v>
      </c>
      <c r="B48" s="160"/>
      <c r="C48" s="161">
        <v>430300</v>
      </c>
      <c r="D48" s="161">
        <v>1176772</v>
      </c>
      <c r="E48" s="488">
        <v>101004</v>
      </c>
      <c r="F48" s="488"/>
      <c r="G48" s="158">
        <f t="shared" si="6"/>
        <v>1708076</v>
      </c>
    </row>
    <row r="49" spans="1:14" x14ac:dyDescent="0.25">
      <c r="A49" s="159" t="s">
        <v>683</v>
      </c>
      <c r="B49" s="160"/>
      <c r="C49" s="161">
        <v>708000</v>
      </c>
      <c r="D49" s="161">
        <v>16992169</v>
      </c>
      <c r="E49" s="488"/>
      <c r="F49" s="488"/>
      <c r="G49" s="158">
        <f t="shared" si="6"/>
        <v>17700169</v>
      </c>
    </row>
    <row r="50" spans="1:14" x14ac:dyDescent="0.25">
      <c r="A50" s="159" t="s">
        <v>39</v>
      </c>
      <c r="B50" s="160"/>
      <c r="C50" s="161"/>
      <c r="D50" s="161"/>
      <c r="E50" s="488"/>
      <c r="F50" s="488"/>
      <c r="G50" s="158">
        <f t="shared" si="6"/>
        <v>0</v>
      </c>
    </row>
    <row r="51" spans="1:14" x14ac:dyDescent="0.25">
      <c r="A51" s="159" t="s">
        <v>480</v>
      </c>
      <c r="B51" s="160"/>
      <c r="C51" s="161"/>
      <c r="D51" s="161"/>
      <c r="E51" s="488"/>
      <c r="F51" s="488"/>
      <c r="G51" s="158">
        <f t="shared" si="6"/>
        <v>0</v>
      </c>
    </row>
    <row r="52" spans="1:14" x14ac:dyDescent="0.25">
      <c r="A52" s="159"/>
      <c r="B52" s="160"/>
      <c r="C52" s="161"/>
      <c r="D52" s="161"/>
      <c r="E52" s="488"/>
      <c r="F52" s="488"/>
      <c r="G52" s="158">
        <f t="shared" si="6"/>
        <v>0</v>
      </c>
    </row>
    <row r="53" spans="1:14" ht="15.75" thickBot="1" x14ac:dyDescent="0.3">
      <c r="A53" s="162"/>
      <c r="B53" s="163"/>
      <c r="C53" s="164"/>
      <c r="D53" s="164"/>
      <c r="E53" s="489"/>
      <c r="F53" s="489"/>
      <c r="G53" s="158">
        <f t="shared" si="6"/>
        <v>0</v>
      </c>
      <c r="N53" s="44" t="s">
        <v>157</v>
      </c>
    </row>
    <row r="54" spans="1:14" ht="15.75" thickBot="1" x14ac:dyDescent="0.3">
      <c r="A54" s="165" t="s">
        <v>18</v>
      </c>
      <c r="B54" s="166">
        <f t="shared" ref="B54:G54" si="7">SUM(B47:B53)</f>
        <v>0</v>
      </c>
      <c r="C54" s="166">
        <f t="shared" si="7"/>
        <v>1138300</v>
      </c>
      <c r="D54" s="166">
        <f t="shared" si="7"/>
        <v>18168941</v>
      </c>
      <c r="E54" s="166">
        <f t="shared" si="7"/>
        <v>101004</v>
      </c>
      <c r="F54" s="166">
        <f t="shared" si="7"/>
        <v>0</v>
      </c>
      <c r="G54" s="166">
        <f t="shared" si="7"/>
        <v>19408245</v>
      </c>
    </row>
    <row r="55" spans="1:14" x14ac:dyDescent="0.25">
      <c r="A55" s="490"/>
      <c r="B55" s="491"/>
      <c r="C55" s="491"/>
      <c r="D55" s="491"/>
      <c r="E55" s="491"/>
      <c r="F55" s="491"/>
      <c r="G55" s="491"/>
    </row>
    <row r="56" spans="1:14" x14ac:dyDescent="0.25">
      <c r="A56" s="490"/>
      <c r="B56" s="491"/>
      <c r="C56" s="491"/>
      <c r="D56" s="491"/>
      <c r="E56" s="491"/>
      <c r="F56" s="491"/>
      <c r="G56" s="492"/>
    </row>
    <row r="57" spans="1:14" ht="15" customHeight="1" x14ac:dyDescent="0.25">
      <c r="A57" s="149" t="s">
        <v>468</v>
      </c>
      <c r="B57" s="973" t="s">
        <v>483</v>
      </c>
      <c r="C57" s="973"/>
      <c r="D57" s="973"/>
      <c r="E57" s="973"/>
      <c r="F57" s="973"/>
      <c r="G57" s="973"/>
    </row>
    <row r="58" spans="1:14" ht="15" customHeight="1" x14ac:dyDescent="0.25">
      <c r="A58" s="149"/>
      <c r="B58" s="974" t="s">
        <v>685</v>
      </c>
      <c r="C58" s="974"/>
      <c r="D58" s="974"/>
      <c r="E58" s="974"/>
      <c r="F58" s="974"/>
      <c r="G58" s="974"/>
    </row>
    <row r="59" spans="1:14" ht="15.75" thickBot="1" x14ac:dyDescent="0.3">
      <c r="A59" s="150"/>
      <c r="B59" s="972"/>
      <c r="C59" s="972"/>
      <c r="D59" s="173"/>
      <c r="E59" s="173"/>
      <c r="F59" s="173"/>
      <c r="G59" s="174" t="s">
        <v>392</v>
      </c>
    </row>
    <row r="60" spans="1:14" ht="15.75" thickBot="1" x14ac:dyDescent="0.3">
      <c r="A60" s="152" t="s">
        <v>469</v>
      </c>
      <c r="B60" s="170">
        <v>2017</v>
      </c>
      <c r="C60" s="170">
        <v>2018</v>
      </c>
      <c r="D60" s="170">
        <v>2019</v>
      </c>
      <c r="E60" s="487">
        <v>2020</v>
      </c>
      <c r="F60" s="487">
        <v>2021</v>
      </c>
      <c r="G60" s="171" t="s">
        <v>18</v>
      </c>
    </row>
    <row r="61" spans="1:14" x14ac:dyDescent="0.25">
      <c r="A61" s="155" t="s">
        <v>470</v>
      </c>
      <c r="B61" s="172"/>
      <c r="C61" s="157"/>
      <c r="D61" s="157"/>
      <c r="E61" s="488">
        <v>38896570</v>
      </c>
      <c r="F61" s="488"/>
      <c r="G61" s="158">
        <f t="shared" ref="G61:G62" si="8">SUM(B61:F61)</f>
        <v>38896570</v>
      </c>
    </row>
    <row r="62" spans="1:14" x14ac:dyDescent="0.25">
      <c r="A62" s="159" t="s">
        <v>471</v>
      </c>
      <c r="B62" s="160"/>
      <c r="C62" s="161"/>
      <c r="D62" s="161"/>
      <c r="E62" s="488"/>
      <c r="F62" s="488"/>
      <c r="G62" s="158">
        <f t="shared" si="8"/>
        <v>0</v>
      </c>
    </row>
    <row r="63" spans="1:14" x14ac:dyDescent="0.25">
      <c r="A63" s="159" t="s">
        <v>472</v>
      </c>
      <c r="B63" s="160"/>
      <c r="C63" s="161">
        <v>377612713</v>
      </c>
      <c r="D63" s="161"/>
      <c r="E63" s="488"/>
      <c r="F63" s="488"/>
      <c r="G63" s="158">
        <f>SUM(B63:F63)</f>
        <v>377612713</v>
      </c>
    </row>
    <row r="64" spans="1:14" x14ac:dyDescent="0.25">
      <c r="A64" s="159" t="s">
        <v>473</v>
      </c>
      <c r="B64" s="160"/>
      <c r="C64" s="161"/>
      <c r="D64" s="161"/>
      <c r="E64" s="488"/>
      <c r="F64" s="488"/>
      <c r="G64" s="158">
        <f t="shared" ref="G64:G67" si="9">SUM(B64:F64)</f>
        <v>0</v>
      </c>
    </row>
    <row r="65" spans="1:9" x14ac:dyDescent="0.25">
      <c r="A65" s="159" t="s">
        <v>474</v>
      </c>
      <c r="B65" s="160"/>
      <c r="C65" s="161"/>
      <c r="D65" s="161"/>
      <c r="E65" s="488"/>
      <c r="F65" s="488"/>
      <c r="G65" s="158">
        <f t="shared" si="9"/>
        <v>0</v>
      </c>
    </row>
    <row r="66" spans="1:9" x14ac:dyDescent="0.25">
      <c r="A66" s="159" t="s">
        <v>475</v>
      </c>
      <c r="B66" s="160"/>
      <c r="C66" s="161"/>
      <c r="D66" s="161"/>
      <c r="E66" s="488"/>
      <c r="F66" s="488"/>
      <c r="G66" s="158">
        <f t="shared" si="9"/>
        <v>0</v>
      </c>
    </row>
    <row r="67" spans="1:9" ht="15.75" thickBot="1" x14ac:dyDescent="0.3">
      <c r="A67" s="162"/>
      <c r="B67" s="163"/>
      <c r="C67" s="164"/>
      <c r="D67" s="164"/>
      <c r="E67" s="489"/>
      <c r="F67" s="489"/>
      <c r="G67" s="158">
        <f t="shared" si="9"/>
        <v>0</v>
      </c>
    </row>
    <row r="68" spans="1:9" ht="15.75" thickBot="1" x14ac:dyDescent="0.3">
      <c r="A68" s="165" t="s">
        <v>476</v>
      </c>
      <c r="B68" s="166">
        <v>0</v>
      </c>
      <c r="C68" s="166">
        <f>SUM(C61:C67)</f>
        <v>377612713</v>
      </c>
      <c r="D68" s="166">
        <v>0</v>
      </c>
      <c r="E68" s="166">
        <v>0</v>
      </c>
      <c r="F68" s="166">
        <v>0</v>
      </c>
      <c r="G68" s="167">
        <f>SUM(G61:G67)</f>
        <v>416509283</v>
      </c>
    </row>
    <row r="69" spans="1:9" ht="15.75" thickBot="1" x14ac:dyDescent="0.3">
      <c r="A69" s="168"/>
      <c r="B69" s="173"/>
      <c r="C69" s="173"/>
      <c r="D69" s="173"/>
      <c r="E69" s="173"/>
      <c r="F69" s="173"/>
      <c r="G69" s="169"/>
    </row>
    <row r="70" spans="1:9" ht="15.75" thickBot="1" x14ac:dyDescent="0.3">
      <c r="A70" s="152" t="s">
        <v>477</v>
      </c>
      <c r="B70" s="170">
        <v>2017</v>
      </c>
      <c r="C70" s="170">
        <v>2018</v>
      </c>
      <c r="D70" s="170">
        <v>2019</v>
      </c>
      <c r="E70" s="487">
        <v>2020</v>
      </c>
      <c r="F70" s="487">
        <v>2021</v>
      </c>
      <c r="G70" s="171" t="s">
        <v>18</v>
      </c>
    </row>
    <row r="71" spans="1:9" x14ac:dyDescent="0.25">
      <c r="A71" s="155" t="s">
        <v>478</v>
      </c>
      <c r="B71" s="172">
        <v>0</v>
      </c>
      <c r="C71" s="157"/>
      <c r="D71" s="157"/>
      <c r="E71" s="488"/>
      <c r="F71" s="488"/>
      <c r="G71" s="158">
        <v>0</v>
      </c>
    </row>
    <row r="72" spans="1:9" x14ac:dyDescent="0.25">
      <c r="A72" s="159" t="s">
        <v>479</v>
      </c>
      <c r="B72" s="160"/>
      <c r="C72" s="161">
        <v>0</v>
      </c>
      <c r="D72" s="161"/>
      <c r="E72" s="488">
        <v>4314500</v>
      </c>
      <c r="F72" s="488"/>
      <c r="G72" s="158">
        <f>SUM(B72:E72)</f>
        <v>4314500</v>
      </c>
    </row>
    <row r="73" spans="1:9" x14ac:dyDescent="0.25">
      <c r="A73" s="159" t="s">
        <v>683</v>
      </c>
      <c r="B73" s="160">
        <v>350520</v>
      </c>
      <c r="C73" s="161">
        <v>10783284</v>
      </c>
      <c r="D73" s="161">
        <v>15513905</v>
      </c>
      <c r="E73" s="488">
        <f>385546534+540</f>
        <v>385547074</v>
      </c>
      <c r="F73" s="488"/>
      <c r="G73" s="158">
        <f>SUM(B73:E73)</f>
        <v>412194783</v>
      </c>
    </row>
    <row r="74" spans="1:9" x14ac:dyDescent="0.25">
      <c r="A74" s="159" t="s">
        <v>39</v>
      </c>
      <c r="B74" s="160"/>
      <c r="C74" s="161"/>
      <c r="D74" s="161"/>
      <c r="E74" s="488"/>
      <c r="F74" s="488"/>
      <c r="G74" s="158">
        <v>0</v>
      </c>
    </row>
    <row r="75" spans="1:9" x14ac:dyDescent="0.25">
      <c r="A75" s="159" t="s">
        <v>480</v>
      </c>
      <c r="B75" s="160"/>
      <c r="C75" s="161"/>
      <c r="D75" s="161"/>
      <c r="E75" s="488"/>
      <c r="F75" s="488"/>
      <c r="G75" s="158">
        <v>0</v>
      </c>
    </row>
    <row r="76" spans="1:9" x14ac:dyDescent="0.25">
      <c r="A76" s="159"/>
      <c r="B76" s="160"/>
      <c r="C76" s="161"/>
      <c r="D76" s="161"/>
      <c r="E76" s="488"/>
      <c r="F76" s="488"/>
      <c r="G76" s="158">
        <v>0</v>
      </c>
    </row>
    <row r="77" spans="1:9" ht="15.75" thickBot="1" x14ac:dyDescent="0.3">
      <c r="A77" s="162"/>
      <c r="B77" s="163"/>
      <c r="C77" s="164"/>
      <c r="D77" s="164"/>
      <c r="E77" s="489"/>
      <c r="F77" s="489"/>
      <c r="G77" s="158">
        <v>0</v>
      </c>
    </row>
    <row r="78" spans="1:9" ht="15.75" thickBot="1" x14ac:dyDescent="0.3">
      <c r="A78" s="165" t="s">
        <v>18</v>
      </c>
      <c r="B78" s="166">
        <f>SUM(B71:B77)</f>
        <v>350520</v>
      </c>
      <c r="C78" s="166">
        <f>SUM(C71:C77)</f>
        <v>10783284</v>
      </c>
      <c r="D78" s="166">
        <f>SUM(D71:D77)</f>
        <v>15513905</v>
      </c>
      <c r="E78" s="166">
        <f>SUM(E71:E77)</f>
        <v>389861574</v>
      </c>
      <c r="F78" s="166">
        <v>0</v>
      </c>
      <c r="G78" s="166">
        <f>SUM(G71:G77)</f>
        <v>416509283</v>
      </c>
      <c r="I78" s="148"/>
    </row>
    <row r="79" spans="1:9" x14ac:dyDescent="0.25">
      <c r="A79" s="490"/>
      <c r="B79" s="490"/>
      <c r="C79" s="490"/>
      <c r="D79" s="490"/>
      <c r="E79" s="490"/>
      <c r="F79" s="490"/>
      <c r="G79" s="490"/>
    </row>
    <row r="80" spans="1:9" x14ac:dyDescent="0.25">
      <c r="A80" s="490"/>
      <c r="B80" s="490"/>
      <c r="C80" s="490"/>
      <c r="D80" s="490"/>
      <c r="E80" s="490"/>
      <c r="F80" s="490"/>
      <c r="G80" s="490"/>
    </row>
    <row r="81" spans="1:7" x14ac:dyDescent="0.25">
      <c r="A81" s="490"/>
      <c r="B81" s="490"/>
      <c r="C81" s="490"/>
      <c r="D81" s="490"/>
      <c r="E81" s="490"/>
      <c r="F81" s="490"/>
      <c r="G81" s="492"/>
    </row>
    <row r="82" spans="1:7" ht="14.25" customHeight="1" x14ac:dyDescent="0.25">
      <c r="A82" s="149" t="s">
        <v>468</v>
      </c>
      <c r="B82" s="973" t="s">
        <v>484</v>
      </c>
      <c r="C82" s="973"/>
      <c r="D82" s="973"/>
      <c r="E82" s="973"/>
      <c r="F82" s="973"/>
      <c r="G82" s="973"/>
    </row>
    <row r="83" spans="1:7" ht="14.25" customHeight="1" x14ac:dyDescent="0.25">
      <c r="A83" s="173"/>
      <c r="B83" s="974" t="s">
        <v>485</v>
      </c>
      <c r="C83" s="974"/>
      <c r="D83" s="974"/>
      <c r="E83" s="974"/>
      <c r="F83" s="974"/>
      <c r="G83" s="974"/>
    </row>
    <row r="84" spans="1:7" ht="15.75" thickBot="1" x14ac:dyDescent="0.3">
      <c r="A84" s="150"/>
      <c r="B84" s="972"/>
      <c r="C84" s="972"/>
      <c r="D84" s="173"/>
      <c r="E84" s="173"/>
      <c r="F84" s="173"/>
      <c r="G84" s="174" t="s">
        <v>392</v>
      </c>
    </row>
    <row r="85" spans="1:7" ht="15.75" thickBot="1" x14ac:dyDescent="0.3">
      <c r="A85" s="152" t="s">
        <v>469</v>
      </c>
      <c r="B85" s="170">
        <v>2017</v>
      </c>
      <c r="C85" s="170">
        <v>2018</v>
      </c>
      <c r="D85" s="170">
        <v>2019</v>
      </c>
      <c r="E85" s="487">
        <v>2020</v>
      </c>
      <c r="F85" s="487">
        <v>2021</v>
      </c>
      <c r="G85" s="171" t="s">
        <v>18</v>
      </c>
    </row>
    <row r="86" spans="1:7" x14ac:dyDescent="0.25">
      <c r="A86" s="155" t="s">
        <v>470</v>
      </c>
      <c r="B86" s="172">
        <v>0</v>
      </c>
      <c r="C86" s="157"/>
      <c r="D86" s="157"/>
      <c r="E86" s="488"/>
      <c r="F86" s="488"/>
      <c r="G86" s="158">
        <f t="shared" ref="G86:G87" si="10">SUM(B86:E86)</f>
        <v>0</v>
      </c>
    </row>
    <row r="87" spans="1:7" x14ac:dyDescent="0.25">
      <c r="A87" s="159" t="s">
        <v>471</v>
      </c>
      <c r="B87" s="160"/>
      <c r="C87" s="161">
        <v>0</v>
      </c>
      <c r="D87" s="161"/>
      <c r="E87" s="488"/>
      <c r="F87" s="488"/>
      <c r="G87" s="158">
        <f t="shared" si="10"/>
        <v>0</v>
      </c>
    </row>
    <row r="88" spans="1:7" x14ac:dyDescent="0.25">
      <c r="A88" s="159" t="s">
        <v>472</v>
      </c>
      <c r="B88" s="160"/>
      <c r="C88" s="161">
        <v>8750000</v>
      </c>
      <c r="D88" s="161"/>
      <c r="E88" s="488">
        <v>16250000</v>
      </c>
      <c r="F88" s="488"/>
      <c r="G88" s="158">
        <f>SUM(B88:E88)</f>
        <v>25000000</v>
      </c>
    </row>
    <row r="89" spans="1:7" x14ac:dyDescent="0.25">
      <c r="A89" s="159" t="s">
        <v>473</v>
      </c>
      <c r="B89" s="160"/>
      <c r="C89" s="161"/>
      <c r="D89" s="161"/>
      <c r="E89" s="488"/>
      <c r="F89" s="488"/>
      <c r="G89" s="158">
        <v>0</v>
      </c>
    </row>
    <row r="90" spans="1:7" x14ac:dyDescent="0.25">
      <c r="A90" s="159" t="s">
        <v>474</v>
      </c>
      <c r="B90" s="160"/>
      <c r="C90" s="161"/>
      <c r="D90" s="161"/>
      <c r="E90" s="488"/>
      <c r="F90" s="488"/>
      <c r="G90" s="158">
        <v>0</v>
      </c>
    </row>
    <row r="91" spans="1:7" x14ac:dyDescent="0.25">
      <c r="A91" s="159" t="s">
        <v>475</v>
      </c>
      <c r="B91" s="160"/>
      <c r="C91" s="161"/>
      <c r="D91" s="161">
        <v>472</v>
      </c>
      <c r="E91" s="488"/>
      <c r="F91" s="488"/>
      <c r="G91" s="158">
        <v>0</v>
      </c>
    </row>
    <row r="92" spans="1:7" ht="15.75" thickBot="1" x14ac:dyDescent="0.3">
      <c r="A92" s="162"/>
      <c r="B92" s="163"/>
      <c r="C92" s="164"/>
      <c r="D92" s="164"/>
      <c r="E92" s="489"/>
      <c r="F92" s="489"/>
      <c r="G92" s="158">
        <v>0</v>
      </c>
    </row>
    <row r="93" spans="1:7" ht="15.75" thickBot="1" x14ac:dyDescent="0.3">
      <c r="A93" s="165" t="s">
        <v>476</v>
      </c>
      <c r="B93" s="166">
        <v>0</v>
      </c>
      <c r="C93" s="166">
        <f>SUM(C86:C92)</f>
        <v>8750000</v>
      </c>
      <c r="D93" s="166">
        <f>SUM(D86:D92)</f>
        <v>472</v>
      </c>
      <c r="E93" s="166">
        <f>SUM(E86:E92)</f>
        <v>16250000</v>
      </c>
      <c r="F93" s="166">
        <f>SUM(F86:F92)</f>
        <v>0</v>
      </c>
      <c r="G93" s="167">
        <f>SUM(B93:F93)</f>
        <v>25000472</v>
      </c>
    </row>
    <row r="94" spans="1:7" ht="15.75" thickBot="1" x14ac:dyDescent="0.3">
      <c r="A94" s="168"/>
      <c r="B94" s="173"/>
      <c r="C94" s="173"/>
      <c r="D94" s="173"/>
      <c r="E94" s="173"/>
      <c r="F94" s="173"/>
      <c r="G94" s="169"/>
    </row>
    <row r="95" spans="1:7" ht="15.75" thickBot="1" x14ac:dyDescent="0.3">
      <c r="A95" s="152" t="s">
        <v>477</v>
      </c>
      <c r="B95" s="170">
        <v>2017</v>
      </c>
      <c r="C95" s="170">
        <v>2018</v>
      </c>
      <c r="D95" s="170">
        <v>2019</v>
      </c>
      <c r="E95" s="487">
        <v>2020</v>
      </c>
      <c r="F95" s="487">
        <v>2021</v>
      </c>
      <c r="G95" s="171" t="s">
        <v>18</v>
      </c>
    </row>
    <row r="96" spans="1:7" x14ac:dyDescent="0.25">
      <c r="A96" s="155" t="s">
        <v>478</v>
      </c>
      <c r="B96" s="172">
        <v>0</v>
      </c>
      <c r="C96" s="157">
        <v>736647</v>
      </c>
      <c r="D96" s="157">
        <v>3335022</v>
      </c>
      <c r="E96" s="488">
        <v>2682706</v>
      </c>
      <c r="F96" s="488"/>
      <c r="G96" s="158">
        <f>SUM(B96:E96)</f>
        <v>6754375</v>
      </c>
    </row>
    <row r="97" spans="1:7" x14ac:dyDescent="0.25">
      <c r="A97" s="159" t="s">
        <v>479</v>
      </c>
      <c r="B97" s="160"/>
      <c r="C97" s="161">
        <v>31680</v>
      </c>
      <c r="D97" s="161">
        <v>3602633</v>
      </c>
      <c r="E97" s="488">
        <v>14611784</v>
      </c>
      <c r="F97" s="488"/>
      <c r="G97" s="158">
        <f>SUM(B97:E97)</f>
        <v>18246097</v>
      </c>
    </row>
    <row r="98" spans="1:7" x14ac:dyDescent="0.25">
      <c r="A98" s="159" t="s">
        <v>683</v>
      </c>
      <c r="B98" s="160"/>
      <c r="C98" s="161"/>
      <c r="D98" s="161"/>
      <c r="E98" s="488"/>
      <c r="F98" s="488"/>
      <c r="G98" s="158">
        <f t="shared" ref="G98:G102" si="11">SUM(B98:D98)</f>
        <v>0</v>
      </c>
    </row>
    <row r="99" spans="1:7" x14ac:dyDescent="0.25">
      <c r="A99" s="159" t="s">
        <v>39</v>
      </c>
      <c r="B99" s="160"/>
      <c r="C99" s="161"/>
      <c r="D99" s="161"/>
      <c r="E99" s="488"/>
      <c r="F99" s="488"/>
      <c r="G99" s="158">
        <f t="shared" si="11"/>
        <v>0</v>
      </c>
    </row>
    <row r="100" spans="1:7" x14ac:dyDescent="0.25">
      <c r="A100" s="159" t="s">
        <v>480</v>
      </c>
      <c r="B100" s="160"/>
      <c r="C100" s="161"/>
      <c r="D100" s="161"/>
      <c r="E100" s="488"/>
      <c r="F100" s="488"/>
      <c r="G100" s="158">
        <f t="shared" si="11"/>
        <v>0</v>
      </c>
    </row>
    <row r="101" spans="1:7" x14ac:dyDescent="0.25">
      <c r="A101" s="159"/>
      <c r="B101" s="160"/>
      <c r="C101" s="161"/>
      <c r="D101" s="161"/>
      <c r="E101" s="488"/>
      <c r="F101" s="488"/>
      <c r="G101" s="158">
        <f t="shared" si="11"/>
        <v>0</v>
      </c>
    </row>
    <row r="102" spans="1:7" ht="15.75" thickBot="1" x14ac:dyDescent="0.3">
      <c r="A102" s="162"/>
      <c r="B102" s="163"/>
      <c r="C102" s="164"/>
      <c r="D102" s="164"/>
      <c r="E102" s="489"/>
      <c r="F102" s="489"/>
      <c r="G102" s="158">
        <f t="shared" si="11"/>
        <v>0</v>
      </c>
    </row>
    <row r="103" spans="1:7" ht="15.75" thickBot="1" x14ac:dyDescent="0.3">
      <c r="A103" s="165" t="s">
        <v>18</v>
      </c>
      <c r="B103" s="166">
        <f>SUM(B96:B102)</f>
        <v>0</v>
      </c>
      <c r="C103" s="166">
        <f>SUM(C96:C102)</f>
        <v>768327</v>
      </c>
      <c r="D103" s="166">
        <f>SUM(D96:D102)</f>
        <v>6937655</v>
      </c>
      <c r="E103" s="166">
        <f t="shared" ref="E103:F103" si="12">SUM(E96:E102)</f>
        <v>17294490</v>
      </c>
      <c r="F103" s="166">
        <f t="shared" si="12"/>
        <v>0</v>
      </c>
      <c r="G103" s="166">
        <f>SUM(G96:G102)</f>
        <v>25000472</v>
      </c>
    </row>
    <row r="104" spans="1:7" x14ac:dyDescent="0.25">
      <c r="A104" s="490"/>
      <c r="B104" s="490"/>
      <c r="C104" s="490"/>
      <c r="D104" s="490"/>
      <c r="E104" s="490"/>
      <c r="F104" s="490"/>
      <c r="G104" s="490"/>
    </row>
    <row r="105" spans="1:7" x14ac:dyDescent="0.25">
      <c r="A105" s="490"/>
      <c r="B105" s="490"/>
      <c r="C105" s="490"/>
      <c r="D105" s="490"/>
      <c r="E105" s="490"/>
      <c r="F105" s="490"/>
      <c r="G105" s="492"/>
    </row>
    <row r="106" spans="1:7" ht="15" customHeight="1" x14ac:dyDescent="0.25">
      <c r="A106" s="149" t="s">
        <v>468</v>
      </c>
      <c r="B106" s="973" t="s">
        <v>486</v>
      </c>
      <c r="C106" s="973"/>
      <c r="D106" s="973"/>
      <c r="E106" s="973"/>
      <c r="F106" s="973"/>
      <c r="G106" s="973"/>
    </row>
    <row r="107" spans="1:7" ht="15" customHeight="1" x14ac:dyDescent="0.25">
      <c r="A107" s="149"/>
      <c r="B107" s="974" t="s">
        <v>487</v>
      </c>
      <c r="C107" s="974"/>
      <c r="D107" s="974"/>
      <c r="E107" s="974"/>
      <c r="F107" s="974"/>
      <c r="G107" s="974"/>
    </row>
    <row r="108" spans="1:7" ht="15.75" thickBot="1" x14ac:dyDescent="0.3">
      <c r="A108" s="150"/>
      <c r="B108" s="972"/>
      <c r="C108" s="972"/>
      <c r="D108" s="173"/>
      <c r="E108" s="173"/>
      <c r="F108" s="173"/>
      <c r="G108" s="174" t="s">
        <v>392</v>
      </c>
    </row>
    <row r="109" spans="1:7" ht="15.75" thickBot="1" x14ac:dyDescent="0.3">
      <c r="A109" s="152" t="s">
        <v>469</v>
      </c>
      <c r="B109" s="170">
        <v>2017</v>
      </c>
      <c r="C109" s="170">
        <v>2018</v>
      </c>
      <c r="D109" s="170">
        <v>2019</v>
      </c>
      <c r="E109" s="487">
        <v>2020</v>
      </c>
      <c r="F109" s="487">
        <v>2021</v>
      </c>
      <c r="G109" s="171" t="s">
        <v>18</v>
      </c>
    </row>
    <row r="110" spans="1:7" x14ac:dyDescent="0.25">
      <c r="A110" s="155" t="s">
        <v>470</v>
      </c>
      <c r="B110" s="172">
        <v>0</v>
      </c>
      <c r="C110" s="157">
        <v>0</v>
      </c>
      <c r="D110" s="157"/>
      <c r="E110" s="488"/>
      <c r="F110" s="488"/>
      <c r="G110" s="158">
        <f t="shared" ref="G110:G116" si="13">SUM(B110:F110)</f>
        <v>0</v>
      </c>
    </row>
    <row r="111" spans="1:7" x14ac:dyDescent="0.25">
      <c r="A111" s="159" t="s">
        <v>471</v>
      </c>
      <c r="B111" s="160"/>
      <c r="C111" s="161">
        <v>0</v>
      </c>
      <c r="D111" s="161"/>
      <c r="E111" s="488"/>
      <c r="F111" s="488"/>
      <c r="G111" s="158">
        <f t="shared" si="13"/>
        <v>0</v>
      </c>
    </row>
    <row r="112" spans="1:7" x14ac:dyDescent="0.25">
      <c r="A112" s="159" t="s">
        <v>472</v>
      </c>
      <c r="B112" s="160"/>
      <c r="C112" s="161">
        <v>50173953</v>
      </c>
      <c r="D112" s="161"/>
      <c r="E112" s="488">
        <v>59822773</v>
      </c>
      <c r="F112" s="488"/>
      <c r="G112" s="158">
        <f t="shared" si="13"/>
        <v>109996726</v>
      </c>
    </row>
    <row r="113" spans="1:9" x14ac:dyDescent="0.25">
      <c r="A113" s="159" t="s">
        <v>473</v>
      </c>
      <c r="B113" s="160"/>
      <c r="C113" s="161"/>
      <c r="D113" s="161"/>
      <c r="E113" s="488"/>
      <c r="F113" s="488"/>
      <c r="G113" s="158">
        <f t="shared" si="13"/>
        <v>0</v>
      </c>
    </row>
    <row r="114" spans="1:9" x14ac:dyDescent="0.25">
      <c r="A114" s="159" t="s">
        <v>474</v>
      </c>
      <c r="B114" s="160"/>
      <c r="C114" s="161"/>
      <c r="D114" s="161"/>
      <c r="E114" s="488"/>
      <c r="F114" s="488"/>
      <c r="G114" s="158">
        <f t="shared" si="13"/>
        <v>0</v>
      </c>
    </row>
    <row r="115" spans="1:9" x14ac:dyDescent="0.25">
      <c r="A115" s="159" t="s">
        <v>475</v>
      </c>
      <c r="B115" s="160"/>
      <c r="C115" s="161"/>
      <c r="D115" s="161"/>
      <c r="E115" s="488"/>
      <c r="F115" s="488"/>
      <c r="G115" s="158">
        <f t="shared" si="13"/>
        <v>0</v>
      </c>
    </row>
    <row r="116" spans="1:9" ht="15.75" thickBot="1" x14ac:dyDescent="0.3">
      <c r="A116" s="162"/>
      <c r="B116" s="163"/>
      <c r="C116" s="164"/>
      <c r="D116" s="164"/>
      <c r="E116" s="489"/>
      <c r="F116" s="489"/>
      <c r="G116" s="158">
        <f t="shared" si="13"/>
        <v>0</v>
      </c>
    </row>
    <row r="117" spans="1:9" ht="15.75" thickBot="1" x14ac:dyDescent="0.3">
      <c r="A117" s="165" t="s">
        <v>476</v>
      </c>
      <c r="B117" s="166">
        <v>0</v>
      </c>
      <c r="C117" s="166">
        <f>SUM(C110:C116)</f>
        <v>50173953</v>
      </c>
      <c r="D117" s="166">
        <f t="shared" ref="D117:G117" si="14">SUM(D110:D116)</f>
        <v>0</v>
      </c>
      <c r="E117" s="166">
        <f t="shared" si="14"/>
        <v>59822773</v>
      </c>
      <c r="F117" s="166">
        <f t="shared" si="14"/>
        <v>0</v>
      </c>
      <c r="G117" s="166">
        <f t="shared" si="14"/>
        <v>109996726</v>
      </c>
    </row>
    <row r="118" spans="1:9" ht="15.75" thickBot="1" x14ac:dyDescent="0.3">
      <c r="A118" s="168"/>
      <c r="B118" s="173"/>
      <c r="C118" s="173"/>
      <c r="D118" s="173"/>
      <c r="E118" s="173"/>
      <c r="F118" s="173"/>
      <c r="G118" s="169"/>
    </row>
    <row r="119" spans="1:9" ht="15.75" thickBot="1" x14ac:dyDescent="0.3">
      <c r="A119" s="152" t="s">
        <v>477</v>
      </c>
      <c r="B119" s="170">
        <v>2017</v>
      </c>
      <c r="C119" s="170">
        <v>2018</v>
      </c>
      <c r="D119" s="170">
        <v>2019</v>
      </c>
      <c r="E119" s="487">
        <v>2020</v>
      </c>
      <c r="F119" s="487">
        <v>2021</v>
      </c>
      <c r="G119" s="171" t="s">
        <v>18</v>
      </c>
    </row>
    <row r="120" spans="1:9" x14ac:dyDescent="0.25">
      <c r="A120" s="155" t="s">
        <v>478</v>
      </c>
      <c r="B120" s="172">
        <v>0</v>
      </c>
      <c r="C120" s="157">
        <v>28698916</v>
      </c>
      <c r="D120" s="157">
        <v>48054259</v>
      </c>
      <c r="E120" s="488">
        <f>22943401-1769177</f>
        <v>21174224</v>
      </c>
      <c r="F120" s="488"/>
      <c r="G120" s="158">
        <f>SUM(B120:E120)</f>
        <v>97927399</v>
      </c>
    </row>
    <row r="121" spans="1:9" x14ac:dyDescent="0.25">
      <c r="A121" s="159" t="s">
        <v>479</v>
      </c>
      <c r="B121" s="160">
        <v>1300000</v>
      </c>
      <c r="C121" s="161">
        <v>887818</v>
      </c>
      <c r="D121" s="161">
        <v>272832</v>
      </c>
      <c r="E121" s="488">
        <v>1888626</v>
      </c>
      <c r="F121" s="488"/>
      <c r="G121" s="158">
        <f>SUM(B121:E121)</f>
        <v>4349276</v>
      </c>
    </row>
    <row r="122" spans="1:9" x14ac:dyDescent="0.25">
      <c r="A122" s="159" t="s">
        <v>683</v>
      </c>
      <c r="B122" s="160"/>
      <c r="C122" s="161">
        <v>0</v>
      </c>
      <c r="D122" s="161">
        <v>7720051</v>
      </c>
      <c r="E122" s="488"/>
      <c r="F122" s="488"/>
      <c r="G122" s="158">
        <f>SUM(B122:D122)</f>
        <v>7720051</v>
      </c>
    </row>
    <row r="123" spans="1:9" x14ac:dyDescent="0.25">
      <c r="A123" s="159" t="s">
        <v>39</v>
      </c>
      <c r="B123" s="160"/>
      <c r="C123" s="161"/>
      <c r="D123" s="161"/>
      <c r="E123" s="488"/>
      <c r="F123" s="488"/>
      <c r="G123" s="158">
        <v>0</v>
      </c>
    </row>
    <row r="124" spans="1:9" x14ac:dyDescent="0.25">
      <c r="A124" s="159" t="s">
        <v>480</v>
      </c>
      <c r="B124" s="160"/>
      <c r="C124" s="161"/>
      <c r="D124" s="161"/>
      <c r="E124" s="488"/>
      <c r="F124" s="488"/>
      <c r="G124" s="158">
        <v>0</v>
      </c>
    </row>
    <row r="125" spans="1:9" x14ac:dyDescent="0.25">
      <c r="A125" s="159"/>
      <c r="B125" s="160"/>
      <c r="C125" s="161"/>
      <c r="D125" s="161"/>
      <c r="E125" s="488"/>
      <c r="F125" s="488"/>
      <c r="G125" s="158">
        <v>0</v>
      </c>
    </row>
    <row r="126" spans="1:9" ht="15.75" thickBot="1" x14ac:dyDescent="0.3">
      <c r="A126" s="162"/>
      <c r="B126" s="163"/>
      <c r="C126" s="164"/>
      <c r="D126" s="164"/>
      <c r="E126" s="489"/>
      <c r="F126" s="489"/>
      <c r="G126" s="158">
        <v>0</v>
      </c>
    </row>
    <row r="127" spans="1:9" ht="15.75" thickBot="1" x14ac:dyDescent="0.3">
      <c r="A127" s="165" t="s">
        <v>18</v>
      </c>
      <c r="B127" s="166">
        <f t="shared" ref="B127:G127" si="15">SUM(B120:B126)</f>
        <v>1300000</v>
      </c>
      <c r="C127" s="166">
        <f t="shared" si="15"/>
        <v>29586734</v>
      </c>
      <c r="D127" s="166">
        <f t="shared" si="15"/>
        <v>56047142</v>
      </c>
      <c r="E127" s="166">
        <f t="shared" si="15"/>
        <v>23062850</v>
      </c>
      <c r="F127" s="166">
        <f t="shared" si="15"/>
        <v>0</v>
      </c>
      <c r="G127" s="166">
        <f t="shared" si="15"/>
        <v>109996726</v>
      </c>
      <c r="I127" s="148"/>
    </row>
    <row r="128" spans="1:9" x14ac:dyDescent="0.25">
      <c r="A128" s="490"/>
      <c r="B128" s="490"/>
      <c r="C128" s="490"/>
      <c r="D128" s="490"/>
      <c r="E128" s="490"/>
      <c r="F128" s="490"/>
      <c r="G128" s="490"/>
    </row>
    <row r="129" spans="1:7" x14ac:dyDescent="0.25">
      <c r="A129" s="490"/>
      <c r="B129" s="490"/>
      <c r="C129" s="490"/>
      <c r="D129" s="490"/>
      <c r="E129" s="490"/>
      <c r="F129" s="490"/>
      <c r="G129" s="490"/>
    </row>
    <row r="130" spans="1:7" x14ac:dyDescent="0.25">
      <c r="A130" s="490"/>
      <c r="B130" s="490"/>
      <c r="C130" s="490"/>
      <c r="D130" s="490"/>
      <c r="E130" s="490"/>
      <c r="F130" s="490"/>
      <c r="G130" s="490"/>
    </row>
    <row r="131" spans="1:7" ht="15" customHeight="1" x14ac:dyDescent="0.25">
      <c r="A131" s="149" t="s">
        <v>468</v>
      </c>
      <c r="B131" s="973" t="s">
        <v>488</v>
      </c>
      <c r="C131" s="973"/>
      <c r="D131" s="973"/>
      <c r="E131" s="973"/>
      <c r="F131" s="973"/>
      <c r="G131" s="973"/>
    </row>
    <row r="132" spans="1:7" ht="33" customHeight="1" x14ac:dyDescent="0.25">
      <c r="A132" s="149"/>
      <c r="B132" s="974" t="s">
        <v>489</v>
      </c>
      <c r="C132" s="974"/>
      <c r="D132" s="974"/>
      <c r="E132" s="974"/>
      <c r="F132" s="974"/>
      <c r="G132" s="974"/>
    </row>
    <row r="133" spans="1:7" ht="15.75" thickBot="1" x14ac:dyDescent="0.3">
      <c r="A133" s="150"/>
      <c r="B133" s="972"/>
      <c r="C133" s="972"/>
      <c r="D133" s="173"/>
      <c r="E133" s="173"/>
      <c r="F133" s="173"/>
      <c r="G133" s="174" t="s">
        <v>392</v>
      </c>
    </row>
    <row r="134" spans="1:7" ht="15.75" thickBot="1" x14ac:dyDescent="0.3">
      <c r="A134" s="152" t="s">
        <v>469</v>
      </c>
      <c r="B134" s="170">
        <v>2017</v>
      </c>
      <c r="C134" s="170">
        <v>2018</v>
      </c>
      <c r="D134" s="170">
        <v>2019</v>
      </c>
      <c r="E134" s="487">
        <v>2020</v>
      </c>
      <c r="F134" s="487">
        <v>2021</v>
      </c>
      <c r="G134" s="171" t="s">
        <v>18</v>
      </c>
    </row>
    <row r="135" spans="1:7" x14ac:dyDescent="0.25">
      <c r="A135" s="155" t="s">
        <v>470</v>
      </c>
      <c r="B135" s="172">
        <v>0</v>
      </c>
      <c r="C135" s="157">
        <v>0</v>
      </c>
      <c r="D135" s="157"/>
      <c r="E135" s="488"/>
      <c r="F135" s="488"/>
      <c r="G135" s="158">
        <v>0</v>
      </c>
    </row>
    <row r="136" spans="1:7" x14ac:dyDescent="0.25">
      <c r="A136" s="159" t="s">
        <v>471</v>
      </c>
      <c r="B136" s="160"/>
      <c r="C136" s="161">
        <v>0</v>
      </c>
      <c r="D136" s="161"/>
      <c r="E136" s="488"/>
      <c r="F136" s="488"/>
      <c r="G136" s="158"/>
    </row>
    <row r="137" spans="1:7" x14ac:dyDescent="0.25">
      <c r="A137" s="159" t="s">
        <v>472</v>
      </c>
      <c r="B137" s="160"/>
      <c r="C137" s="161">
        <v>121228072</v>
      </c>
      <c r="D137" s="161">
        <v>75339511</v>
      </c>
      <c r="E137" s="488">
        <f>14246419</f>
        <v>14246419</v>
      </c>
      <c r="F137" s="488"/>
      <c r="G137" s="158">
        <f>SUM(B137:E137)</f>
        <v>210814002</v>
      </c>
    </row>
    <row r="138" spans="1:7" x14ac:dyDescent="0.25">
      <c r="A138" s="159" t="s">
        <v>473</v>
      </c>
      <c r="B138" s="160"/>
      <c r="C138" s="161"/>
      <c r="D138" s="161"/>
      <c r="E138" s="488"/>
      <c r="F138" s="488"/>
      <c r="G138" s="158">
        <v>0</v>
      </c>
    </row>
    <row r="139" spans="1:7" x14ac:dyDescent="0.25">
      <c r="A139" s="159" t="s">
        <v>474</v>
      </c>
      <c r="B139" s="160"/>
      <c r="C139" s="161"/>
      <c r="D139" s="161"/>
      <c r="E139" s="488"/>
      <c r="F139" s="488"/>
      <c r="G139" s="158">
        <v>0</v>
      </c>
    </row>
    <row r="140" spans="1:7" x14ac:dyDescent="0.25">
      <c r="A140" s="159" t="s">
        <v>475</v>
      </c>
      <c r="B140" s="160"/>
      <c r="C140" s="161"/>
      <c r="D140" s="161">
        <v>85</v>
      </c>
      <c r="E140" s="488"/>
      <c r="F140" s="488"/>
      <c r="G140" s="158">
        <v>0</v>
      </c>
    </row>
    <row r="141" spans="1:7" ht="15.75" thickBot="1" x14ac:dyDescent="0.3">
      <c r="A141" s="162"/>
      <c r="B141" s="163"/>
      <c r="C141" s="164"/>
      <c r="D141" s="164"/>
      <c r="E141" s="489"/>
      <c r="F141" s="489"/>
      <c r="G141" s="158">
        <v>0</v>
      </c>
    </row>
    <row r="142" spans="1:7" ht="15.75" thickBot="1" x14ac:dyDescent="0.3">
      <c r="A142" s="165" t="s">
        <v>476</v>
      </c>
      <c r="B142" s="166">
        <v>0</v>
      </c>
      <c r="C142" s="166">
        <f>SUM(C135:C141)</f>
        <v>121228072</v>
      </c>
      <c r="D142" s="166">
        <f t="shared" ref="D142:F142" si="16">SUM(D135:D141)</f>
        <v>75339596</v>
      </c>
      <c r="E142" s="166">
        <f t="shared" si="16"/>
        <v>14246419</v>
      </c>
      <c r="F142" s="166">
        <f t="shared" si="16"/>
        <v>0</v>
      </c>
      <c r="G142" s="167">
        <f>SUM(B142:E142)</f>
        <v>210814087</v>
      </c>
    </row>
    <row r="143" spans="1:7" ht="15.75" thickBot="1" x14ac:dyDescent="0.3">
      <c r="A143" s="168"/>
      <c r="B143" s="173"/>
      <c r="C143" s="173"/>
      <c r="D143" s="173"/>
      <c r="E143" s="173"/>
      <c r="F143" s="173"/>
      <c r="G143" s="169"/>
    </row>
    <row r="144" spans="1:7" ht="15.75" thickBot="1" x14ac:dyDescent="0.3">
      <c r="A144" s="152" t="s">
        <v>477</v>
      </c>
      <c r="B144" s="170">
        <v>2017</v>
      </c>
      <c r="C144" s="170">
        <v>2018</v>
      </c>
      <c r="D144" s="170">
        <v>2019</v>
      </c>
      <c r="E144" s="487">
        <v>2020</v>
      </c>
      <c r="F144" s="487">
        <v>2021</v>
      </c>
      <c r="G144" s="171" t="s">
        <v>18</v>
      </c>
    </row>
    <row r="145" spans="1:10" x14ac:dyDescent="0.25">
      <c r="A145" s="155" t="s">
        <v>478</v>
      </c>
      <c r="B145" s="172">
        <v>0</v>
      </c>
      <c r="C145" s="157">
        <v>30587220</v>
      </c>
      <c r="D145" s="157">
        <f>29154180+8926650</f>
        <v>38080830</v>
      </c>
      <c r="E145" s="488">
        <v>1439507</v>
      </c>
      <c r="F145" s="488"/>
      <c r="G145" s="158">
        <f>SUM(B145:D145)</f>
        <v>68668050</v>
      </c>
    </row>
    <row r="146" spans="1:10" x14ac:dyDescent="0.25">
      <c r="A146" s="159" t="s">
        <v>479</v>
      </c>
      <c r="B146" s="160">
        <v>3671000</v>
      </c>
      <c r="C146" s="161">
        <v>20272000</v>
      </c>
      <c r="D146" s="161">
        <v>75325180</v>
      </c>
      <c r="E146" s="488">
        <f>29088775+3717667</f>
        <v>32806442</v>
      </c>
      <c r="F146" s="488"/>
      <c r="G146" s="158">
        <f>SUM(B146:E146)</f>
        <v>132074622</v>
      </c>
      <c r="J146" s="148"/>
    </row>
    <row r="147" spans="1:10" x14ac:dyDescent="0.25">
      <c r="A147" s="159" t="s">
        <v>683</v>
      </c>
      <c r="B147" s="160"/>
      <c r="C147" s="161">
        <v>5041900</v>
      </c>
      <c r="D147" s="161">
        <v>4784430</v>
      </c>
      <c r="E147" s="488"/>
      <c r="F147" s="488"/>
      <c r="G147" s="158">
        <f>SUM(B147:D147)</f>
        <v>9826330</v>
      </c>
    </row>
    <row r="148" spans="1:10" x14ac:dyDescent="0.25">
      <c r="A148" s="159" t="s">
        <v>39</v>
      </c>
      <c r="B148" s="160"/>
      <c r="C148" s="161"/>
      <c r="D148" s="161"/>
      <c r="E148" s="488"/>
      <c r="F148" s="488"/>
      <c r="G148" s="158">
        <f t="shared" ref="G148:G150" si="17">SUM(B148:D148)</f>
        <v>0</v>
      </c>
    </row>
    <row r="149" spans="1:10" x14ac:dyDescent="0.25">
      <c r="A149" s="159" t="s">
        <v>480</v>
      </c>
      <c r="B149" s="160"/>
      <c r="C149" s="161"/>
      <c r="D149" s="161">
        <v>245000</v>
      </c>
      <c r="E149" s="488"/>
      <c r="F149" s="488"/>
      <c r="G149" s="158">
        <f t="shared" si="17"/>
        <v>245000</v>
      </c>
    </row>
    <row r="150" spans="1:10" x14ac:dyDescent="0.25">
      <c r="A150" s="159"/>
      <c r="B150" s="160"/>
      <c r="C150" s="161"/>
      <c r="D150" s="161"/>
      <c r="E150" s="488"/>
      <c r="F150" s="488"/>
      <c r="G150" s="158">
        <f t="shared" si="17"/>
        <v>0</v>
      </c>
    </row>
    <row r="151" spans="1:10" ht="15.75" thickBot="1" x14ac:dyDescent="0.3">
      <c r="A151" s="162"/>
      <c r="B151" s="163"/>
      <c r="C151" s="164"/>
      <c r="D151" s="164"/>
      <c r="E151" s="489"/>
      <c r="F151" s="489"/>
      <c r="G151" s="158">
        <v>0</v>
      </c>
    </row>
    <row r="152" spans="1:10" ht="15.75" thickBot="1" x14ac:dyDescent="0.3">
      <c r="A152" s="165" t="s">
        <v>18</v>
      </c>
      <c r="B152" s="166">
        <f>SUM(B145:B151)</f>
        <v>3671000</v>
      </c>
      <c r="C152" s="166">
        <f t="shared" ref="C152:F152" si="18">SUM(C145:C151)</f>
        <v>55901120</v>
      </c>
      <c r="D152" s="166">
        <f t="shared" si="18"/>
        <v>118435440</v>
      </c>
      <c r="E152" s="166">
        <f t="shared" si="18"/>
        <v>34245949</v>
      </c>
      <c r="F152" s="166">
        <f t="shared" si="18"/>
        <v>0</v>
      </c>
      <c r="G152" s="166">
        <f>SUM(G145:G151)</f>
        <v>210814002</v>
      </c>
      <c r="I152" s="148"/>
    </row>
    <row r="153" spans="1:10" x14ac:dyDescent="0.25">
      <c r="A153" s="490"/>
      <c r="B153" s="490"/>
      <c r="C153" s="490"/>
      <c r="D153" s="490"/>
      <c r="E153" s="490"/>
      <c r="F153" s="490"/>
      <c r="G153" s="490"/>
    </row>
    <row r="154" spans="1:10" x14ac:dyDescent="0.25">
      <c r="A154" s="490"/>
      <c r="B154" s="490"/>
      <c r="C154" s="490"/>
      <c r="D154" s="490"/>
      <c r="E154" s="490"/>
      <c r="F154" s="490"/>
      <c r="G154" s="490"/>
    </row>
    <row r="155" spans="1:10" ht="15" customHeight="1" x14ac:dyDescent="0.25">
      <c r="A155" s="149" t="s">
        <v>468</v>
      </c>
      <c r="B155" s="973" t="s">
        <v>490</v>
      </c>
      <c r="C155" s="973"/>
      <c r="D155" s="973"/>
      <c r="E155" s="973"/>
      <c r="F155" s="973"/>
      <c r="G155" s="973"/>
    </row>
    <row r="156" spans="1:10" ht="15" customHeight="1" x14ac:dyDescent="0.25">
      <c r="A156" s="149"/>
      <c r="B156" s="974" t="s">
        <v>491</v>
      </c>
      <c r="C156" s="974"/>
      <c r="D156" s="974"/>
      <c r="E156" s="974"/>
      <c r="F156" s="974"/>
      <c r="G156" s="974"/>
    </row>
    <row r="157" spans="1:10" ht="15.75" thickBot="1" x14ac:dyDescent="0.3">
      <c r="A157" s="150"/>
      <c r="B157" s="972"/>
      <c r="C157" s="972"/>
      <c r="D157" s="173"/>
      <c r="E157" s="173"/>
      <c r="F157" s="173"/>
      <c r="G157" s="174" t="s">
        <v>392</v>
      </c>
    </row>
    <row r="158" spans="1:10" ht="15.75" thickBot="1" x14ac:dyDescent="0.3">
      <c r="A158" s="152" t="s">
        <v>469</v>
      </c>
      <c r="B158" s="170">
        <v>2017</v>
      </c>
      <c r="C158" s="170">
        <v>2018</v>
      </c>
      <c r="D158" s="170">
        <v>2019</v>
      </c>
      <c r="E158" s="487">
        <v>2020</v>
      </c>
      <c r="F158" s="487">
        <v>2021</v>
      </c>
      <c r="G158" s="171" t="s">
        <v>18</v>
      </c>
    </row>
    <row r="159" spans="1:10" x14ac:dyDescent="0.25">
      <c r="A159" s="155" t="s">
        <v>470</v>
      </c>
      <c r="B159" s="172">
        <v>0</v>
      </c>
      <c r="C159" s="157">
        <v>0</v>
      </c>
      <c r="D159" s="157">
        <v>3902564</v>
      </c>
      <c r="E159" s="488"/>
      <c r="F159" s="488"/>
      <c r="G159" s="158">
        <v>0</v>
      </c>
    </row>
    <row r="160" spans="1:10" x14ac:dyDescent="0.25">
      <c r="A160" s="159" t="s">
        <v>471</v>
      </c>
      <c r="B160" s="160"/>
      <c r="C160" s="161">
        <v>0</v>
      </c>
      <c r="D160" s="161"/>
      <c r="E160" s="488"/>
      <c r="F160" s="488"/>
      <c r="G160" s="158">
        <v>0</v>
      </c>
    </row>
    <row r="161" spans="1:7" x14ac:dyDescent="0.25">
      <c r="A161" s="159" t="s">
        <v>472</v>
      </c>
      <c r="B161" s="160"/>
      <c r="C161" s="161">
        <v>62464938</v>
      </c>
      <c r="D161" s="161">
        <v>77522081</v>
      </c>
      <c r="E161" s="488">
        <f>34338203-26572154</f>
        <v>7766049</v>
      </c>
      <c r="F161" s="488">
        <v>8409275</v>
      </c>
      <c r="G161" s="158">
        <f>SUM(B161:F161)</f>
        <v>156162343</v>
      </c>
    </row>
    <row r="162" spans="1:7" x14ac:dyDescent="0.25">
      <c r="A162" s="159" t="s">
        <v>473</v>
      </c>
      <c r="B162" s="160"/>
      <c r="C162" s="161"/>
      <c r="D162" s="161"/>
      <c r="E162" s="488"/>
      <c r="F162" s="488"/>
      <c r="G162" s="158">
        <v>0</v>
      </c>
    </row>
    <row r="163" spans="1:7" x14ac:dyDescent="0.25">
      <c r="A163" s="159" t="s">
        <v>474</v>
      </c>
      <c r="B163" s="160"/>
      <c r="C163" s="161"/>
      <c r="D163" s="161"/>
      <c r="E163" s="488"/>
      <c r="F163" s="488"/>
      <c r="G163" s="158">
        <v>0</v>
      </c>
    </row>
    <row r="164" spans="1:7" x14ac:dyDescent="0.25">
      <c r="A164" s="159" t="s">
        <v>475</v>
      </c>
      <c r="B164" s="160"/>
      <c r="C164" s="161"/>
      <c r="D164" s="161"/>
      <c r="E164" s="488"/>
      <c r="F164" s="488"/>
      <c r="G164" s="158">
        <v>0</v>
      </c>
    </row>
    <row r="165" spans="1:7" ht="15.75" thickBot="1" x14ac:dyDescent="0.3">
      <c r="A165" s="162"/>
      <c r="B165" s="163"/>
      <c r="C165" s="164"/>
      <c r="D165" s="164"/>
      <c r="E165" s="489"/>
      <c r="F165" s="489"/>
      <c r="G165" s="158">
        <v>0</v>
      </c>
    </row>
    <row r="166" spans="1:7" ht="15.75" thickBot="1" x14ac:dyDescent="0.3">
      <c r="A166" s="165" t="s">
        <v>476</v>
      </c>
      <c r="B166" s="166">
        <v>0</v>
      </c>
      <c r="C166" s="166">
        <f>SUM(C159:C165)</f>
        <v>62464938</v>
      </c>
      <c r="D166" s="166">
        <f>SUM(D159:D165)</f>
        <v>81424645</v>
      </c>
      <c r="E166" s="166">
        <f t="shared" ref="E166:G166" si="19">SUM(E159:E165)</f>
        <v>7766049</v>
      </c>
      <c r="F166" s="166">
        <f t="shared" si="19"/>
        <v>8409275</v>
      </c>
      <c r="G166" s="166">
        <f t="shared" si="19"/>
        <v>156162343</v>
      </c>
    </row>
    <row r="167" spans="1:7" ht="15.75" thickBot="1" x14ac:dyDescent="0.3">
      <c r="A167" s="168"/>
      <c r="B167" s="173"/>
      <c r="C167" s="173"/>
      <c r="D167" s="173"/>
      <c r="E167" s="173"/>
      <c r="F167" s="173"/>
      <c r="G167" s="169"/>
    </row>
    <row r="168" spans="1:7" ht="15.75" thickBot="1" x14ac:dyDescent="0.3">
      <c r="A168" s="152" t="s">
        <v>477</v>
      </c>
      <c r="B168" s="170">
        <v>2017</v>
      </c>
      <c r="C168" s="170">
        <v>2018</v>
      </c>
      <c r="D168" s="170">
        <v>2019</v>
      </c>
      <c r="E168" s="487">
        <v>2020</v>
      </c>
      <c r="F168" s="487">
        <v>2021</v>
      </c>
      <c r="G168" s="171" t="s">
        <v>18</v>
      </c>
    </row>
    <row r="169" spans="1:7" x14ac:dyDescent="0.25">
      <c r="A169" s="155" t="s">
        <v>478</v>
      </c>
      <c r="B169" s="172">
        <v>0</v>
      </c>
      <c r="C169" s="157">
        <v>12504235</v>
      </c>
      <c r="D169" s="157">
        <v>23593461</v>
      </c>
      <c r="E169" s="488">
        <v>18150279</v>
      </c>
      <c r="F169" s="488">
        <v>4670471</v>
      </c>
      <c r="G169" s="158">
        <f>SUM(B169:F169)</f>
        <v>58918446</v>
      </c>
    </row>
    <row r="170" spans="1:7" x14ac:dyDescent="0.25">
      <c r="A170" s="159" t="s">
        <v>479</v>
      </c>
      <c r="B170" s="160">
        <v>2000000</v>
      </c>
      <c r="C170" s="161">
        <v>14236667</v>
      </c>
      <c r="D170" s="161">
        <v>7405333</v>
      </c>
      <c r="E170" s="488">
        <v>22757276</v>
      </c>
      <c r="F170" s="488"/>
      <c r="G170" s="158">
        <f t="shared" ref="G170:G175" si="20">SUM(B170:F170)</f>
        <v>46399276</v>
      </c>
    </row>
    <row r="171" spans="1:7" x14ac:dyDescent="0.25">
      <c r="A171" s="159" t="s">
        <v>683</v>
      </c>
      <c r="B171" s="160"/>
      <c r="C171" s="161">
        <v>0</v>
      </c>
      <c r="D171" s="161">
        <v>8224807</v>
      </c>
      <c r="E171" s="488"/>
      <c r="F171" s="488"/>
      <c r="G171" s="158">
        <f t="shared" si="20"/>
        <v>8224807</v>
      </c>
    </row>
    <row r="172" spans="1:7" x14ac:dyDescent="0.25">
      <c r="A172" s="159" t="s">
        <v>39</v>
      </c>
      <c r="B172" s="160"/>
      <c r="C172" s="161">
        <v>1511300</v>
      </c>
      <c r="D172" s="161">
        <v>40078514</v>
      </c>
      <c r="E172" s="488"/>
      <c r="F172" s="488"/>
      <c r="G172" s="158">
        <f t="shared" si="20"/>
        <v>41589814</v>
      </c>
    </row>
    <row r="173" spans="1:7" x14ac:dyDescent="0.25">
      <c r="A173" s="159" t="s">
        <v>480</v>
      </c>
      <c r="B173" s="160"/>
      <c r="C173" s="161"/>
      <c r="D173" s="161"/>
      <c r="E173" s="488">
        <v>1030000</v>
      </c>
      <c r="F173" s="488"/>
      <c r="G173" s="158">
        <f t="shared" si="20"/>
        <v>1030000</v>
      </c>
    </row>
    <row r="174" spans="1:7" x14ac:dyDescent="0.25">
      <c r="A174" s="159"/>
      <c r="B174" s="160"/>
      <c r="C174" s="161"/>
      <c r="D174" s="161"/>
      <c r="E174" s="488"/>
      <c r="F174" s="488"/>
      <c r="G174" s="158">
        <f t="shared" si="20"/>
        <v>0</v>
      </c>
    </row>
    <row r="175" spans="1:7" ht="15.75" thickBot="1" x14ac:dyDescent="0.3">
      <c r="A175" s="162"/>
      <c r="B175" s="163"/>
      <c r="C175" s="164"/>
      <c r="D175" s="164"/>
      <c r="E175" s="489"/>
      <c r="F175" s="489"/>
      <c r="G175" s="158">
        <f t="shared" si="20"/>
        <v>0</v>
      </c>
    </row>
    <row r="176" spans="1:7" ht="15.75" thickBot="1" x14ac:dyDescent="0.3">
      <c r="A176" s="165" t="s">
        <v>18</v>
      </c>
      <c r="B176" s="166">
        <f t="shared" ref="B176:G176" si="21">SUM(B169:B175)</f>
        <v>2000000</v>
      </c>
      <c r="C176" s="166">
        <f t="shared" si="21"/>
        <v>28252202</v>
      </c>
      <c r="D176" s="166">
        <f>SUM(D169:D175)</f>
        <v>79302115</v>
      </c>
      <c r="E176" s="166">
        <f t="shared" ref="E176:F176" si="22">SUM(E169:E175)</f>
        <v>41937555</v>
      </c>
      <c r="F176" s="166">
        <f t="shared" si="22"/>
        <v>4670471</v>
      </c>
      <c r="G176" s="166">
        <f t="shared" si="21"/>
        <v>156162343</v>
      </c>
    </row>
    <row r="177" spans="1:7" x14ac:dyDescent="0.25">
      <c r="A177" s="490"/>
      <c r="B177" s="490"/>
      <c r="C177" s="490"/>
      <c r="D177" s="490"/>
      <c r="E177" s="490"/>
      <c r="F177" s="490"/>
      <c r="G177" s="490"/>
    </row>
    <row r="178" spans="1:7" x14ac:dyDescent="0.25">
      <c r="A178" s="490"/>
      <c r="B178" s="490"/>
      <c r="C178" s="490"/>
      <c r="D178" s="490"/>
      <c r="E178" s="490"/>
      <c r="F178" s="490"/>
      <c r="G178" s="490"/>
    </row>
    <row r="179" spans="1:7" ht="15" customHeight="1" x14ac:dyDescent="0.25">
      <c r="A179" s="490"/>
      <c r="B179" s="490"/>
      <c r="C179" s="490"/>
      <c r="D179" s="490"/>
      <c r="E179" s="490"/>
      <c r="F179" s="490"/>
      <c r="G179" s="490"/>
    </row>
    <row r="180" spans="1:7" ht="15" customHeight="1" x14ac:dyDescent="0.25">
      <c r="A180" s="490"/>
      <c r="B180" s="490"/>
      <c r="C180" s="490"/>
      <c r="D180" s="490"/>
      <c r="E180" s="490"/>
      <c r="F180" s="490"/>
      <c r="G180" s="493"/>
    </row>
    <row r="181" spans="1:7" ht="15" customHeight="1" x14ac:dyDescent="0.25">
      <c r="A181" s="149" t="s">
        <v>468</v>
      </c>
      <c r="B181" s="979" t="s">
        <v>492</v>
      </c>
      <c r="C181" s="979"/>
      <c r="D181" s="979"/>
      <c r="E181" s="979"/>
      <c r="F181" s="979"/>
      <c r="G181" s="979"/>
    </row>
    <row r="182" spans="1:7" x14ac:dyDescent="0.25">
      <c r="A182" s="149"/>
      <c r="B182" s="980" t="s">
        <v>493</v>
      </c>
      <c r="C182" s="980"/>
      <c r="D182" s="980"/>
      <c r="E182" s="980"/>
      <c r="F182" s="980"/>
      <c r="G182" s="980"/>
    </row>
    <row r="183" spans="1:7" ht="15.75" thickBot="1" x14ac:dyDescent="0.3">
      <c r="A183" s="150"/>
      <c r="B183" s="978"/>
      <c r="C183" s="978"/>
      <c r="D183" s="150"/>
      <c r="E183" s="150"/>
      <c r="F183" s="150"/>
      <c r="G183" s="151" t="s">
        <v>392</v>
      </c>
    </row>
    <row r="184" spans="1:7" ht="15.75" thickBot="1" x14ac:dyDescent="0.3">
      <c r="A184" s="152" t="s">
        <v>469</v>
      </c>
      <c r="B184" s="153">
        <v>2017</v>
      </c>
      <c r="C184" s="153">
        <v>2018</v>
      </c>
      <c r="D184" s="153">
        <v>2019</v>
      </c>
      <c r="E184" s="494">
        <v>2020</v>
      </c>
      <c r="F184" s="494">
        <v>2021</v>
      </c>
      <c r="G184" s="154" t="s">
        <v>18</v>
      </c>
    </row>
    <row r="185" spans="1:7" x14ac:dyDescent="0.25">
      <c r="A185" s="155" t="s">
        <v>470</v>
      </c>
      <c r="B185" s="156"/>
      <c r="C185" s="157"/>
      <c r="D185" s="157"/>
      <c r="E185" s="488"/>
      <c r="F185" s="488"/>
      <c r="G185" s="158">
        <f t="shared" ref="G185:G186" si="23">SUM(B185:D185)</f>
        <v>0</v>
      </c>
    </row>
    <row r="186" spans="1:7" x14ac:dyDescent="0.25">
      <c r="A186" s="159" t="s">
        <v>471</v>
      </c>
      <c r="B186" s="160"/>
      <c r="C186" s="161"/>
      <c r="D186" s="161"/>
      <c r="E186" s="488"/>
      <c r="F186" s="488"/>
      <c r="G186" s="158">
        <f t="shared" si="23"/>
        <v>0</v>
      </c>
    </row>
    <row r="187" spans="1:7" x14ac:dyDescent="0.25">
      <c r="A187" s="159" t="s">
        <v>472</v>
      </c>
      <c r="B187" s="160"/>
      <c r="C187" s="161">
        <v>18524628</v>
      </c>
      <c r="D187" s="161"/>
      <c r="E187" s="488">
        <v>253937</v>
      </c>
      <c r="F187" s="488"/>
      <c r="G187" s="158">
        <f>SUM(B187:F187)</f>
        <v>18778565</v>
      </c>
    </row>
    <row r="188" spans="1:7" x14ac:dyDescent="0.25">
      <c r="A188" s="159" t="s">
        <v>473</v>
      </c>
      <c r="B188" s="160"/>
      <c r="C188" s="161"/>
      <c r="D188" s="161"/>
      <c r="E188" s="488"/>
      <c r="F188" s="488"/>
      <c r="G188" s="158">
        <f t="shared" ref="G188:G191" si="24">SUM(B188:F188)</f>
        <v>0</v>
      </c>
    </row>
    <row r="189" spans="1:7" x14ac:dyDescent="0.25">
      <c r="A189" s="159" t="s">
        <v>474</v>
      </c>
      <c r="B189" s="160"/>
      <c r="C189" s="161"/>
      <c r="D189" s="161"/>
      <c r="E189" s="488"/>
      <c r="F189" s="488"/>
      <c r="G189" s="158">
        <f t="shared" si="24"/>
        <v>0</v>
      </c>
    </row>
    <row r="190" spans="1:7" x14ac:dyDescent="0.25">
      <c r="A190" s="159" t="s">
        <v>475</v>
      </c>
      <c r="B190" s="160"/>
      <c r="C190" s="161"/>
      <c r="D190" s="161">
        <v>686</v>
      </c>
      <c r="E190" s="488"/>
      <c r="F190" s="488"/>
      <c r="G190" s="158">
        <f t="shared" si="24"/>
        <v>686</v>
      </c>
    </row>
    <row r="191" spans="1:7" ht="15.75" thickBot="1" x14ac:dyDescent="0.3">
      <c r="A191" s="162"/>
      <c r="B191" s="163"/>
      <c r="C191" s="164"/>
      <c r="D191" s="164"/>
      <c r="E191" s="489"/>
      <c r="F191" s="489"/>
      <c r="G191" s="158">
        <f t="shared" si="24"/>
        <v>0</v>
      </c>
    </row>
    <row r="192" spans="1:7" ht="15.75" thickBot="1" x14ac:dyDescent="0.3">
      <c r="A192" s="165" t="s">
        <v>476</v>
      </c>
      <c r="B192" s="166">
        <f t="shared" ref="B192:G192" si="25">SUM(B185:B191)</f>
        <v>0</v>
      </c>
      <c r="C192" s="166">
        <f t="shared" si="25"/>
        <v>18524628</v>
      </c>
      <c r="D192" s="166">
        <f t="shared" si="25"/>
        <v>686</v>
      </c>
      <c r="E192" s="166">
        <f t="shared" si="25"/>
        <v>253937</v>
      </c>
      <c r="F192" s="166">
        <f t="shared" si="25"/>
        <v>0</v>
      </c>
      <c r="G192" s="166">
        <f t="shared" si="25"/>
        <v>18779251</v>
      </c>
    </row>
    <row r="193" spans="1:9" ht="15.75" thickBot="1" x14ac:dyDescent="0.3">
      <c r="A193" s="168"/>
      <c r="B193" s="173"/>
      <c r="C193" s="173"/>
      <c r="D193" s="173"/>
      <c r="E193" s="173"/>
      <c r="F193" s="173"/>
      <c r="G193" s="169"/>
    </row>
    <row r="194" spans="1:9" ht="15.75" thickBot="1" x14ac:dyDescent="0.3">
      <c r="A194" s="152" t="s">
        <v>477</v>
      </c>
      <c r="B194" s="170">
        <v>2017</v>
      </c>
      <c r="C194" s="170">
        <v>2018</v>
      </c>
      <c r="D194" s="170">
        <v>2019</v>
      </c>
      <c r="E194" s="487">
        <v>2020</v>
      </c>
      <c r="F194" s="487">
        <v>2021</v>
      </c>
      <c r="G194" s="171" t="s">
        <v>18</v>
      </c>
    </row>
    <row r="195" spans="1:9" x14ac:dyDescent="0.25">
      <c r="A195" s="155" t="s">
        <v>478</v>
      </c>
      <c r="B195" s="172"/>
      <c r="C195" s="157"/>
      <c r="D195" s="157">
        <v>625050</v>
      </c>
      <c r="E195" s="488"/>
      <c r="F195" s="488"/>
      <c r="G195" s="158">
        <f>SUM(B195:E195)</f>
        <v>625050</v>
      </c>
    </row>
    <row r="196" spans="1:9" x14ac:dyDescent="0.25">
      <c r="A196" s="159" t="s">
        <v>479</v>
      </c>
      <c r="B196" s="160">
        <v>750000</v>
      </c>
      <c r="C196" s="161">
        <v>18000</v>
      </c>
      <c r="D196" s="161">
        <v>47693</v>
      </c>
      <c r="E196" s="488"/>
      <c r="F196" s="488"/>
      <c r="G196" s="158">
        <f t="shared" ref="G196" si="26">SUM(B196:E196)</f>
        <v>815693</v>
      </c>
    </row>
    <row r="197" spans="1:9" x14ac:dyDescent="0.25">
      <c r="A197" s="159" t="s">
        <v>683</v>
      </c>
      <c r="B197" s="160"/>
      <c r="C197" s="161"/>
      <c r="D197" s="161">
        <v>8640597</v>
      </c>
      <c r="E197" s="488"/>
      <c r="F197" s="488"/>
      <c r="G197" s="158">
        <f>SUM(B197:E197)</f>
        <v>8640597</v>
      </c>
    </row>
    <row r="198" spans="1:9" x14ac:dyDescent="0.25">
      <c r="A198" s="159" t="s">
        <v>39</v>
      </c>
      <c r="B198" s="160"/>
      <c r="C198" s="161">
        <v>7095744</v>
      </c>
      <c r="D198" s="161"/>
      <c r="E198" s="488"/>
      <c r="F198" s="488"/>
      <c r="G198" s="158">
        <f t="shared" ref="G198:G201" si="27">SUM(B198:E198)</f>
        <v>7095744</v>
      </c>
    </row>
    <row r="199" spans="1:9" x14ac:dyDescent="0.25">
      <c r="A199" s="159" t="s">
        <v>480</v>
      </c>
      <c r="B199" s="160"/>
      <c r="C199" s="161"/>
      <c r="D199" s="161"/>
      <c r="E199" s="488">
        <v>1602167</v>
      </c>
      <c r="F199" s="488"/>
      <c r="G199" s="158">
        <f t="shared" si="27"/>
        <v>1602167</v>
      </c>
    </row>
    <row r="200" spans="1:9" x14ac:dyDescent="0.25">
      <c r="A200" s="159"/>
      <c r="B200" s="160"/>
      <c r="C200" s="161"/>
      <c r="D200" s="161"/>
      <c r="E200" s="488"/>
      <c r="F200" s="488"/>
      <c r="G200" s="158">
        <f t="shared" si="27"/>
        <v>0</v>
      </c>
    </row>
    <row r="201" spans="1:9" ht="15.75" thickBot="1" x14ac:dyDescent="0.3">
      <c r="A201" s="162"/>
      <c r="B201" s="163"/>
      <c r="C201" s="164"/>
      <c r="D201" s="164"/>
      <c r="E201" s="489"/>
      <c r="F201" s="489"/>
      <c r="G201" s="158">
        <f t="shared" si="27"/>
        <v>0</v>
      </c>
    </row>
    <row r="202" spans="1:9" ht="15.75" thickBot="1" x14ac:dyDescent="0.3">
      <c r="A202" s="165" t="s">
        <v>18</v>
      </c>
      <c r="B202" s="166">
        <f t="shared" ref="B202:G202" si="28">SUM(B195:B201)</f>
        <v>750000</v>
      </c>
      <c r="C202" s="166">
        <f t="shared" si="28"/>
        <v>7113744</v>
      </c>
      <c r="D202" s="166">
        <f t="shared" si="28"/>
        <v>9313340</v>
      </c>
      <c r="E202" s="166">
        <f t="shared" si="28"/>
        <v>1602167</v>
      </c>
      <c r="F202" s="166">
        <f t="shared" si="28"/>
        <v>0</v>
      </c>
      <c r="G202" s="166">
        <f t="shared" si="28"/>
        <v>18779251</v>
      </c>
      <c r="I202" s="148"/>
    </row>
    <row r="203" spans="1:9" ht="14.25" customHeight="1" x14ac:dyDescent="0.25">
      <c r="A203" s="490"/>
      <c r="B203" s="490"/>
      <c r="C203" s="490"/>
      <c r="D203" s="490"/>
      <c r="E203" s="490"/>
      <c r="F203" s="490"/>
      <c r="G203" s="490"/>
    </row>
    <row r="204" spans="1:9" ht="14.25" customHeight="1" x14ac:dyDescent="0.25">
      <c r="A204" s="490"/>
      <c r="B204" s="490"/>
      <c r="C204" s="490"/>
      <c r="D204" s="490"/>
      <c r="E204" s="490"/>
      <c r="F204" s="490"/>
      <c r="G204" s="493"/>
    </row>
    <row r="205" spans="1:9" ht="15" customHeight="1" x14ac:dyDescent="0.25">
      <c r="A205" s="149" t="s">
        <v>468</v>
      </c>
      <c r="B205" s="979" t="s">
        <v>494</v>
      </c>
      <c r="C205" s="979"/>
      <c r="D205" s="979"/>
      <c r="E205" s="979"/>
      <c r="F205" s="979"/>
      <c r="G205" s="979"/>
    </row>
    <row r="206" spans="1:9" x14ac:dyDescent="0.25">
      <c r="A206" s="149"/>
      <c r="B206" s="980" t="s">
        <v>495</v>
      </c>
      <c r="C206" s="980"/>
      <c r="D206" s="980"/>
      <c r="E206" s="980"/>
      <c r="F206" s="980"/>
      <c r="G206" s="980"/>
    </row>
    <row r="207" spans="1:9" ht="15.75" thickBot="1" x14ac:dyDescent="0.3">
      <c r="A207" s="150"/>
      <c r="B207" s="978"/>
      <c r="C207" s="978"/>
      <c r="D207" s="150"/>
      <c r="E207" s="150"/>
      <c r="F207" s="150"/>
      <c r="G207" s="151" t="s">
        <v>392</v>
      </c>
    </row>
    <row r="208" spans="1:9" ht="15.75" thickBot="1" x14ac:dyDescent="0.3">
      <c r="A208" s="152" t="s">
        <v>469</v>
      </c>
      <c r="B208" s="153">
        <v>2017</v>
      </c>
      <c r="C208" s="153">
        <v>2018</v>
      </c>
      <c r="D208" s="153">
        <v>2019</v>
      </c>
      <c r="E208" s="494">
        <v>2020</v>
      </c>
      <c r="F208" s="494">
        <v>2021</v>
      </c>
      <c r="G208" s="154" t="s">
        <v>18</v>
      </c>
    </row>
    <row r="209" spans="1:7" x14ac:dyDescent="0.25">
      <c r="A209" s="155" t="s">
        <v>470</v>
      </c>
      <c r="B209" s="156"/>
      <c r="C209" s="157"/>
      <c r="D209" s="157"/>
      <c r="E209" s="488">
        <v>15880918</v>
      </c>
      <c r="F209" s="488"/>
      <c r="G209" s="158">
        <f>SUM(B209:F209)</f>
        <v>15880918</v>
      </c>
    </row>
    <row r="210" spans="1:7" x14ac:dyDescent="0.25">
      <c r="A210" s="159" t="s">
        <v>471</v>
      </c>
      <c r="B210" s="160"/>
      <c r="C210" s="161"/>
      <c r="D210" s="161"/>
      <c r="E210" s="488"/>
      <c r="F210" s="488"/>
      <c r="G210" s="158">
        <f t="shared" ref="G210:G214" si="29">SUM(B210:D210)</f>
        <v>0</v>
      </c>
    </row>
    <row r="211" spans="1:7" x14ac:dyDescent="0.25">
      <c r="A211" s="159" t="s">
        <v>472</v>
      </c>
      <c r="B211" s="160"/>
      <c r="C211" s="161">
        <v>291758801</v>
      </c>
      <c r="D211" s="161"/>
      <c r="E211" s="488"/>
      <c r="F211" s="488"/>
      <c r="G211" s="158">
        <f t="shared" si="29"/>
        <v>291758801</v>
      </c>
    </row>
    <row r="212" spans="1:7" x14ac:dyDescent="0.25">
      <c r="A212" s="159" t="s">
        <v>473</v>
      </c>
      <c r="B212" s="160"/>
      <c r="C212" s="161"/>
      <c r="D212" s="161"/>
      <c r="E212" s="488"/>
      <c r="F212" s="488"/>
      <c r="G212" s="158">
        <f t="shared" si="29"/>
        <v>0</v>
      </c>
    </row>
    <row r="213" spans="1:7" x14ac:dyDescent="0.25">
      <c r="A213" s="159" t="s">
        <v>474</v>
      </c>
      <c r="B213" s="160"/>
      <c r="C213" s="161"/>
      <c r="D213" s="161"/>
      <c r="E213" s="488"/>
      <c r="F213" s="488"/>
      <c r="G213" s="158">
        <f t="shared" si="29"/>
        <v>0</v>
      </c>
    </row>
    <row r="214" spans="1:7" x14ac:dyDescent="0.25">
      <c r="A214" s="159" t="s">
        <v>475</v>
      </c>
      <c r="B214" s="160"/>
      <c r="C214" s="161"/>
      <c r="D214" s="161"/>
      <c r="E214" s="488"/>
      <c r="F214" s="488"/>
      <c r="G214" s="158">
        <f t="shared" si="29"/>
        <v>0</v>
      </c>
    </row>
    <row r="215" spans="1:7" ht="15.75" thickBot="1" x14ac:dyDescent="0.3">
      <c r="A215" s="162"/>
      <c r="B215" s="163"/>
      <c r="C215" s="164"/>
      <c r="D215" s="164"/>
      <c r="E215" s="489"/>
      <c r="F215" s="489"/>
      <c r="G215" s="158"/>
    </row>
    <row r="216" spans="1:7" ht="15.75" thickBot="1" x14ac:dyDescent="0.3">
      <c r="A216" s="165" t="s">
        <v>476</v>
      </c>
      <c r="B216" s="166">
        <f t="shared" ref="B216:G216" si="30">SUM(B209:B215)</f>
        <v>0</v>
      </c>
      <c r="C216" s="166">
        <f t="shared" si="30"/>
        <v>291758801</v>
      </c>
      <c r="D216" s="166">
        <f t="shared" si="30"/>
        <v>0</v>
      </c>
      <c r="E216" s="166">
        <f t="shared" si="30"/>
        <v>15880918</v>
      </c>
      <c r="F216" s="166">
        <f t="shared" si="30"/>
        <v>0</v>
      </c>
      <c r="G216" s="166">
        <f t="shared" si="30"/>
        <v>307639719</v>
      </c>
    </row>
    <row r="217" spans="1:7" ht="15.75" thickBot="1" x14ac:dyDescent="0.3">
      <c r="A217" s="168"/>
      <c r="B217" s="173"/>
      <c r="C217" s="173"/>
      <c r="D217" s="173"/>
      <c r="E217" s="173"/>
      <c r="F217" s="173"/>
      <c r="G217" s="169"/>
    </row>
    <row r="218" spans="1:7" ht="15.75" thickBot="1" x14ac:dyDescent="0.3">
      <c r="A218" s="152" t="s">
        <v>477</v>
      </c>
      <c r="B218" s="170">
        <v>2017</v>
      </c>
      <c r="C218" s="170">
        <v>2018</v>
      </c>
      <c r="D218" s="170">
        <v>2019</v>
      </c>
      <c r="E218" s="487">
        <v>2020</v>
      </c>
      <c r="F218" s="487">
        <v>2021</v>
      </c>
      <c r="G218" s="171" t="s">
        <v>18</v>
      </c>
    </row>
    <row r="219" spans="1:7" x14ac:dyDescent="0.25">
      <c r="A219" s="155" t="s">
        <v>478</v>
      </c>
      <c r="B219" s="172"/>
      <c r="C219" s="157"/>
      <c r="D219" s="157"/>
      <c r="E219" s="488"/>
      <c r="F219" s="488"/>
      <c r="G219" s="158">
        <f t="shared" ref="G219" si="31">SUM(B219:D219)</f>
        <v>0</v>
      </c>
    </row>
    <row r="220" spans="1:7" x14ac:dyDescent="0.25">
      <c r="A220" s="159" t="s">
        <v>479</v>
      </c>
      <c r="B220" s="160"/>
      <c r="C220" s="161">
        <v>8700</v>
      </c>
      <c r="D220" s="161">
        <v>39078376</v>
      </c>
      <c r="E220" s="488">
        <v>37118925</v>
      </c>
      <c r="F220" s="488"/>
      <c r="G220" s="158">
        <f>SUM(B220:F220)</f>
        <v>76206001</v>
      </c>
    </row>
    <row r="221" spans="1:7" x14ac:dyDescent="0.25">
      <c r="A221" s="159" t="s">
        <v>683</v>
      </c>
      <c r="B221" s="160">
        <v>285750</v>
      </c>
      <c r="C221" s="161">
        <v>6985000</v>
      </c>
      <c r="D221" s="161">
        <v>0</v>
      </c>
      <c r="E221" s="488">
        <v>46762968</v>
      </c>
      <c r="F221" s="488"/>
      <c r="G221" s="158">
        <f t="shared" ref="G221:G225" si="32">SUM(B221:F221)</f>
        <v>54033718</v>
      </c>
    </row>
    <row r="222" spans="1:7" x14ac:dyDescent="0.25">
      <c r="A222" s="159" t="s">
        <v>39</v>
      </c>
      <c r="B222" s="160"/>
      <c r="C222" s="161"/>
      <c r="D222" s="161">
        <v>175197495</v>
      </c>
      <c r="E222" s="488">
        <v>2202505</v>
      </c>
      <c r="F222" s="488"/>
      <c r="G222" s="158">
        <f t="shared" si="32"/>
        <v>177400000</v>
      </c>
    </row>
    <row r="223" spans="1:7" x14ac:dyDescent="0.25">
      <c r="A223" s="159" t="s">
        <v>480</v>
      </c>
      <c r="B223" s="160"/>
      <c r="C223" s="161"/>
      <c r="D223" s="161"/>
      <c r="E223" s="488"/>
      <c r="F223" s="488"/>
      <c r="G223" s="158">
        <f t="shared" si="32"/>
        <v>0</v>
      </c>
    </row>
    <row r="224" spans="1:7" x14ac:dyDescent="0.25">
      <c r="A224" s="159"/>
      <c r="B224" s="160"/>
      <c r="C224" s="161"/>
      <c r="D224" s="161"/>
      <c r="E224" s="488"/>
      <c r="F224" s="488"/>
      <c r="G224" s="158">
        <f t="shared" si="32"/>
        <v>0</v>
      </c>
    </row>
    <row r="225" spans="1:9" ht="15.75" thickBot="1" x14ac:dyDescent="0.3">
      <c r="A225" s="162"/>
      <c r="B225" s="163"/>
      <c r="C225" s="164"/>
      <c r="D225" s="164"/>
      <c r="E225" s="489"/>
      <c r="F225" s="489"/>
      <c r="G225" s="158">
        <f t="shared" si="32"/>
        <v>0</v>
      </c>
    </row>
    <row r="226" spans="1:9" ht="15.75" thickBot="1" x14ac:dyDescent="0.3">
      <c r="A226" s="165" t="s">
        <v>18</v>
      </c>
      <c r="B226" s="166">
        <f t="shared" ref="B226:G226" si="33">SUM(B219:B225)</f>
        <v>285750</v>
      </c>
      <c r="C226" s="166">
        <f t="shared" si="33"/>
        <v>6993700</v>
      </c>
      <c r="D226" s="166">
        <f t="shared" si="33"/>
        <v>214275871</v>
      </c>
      <c r="E226" s="166">
        <f>SUM(E219:E225)</f>
        <v>86084398</v>
      </c>
      <c r="F226" s="166">
        <f t="shared" si="33"/>
        <v>0</v>
      </c>
      <c r="G226" s="166">
        <f t="shared" si="33"/>
        <v>307639719</v>
      </c>
    </row>
    <row r="227" spans="1:9" x14ac:dyDescent="0.25">
      <c r="A227" s="490"/>
      <c r="B227" s="490"/>
      <c r="C227" s="490"/>
      <c r="D227" s="490"/>
      <c r="E227" s="490"/>
      <c r="F227" s="490"/>
      <c r="G227" s="490"/>
      <c r="I227" s="148"/>
    </row>
    <row r="228" spans="1:9" ht="15" customHeight="1" x14ac:dyDescent="0.25">
      <c r="A228" s="490"/>
      <c r="B228" s="490"/>
      <c r="C228" s="490"/>
      <c r="D228" s="490"/>
      <c r="E228" s="490"/>
      <c r="F228" s="490"/>
      <c r="G228" s="493"/>
    </row>
    <row r="229" spans="1:9" ht="15" customHeight="1" x14ac:dyDescent="0.25">
      <c r="A229" s="149" t="s">
        <v>468</v>
      </c>
      <c r="B229" s="979" t="s">
        <v>496</v>
      </c>
      <c r="C229" s="979"/>
      <c r="D229" s="979"/>
      <c r="E229" s="979"/>
      <c r="F229" s="979"/>
      <c r="G229" s="979"/>
    </row>
    <row r="230" spans="1:9" x14ac:dyDescent="0.25">
      <c r="A230" s="149"/>
      <c r="B230" s="980" t="s">
        <v>497</v>
      </c>
      <c r="C230" s="980"/>
      <c r="D230" s="980"/>
      <c r="E230" s="980"/>
      <c r="F230" s="980"/>
      <c r="G230" s="980"/>
    </row>
    <row r="231" spans="1:9" ht="15.75" thickBot="1" x14ac:dyDescent="0.3">
      <c r="A231" s="150"/>
      <c r="B231" s="978"/>
      <c r="C231" s="978"/>
      <c r="D231" s="150"/>
      <c r="E231" s="150"/>
      <c r="F231" s="150"/>
      <c r="G231" s="151" t="s">
        <v>392</v>
      </c>
    </row>
    <row r="232" spans="1:9" ht="15.75" thickBot="1" x14ac:dyDescent="0.3">
      <c r="A232" s="152" t="s">
        <v>469</v>
      </c>
      <c r="B232" s="153">
        <v>2017</v>
      </c>
      <c r="C232" s="153">
        <v>2018</v>
      </c>
      <c r="D232" s="153">
        <v>2019</v>
      </c>
      <c r="E232" s="494">
        <v>2020</v>
      </c>
      <c r="F232" s="494">
        <v>2021</v>
      </c>
      <c r="G232" s="154" t="s">
        <v>18</v>
      </c>
    </row>
    <row r="233" spans="1:9" x14ac:dyDescent="0.25">
      <c r="A233" s="155" t="s">
        <v>470</v>
      </c>
      <c r="B233" s="156"/>
      <c r="C233" s="157"/>
      <c r="D233" s="157"/>
      <c r="E233" s="488"/>
      <c r="F233" s="488"/>
      <c r="G233" s="158">
        <f t="shared" ref="G233:G238" si="34">SUM(B233:D233)</f>
        <v>0</v>
      </c>
    </row>
    <row r="234" spans="1:9" x14ac:dyDescent="0.25">
      <c r="A234" s="159" t="s">
        <v>471</v>
      </c>
      <c r="B234" s="160"/>
      <c r="C234" s="161"/>
      <c r="D234" s="161"/>
      <c r="E234" s="488"/>
      <c r="F234" s="488"/>
      <c r="G234" s="158">
        <f t="shared" si="34"/>
        <v>0</v>
      </c>
    </row>
    <row r="235" spans="1:9" x14ac:dyDescent="0.25">
      <c r="A235" s="159" t="s">
        <v>472</v>
      </c>
      <c r="B235" s="160"/>
      <c r="C235" s="161">
        <v>98943947</v>
      </c>
      <c r="D235" s="161"/>
      <c r="E235" s="488"/>
      <c r="F235" s="488"/>
      <c r="G235" s="158">
        <f>SUM(B235:F235)</f>
        <v>98943947</v>
      </c>
    </row>
    <row r="236" spans="1:9" x14ac:dyDescent="0.25">
      <c r="A236" s="159" t="s">
        <v>473</v>
      </c>
      <c r="B236" s="160"/>
      <c r="C236" s="161"/>
      <c r="D236" s="161"/>
      <c r="E236" s="488"/>
      <c r="F236" s="488"/>
      <c r="G236" s="158">
        <f t="shared" si="34"/>
        <v>0</v>
      </c>
    </row>
    <row r="237" spans="1:9" x14ac:dyDescent="0.25">
      <c r="A237" s="159" t="s">
        <v>474</v>
      </c>
      <c r="B237" s="160"/>
      <c r="C237" s="161"/>
      <c r="D237" s="161"/>
      <c r="E237" s="488"/>
      <c r="F237" s="488"/>
      <c r="G237" s="158">
        <f t="shared" si="34"/>
        <v>0</v>
      </c>
    </row>
    <row r="238" spans="1:9" x14ac:dyDescent="0.25">
      <c r="A238" s="159" t="s">
        <v>475</v>
      </c>
      <c r="B238" s="160"/>
      <c r="C238" s="161"/>
      <c r="D238" s="161"/>
      <c r="E238" s="488"/>
      <c r="F238" s="488"/>
      <c r="G238" s="158">
        <f t="shared" si="34"/>
        <v>0</v>
      </c>
    </row>
    <row r="239" spans="1:9" ht="15.75" thickBot="1" x14ac:dyDescent="0.3">
      <c r="A239" s="162"/>
      <c r="B239" s="163"/>
      <c r="C239" s="164"/>
      <c r="D239" s="164"/>
      <c r="E239" s="489"/>
      <c r="F239" s="489"/>
      <c r="G239" s="158"/>
    </row>
    <row r="240" spans="1:9" ht="15.75" thickBot="1" x14ac:dyDescent="0.3">
      <c r="A240" s="165" t="s">
        <v>476</v>
      </c>
      <c r="B240" s="166">
        <f t="shared" ref="B240:G240" si="35">SUM(B233:B239)</f>
        <v>0</v>
      </c>
      <c r="C240" s="166">
        <f t="shared" si="35"/>
        <v>98943947</v>
      </c>
      <c r="D240" s="166">
        <f t="shared" si="35"/>
        <v>0</v>
      </c>
      <c r="E240" s="166">
        <f t="shared" si="35"/>
        <v>0</v>
      </c>
      <c r="F240" s="166">
        <f t="shared" si="35"/>
        <v>0</v>
      </c>
      <c r="G240" s="166">
        <f t="shared" si="35"/>
        <v>98943947</v>
      </c>
    </row>
    <row r="241" spans="1:9" ht="15.75" thickBot="1" x14ac:dyDescent="0.3">
      <c r="A241" s="168"/>
      <c r="B241" s="173"/>
      <c r="C241" s="173"/>
      <c r="D241" s="173"/>
      <c r="E241" s="173"/>
      <c r="F241" s="173"/>
      <c r="G241" s="169"/>
    </row>
    <row r="242" spans="1:9" ht="15.75" thickBot="1" x14ac:dyDescent="0.3">
      <c r="A242" s="152" t="s">
        <v>477</v>
      </c>
      <c r="B242" s="170">
        <v>2017</v>
      </c>
      <c r="C242" s="170">
        <v>2018</v>
      </c>
      <c r="D242" s="170">
        <v>2019</v>
      </c>
      <c r="E242" s="487">
        <v>2020</v>
      </c>
      <c r="F242" s="487">
        <v>2021</v>
      </c>
      <c r="G242" s="171" t="s">
        <v>18</v>
      </c>
    </row>
    <row r="243" spans="1:9" x14ac:dyDescent="0.25">
      <c r="A243" s="155" t="s">
        <v>478</v>
      </c>
      <c r="B243" s="172"/>
      <c r="C243" s="157"/>
      <c r="D243" s="157"/>
      <c r="E243" s="488"/>
      <c r="F243" s="488"/>
      <c r="G243" s="158">
        <f t="shared" ref="G243" si="36">SUM(B243:D243)</f>
        <v>0</v>
      </c>
    </row>
    <row r="244" spans="1:9" x14ac:dyDescent="0.25">
      <c r="A244" s="159" t="s">
        <v>479</v>
      </c>
      <c r="B244" s="160"/>
      <c r="C244" s="161"/>
      <c r="D244" s="161">
        <v>7270</v>
      </c>
      <c r="E244" s="488">
        <f>992730+1890960</f>
        <v>2883690</v>
      </c>
      <c r="F244" s="488"/>
      <c r="G244" s="158">
        <f>SUM(B244:F244)</f>
        <v>2890960</v>
      </c>
    </row>
    <row r="245" spans="1:9" x14ac:dyDescent="0.25">
      <c r="A245" s="159" t="s">
        <v>683</v>
      </c>
      <c r="B245" s="160">
        <v>0</v>
      </c>
      <c r="C245" s="161"/>
      <c r="D245" s="161">
        <v>43890258</v>
      </c>
      <c r="E245" s="488"/>
      <c r="F245" s="488"/>
      <c r="G245" s="158">
        <f t="shared" ref="G245:G249" si="37">SUM(B245:F245)</f>
        <v>43890258</v>
      </c>
    </row>
    <row r="246" spans="1:9" x14ac:dyDescent="0.25">
      <c r="A246" s="159" t="s">
        <v>39</v>
      </c>
      <c r="B246" s="160">
        <v>590200</v>
      </c>
      <c r="C246" s="161">
        <v>51572529</v>
      </c>
      <c r="D246" s="161"/>
      <c r="E246" s="488"/>
      <c r="F246" s="488"/>
      <c r="G246" s="158">
        <f t="shared" si="37"/>
        <v>52162729</v>
      </c>
    </row>
    <row r="247" spans="1:9" x14ac:dyDescent="0.25">
      <c r="A247" s="159" t="s">
        <v>480</v>
      </c>
      <c r="B247" s="160"/>
      <c r="C247" s="161"/>
      <c r="D247" s="161"/>
      <c r="E247" s="488"/>
      <c r="F247" s="488"/>
      <c r="G247" s="158">
        <f t="shared" si="37"/>
        <v>0</v>
      </c>
    </row>
    <row r="248" spans="1:9" x14ac:dyDescent="0.25">
      <c r="A248" s="159"/>
      <c r="B248" s="160"/>
      <c r="C248" s="161"/>
      <c r="D248" s="161"/>
      <c r="E248" s="488"/>
      <c r="F248" s="488"/>
      <c r="G248" s="158">
        <f t="shared" si="37"/>
        <v>0</v>
      </c>
    </row>
    <row r="249" spans="1:9" ht="15.75" thickBot="1" x14ac:dyDescent="0.3">
      <c r="A249" s="162"/>
      <c r="B249" s="163"/>
      <c r="C249" s="164"/>
      <c r="D249" s="164"/>
      <c r="E249" s="489"/>
      <c r="F249" s="489"/>
      <c r="G249" s="158">
        <f t="shared" si="37"/>
        <v>0</v>
      </c>
    </row>
    <row r="250" spans="1:9" ht="15.75" thickBot="1" x14ac:dyDescent="0.3">
      <c r="A250" s="165" t="s">
        <v>18</v>
      </c>
      <c r="B250" s="166">
        <f t="shared" ref="B250:G250" si="38">SUM(B243:B249)</f>
        <v>590200</v>
      </c>
      <c r="C250" s="166">
        <f t="shared" si="38"/>
        <v>51572529</v>
      </c>
      <c r="D250" s="166">
        <f t="shared" si="38"/>
        <v>43897528</v>
      </c>
      <c r="E250" s="166">
        <f t="shared" si="38"/>
        <v>2883690</v>
      </c>
      <c r="F250" s="166">
        <f t="shared" si="38"/>
        <v>0</v>
      </c>
      <c r="G250" s="166">
        <f t="shared" si="38"/>
        <v>98943947</v>
      </c>
      <c r="I250" s="148"/>
    </row>
    <row r="251" spans="1:9" x14ac:dyDescent="0.25">
      <c r="A251" s="490"/>
      <c r="B251" s="490"/>
      <c r="C251" s="490"/>
      <c r="D251" s="490"/>
      <c r="E251" s="490"/>
      <c r="F251" s="490"/>
      <c r="G251" s="490"/>
    </row>
    <row r="252" spans="1:9" ht="15" customHeight="1" x14ac:dyDescent="0.25">
      <c r="A252" s="490"/>
      <c r="B252" s="490"/>
      <c r="C252" s="491"/>
      <c r="D252" s="490"/>
      <c r="E252" s="490"/>
      <c r="F252" s="490"/>
      <c r="G252" s="490"/>
    </row>
    <row r="253" spans="1:9" ht="15" customHeight="1" x14ac:dyDescent="0.25">
      <c r="A253" s="149" t="s">
        <v>468</v>
      </c>
      <c r="B253" s="979" t="s">
        <v>686</v>
      </c>
      <c r="C253" s="979"/>
      <c r="D253" s="979"/>
      <c r="E253" s="979"/>
      <c r="F253" s="979"/>
      <c r="G253" s="979"/>
    </row>
    <row r="254" spans="1:9" x14ac:dyDescent="0.25">
      <c r="A254" s="150"/>
      <c r="B254" s="980" t="s">
        <v>687</v>
      </c>
      <c r="C254" s="980"/>
      <c r="D254" s="980"/>
      <c r="E254" s="980"/>
      <c r="F254" s="980"/>
      <c r="G254" s="980"/>
    </row>
    <row r="255" spans="1:9" ht="15.75" thickBot="1" x14ac:dyDescent="0.3">
      <c r="A255" s="150"/>
      <c r="B255" s="978"/>
      <c r="C255" s="978"/>
      <c r="D255" s="150"/>
      <c r="E255" s="150"/>
      <c r="F255" s="150"/>
      <c r="G255" s="151" t="s">
        <v>392</v>
      </c>
    </row>
    <row r="256" spans="1:9" ht="15.75" thickBot="1" x14ac:dyDescent="0.3">
      <c r="A256" s="152" t="s">
        <v>469</v>
      </c>
      <c r="B256" s="153">
        <v>2017</v>
      </c>
      <c r="C256" s="153">
        <v>2018</v>
      </c>
      <c r="D256" s="153">
        <v>2019</v>
      </c>
      <c r="E256" s="494">
        <v>2020</v>
      </c>
      <c r="F256" s="494">
        <v>2021</v>
      </c>
      <c r="G256" s="154" t="s">
        <v>18</v>
      </c>
    </row>
    <row r="257" spans="1:7" x14ac:dyDescent="0.25">
      <c r="A257" s="155" t="s">
        <v>470</v>
      </c>
      <c r="B257" s="156"/>
      <c r="C257" s="157"/>
      <c r="D257" s="157"/>
      <c r="E257" s="488"/>
      <c r="F257" s="488"/>
      <c r="G257" s="158">
        <f t="shared" ref="G257:G263" si="39">SUM(B257:F257)</f>
        <v>0</v>
      </c>
    </row>
    <row r="258" spans="1:7" x14ac:dyDescent="0.25">
      <c r="A258" s="159" t="s">
        <v>471</v>
      </c>
      <c r="B258" s="160"/>
      <c r="C258" s="161"/>
      <c r="D258" s="161"/>
      <c r="E258" s="488"/>
      <c r="F258" s="488"/>
      <c r="G258" s="158">
        <f t="shared" si="39"/>
        <v>0</v>
      </c>
    </row>
    <row r="259" spans="1:7" x14ac:dyDescent="0.25">
      <c r="A259" s="159" t="s">
        <v>472</v>
      </c>
      <c r="B259" s="160"/>
      <c r="C259" s="161">
        <v>20240289</v>
      </c>
      <c r="D259" s="161">
        <v>15872698</v>
      </c>
      <c r="E259" s="488">
        <v>32657849</v>
      </c>
      <c r="F259" s="488"/>
      <c r="G259" s="158">
        <f>SUM(B259:F259)</f>
        <v>68770836</v>
      </c>
    </row>
    <row r="260" spans="1:7" x14ac:dyDescent="0.25">
      <c r="A260" s="159" t="s">
        <v>473</v>
      </c>
      <c r="B260" s="160"/>
      <c r="C260" s="161"/>
      <c r="D260" s="161"/>
      <c r="E260" s="488"/>
      <c r="F260" s="488"/>
      <c r="G260" s="158">
        <f t="shared" si="39"/>
        <v>0</v>
      </c>
    </row>
    <row r="261" spans="1:7" x14ac:dyDescent="0.25">
      <c r="A261" s="159" t="s">
        <v>474</v>
      </c>
      <c r="B261" s="160"/>
      <c r="C261" s="161"/>
      <c r="D261" s="161"/>
      <c r="E261" s="488"/>
      <c r="F261" s="488"/>
      <c r="G261" s="158">
        <f t="shared" si="39"/>
        <v>0</v>
      </c>
    </row>
    <row r="262" spans="1:7" x14ac:dyDescent="0.25">
      <c r="A262" s="159" t="s">
        <v>475</v>
      </c>
      <c r="B262" s="160"/>
      <c r="C262" s="161"/>
      <c r="D262" s="161"/>
      <c r="E262" s="488"/>
      <c r="F262" s="488"/>
      <c r="G262" s="158">
        <f t="shared" si="39"/>
        <v>0</v>
      </c>
    </row>
    <row r="263" spans="1:7" ht="15.75" thickBot="1" x14ac:dyDescent="0.3">
      <c r="A263" s="162"/>
      <c r="B263" s="163"/>
      <c r="C263" s="164"/>
      <c r="D263" s="164"/>
      <c r="E263" s="489"/>
      <c r="F263" s="489"/>
      <c r="G263" s="158">
        <f t="shared" si="39"/>
        <v>0</v>
      </c>
    </row>
    <row r="264" spans="1:7" ht="15.75" thickBot="1" x14ac:dyDescent="0.3">
      <c r="A264" s="165" t="s">
        <v>476</v>
      </c>
      <c r="B264" s="166">
        <f t="shared" ref="B264:G264" si="40">SUM(B257:B263)</f>
        <v>0</v>
      </c>
      <c r="C264" s="166">
        <f t="shared" si="40"/>
        <v>20240289</v>
      </c>
      <c r="D264" s="166">
        <f t="shared" si="40"/>
        <v>15872698</v>
      </c>
      <c r="E264" s="166">
        <f t="shared" si="40"/>
        <v>32657849</v>
      </c>
      <c r="F264" s="166">
        <f t="shared" si="40"/>
        <v>0</v>
      </c>
      <c r="G264" s="166">
        <f t="shared" si="40"/>
        <v>68770836</v>
      </c>
    </row>
    <row r="265" spans="1:7" ht="15.75" thickBot="1" x14ac:dyDescent="0.3">
      <c r="A265" s="168"/>
      <c r="B265" s="173"/>
      <c r="C265" s="173"/>
      <c r="D265" s="173"/>
      <c r="E265" s="173"/>
      <c r="F265" s="173"/>
      <c r="G265" s="169"/>
    </row>
    <row r="266" spans="1:7" ht="15.75" thickBot="1" x14ac:dyDescent="0.3">
      <c r="A266" s="152" t="s">
        <v>477</v>
      </c>
      <c r="B266" s="170">
        <v>2017</v>
      </c>
      <c r="C266" s="170">
        <v>2018</v>
      </c>
      <c r="D266" s="170">
        <v>2019</v>
      </c>
      <c r="E266" s="487">
        <v>2020</v>
      </c>
      <c r="F266" s="487">
        <v>2021</v>
      </c>
      <c r="G266" s="171" t="s">
        <v>18</v>
      </c>
    </row>
    <row r="267" spans="1:7" x14ac:dyDescent="0.25">
      <c r="A267" s="155" t="s">
        <v>478</v>
      </c>
      <c r="B267" s="172"/>
      <c r="C267" s="157">
        <v>2233838</v>
      </c>
      <c r="D267" s="157">
        <v>15820803</v>
      </c>
      <c r="E267" s="488">
        <v>7752394</v>
      </c>
      <c r="F267" s="488"/>
      <c r="G267" s="158">
        <f>SUM(B267:F267)</f>
        <v>25807035</v>
      </c>
    </row>
    <row r="268" spans="1:7" x14ac:dyDescent="0.25">
      <c r="A268" s="159" t="s">
        <v>479</v>
      </c>
      <c r="B268" s="160">
        <v>800000</v>
      </c>
      <c r="C268" s="161">
        <v>802245</v>
      </c>
      <c r="D268" s="161">
        <v>9539248</v>
      </c>
      <c r="E268" s="488">
        <f>15212666+7092628+2340629</f>
        <v>24645923</v>
      </c>
      <c r="F268" s="488"/>
      <c r="G268" s="158">
        <f t="shared" ref="G268:G273" si="41">SUM(B268:F268)</f>
        <v>35787416</v>
      </c>
    </row>
    <row r="269" spans="1:7" x14ac:dyDescent="0.25">
      <c r="A269" s="159" t="s">
        <v>683</v>
      </c>
      <c r="B269" s="160"/>
      <c r="C269" s="161"/>
      <c r="D269" s="161">
        <v>7176385</v>
      </c>
      <c r="E269" s="488"/>
      <c r="F269" s="488"/>
      <c r="G269" s="158">
        <f t="shared" si="41"/>
        <v>7176385</v>
      </c>
    </row>
    <row r="270" spans="1:7" x14ac:dyDescent="0.25">
      <c r="A270" s="159" t="s">
        <v>39</v>
      </c>
      <c r="B270" s="160"/>
      <c r="C270" s="161"/>
      <c r="D270" s="161"/>
      <c r="E270" s="488"/>
      <c r="F270" s="488"/>
      <c r="G270" s="158">
        <f t="shared" si="41"/>
        <v>0</v>
      </c>
    </row>
    <row r="271" spans="1:7" x14ac:dyDescent="0.25">
      <c r="A271" s="159" t="s">
        <v>480</v>
      </c>
      <c r="B271" s="160"/>
      <c r="C271" s="161"/>
      <c r="D271" s="161"/>
      <c r="E271" s="488"/>
      <c r="F271" s="488"/>
      <c r="G271" s="158">
        <f t="shared" si="41"/>
        <v>0</v>
      </c>
    </row>
    <row r="272" spans="1:7" x14ac:dyDescent="0.25">
      <c r="A272" s="159"/>
      <c r="B272" s="160"/>
      <c r="C272" s="161"/>
      <c r="D272" s="161"/>
      <c r="E272" s="488"/>
      <c r="F272" s="488"/>
      <c r="G272" s="158">
        <f t="shared" si="41"/>
        <v>0</v>
      </c>
    </row>
    <row r="273" spans="1:9" ht="15.75" thickBot="1" x14ac:dyDescent="0.3">
      <c r="A273" s="162"/>
      <c r="B273" s="163"/>
      <c r="C273" s="164"/>
      <c r="D273" s="164"/>
      <c r="E273" s="489"/>
      <c r="F273" s="489"/>
      <c r="G273" s="158">
        <f t="shared" si="41"/>
        <v>0</v>
      </c>
    </row>
    <row r="274" spans="1:9" ht="15.75" thickBot="1" x14ac:dyDescent="0.3">
      <c r="A274" s="165" t="s">
        <v>18</v>
      </c>
      <c r="B274" s="166">
        <f t="shared" ref="B274:G274" si="42">SUM(B267:B273)</f>
        <v>800000</v>
      </c>
      <c r="C274" s="166">
        <f t="shared" si="42"/>
        <v>3036083</v>
      </c>
      <c r="D274" s="166">
        <f t="shared" si="42"/>
        <v>32536436</v>
      </c>
      <c r="E274" s="166">
        <f t="shared" si="42"/>
        <v>32398317</v>
      </c>
      <c r="F274" s="166">
        <f t="shared" si="42"/>
        <v>0</v>
      </c>
      <c r="G274" s="166">
        <f t="shared" si="42"/>
        <v>68770836</v>
      </c>
      <c r="I274" s="148"/>
    </row>
    <row r="275" spans="1:9" x14ac:dyDescent="0.25">
      <c r="A275" s="490"/>
      <c r="B275" s="490"/>
      <c r="C275" s="490"/>
      <c r="D275" s="490"/>
      <c r="E275" s="490"/>
      <c r="F275" s="490"/>
      <c r="G275" s="490"/>
    </row>
    <row r="276" spans="1:9" ht="15" customHeight="1" x14ac:dyDescent="0.25">
      <c r="A276" s="490"/>
      <c r="B276" s="490"/>
      <c r="C276" s="490"/>
      <c r="D276" s="490"/>
      <c r="E276" s="490"/>
      <c r="F276" s="490"/>
      <c r="G276" s="490"/>
    </row>
    <row r="277" spans="1:9" ht="15" customHeight="1" x14ac:dyDescent="0.25"/>
    <row r="299" spans="1:12" x14ac:dyDescent="0.25">
      <c r="A299" s="490"/>
      <c r="B299" s="490"/>
      <c r="C299" s="490"/>
      <c r="D299" s="490"/>
      <c r="E299" s="490"/>
      <c r="F299" s="490"/>
      <c r="G299" s="490"/>
      <c r="H299" s="148"/>
      <c r="I299" s="148"/>
      <c r="J299" s="148"/>
      <c r="K299" s="148"/>
      <c r="L299" s="148"/>
    </row>
    <row r="300" spans="1:12" ht="15" customHeight="1" x14ac:dyDescent="0.25">
      <c r="H300" s="148"/>
      <c r="I300" s="148"/>
      <c r="J300" s="148"/>
      <c r="K300" s="148"/>
      <c r="L300" s="148"/>
    </row>
    <row r="301" spans="1:12" ht="15" customHeight="1" x14ac:dyDescent="0.25">
      <c r="H301" s="148"/>
      <c r="I301" s="148"/>
      <c r="J301" s="148"/>
      <c r="K301" s="148"/>
      <c r="L301" s="148"/>
    </row>
    <row r="302" spans="1:12" x14ac:dyDescent="0.25">
      <c r="H302" s="148"/>
      <c r="I302" s="148"/>
      <c r="J302" s="148"/>
      <c r="K302" s="148"/>
      <c r="L302" s="148"/>
    </row>
    <row r="303" spans="1:12" x14ac:dyDescent="0.25">
      <c r="H303" s="148"/>
      <c r="I303" s="148"/>
      <c r="J303" s="148"/>
      <c r="K303" s="148"/>
      <c r="L303" s="148"/>
    </row>
    <row r="304" spans="1:12" x14ac:dyDescent="0.25">
      <c r="H304" s="148"/>
      <c r="I304" s="148"/>
      <c r="J304" s="148"/>
      <c r="K304" s="148"/>
      <c r="L304" s="148"/>
    </row>
    <row r="305" spans="8:12" x14ac:dyDescent="0.25">
      <c r="H305" s="148"/>
      <c r="I305" s="148"/>
      <c r="J305" s="148"/>
      <c r="K305" s="148"/>
      <c r="L305" s="148"/>
    </row>
    <row r="306" spans="8:12" x14ac:dyDescent="0.25">
      <c r="H306" s="148"/>
      <c r="I306" s="148"/>
      <c r="J306" s="148"/>
      <c r="K306" s="148"/>
      <c r="L306" s="148"/>
    </row>
    <row r="307" spans="8:12" x14ac:dyDescent="0.25">
      <c r="H307" s="148"/>
      <c r="I307" s="148"/>
      <c r="J307" s="148"/>
      <c r="K307" s="148"/>
      <c r="L307" s="148"/>
    </row>
  </sheetData>
  <mergeCells count="34">
    <mergeCell ref="B155:G155"/>
    <mergeCell ref="B157:C157"/>
    <mergeCell ref="B156:G156"/>
    <mergeCell ref="B255:C255"/>
    <mergeCell ref="B253:G253"/>
    <mergeCell ref="B254:G254"/>
    <mergeCell ref="B207:C207"/>
    <mergeCell ref="B206:G206"/>
    <mergeCell ref="B229:G229"/>
    <mergeCell ref="B230:G230"/>
    <mergeCell ref="B183:C183"/>
    <mergeCell ref="B231:C231"/>
    <mergeCell ref="B181:G181"/>
    <mergeCell ref="B182:G182"/>
    <mergeCell ref="B205:G205"/>
    <mergeCell ref="A4:E4"/>
    <mergeCell ref="B11:C11"/>
    <mergeCell ref="B9:G9"/>
    <mergeCell ref="B10:G10"/>
    <mergeCell ref="B33:G33"/>
    <mergeCell ref="B34:G34"/>
    <mergeCell ref="B57:G57"/>
    <mergeCell ref="B58:G58"/>
    <mergeCell ref="B82:G82"/>
    <mergeCell ref="B83:G83"/>
    <mergeCell ref="B84:C84"/>
    <mergeCell ref="B133:C133"/>
    <mergeCell ref="B108:C108"/>
    <mergeCell ref="B35:C35"/>
    <mergeCell ref="B59:C59"/>
    <mergeCell ref="B106:G106"/>
    <mergeCell ref="B107:G107"/>
    <mergeCell ref="B131:G131"/>
    <mergeCell ref="B132:G132"/>
  </mergeCells>
  <pageMargins left="0.54" right="0.15748031496062992" top="0.3" bottom="0.26" header="0.24" footer="0.16"/>
  <pageSetup paperSize="9" scale="69" orientation="portrait" horizontalDpi="300" verticalDpi="300" r:id="rId1"/>
  <headerFooter>
    <oddFooter>&amp;R&amp;P</oddFooter>
  </headerFooter>
  <rowBreaks count="4" manualBreakCount="4">
    <brk id="78" max="6" man="1"/>
    <brk id="153" max="16383" man="1"/>
    <brk id="226" max="6" man="1"/>
    <brk id="29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Z191"/>
  <sheetViews>
    <sheetView zoomScale="80" zoomScaleNormal="80" workbookViewId="0">
      <pane xSplit="2" ySplit="8" topLeftCell="C9" activePane="bottomRight" state="frozen"/>
      <selection pane="topRight" activeCell="AA3" sqref="AA3:AB3"/>
      <selection pane="bottomLeft" activeCell="A5" sqref="A5"/>
      <selection pane="bottomRight" activeCell="BT139" sqref="BT139:BT140"/>
    </sheetView>
  </sheetViews>
  <sheetFormatPr defaultRowHeight="15" x14ac:dyDescent="0.25"/>
  <cols>
    <col min="1" max="1" width="5" style="147" customWidth="1"/>
    <col min="2" max="2" width="50.42578125" style="147" customWidth="1"/>
    <col min="3" max="6" width="14" style="147" customWidth="1"/>
    <col min="7" max="10" width="15.85546875" style="147" customWidth="1"/>
    <col min="11" max="14" width="15.140625" style="147" customWidth="1"/>
    <col min="15" max="16" width="13.42578125" style="147" customWidth="1"/>
    <col min="17" max="18" width="14.42578125" style="147" bestFit="1" customWidth="1"/>
    <col min="19" max="20" width="13.42578125" style="147" customWidth="1"/>
    <col min="21" max="22" width="14.42578125" style="147" bestFit="1" customWidth="1"/>
    <col min="23" max="26" width="15.5703125" style="147" customWidth="1"/>
    <col min="27" max="28" width="13.42578125" style="147" customWidth="1"/>
    <col min="29" max="30" width="14.42578125" style="147" bestFit="1" customWidth="1"/>
    <col min="31" max="32" width="13.42578125" style="147" hidden="1" customWidth="1"/>
    <col min="33" max="34" width="13.42578125" style="147" customWidth="1"/>
    <col min="35" max="36" width="14.42578125" style="147" bestFit="1" customWidth="1"/>
    <col min="37" max="38" width="13.42578125" style="147" customWidth="1"/>
    <col min="39" max="40" width="14.42578125" style="147" bestFit="1" customWidth="1"/>
    <col min="41" max="42" width="13.42578125" style="147" customWidth="1"/>
    <col min="43" max="44" width="15.28515625" style="147" customWidth="1"/>
    <col min="45" max="46" width="13.42578125" style="147" customWidth="1"/>
    <col min="47" max="48" width="14.85546875" style="147" customWidth="1"/>
    <col min="49" max="50" width="13.42578125" style="147" customWidth="1"/>
    <col min="51" max="52" width="15.28515625" style="147" customWidth="1"/>
    <col min="53" max="54" width="13.28515625" style="147" bestFit="1" customWidth="1"/>
    <col min="55" max="56" width="14.42578125" style="147" customWidth="1"/>
    <col min="57" max="58" width="12.7109375" style="147" customWidth="1"/>
    <col min="59" max="60" width="15" style="147" customWidth="1"/>
    <col min="61" max="62" width="12.7109375" style="147" customWidth="1"/>
    <col min="63" max="64" width="15.140625" style="147" customWidth="1"/>
    <col min="65" max="66" width="12.7109375" style="147" customWidth="1"/>
    <col min="67" max="68" width="15.140625" style="147" customWidth="1"/>
    <col min="69" max="69" width="14.85546875" style="147" bestFit="1" customWidth="1"/>
    <col min="70" max="70" width="15.42578125" style="147" customWidth="1"/>
    <col min="71" max="72" width="15.5703125" style="147" customWidth="1"/>
    <col min="73" max="73" width="15.140625" style="147" customWidth="1"/>
    <col min="74" max="77" width="9.140625" style="147"/>
    <col min="78" max="78" width="22" style="147" customWidth="1"/>
    <col min="79" max="16384" width="9.140625" style="147"/>
  </cols>
  <sheetData>
    <row r="1" spans="1:74" x14ac:dyDescent="0.25">
      <c r="C1" s="45"/>
      <c r="D1" s="45"/>
      <c r="E1" s="45" t="str">
        <f>'20 eus pályázatok'!F1</f>
        <v xml:space="preserve"> 12 / 2020. (VI.15) sz rendelet</v>
      </c>
      <c r="F1" s="45"/>
      <c r="G1" s="45"/>
      <c r="H1" s="45"/>
      <c r="I1" s="688"/>
      <c r="J1" s="707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</row>
    <row r="3" spans="1:74" x14ac:dyDescent="0.25">
      <c r="C3" s="692" t="s">
        <v>306</v>
      </c>
      <c r="D3" s="828" t="str">
        <f>'20 eus pályázatok'!F6</f>
        <v xml:space="preserve"> melléklet az 12/2020. (VI.15.) rendelethez</v>
      </c>
      <c r="E3" s="687"/>
      <c r="F3" s="698"/>
      <c r="G3" s="687"/>
      <c r="H3" s="687"/>
      <c r="I3" s="687"/>
      <c r="J3" s="698"/>
    </row>
    <row r="6" spans="1:74" ht="15.75" thickBot="1" x14ac:dyDescent="0.3">
      <c r="A6" s="674"/>
      <c r="B6" s="674"/>
      <c r="C6" s="709"/>
      <c r="D6" s="990">
        <v>5003</v>
      </c>
      <c r="E6" s="990"/>
      <c r="F6" s="644"/>
      <c r="G6" s="710"/>
      <c r="H6" s="991">
        <v>5011</v>
      </c>
      <c r="I6" s="991"/>
      <c r="J6" s="644"/>
      <c r="K6" s="709"/>
      <c r="L6" s="990">
        <v>5012</v>
      </c>
      <c r="M6" s="990"/>
      <c r="N6" s="644"/>
      <c r="O6" s="709"/>
      <c r="P6" s="990">
        <v>5015</v>
      </c>
      <c r="Q6" s="990"/>
      <c r="R6" s="645"/>
      <c r="S6" s="709"/>
      <c r="T6" s="990">
        <v>5016</v>
      </c>
      <c r="U6" s="990"/>
      <c r="V6" s="644"/>
      <c r="W6" s="709"/>
      <c r="X6" s="990">
        <v>5017</v>
      </c>
      <c r="Y6" s="990"/>
      <c r="Z6" s="644"/>
      <c r="AA6" s="709"/>
      <c r="AB6" s="990">
        <v>5018</v>
      </c>
      <c r="AC6" s="990"/>
      <c r="AD6" s="644"/>
      <c r="AE6" s="990">
        <v>5020</v>
      </c>
      <c r="AF6" s="990"/>
      <c r="AG6" s="709"/>
      <c r="AH6" s="990">
        <v>5021</v>
      </c>
      <c r="AI6" s="990"/>
      <c r="AJ6" s="644"/>
      <c r="AK6" s="709"/>
      <c r="AL6" s="990">
        <v>5022</v>
      </c>
      <c r="AM6" s="990"/>
      <c r="AN6" s="644"/>
      <c r="AO6" s="709"/>
      <c r="AP6" s="990">
        <v>5023</v>
      </c>
      <c r="AQ6" s="990"/>
      <c r="AR6" s="645"/>
      <c r="AS6" s="709"/>
      <c r="AT6" s="990">
        <v>5024</v>
      </c>
      <c r="AU6" s="990"/>
      <c r="AV6" s="644"/>
      <c r="AW6" s="709"/>
      <c r="AX6" s="990">
        <v>5025</v>
      </c>
      <c r="AY6" s="990"/>
      <c r="AZ6" s="644"/>
      <c r="BA6" s="708"/>
      <c r="BB6" s="981" t="s">
        <v>568</v>
      </c>
      <c r="BC6" s="981"/>
      <c r="BD6" s="693"/>
      <c r="BE6" s="333"/>
      <c r="BF6" s="333"/>
      <c r="BG6" s="333"/>
      <c r="BH6" s="333"/>
      <c r="BI6" s="333"/>
      <c r="BJ6" s="333">
        <v>5035</v>
      </c>
      <c r="BK6" s="333"/>
      <c r="BL6" s="333"/>
      <c r="BM6" s="333"/>
      <c r="BN6" s="333"/>
      <c r="BO6" s="333"/>
      <c r="BP6" s="333"/>
      <c r="BQ6" s="333"/>
      <c r="BR6" s="333"/>
      <c r="BS6" s="333"/>
      <c r="BT6" s="333"/>
    </row>
    <row r="7" spans="1:74" ht="74.25" customHeight="1" thickBot="1" x14ac:dyDescent="0.3">
      <c r="C7" s="992" t="s">
        <v>849</v>
      </c>
      <c r="D7" s="993"/>
      <c r="E7" s="993"/>
      <c r="F7" s="994"/>
      <c r="G7" s="992" t="s">
        <v>850</v>
      </c>
      <c r="H7" s="993"/>
      <c r="I7" s="993"/>
      <c r="J7" s="994"/>
      <c r="K7" s="986" t="s">
        <v>621</v>
      </c>
      <c r="L7" s="983"/>
      <c r="M7" s="983"/>
      <c r="N7" s="985"/>
      <c r="O7" s="992" t="s">
        <v>851</v>
      </c>
      <c r="P7" s="993"/>
      <c r="Q7" s="993"/>
      <c r="R7" s="995"/>
      <c r="S7" s="996" t="s">
        <v>852</v>
      </c>
      <c r="T7" s="993"/>
      <c r="U7" s="993"/>
      <c r="V7" s="995"/>
      <c r="W7" s="996" t="s">
        <v>853</v>
      </c>
      <c r="X7" s="993"/>
      <c r="Y7" s="993"/>
      <c r="Z7" s="995"/>
      <c r="AA7" s="997" t="s">
        <v>854</v>
      </c>
      <c r="AB7" s="998"/>
      <c r="AC7" s="998"/>
      <c r="AD7" s="999"/>
      <c r="AE7" s="1003" t="s">
        <v>622</v>
      </c>
      <c r="AF7" s="1004"/>
      <c r="AG7" s="1000" t="s">
        <v>498</v>
      </c>
      <c r="AH7" s="1001"/>
      <c r="AI7" s="1001"/>
      <c r="AJ7" s="1002"/>
      <c r="AK7" s="996" t="s">
        <v>855</v>
      </c>
      <c r="AL7" s="993"/>
      <c r="AM7" s="993"/>
      <c r="AN7" s="995"/>
      <c r="AO7" s="997" t="s">
        <v>856</v>
      </c>
      <c r="AP7" s="998"/>
      <c r="AQ7" s="998"/>
      <c r="AR7" s="999"/>
      <c r="AS7" s="997" t="s">
        <v>857</v>
      </c>
      <c r="AT7" s="998"/>
      <c r="AU7" s="998"/>
      <c r="AV7" s="999"/>
      <c r="AW7" s="996" t="s">
        <v>858</v>
      </c>
      <c r="AX7" s="993"/>
      <c r="AY7" s="993"/>
      <c r="AZ7" s="995"/>
      <c r="BA7" s="982" t="s">
        <v>619</v>
      </c>
      <c r="BB7" s="983"/>
      <c r="BC7" s="983"/>
      <c r="BD7" s="984"/>
      <c r="BE7" s="982" t="s">
        <v>625</v>
      </c>
      <c r="BF7" s="983"/>
      <c r="BG7" s="983"/>
      <c r="BH7" s="984"/>
      <c r="BI7" s="982" t="s">
        <v>830</v>
      </c>
      <c r="BJ7" s="983"/>
      <c r="BK7" s="983"/>
      <c r="BL7" s="985"/>
      <c r="BM7" s="986" t="s">
        <v>859</v>
      </c>
      <c r="BN7" s="983"/>
      <c r="BO7" s="983"/>
      <c r="BP7" s="985"/>
      <c r="BQ7" s="987" t="s">
        <v>410</v>
      </c>
      <c r="BR7" s="988"/>
      <c r="BS7" s="988"/>
      <c r="BT7" s="989"/>
    </row>
    <row r="8" spans="1:74" ht="74.25" customHeight="1" thickBot="1" x14ac:dyDescent="0.3">
      <c r="A8" s="181" t="s">
        <v>42</v>
      </c>
      <c r="B8" s="686" t="s">
        <v>23</v>
      </c>
      <c r="C8" s="711" t="s">
        <v>620</v>
      </c>
      <c r="D8" s="711" t="s">
        <v>822</v>
      </c>
      <c r="E8" s="712" t="s">
        <v>848</v>
      </c>
      <c r="F8" s="711" t="s">
        <v>909</v>
      </c>
      <c r="G8" s="711" t="s">
        <v>620</v>
      </c>
      <c r="H8" s="711" t="s">
        <v>822</v>
      </c>
      <c r="I8" s="711" t="s">
        <v>848</v>
      </c>
      <c r="J8" s="711" t="s">
        <v>909</v>
      </c>
      <c r="K8" s="711" t="s">
        <v>620</v>
      </c>
      <c r="L8" s="711" t="s">
        <v>822</v>
      </c>
      <c r="M8" s="711" t="s">
        <v>848</v>
      </c>
      <c r="N8" s="711" t="s">
        <v>909</v>
      </c>
      <c r="O8" s="711" t="s">
        <v>620</v>
      </c>
      <c r="P8" s="711" t="s">
        <v>822</v>
      </c>
      <c r="Q8" s="711" t="s">
        <v>848</v>
      </c>
      <c r="R8" s="711" t="s">
        <v>909</v>
      </c>
      <c r="S8" s="711" t="s">
        <v>620</v>
      </c>
      <c r="T8" s="711" t="s">
        <v>822</v>
      </c>
      <c r="U8" s="711" t="s">
        <v>848</v>
      </c>
      <c r="V8" s="711" t="s">
        <v>909</v>
      </c>
      <c r="W8" s="711" t="s">
        <v>620</v>
      </c>
      <c r="X8" s="711" t="s">
        <v>822</v>
      </c>
      <c r="Y8" s="711" t="s">
        <v>848</v>
      </c>
      <c r="Z8" s="711" t="s">
        <v>909</v>
      </c>
      <c r="AA8" s="711" t="s">
        <v>620</v>
      </c>
      <c r="AB8" s="711" t="s">
        <v>822</v>
      </c>
      <c r="AC8" s="711" t="s">
        <v>848</v>
      </c>
      <c r="AD8" s="711" t="s">
        <v>909</v>
      </c>
      <c r="AE8" s="711" t="s">
        <v>524</v>
      </c>
      <c r="AF8" s="711" t="s">
        <v>620</v>
      </c>
      <c r="AG8" s="711" t="s">
        <v>620</v>
      </c>
      <c r="AH8" s="711" t="s">
        <v>822</v>
      </c>
      <c r="AI8" s="711" t="s">
        <v>848</v>
      </c>
      <c r="AJ8" s="711" t="s">
        <v>909</v>
      </c>
      <c r="AK8" s="711" t="s">
        <v>620</v>
      </c>
      <c r="AL8" s="711" t="s">
        <v>822</v>
      </c>
      <c r="AM8" s="711" t="s">
        <v>848</v>
      </c>
      <c r="AN8" s="711" t="s">
        <v>909</v>
      </c>
      <c r="AO8" s="711" t="s">
        <v>620</v>
      </c>
      <c r="AP8" s="711" t="s">
        <v>822</v>
      </c>
      <c r="AQ8" s="711" t="s">
        <v>848</v>
      </c>
      <c r="AR8" s="711" t="s">
        <v>909</v>
      </c>
      <c r="AS8" s="711" t="s">
        <v>620</v>
      </c>
      <c r="AT8" s="711" t="s">
        <v>822</v>
      </c>
      <c r="AU8" s="711" t="s">
        <v>848</v>
      </c>
      <c r="AV8" s="711" t="s">
        <v>909</v>
      </c>
      <c r="AW8" s="711" t="s">
        <v>620</v>
      </c>
      <c r="AX8" s="711" t="s">
        <v>822</v>
      </c>
      <c r="AY8" s="711" t="s">
        <v>848</v>
      </c>
      <c r="AZ8" s="711" t="s">
        <v>909</v>
      </c>
      <c r="BA8" s="711" t="s">
        <v>620</v>
      </c>
      <c r="BB8" s="711" t="s">
        <v>822</v>
      </c>
      <c r="BC8" s="711" t="s">
        <v>848</v>
      </c>
      <c r="BD8" s="711" t="s">
        <v>909</v>
      </c>
      <c r="BE8" s="711" t="s">
        <v>620</v>
      </c>
      <c r="BF8" s="711" t="s">
        <v>822</v>
      </c>
      <c r="BG8" s="711" t="s">
        <v>848</v>
      </c>
      <c r="BH8" s="711" t="s">
        <v>909</v>
      </c>
      <c r="BI8" s="711" t="s">
        <v>620</v>
      </c>
      <c r="BJ8" s="711" t="s">
        <v>822</v>
      </c>
      <c r="BK8" s="711" t="s">
        <v>848</v>
      </c>
      <c r="BL8" s="711" t="s">
        <v>909</v>
      </c>
      <c r="BM8" s="711" t="s">
        <v>620</v>
      </c>
      <c r="BN8" s="711" t="s">
        <v>822</v>
      </c>
      <c r="BO8" s="711" t="s">
        <v>848</v>
      </c>
      <c r="BP8" s="711" t="s">
        <v>909</v>
      </c>
      <c r="BQ8" s="711" t="s">
        <v>620</v>
      </c>
      <c r="BR8" s="711" t="s">
        <v>822</v>
      </c>
      <c r="BS8" s="711" t="s">
        <v>848</v>
      </c>
      <c r="BT8" s="375" t="s">
        <v>909</v>
      </c>
    </row>
    <row r="9" spans="1:74" ht="15.75" thickBot="1" x14ac:dyDescent="0.3">
      <c r="A9" s="183" t="s">
        <v>43</v>
      </c>
      <c r="B9" s="198" t="s">
        <v>44</v>
      </c>
      <c r="C9" s="370">
        <f t="shared" ref="C9:G9" si="0">SUM(C10,C17,C18,C20,C21,C19)</f>
        <v>0</v>
      </c>
      <c r="D9" s="370"/>
      <c r="E9" s="370"/>
      <c r="F9" s="370"/>
      <c r="G9" s="335">
        <f t="shared" si="0"/>
        <v>89585930</v>
      </c>
      <c r="H9" s="335">
        <f t="shared" ref="H9" si="1">SUM(H10,H17,H18,H20,H21,H19)</f>
        <v>89585930</v>
      </c>
      <c r="I9" s="335">
        <f t="shared" ref="I9" si="2">SUM(I10,I17,I18,I20,I21,I19)</f>
        <v>88196179</v>
      </c>
      <c r="J9" s="335">
        <f t="shared" ref="J9" si="3">SUM(J10,J17,J18,J20,J21,J19)</f>
        <v>75339511</v>
      </c>
      <c r="K9" s="335">
        <f t="shared" ref="K9" si="4">SUM(K10,K17,K18,K20,K21,K19)</f>
        <v>0</v>
      </c>
      <c r="L9" s="335"/>
      <c r="M9" s="335"/>
      <c r="N9" s="335"/>
      <c r="O9" s="335">
        <f t="shared" ref="O9:P9" si="5">SUM(O10,O17,O18,O20,O21,O19)</f>
        <v>2343213</v>
      </c>
      <c r="P9" s="335">
        <f t="shared" si="5"/>
        <v>2343213</v>
      </c>
      <c r="Q9" s="335">
        <f t="shared" ref="Q9" si="6">SUM(Q10,Q17,Q18,Q20,Q21,Q19)</f>
        <v>2343213</v>
      </c>
      <c r="R9" s="335">
        <f t="shared" ref="R9" si="7">SUM(R10,R17,R18,R20,R21,R19)</f>
        <v>0</v>
      </c>
      <c r="S9" s="335">
        <f t="shared" ref="S9" si="8">SUM(S10,S17,S18,S20,S21,S19)</f>
        <v>0</v>
      </c>
      <c r="T9" s="335"/>
      <c r="U9" s="335"/>
      <c r="V9" s="335"/>
      <c r="W9" s="335">
        <f t="shared" ref="W9:X9" si="9">SUM(W10,W17,W18,W20,W21,W19)</f>
        <v>0</v>
      </c>
      <c r="X9" s="335">
        <f t="shared" si="9"/>
        <v>0</v>
      </c>
      <c r="Y9" s="335">
        <f t="shared" ref="Y9" si="10">SUM(Y10,Y17,Y18,Y20,Y21,Y19)</f>
        <v>0</v>
      </c>
      <c r="Z9" s="335">
        <f t="shared" ref="Z9" si="11">SUM(Z10,Z17,Z18,Z20,Z21,Z19)</f>
        <v>0</v>
      </c>
      <c r="AA9" s="335">
        <f t="shared" ref="AA9:AB9" si="12">SUM(AA10,AA17,AA18,AA20,AA21,AA19)</f>
        <v>0</v>
      </c>
      <c r="AB9" s="335">
        <f t="shared" si="12"/>
        <v>0</v>
      </c>
      <c r="AC9" s="335">
        <f t="shared" ref="AC9" si="13">SUM(AC10,AC17,AC18,AC20,AC21,AC19)</f>
        <v>0</v>
      </c>
      <c r="AD9" s="335">
        <f t="shared" ref="AD9" si="14">SUM(AD10,AD17,AD18,AD20,AD21,AD19)</f>
        <v>0</v>
      </c>
      <c r="AE9" s="335">
        <f t="shared" ref="AE9" si="15">SUM(AE10,AE17,AE18,AE20,AE21,AE19)</f>
        <v>0</v>
      </c>
      <c r="AF9" s="335">
        <f t="shared" ref="AF9" si="16">SUM(AF10,AF17,AF18,AF20,AF21,AF19)</f>
        <v>0</v>
      </c>
      <c r="AG9" s="335">
        <f t="shared" ref="AG9:AH9" si="17">SUM(AG10,AG17,AG18,AG20,AG21,AG19)</f>
        <v>0</v>
      </c>
      <c r="AH9" s="335">
        <f t="shared" si="17"/>
        <v>0</v>
      </c>
      <c r="AI9" s="335">
        <f t="shared" ref="AI9" si="18">SUM(AI10,AI17,AI18,AI20,AI21,AI19)</f>
        <v>0</v>
      </c>
      <c r="AJ9" s="335">
        <f t="shared" ref="AJ9" si="19">SUM(AJ10,AJ17,AJ18,AJ20,AJ21,AJ19)</f>
        <v>0</v>
      </c>
      <c r="AK9" s="335">
        <f t="shared" ref="AK9:AL9" si="20">SUM(AK10,AK17,AK18,AK20,AK21,AK19)</f>
        <v>15481673</v>
      </c>
      <c r="AL9" s="335">
        <f t="shared" si="20"/>
        <v>15481673</v>
      </c>
      <c r="AM9" s="335">
        <f t="shared" ref="AM9" si="21">SUM(AM10,AM17,AM18,AM20,AM21,AM19)</f>
        <v>15481673</v>
      </c>
      <c r="AN9" s="335">
        <f t="shared" ref="AN9" si="22">SUM(AN10,AN17,AN18,AN20,AN21,AN19)</f>
        <v>0</v>
      </c>
      <c r="AO9" s="335">
        <f t="shared" ref="AO9:AP9" si="23">SUM(AO10,AO17,AO18,AO20,AO21,AO19)</f>
        <v>26814466</v>
      </c>
      <c r="AP9" s="335">
        <f t="shared" si="23"/>
        <v>26814466</v>
      </c>
      <c r="AQ9" s="335">
        <f t="shared" ref="AQ9" si="24">SUM(AQ10,AQ17,AQ18,AQ20,AQ21,AQ19)</f>
        <v>26814466</v>
      </c>
      <c r="AR9" s="335">
        <f t="shared" ref="AR9" si="25">SUM(AR10,AR17,AR18,AR20,AR21,AR19)</f>
        <v>15872698</v>
      </c>
      <c r="AS9" s="335">
        <f t="shared" ref="AS9:AT9" si="26">SUM(AS10,AS17,AS18,AS20,AS21,AS19)</f>
        <v>50949927</v>
      </c>
      <c r="AT9" s="335">
        <f t="shared" si="26"/>
        <v>50949927</v>
      </c>
      <c r="AU9" s="335">
        <f t="shared" ref="AU9" si="27">SUM(AU10,AU17,AU18,AU20,AU21,AU19)</f>
        <v>50949927</v>
      </c>
      <c r="AV9" s="335">
        <f t="shared" ref="AV9" si="28">SUM(AV10,AV17,AV18,AV20,AV21,AV19)</f>
        <v>77522081</v>
      </c>
      <c r="AW9" s="335">
        <f t="shared" ref="AW9:AX9" si="29">SUM(AW10,AW17,AW18,AW20,AW21,AW19)</f>
        <v>32648778</v>
      </c>
      <c r="AX9" s="335">
        <f t="shared" si="29"/>
        <v>32648778</v>
      </c>
      <c r="AY9" s="335">
        <f t="shared" ref="AY9" si="30">SUM(AY10,AY17,AY18,AY20,AY21,AY19)</f>
        <v>32648778</v>
      </c>
      <c r="AZ9" s="335">
        <f t="shared" ref="AZ9" si="31">SUM(AZ10,AZ17,AZ18,AZ20,AZ21,AZ19)</f>
        <v>0</v>
      </c>
      <c r="BA9" s="335">
        <f t="shared" ref="BA9:BE9" si="32">SUM(BA10,BA17,BA18,BA20,BA21,BA19)</f>
        <v>0</v>
      </c>
      <c r="BB9" s="335">
        <f t="shared" ref="BB9" si="33">SUM(BB10,BB17,BB18,BB20,BB21,BB19)</f>
        <v>0</v>
      </c>
      <c r="BC9" s="335">
        <f t="shared" ref="BC9" si="34">SUM(BC10,BC17,BC18,BC20,BC21,BC19)</f>
        <v>0</v>
      </c>
      <c r="BD9" s="335">
        <f t="shared" ref="BD9" si="35">SUM(BD10,BD17,BD18,BD20,BD21,BD19)</f>
        <v>0</v>
      </c>
      <c r="BE9" s="335">
        <f t="shared" si="32"/>
        <v>6300015</v>
      </c>
      <c r="BF9" s="335">
        <f t="shared" ref="BF9:BI9" si="36">SUM(BF10,BF17,BF18,BF20,BF21,BF19)</f>
        <v>6300015</v>
      </c>
      <c r="BG9" s="335">
        <f t="shared" ref="BG9" si="37">SUM(BG10,BG17,BG18,BG20,BG21,BG19)</f>
        <v>6300015</v>
      </c>
      <c r="BH9" s="335">
        <f t="shared" ref="BH9" si="38">SUM(BH10,BH17,BH18,BH20,BH21,BH19)</f>
        <v>0</v>
      </c>
      <c r="BI9" s="335">
        <f t="shared" si="36"/>
        <v>0</v>
      </c>
      <c r="BJ9" s="335">
        <f t="shared" ref="BJ9" si="39">SUM(BJ10,BJ17,BJ18,BJ20,BJ21,BJ19)</f>
        <v>3698429</v>
      </c>
      <c r="BK9" s="335">
        <f t="shared" ref="BK9:BN9" si="40">SUM(BK10,BK17,BK18,BK20,BK21,BK19)</f>
        <v>3698429</v>
      </c>
      <c r="BL9" s="335">
        <f t="shared" ref="BL9" si="41">SUM(BL10,BL17,BL18,BL20,BL21,BL19)</f>
        <v>3698429</v>
      </c>
      <c r="BM9" s="335">
        <f t="shared" si="40"/>
        <v>0</v>
      </c>
      <c r="BN9" s="335">
        <f t="shared" si="40"/>
        <v>0</v>
      </c>
      <c r="BO9" s="335">
        <f t="shared" ref="BO9" si="42">SUM(BO10,BO17,BO18,BO20,BO21,BO19)</f>
        <v>0</v>
      </c>
      <c r="BP9" s="335">
        <f t="shared" ref="BP9" si="43">SUM(BP10,BP17,BP18,BP20,BP21,BP19)</f>
        <v>0</v>
      </c>
      <c r="BQ9" s="372">
        <f t="shared" ref="BQ9:BQ40" si="44">SUMIF($C$8:$BE$8,"2019 terv",C9:BE9)</f>
        <v>224124002</v>
      </c>
      <c r="BR9" s="618">
        <f t="shared" ref="BR9:BR40" si="45">SUMIF($D$8:$BJ$8,"2019 módosított",D9:BJ9)</f>
        <v>227822431</v>
      </c>
      <c r="BS9" s="618">
        <f t="shared" ref="BS9:BS40" ca="1" si="46">SUMIF($D$8:$BO$8,"2019 módosított",E9:BO9)</f>
        <v>226432680</v>
      </c>
      <c r="BT9" s="618">
        <f t="shared" ref="BT9:BT40" ca="1" si="47">SUMIF($D$8:$BO$8,"2019 módosított",F9:BP9)</f>
        <v>172432719</v>
      </c>
      <c r="BU9" s="646"/>
      <c r="BV9" s="646"/>
    </row>
    <row r="10" spans="1:74" ht="15" hidden="1" customHeight="1" thickBot="1" x14ac:dyDescent="0.3">
      <c r="A10" s="184" t="s">
        <v>45</v>
      </c>
      <c r="B10" s="180" t="s">
        <v>46</v>
      </c>
      <c r="C10" s="371">
        <f t="shared" ref="C10:G10" si="48">SUM(C11:C16)</f>
        <v>0</v>
      </c>
      <c r="D10" s="371"/>
      <c r="E10" s="371"/>
      <c r="F10" s="371"/>
      <c r="G10" s="336">
        <f t="shared" si="48"/>
        <v>0</v>
      </c>
      <c r="H10" s="336">
        <f t="shared" ref="H10" si="49">SUM(H11:H16)</f>
        <v>0</v>
      </c>
      <c r="I10" s="336">
        <f t="shared" ref="I10" si="50">SUM(I11:I16)</f>
        <v>0</v>
      </c>
      <c r="J10" s="336">
        <f t="shared" ref="J10" si="51">SUM(J11:J16)</f>
        <v>0</v>
      </c>
      <c r="K10" s="336">
        <f t="shared" ref="K10" si="52">SUM(K11:K16)</f>
        <v>0</v>
      </c>
      <c r="L10" s="336"/>
      <c r="M10" s="336"/>
      <c r="N10" s="336"/>
      <c r="O10" s="336">
        <f t="shared" ref="O10:P10" si="53">SUM(O11:O16)</f>
        <v>0</v>
      </c>
      <c r="P10" s="336">
        <f t="shared" si="53"/>
        <v>0</v>
      </c>
      <c r="Q10" s="336">
        <f t="shared" ref="Q10" si="54">SUM(Q11:Q16)</f>
        <v>0</v>
      </c>
      <c r="R10" s="336">
        <f t="shared" ref="R10" si="55">SUM(R11:R16)</f>
        <v>0</v>
      </c>
      <c r="S10" s="336">
        <f t="shared" ref="S10" si="56">SUM(S11:S16)</f>
        <v>0</v>
      </c>
      <c r="T10" s="336"/>
      <c r="U10" s="336"/>
      <c r="V10" s="336"/>
      <c r="W10" s="336">
        <f t="shared" ref="W10:X10" si="57">SUM(W11:W16)</f>
        <v>0</v>
      </c>
      <c r="X10" s="336">
        <f t="shared" si="57"/>
        <v>0</v>
      </c>
      <c r="Y10" s="336">
        <f t="shared" ref="Y10" si="58">SUM(Y11:Y16)</f>
        <v>0</v>
      </c>
      <c r="Z10" s="336">
        <f t="shared" ref="Z10" si="59">SUM(Z11:Z16)</f>
        <v>0</v>
      </c>
      <c r="AA10" s="336">
        <f t="shared" ref="AA10:AB10" si="60">SUM(AA11:AA16)</f>
        <v>0</v>
      </c>
      <c r="AB10" s="336">
        <f t="shared" si="60"/>
        <v>0</v>
      </c>
      <c r="AC10" s="336">
        <f t="shared" ref="AC10" si="61">SUM(AC11:AC16)</f>
        <v>0</v>
      </c>
      <c r="AD10" s="336">
        <f t="shared" ref="AD10" si="62">SUM(AD11:AD16)</f>
        <v>0</v>
      </c>
      <c r="AE10" s="336">
        <f t="shared" ref="AE10" si="63">SUM(AE11:AE16)</f>
        <v>0</v>
      </c>
      <c r="AF10" s="336">
        <f t="shared" ref="AF10" si="64">SUM(AF11:AF16)</f>
        <v>0</v>
      </c>
      <c r="AG10" s="336">
        <f t="shared" ref="AG10:AH10" si="65">SUM(AG11:AG16)</f>
        <v>0</v>
      </c>
      <c r="AH10" s="336">
        <f t="shared" si="65"/>
        <v>0</v>
      </c>
      <c r="AI10" s="336">
        <f t="shared" ref="AI10" si="66">SUM(AI11:AI16)</f>
        <v>0</v>
      </c>
      <c r="AJ10" s="336">
        <f t="shared" ref="AJ10" si="67">SUM(AJ11:AJ16)</f>
        <v>0</v>
      </c>
      <c r="AK10" s="336">
        <f t="shared" ref="AK10:AL10" si="68">SUM(AK11:AK16)</f>
        <v>0</v>
      </c>
      <c r="AL10" s="336">
        <f t="shared" si="68"/>
        <v>0</v>
      </c>
      <c r="AM10" s="336">
        <f t="shared" ref="AM10" si="69">SUM(AM11:AM16)</f>
        <v>0</v>
      </c>
      <c r="AN10" s="336">
        <f t="shared" ref="AN10" si="70">SUM(AN11:AN16)</f>
        <v>0</v>
      </c>
      <c r="AO10" s="336">
        <f t="shared" ref="AO10:AP10" si="71">SUM(AO11:AO16)</f>
        <v>0</v>
      </c>
      <c r="AP10" s="336">
        <f t="shared" si="71"/>
        <v>0</v>
      </c>
      <c r="AQ10" s="336">
        <f t="shared" ref="AQ10" si="72">SUM(AQ11:AQ16)</f>
        <v>0</v>
      </c>
      <c r="AR10" s="336">
        <f t="shared" ref="AR10" si="73">SUM(AR11:AR16)</f>
        <v>0</v>
      </c>
      <c r="AS10" s="336">
        <f t="shared" ref="AS10:AT10" si="74">SUM(AS11:AS16)</f>
        <v>0</v>
      </c>
      <c r="AT10" s="336">
        <f t="shared" si="74"/>
        <v>0</v>
      </c>
      <c r="AU10" s="336">
        <f t="shared" ref="AU10" si="75">SUM(AU11:AU16)</f>
        <v>0</v>
      </c>
      <c r="AV10" s="336">
        <f t="shared" ref="AV10" si="76">SUM(AV11:AV16)</f>
        <v>0</v>
      </c>
      <c r="AW10" s="336">
        <f t="shared" ref="AW10:AX10" si="77">SUM(AW11:AW16)</f>
        <v>0</v>
      </c>
      <c r="AX10" s="336">
        <f t="shared" si="77"/>
        <v>0</v>
      </c>
      <c r="AY10" s="336">
        <f t="shared" ref="AY10" si="78">SUM(AY11:AY16)</f>
        <v>0</v>
      </c>
      <c r="AZ10" s="336">
        <f t="shared" ref="AZ10" si="79">SUM(AZ11:AZ16)</f>
        <v>0</v>
      </c>
      <c r="BA10" s="336">
        <f t="shared" ref="BA10:BE10" si="80">SUM(BA11:BA16)</f>
        <v>0</v>
      </c>
      <c r="BB10" s="336">
        <f t="shared" ref="BB10" si="81">SUM(BB11:BB16)</f>
        <v>0</v>
      </c>
      <c r="BC10" s="336">
        <f t="shared" ref="BC10" si="82">SUM(BC11:BC16)</f>
        <v>0</v>
      </c>
      <c r="BD10" s="336">
        <f t="shared" ref="BD10" si="83">SUM(BD11:BD16)</f>
        <v>0</v>
      </c>
      <c r="BE10" s="336">
        <f t="shared" si="80"/>
        <v>0</v>
      </c>
      <c r="BF10" s="336">
        <f t="shared" ref="BF10:BI10" si="84">SUM(BF11:BF16)</f>
        <v>0</v>
      </c>
      <c r="BG10" s="336">
        <f t="shared" ref="BG10" si="85">SUM(BG11:BG16)</f>
        <v>0</v>
      </c>
      <c r="BH10" s="336">
        <f t="shared" ref="BH10" si="86">SUM(BH11:BH16)</f>
        <v>0</v>
      </c>
      <c r="BI10" s="336">
        <f t="shared" si="84"/>
        <v>0</v>
      </c>
      <c r="BJ10" s="336">
        <f t="shared" ref="BJ10" si="87">SUM(BJ11:BJ16)</f>
        <v>0</v>
      </c>
      <c r="BK10" s="336">
        <f t="shared" ref="BK10:BN10" si="88">SUM(BK11:BK16)</f>
        <v>0</v>
      </c>
      <c r="BL10" s="336">
        <f t="shared" ref="BL10" si="89">SUM(BL11:BL16)</f>
        <v>0</v>
      </c>
      <c r="BM10" s="336">
        <f t="shared" si="88"/>
        <v>0</v>
      </c>
      <c r="BN10" s="336">
        <f t="shared" si="88"/>
        <v>0</v>
      </c>
      <c r="BO10" s="336">
        <f t="shared" ref="BO10" si="90">SUM(BO11:BO16)</f>
        <v>0</v>
      </c>
      <c r="BP10" s="336">
        <f t="shared" ref="BP10" si="91">SUM(BP11:BP16)</f>
        <v>0</v>
      </c>
      <c r="BQ10" s="372">
        <f t="shared" si="44"/>
        <v>0</v>
      </c>
      <c r="BR10" s="618">
        <f t="shared" si="45"/>
        <v>0</v>
      </c>
      <c r="BS10" s="618">
        <f t="shared" ca="1" si="46"/>
        <v>0</v>
      </c>
      <c r="BT10" s="618">
        <f t="shared" ca="1" si="47"/>
        <v>0</v>
      </c>
      <c r="BU10" s="646"/>
      <c r="BV10" s="646"/>
    </row>
    <row r="11" spans="1:74" ht="15" hidden="1" customHeight="1" thickBot="1" x14ac:dyDescent="0.3">
      <c r="A11" s="184" t="s">
        <v>47</v>
      </c>
      <c r="B11" s="180" t="s">
        <v>48</v>
      </c>
      <c r="C11" s="371"/>
      <c r="D11" s="371"/>
      <c r="E11" s="371"/>
      <c r="F11" s="371"/>
      <c r="G11" s="336"/>
      <c r="H11" s="336"/>
      <c r="I11" s="336"/>
      <c r="J11" s="336"/>
      <c r="K11" s="336"/>
      <c r="L11" s="335"/>
      <c r="M11" s="335"/>
      <c r="N11" s="335"/>
      <c r="O11" s="336"/>
      <c r="P11" s="336"/>
      <c r="Q11" s="336"/>
      <c r="R11" s="336"/>
      <c r="S11" s="336"/>
      <c r="T11" s="335"/>
      <c r="U11" s="335"/>
      <c r="V11" s="335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72">
        <f t="shared" si="44"/>
        <v>0</v>
      </c>
      <c r="BR11" s="618">
        <f t="shared" si="45"/>
        <v>0</v>
      </c>
      <c r="BS11" s="618">
        <f t="shared" ca="1" si="46"/>
        <v>0</v>
      </c>
      <c r="BT11" s="618">
        <f t="shared" ca="1" si="47"/>
        <v>0</v>
      </c>
      <c r="BU11" s="646"/>
      <c r="BV11" s="646"/>
    </row>
    <row r="12" spans="1:74" ht="15" hidden="1" customHeight="1" thickBot="1" x14ac:dyDescent="0.3">
      <c r="A12" s="184" t="s">
        <v>49</v>
      </c>
      <c r="B12" s="180" t="s">
        <v>50</v>
      </c>
      <c r="C12" s="336"/>
      <c r="D12" s="335"/>
      <c r="E12" s="335"/>
      <c r="F12" s="335"/>
      <c r="G12" s="336"/>
      <c r="H12" s="336"/>
      <c r="I12" s="336"/>
      <c r="J12" s="336"/>
      <c r="K12" s="336"/>
      <c r="L12" s="335"/>
      <c r="M12" s="335"/>
      <c r="N12" s="335"/>
      <c r="O12" s="336"/>
      <c r="P12" s="336"/>
      <c r="Q12" s="336"/>
      <c r="R12" s="336"/>
      <c r="S12" s="336"/>
      <c r="T12" s="335"/>
      <c r="U12" s="335"/>
      <c r="V12" s="335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72">
        <f t="shared" si="44"/>
        <v>0</v>
      </c>
      <c r="BR12" s="618">
        <f t="shared" si="45"/>
        <v>0</v>
      </c>
      <c r="BS12" s="618">
        <f t="shared" ca="1" si="46"/>
        <v>0</v>
      </c>
      <c r="BT12" s="618">
        <f t="shared" ca="1" si="47"/>
        <v>0</v>
      </c>
      <c r="BU12" s="646"/>
      <c r="BV12" s="646"/>
    </row>
    <row r="13" spans="1:74" ht="15" hidden="1" customHeight="1" thickBot="1" x14ac:dyDescent="0.3">
      <c r="A13" s="184" t="s">
        <v>51</v>
      </c>
      <c r="B13" s="180" t="s">
        <v>52</v>
      </c>
      <c r="C13" s="336"/>
      <c r="D13" s="335"/>
      <c r="E13" s="335"/>
      <c r="F13" s="335"/>
      <c r="G13" s="336"/>
      <c r="H13" s="336"/>
      <c r="I13" s="336"/>
      <c r="J13" s="336"/>
      <c r="K13" s="336"/>
      <c r="L13" s="335"/>
      <c r="M13" s="335"/>
      <c r="N13" s="335"/>
      <c r="O13" s="336"/>
      <c r="P13" s="336"/>
      <c r="Q13" s="336"/>
      <c r="R13" s="336"/>
      <c r="S13" s="336"/>
      <c r="T13" s="335"/>
      <c r="U13" s="335"/>
      <c r="V13" s="335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72">
        <f t="shared" si="44"/>
        <v>0</v>
      </c>
      <c r="BR13" s="618">
        <f t="shared" si="45"/>
        <v>0</v>
      </c>
      <c r="BS13" s="618">
        <f t="shared" ca="1" si="46"/>
        <v>0</v>
      </c>
      <c r="BT13" s="618">
        <f t="shared" ca="1" si="47"/>
        <v>0</v>
      </c>
      <c r="BU13" s="646"/>
      <c r="BV13" s="646"/>
    </row>
    <row r="14" spans="1:74" ht="15" hidden="1" customHeight="1" thickBot="1" x14ac:dyDescent="0.3">
      <c r="A14" s="184" t="s">
        <v>53</v>
      </c>
      <c r="B14" s="180" t="s">
        <v>54</v>
      </c>
      <c r="C14" s="336"/>
      <c r="D14" s="335"/>
      <c r="E14" s="335"/>
      <c r="F14" s="335"/>
      <c r="G14" s="336"/>
      <c r="H14" s="336"/>
      <c r="I14" s="336"/>
      <c r="J14" s="336"/>
      <c r="K14" s="336"/>
      <c r="L14" s="335"/>
      <c r="M14" s="335"/>
      <c r="N14" s="335"/>
      <c r="O14" s="336"/>
      <c r="P14" s="336"/>
      <c r="Q14" s="336"/>
      <c r="R14" s="336"/>
      <c r="S14" s="336"/>
      <c r="T14" s="335"/>
      <c r="U14" s="335"/>
      <c r="V14" s="335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72">
        <f t="shared" si="44"/>
        <v>0</v>
      </c>
      <c r="BR14" s="618">
        <f t="shared" si="45"/>
        <v>0</v>
      </c>
      <c r="BS14" s="618">
        <f t="shared" ca="1" si="46"/>
        <v>0</v>
      </c>
      <c r="BT14" s="618">
        <f t="shared" ca="1" si="47"/>
        <v>0</v>
      </c>
      <c r="BU14" s="646"/>
      <c r="BV14" s="646"/>
    </row>
    <row r="15" spans="1:74" ht="15" hidden="1" customHeight="1" thickBot="1" x14ac:dyDescent="0.3">
      <c r="A15" s="184" t="s">
        <v>55</v>
      </c>
      <c r="B15" s="180" t="s">
        <v>56</v>
      </c>
      <c r="C15" s="336"/>
      <c r="D15" s="335"/>
      <c r="E15" s="335"/>
      <c r="F15" s="335"/>
      <c r="G15" s="336"/>
      <c r="H15" s="336"/>
      <c r="I15" s="336"/>
      <c r="J15" s="336"/>
      <c r="K15" s="336"/>
      <c r="L15" s="335"/>
      <c r="M15" s="335"/>
      <c r="N15" s="335"/>
      <c r="O15" s="336"/>
      <c r="P15" s="336"/>
      <c r="Q15" s="336"/>
      <c r="R15" s="336"/>
      <c r="S15" s="336"/>
      <c r="T15" s="335"/>
      <c r="U15" s="335"/>
      <c r="V15" s="335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  <c r="BQ15" s="372">
        <f t="shared" si="44"/>
        <v>0</v>
      </c>
      <c r="BR15" s="618">
        <f t="shared" si="45"/>
        <v>0</v>
      </c>
      <c r="BS15" s="618">
        <f t="shared" ca="1" si="46"/>
        <v>0</v>
      </c>
      <c r="BT15" s="618">
        <f t="shared" ca="1" si="47"/>
        <v>0</v>
      </c>
      <c r="BU15" s="646"/>
      <c r="BV15" s="646"/>
    </row>
    <row r="16" spans="1:74" ht="15" hidden="1" customHeight="1" thickBot="1" x14ac:dyDescent="0.3">
      <c r="A16" s="184" t="s">
        <v>57</v>
      </c>
      <c r="B16" s="180" t="s">
        <v>58</v>
      </c>
      <c r="C16" s="336"/>
      <c r="D16" s="335"/>
      <c r="E16" s="335"/>
      <c r="F16" s="335"/>
      <c r="G16" s="336"/>
      <c r="H16" s="336"/>
      <c r="I16" s="336"/>
      <c r="J16" s="336"/>
      <c r="K16" s="336"/>
      <c r="L16" s="335"/>
      <c r="M16" s="335"/>
      <c r="N16" s="335"/>
      <c r="O16" s="336"/>
      <c r="P16" s="336"/>
      <c r="Q16" s="336"/>
      <c r="R16" s="336"/>
      <c r="S16" s="336"/>
      <c r="T16" s="335"/>
      <c r="U16" s="335"/>
      <c r="V16" s="335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72">
        <f t="shared" si="44"/>
        <v>0</v>
      </c>
      <c r="BR16" s="618">
        <f t="shared" si="45"/>
        <v>0</v>
      </c>
      <c r="BS16" s="618">
        <f t="shared" ca="1" si="46"/>
        <v>0</v>
      </c>
      <c r="BT16" s="618">
        <f t="shared" ca="1" si="47"/>
        <v>0</v>
      </c>
      <c r="BU16" s="646"/>
      <c r="BV16" s="646"/>
    </row>
    <row r="17" spans="1:74" ht="15" hidden="1" customHeight="1" thickBot="1" x14ac:dyDescent="0.3">
      <c r="A17" s="184" t="s">
        <v>59</v>
      </c>
      <c r="B17" s="180" t="s">
        <v>60</v>
      </c>
      <c r="C17" s="336"/>
      <c r="D17" s="335"/>
      <c r="E17" s="335"/>
      <c r="F17" s="335"/>
      <c r="G17" s="336"/>
      <c r="H17" s="336"/>
      <c r="I17" s="336"/>
      <c r="J17" s="336"/>
      <c r="K17" s="336"/>
      <c r="L17" s="335"/>
      <c r="M17" s="335"/>
      <c r="N17" s="335"/>
      <c r="O17" s="336"/>
      <c r="P17" s="336"/>
      <c r="Q17" s="336"/>
      <c r="R17" s="336"/>
      <c r="S17" s="336"/>
      <c r="T17" s="335"/>
      <c r="U17" s="335"/>
      <c r="V17" s="335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72">
        <f t="shared" si="44"/>
        <v>0</v>
      </c>
      <c r="BR17" s="618">
        <f t="shared" si="45"/>
        <v>0</v>
      </c>
      <c r="BS17" s="618">
        <f t="shared" ca="1" si="46"/>
        <v>0</v>
      </c>
      <c r="BT17" s="618">
        <f t="shared" ca="1" si="47"/>
        <v>0</v>
      </c>
      <c r="BU17" s="646"/>
      <c r="BV17" s="646"/>
    </row>
    <row r="18" spans="1:74" ht="15" hidden="1" customHeight="1" thickBot="1" x14ac:dyDescent="0.3">
      <c r="A18" s="184" t="s">
        <v>61</v>
      </c>
      <c r="B18" s="180" t="s">
        <v>62</v>
      </c>
      <c r="C18" s="336"/>
      <c r="D18" s="335"/>
      <c r="E18" s="335"/>
      <c r="F18" s="335"/>
      <c r="G18" s="336"/>
      <c r="H18" s="336"/>
      <c r="I18" s="336"/>
      <c r="J18" s="336"/>
      <c r="K18" s="336"/>
      <c r="L18" s="335"/>
      <c r="M18" s="335"/>
      <c r="N18" s="335"/>
      <c r="O18" s="336"/>
      <c r="P18" s="336"/>
      <c r="Q18" s="336"/>
      <c r="R18" s="336"/>
      <c r="S18" s="336"/>
      <c r="T18" s="335"/>
      <c r="U18" s="335"/>
      <c r="V18" s="335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72">
        <f t="shared" si="44"/>
        <v>0</v>
      </c>
      <c r="BR18" s="618">
        <f t="shared" si="45"/>
        <v>0</v>
      </c>
      <c r="BS18" s="618">
        <f t="shared" ca="1" si="46"/>
        <v>0</v>
      </c>
      <c r="BT18" s="618">
        <f t="shared" ca="1" si="47"/>
        <v>0</v>
      </c>
      <c r="BU18" s="646"/>
      <c r="BV18" s="646"/>
    </row>
    <row r="19" spans="1:74" ht="15" hidden="1" customHeight="1" thickBot="1" x14ac:dyDescent="0.3">
      <c r="A19" s="185" t="s">
        <v>266</v>
      </c>
      <c r="B19" s="192" t="s">
        <v>267</v>
      </c>
      <c r="C19" s="336"/>
      <c r="D19" s="335"/>
      <c r="E19" s="335"/>
      <c r="F19" s="335"/>
      <c r="G19" s="336"/>
      <c r="H19" s="336"/>
      <c r="I19" s="336"/>
      <c r="J19" s="336"/>
      <c r="K19" s="336"/>
      <c r="L19" s="335"/>
      <c r="M19" s="335"/>
      <c r="N19" s="335"/>
      <c r="O19" s="336"/>
      <c r="P19" s="336"/>
      <c r="Q19" s="336"/>
      <c r="R19" s="336"/>
      <c r="S19" s="336"/>
      <c r="T19" s="335"/>
      <c r="U19" s="335"/>
      <c r="V19" s="335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  <c r="BQ19" s="372">
        <f t="shared" si="44"/>
        <v>0</v>
      </c>
      <c r="BR19" s="618">
        <f t="shared" si="45"/>
        <v>0</v>
      </c>
      <c r="BS19" s="618">
        <f t="shared" ca="1" si="46"/>
        <v>0</v>
      </c>
      <c r="BT19" s="618">
        <f t="shared" ca="1" si="47"/>
        <v>0</v>
      </c>
      <c r="BU19" s="646"/>
      <c r="BV19" s="646"/>
    </row>
    <row r="20" spans="1:74" ht="15" hidden="1" customHeight="1" thickBot="1" x14ac:dyDescent="0.3">
      <c r="A20" s="185" t="s">
        <v>63</v>
      </c>
      <c r="B20" s="192" t="s">
        <v>64</v>
      </c>
      <c r="C20" s="336"/>
      <c r="D20" s="335"/>
      <c r="E20" s="335"/>
      <c r="F20" s="335"/>
      <c r="G20" s="336"/>
      <c r="H20" s="336"/>
      <c r="I20" s="336"/>
      <c r="J20" s="336"/>
      <c r="K20" s="336"/>
      <c r="L20" s="335"/>
      <c r="M20" s="335"/>
      <c r="N20" s="335"/>
      <c r="O20" s="336"/>
      <c r="P20" s="336"/>
      <c r="Q20" s="336"/>
      <c r="R20" s="336"/>
      <c r="S20" s="336"/>
      <c r="T20" s="335"/>
      <c r="U20" s="335"/>
      <c r="V20" s="335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72">
        <f t="shared" si="44"/>
        <v>0</v>
      </c>
      <c r="BR20" s="618">
        <f t="shared" si="45"/>
        <v>0</v>
      </c>
      <c r="BS20" s="618">
        <f t="shared" ca="1" si="46"/>
        <v>0</v>
      </c>
      <c r="BT20" s="618">
        <f t="shared" ca="1" si="47"/>
        <v>0</v>
      </c>
      <c r="BU20" s="646"/>
      <c r="BV20" s="646"/>
    </row>
    <row r="21" spans="1:74" ht="15.75" thickBot="1" x14ac:dyDescent="0.3">
      <c r="A21" s="185" t="s">
        <v>65</v>
      </c>
      <c r="B21" s="192" t="s">
        <v>66</v>
      </c>
      <c r="C21" s="337"/>
      <c r="D21" s="337"/>
      <c r="E21" s="337"/>
      <c r="F21" s="337"/>
      <c r="G21" s="337">
        <f>89585930</f>
        <v>89585930</v>
      </c>
      <c r="H21" s="337">
        <f>89585930</f>
        <v>89585930</v>
      </c>
      <c r="I21" s="337">
        <f>89585930-1389751</f>
        <v>88196179</v>
      </c>
      <c r="J21" s="337">
        <v>75339511</v>
      </c>
      <c r="K21" s="337"/>
      <c r="L21" s="337"/>
      <c r="M21" s="337"/>
      <c r="N21" s="337"/>
      <c r="O21" s="337">
        <v>2343213</v>
      </c>
      <c r="P21" s="337">
        <v>2343213</v>
      </c>
      <c r="Q21" s="337">
        <v>2343213</v>
      </c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>
        <f>16250000-768327</f>
        <v>15481673</v>
      </c>
      <c r="AL21" s="337">
        <f>16250000-768327</f>
        <v>15481673</v>
      </c>
      <c r="AM21" s="337">
        <f>16250000-768327</f>
        <v>15481673</v>
      </c>
      <c r="AN21" s="337"/>
      <c r="AO21" s="337">
        <f>48350547-21536081</f>
        <v>26814466</v>
      </c>
      <c r="AP21" s="337">
        <f>48350547-21536081</f>
        <v>26814466</v>
      </c>
      <c r="AQ21" s="337">
        <f>48350547-21536081</f>
        <v>26814466</v>
      </c>
      <c r="AR21" s="337">
        <v>15872698</v>
      </c>
      <c r="AS21" s="337">
        <f>93697405-42747478</f>
        <v>50949927</v>
      </c>
      <c r="AT21" s="337">
        <f>93697405-42747478</f>
        <v>50949927</v>
      </c>
      <c r="AU21" s="337">
        <v>50949927</v>
      </c>
      <c r="AV21" s="337">
        <v>77522081</v>
      </c>
      <c r="AW21" s="337">
        <f>59822773-27173995</f>
        <v>32648778</v>
      </c>
      <c r="AX21" s="337">
        <f>59822773-27173995</f>
        <v>32648778</v>
      </c>
      <c r="AY21" s="337">
        <f>59822773-27173995</f>
        <v>32648778</v>
      </c>
      <c r="AZ21" s="337"/>
      <c r="BA21" s="337"/>
      <c r="BB21" s="337"/>
      <c r="BC21" s="337"/>
      <c r="BD21" s="337"/>
      <c r="BE21" s="337">
        <v>6300015</v>
      </c>
      <c r="BF21" s="337">
        <v>6300015</v>
      </c>
      <c r="BG21" s="337">
        <v>6300015</v>
      </c>
      <c r="BH21" s="337"/>
      <c r="BI21" s="337"/>
      <c r="BJ21" s="337">
        <v>3698429</v>
      </c>
      <c r="BK21" s="337">
        <v>3698429</v>
      </c>
      <c r="BL21" s="337">
        <v>3698429</v>
      </c>
      <c r="BM21" s="337"/>
      <c r="BN21" s="337"/>
      <c r="BO21" s="337"/>
      <c r="BP21" s="337"/>
      <c r="BQ21" s="374">
        <f t="shared" si="44"/>
        <v>224124002</v>
      </c>
      <c r="BR21" s="618">
        <f t="shared" si="45"/>
        <v>227822431</v>
      </c>
      <c r="BS21" s="618">
        <f t="shared" ca="1" si="46"/>
        <v>226432680</v>
      </c>
      <c r="BT21" s="618">
        <f t="shared" ca="1" si="47"/>
        <v>172432719</v>
      </c>
      <c r="BU21" s="646"/>
      <c r="BV21" s="646"/>
    </row>
    <row r="22" spans="1:74" ht="15.75" thickBot="1" x14ac:dyDescent="0.3">
      <c r="A22" s="75" t="s">
        <v>67</v>
      </c>
      <c r="B22" s="196" t="s">
        <v>27</v>
      </c>
      <c r="C22" s="335">
        <f t="shared" ref="C22:G22" si="92">SUM(C23:C24)</f>
        <v>253937</v>
      </c>
      <c r="D22" s="335">
        <f t="shared" ref="D22:E22" si="93">SUM(D23:D24)</f>
        <v>253937</v>
      </c>
      <c r="E22" s="335">
        <f t="shared" si="93"/>
        <v>253937</v>
      </c>
      <c r="F22" s="335">
        <f t="shared" ref="F22" si="94">SUM(F23:F24)</f>
        <v>0</v>
      </c>
      <c r="G22" s="335">
        <f t="shared" si="92"/>
        <v>0</v>
      </c>
      <c r="H22" s="335">
        <f t="shared" ref="H22" si="95">SUM(H23:H24)</f>
        <v>0</v>
      </c>
      <c r="I22" s="335">
        <f t="shared" ref="I22" si="96">SUM(I23:I24)</f>
        <v>0</v>
      </c>
      <c r="J22" s="335">
        <f t="shared" ref="J22" si="97">SUM(J23:J24)</f>
        <v>0</v>
      </c>
      <c r="K22" s="335">
        <f t="shared" ref="K22" si="98">SUM(K23:K24)</f>
        <v>0</v>
      </c>
      <c r="L22" s="335"/>
      <c r="M22" s="335"/>
      <c r="N22" s="335"/>
      <c r="O22" s="335">
        <f t="shared" ref="O22:P22" si="99">SUM(O23:O24)</f>
        <v>0</v>
      </c>
      <c r="P22" s="335">
        <f t="shared" si="99"/>
        <v>0</v>
      </c>
      <c r="Q22" s="335">
        <f t="shared" ref="Q22" si="100">SUM(Q23:Q24)</f>
        <v>0</v>
      </c>
      <c r="R22" s="335">
        <f t="shared" ref="R22" si="101">SUM(R23:R24)</f>
        <v>0</v>
      </c>
      <c r="S22" s="335">
        <f t="shared" ref="S22" si="102">SUM(S23:S24)</f>
        <v>0</v>
      </c>
      <c r="T22" s="335"/>
      <c r="U22" s="335"/>
      <c r="V22" s="335"/>
      <c r="W22" s="335">
        <f t="shared" ref="W22:X22" si="103">SUM(W23:W24)</f>
        <v>0</v>
      </c>
      <c r="X22" s="335">
        <f t="shared" si="103"/>
        <v>0</v>
      </c>
      <c r="Y22" s="335">
        <f t="shared" ref="Y22" si="104">SUM(Y23:Y24)</f>
        <v>0</v>
      </c>
      <c r="Z22" s="335">
        <f t="shared" ref="Z22" si="105">SUM(Z23:Z24)</f>
        <v>0</v>
      </c>
      <c r="AA22" s="335">
        <f t="shared" ref="AA22:AB22" si="106">SUM(AA23:AA24)</f>
        <v>50673000</v>
      </c>
      <c r="AB22" s="335">
        <f t="shared" si="106"/>
        <v>50673000</v>
      </c>
      <c r="AC22" s="335">
        <f t="shared" ref="AC22" si="107">SUM(AC23:AC24)</f>
        <v>50673000</v>
      </c>
      <c r="AD22" s="335">
        <f t="shared" ref="AD22" si="108">SUM(AD23:AD24)</f>
        <v>0</v>
      </c>
      <c r="AE22" s="335">
        <f t="shared" ref="AE22" si="109">SUM(AE23:AE24)</f>
        <v>0</v>
      </c>
      <c r="AF22" s="335">
        <f t="shared" ref="AF22" si="110">SUM(AF23:AF24)</f>
        <v>0</v>
      </c>
      <c r="AG22" s="335">
        <f t="shared" ref="AG22:AH22" si="111">SUM(AG23:AG24)</f>
        <v>3111500</v>
      </c>
      <c r="AH22" s="335">
        <f t="shared" si="111"/>
        <v>3111500</v>
      </c>
      <c r="AI22" s="335">
        <f t="shared" ref="AI22" si="112">SUM(AI23:AI24)</f>
        <v>3111500</v>
      </c>
      <c r="AJ22" s="335">
        <f t="shared" ref="AJ22" si="113">SUM(AJ23:AJ24)</f>
        <v>0</v>
      </c>
      <c r="AK22" s="335">
        <f t="shared" ref="AK22:AL22" si="114">SUM(AK23:AK24)</f>
        <v>0</v>
      </c>
      <c r="AL22" s="335">
        <f t="shared" si="114"/>
        <v>0</v>
      </c>
      <c r="AM22" s="335">
        <f t="shared" ref="AM22" si="115">SUM(AM23:AM24)</f>
        <v>0</v>
      </c>
      <c r="AN22" s="335">
        <f t="shared" ref="AN22" si="116">SUM(AN23:AN24)</f>
        <v>0</v>
      </c>
      <c r="AO22" s="335">
        <f t="shared" ref="AO22:AP22" si="117">SUM(AO23:AO24)</f>
        <v>0</v>
      </c>
      <c r="AP22" s="335">
        <f t="shared" si="117"/>
        <v>0</v>
      </c>
      <c r="AQ22" s="335">
        <f t="shared" ref="AQ22" si="118">SUM(AQ23:AQ24)</f>
        <v>0</v>
      </c>
      <c r="AR22" s="335">
        <f t="shared" ref="AR22" si="119">SUM(AR23:AR24)</f>
        <v>0</v>
      </c>
      <c r="AS22" s="335">
        <f t="shared" ref="AS22:AT22" si="120">SUM(AS23:AS24)</f>
        <v>0</v>
      </c>
      <c r="AT22" s="335">
        <f t="shared" si="120"/>
        <v>0</v>
      </c>
      <c r="AU22" s="335">
        <f t="shared" ref="AU22" si="121">SUM(AU23:AU24)</f>
        <v>0</v>
      </c>
      <c r="AV22" s="335">
        <f t="shared" ref="AV22" si="122">SUM(AV23:AV24)</f>
        <v>0</v>
      </c>
      <c r="AW22" s="335">
        <f t="shared" ref="AW22:AX22" si="123">SUM(AW23:AW24)</f>
        <v>0</v>
      </c>
      <c r="AX22" s="335">
        <f t="shared" si="123"/>
        <v>0</v>
      </c>
      <c r="AY22" s="335">
        <f t="shared" ref="AY22" si="124">SUM(AY23:AY24)</f>
        <v>0</v>
      </c>
      <c r="AZ22" s="335">
        <f t="shared" ref="AZ22" si="125">SUM(AZ23:AZ24)</f>
        <v>0</v>
      </c>
      <c r="BA22" s="335">
        <f t="shared" ref="BA22:BE22" si="126">SUM(BA23:BA24)</f>
        <v>952724500</v>
      </c>
      <c r="BB22" s="335">
        <f t="shared" ref="BB22" si="127">SUM(BB23:BB24)</f>
        <v>952724500</v>
      </c>
      <c r="BC22" s="335">
        <f t="shared" ref="BC22" si="128">SUM(BC23:BC24)</f>
        <v>952724500</v>
      </c>
      <c r="BD22" s="335">
        <f t="shared" ref="BD22" si="129">SUM(BD23:BD24)</f>
        <v>952148000</v>
      </c>
      <c r="BE22" s="335">
        <f t="shared" si="126"/>
        <v>0</v>
      </c>
      <c r="BF22" s="335">
        <f t="shared" ref="BF22:BI22" si="130">SUM(BF23:BF24)</f>
        <v>0</v>
      </c>
      <c r="BG22" s="335">
        <f t="shared" ref="BG22" si="131">SUM(BG23:BG24)</f>
        <v>0</v>
      </c>
      <c r="BH22" s="335">
        <f t="shared" ref="BH22" si="132">SUM(BH23:BH24)</f>
        <v>0</v>
      </c>
      <c r="BI22" s="335">
        <f t="shared" si="130"/>
        <v>0</v>
      </c>
      <c r="BJ22" s="335">
        <f t="shared" ref="BJ22" si="133">SUM(BJ23:BJ24)</f>
        <v>0</v>
      </c>
      <c r="BK22" s="335">
        <f t="shared" ref="BK22:BN22" si="134">SUM(BK23:BK24)</f>
        <v>0</v>
      </c>
      <c r="BL22" s="335">
        <f t="shared" ref="BL22" si="135">SUM(BL23:BL24)</f>
        <v>0</v>
      </c>
      <c r="BM22" s="335">
        <f t="shared" si="134"/>
        <v>0</v>
      </c>
      <c r="BN22" s="335">
        <f t="shared" si="134"/>
        <v>0</v>
      </c>
      <c r="BO22" s="335">
        <f t="shared" ref="BO22" si="136">SUM(BO23:BO24)</f>
        <v>4975845</v>
      </c>
      <c r="BP22" s="335">
        <f t="shared" ref="BP22" si="137">SUM(BP23:BP24)</f>
        <v>4975845</v>
      </c>
      <c r="BQ22" s="372">
        <f t="shared" si="44"/>
        <v>1006762937</v>
      </c>
      <c r="BR22" s="618">
        <f t="shared" si="45"/>
        <v>1006762937</v>
      </c>
      <c r="BS22" s="618">
        <f t="shared" ca="1" si="46"/>
        <v>1011738782</v>
      </c>
      <c r="BT22" s="618">
        <f t="shared" ca="1" si="47"/>
        <v>957123845</v>
      </c>
      <c r="BU22" s="646"/>
      <c r="BV22" s="646"/>
    </row>
    <row r="23" spans="1:74" ht="15.75" thickBot="1" x14ac:dyDescent="0.3">
      <c r="A23" s="76"/>
      <c r="B23" s="201" t="s">
        <v>550</v>
      </c>
      <c r="C23" s="336"/>
      <c r="D23" s="336"/>
      <c r="E23" s="336"/>
      <c r="F23" s="336"/>
      <c r="G23" s="336"/>
      <c r="H23" s="336"/>
      <c r="I23" s="336"/>
      <c r="J23" s="336"/>
      <c r="K23" s="336"/>
      <c r="L23" s="335"/>
      <c r="M23" s="335"/>
      <c r="N23" s="335"/>
      <c r="O23" s="336"/>
      <c r="P23" s="336"/>
      <c r="Q23" s="336"/>
      <c r="R23" s="336"/>
      <c r="S23" s="336"/>
      <c r="T23" s="335"/>
      <c r="U23" s="335"/>
      <c r="V23" s="335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>
        <f>498250000+454474500</f>
        <v>952724500</v>
      </c>
      <c r="BB23" s="336">
        <f>498250000+454474500</f>
        <v>952724500</v>
      </c>
      <c r="BC23" s="336">
        <v>952724500</v>
      </c>
      <c r="BD23" s="336">
        <v>952148000</v>
      </c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>
        <v>4975845</v>
      </c>
      <c r="BP23" s="336">
        <v>4975845</v>
      </c>
      <c r="BQ23" s="372">
        <f t="shared" si="44"/>
        <v>952724500</v>
      </c>
      <c r="BR23" s="618">
        <f t="shared" si="45"/>
        <v>952724500</v>
      </c>
      <c r="BS23" s="618">
        <f t="shared" ca="1" si="46"/>
        <v>957700345</v>
      </c>
      <c r="BT23" s="618">
        <f t="shared" ca="1" si="47"/>
        <v>957123845</v>
      </c>
      <c r="BU23" s="646"/>
      <c r="BV23" s="646"/>
    </row>
    <row r="24" spans="1:74" ht="15.75" thickBot="1" x14ac:dyDescent="0.3">
      <c r="A24" s="77"/>
      <c r="B24" s="206" t="s">
        <v>269</v>
      </c>
      <c r="C24" s="337">
        <v>253937</v>
      </c>
      <c r="D24" s="337">
        <v>253937</v>
      </c>
      <c r="E24" s="337">
        <v>253937</v>
      </c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>
        <v>50673000</v>
      </c>
      <c r="AB24" s="337">
        <v>50673000</v>
      </c>
      <c r="AC24" s="337">
        <v>50673000</v>
      </c>
      <c r="AD24" s="337"/>
      <c r="AE24" s="337"/>
      <c r="AF24" s="337"/>
      <c r="AG24" s="337">
        <v>3111500</v>
      </c>
      <c r="AH24" s="337">
        <v>3111500</v>
      </c>
      <c r="AI24" s="337">
        <v>3111500</v>
      </c>
      <c r="AJ24" s="337"/>
      <c r="AK24" s="337"/>
      <c r="AL24" s="337"/>
      <c r="AM24" s="337"/>
      <c r="AN24" s="337"/>
      <c r="AO24" s="337"/>
      <c r="AP24" s="337"/>
      <c r="AQ24" s="337"/>
      <c r="AR24" s="337"/>
      <c r="AS24" s="337"/>
      <c r="AT24" s="337"/>
      <c r="AU24" s="337"/>
      <c r="AV24" s="337"/>
      <c r="AW24" s="337"/>
      <c r="AX24" s="337"/>
      <c r="AY24" s="337"/>
      <c r="AZ24" s="337"/>
      <c r="BA24" s="337"/>
      <c r="BB24" s="337"/>
      <c r="BC24" s="337"/>
      <c r="BD24" s="337"/>
      <c r="BE24" s="337"/>
      <c r="BF24" s="337"/>
      <c r="BG24" s="337"/>
      <c r="BH24" s="337"/>
      <c r="BI24" s="337"/>
      <c r="BJ24" s="337"/>
      <c r="BK24" s="337"/>
      <c r="BL24" s="337"/>
      <c r="BM24" s="337"/>
      <c r="BN24" s="337"/>
      <c r="BO24" s="337"/>
      <c r="BP24" s="337"/>
      <c r="BQ24" s="374">
        <f t="shared" si="44"/>
        <v>54038437</v>
      </c>
      <c r="BR24" s="618">
        <f t="shared" si="45"/>
        <v>54038437</v>
      </c>
      <c r="BS24" s="618">
        <f t="shared" ca="1" si="46"/>
        <v>54038437</v>
      </c>
      <c r="BT24" s="618">
        <f t="shared" ca="1" si="47"/>
        <v>0</v>
      </c>
      <c r="BU24" s="646"/>
      <c r="BV24" s="646"/>
    </row>
    <row r="25" spans="1:74" ht="15.75" thickBot="1" x14ac:dyDescent="0.3">
      <c r="A25" s="187" t="s">
        <v>68</v>
      </c>
      <c r="B25" s="198" t="s">
        <v>25</v>
      </c>
      <c r="C25" s="334">
        <f t="shared" ref="C25:G25" si="138">C26+C30+C38</f>
        <v>0</v>
      </c>
      <c r="D25" s="334">
        <f t="shared" ref="D25:E25" si="139">D26+D30+D38</f>
        <v>0</v>
      </c>
      <c r="E25" s="334">
        <f t="shared" si="139"/>
        <v>0</v>
      </c>
      <c r="F25" s="334">
        <f t="shared" ref="F25" si="140">F26+F30+F38</f>
        <v>0</v>
      </c>
      <c r="G25" s="334">
        <f t="shared" si="138"/>
        <v>0</v>
      </c>
      <c r="H25" s="334">
        <f t="shared" ref="H25" si="141">H26+H30+H38</f>
        <v>0</v>
      </c>
      <c r="I25" s="334">
        <f t="shared" ref="I25" si="142">I26+I30+I38</f>
        <v>0</v>
      </c>
      <c r="J25" s="334">
        <f t="shared" ref="J25" si="143">J26+J30+J38</f>
        <v>0</v>
      </c>
      <c r="K25" s="334">
        <f t="shared" ref="K25" si="144">K26+K30+K38</f>
        <v>0</v>
      </c>
      <c r="L25" s="334"/>
      <c r="M25" s="334"/>
      <c r="N25" s="334"/>
      <c r="O25" s="334">
        <f t="shared" ref="O25:P25" si="145">O26+O30+O38</f>
        <v>0</v>
      </c>
      <c r="P25" s="334">
        <f t="shared" si="145"/>
        <v>0</v>
      </c>
      <c r="Q25" s="334">
        <f t="shared" ref="Q25" si="146">Q26+Q30+Q38</f>
        <v>0</v>
      </c>
      <c r="R25" s="334">
        <f t="shared" ref="R25" si="147">R26+R30+R38</f>
        <v>0</v>
      </c>
      <c r="S25" s="334">
        <f t="shared" ref="S25" si="148">S26+S30+S38</f>
        <v>0</v>
      </c>
      <c r="T25" s="334"/>
      <c r="U25" s="334"/>
      <c r="V25" s="334"/>
      <c r="W25" s="334">
        <f t="shared" ref="W25:X25" si="149">W26+W30+W38</f>
        <v>0</v>
      </c>
      <c r="X25" s="334">
        <f t="shared" si="149"/>
        <v>0</v>
      </c>
      <c r="Y25" s="334">
        <f t="shared" ref="Y25" si="150">Y26+Y30+Y38</f>
        <v>0</v>
      </c>
      <c r="Z25" s="334">
        <f t="shared" ref="Z25" si="151">Z26+Z30+Z38</f>
        <v>0</v>
      </c>
      <c r="AA25" s="334">
        <f t="shared" ref="AA25:AB25" si="152">AA26+AA30+AA38</f>
        <v>0</v>
      </c>
      <c r="AB25" s="334">
        <f t="shared" si="152"/>
        <v>0</v>
      </c>
      <c r="AC25" s="334">
        <f t="shared" ref="AC25" si="153">AC26+AC30+AC38</f>
        <v>0</v>
      </c>
      <c r="AD25" s="334">
        <f t="shared" ref="AD25" si="154">AD26+AD30+AD38</f>
        <v>0</v>
      </c>
      <c r="AE25" s="334">
        <f t="shared" ref="AE25" si="155">AE26+AE30+AE38</f>
        <v>0</v>
      </c>
      <c r="AF25" s="334">
        <f t="shared" ref="AF25" si="156">AF26+AF30+AF38</f>
        <v>0</v>
      </c>
      <c r="AG25" s="334">
        <f t="shared" ref="AG25:AH25" si="157">AG26+AG30+AG38</f>
        <v>0</v>
      </c>
      <c r="AH25" s="334">
        <f t="shared" si="157"/>
        <v>0</v>
      </c>
      <c r="AI25" s="334">
        <f t="shared" ref="AI25" si="158">AI26+AI30+AI38</f>
        <v>0</v>
      </c>
      <c r="AJ25" s="334">
        <f t="shared" ref="AJ25" si="159">AJ26+AJ30+AJ38</f>
        <v>0</v>
      </c>
      <c r="AK25" s="334">
        <f t="shared" ref="AK25:AL25" si="160">AK26+AK30+AK38</f>
        <v>0</v>
      </c>
      <c r="AL25" s="334">
        <f t="shared" si="160"/>
        <v>0</v>
      </c>
      <c r="AM25" s="334">
        <f t="shared" ref="AM25" si="161">AM26+AM30+AM38</f>
        <v>0</v>
      </c>
      <c r="AN25" s="334">
        <f t="shared" ref="AN25" si="162">AN26+AN30+AN38</f>
        <v>0</v>
      </c>
      <c r="AO25" s="334">
        <f t="shared" ref="AO25:AP25" si="163">AO26+AO30+AO38</f>
        <v>0</v>
      </c>
      <c r="AP25" s="334">
        <f t="shared" si="163"/>
        <v>0</v>
      </c>
      <c r="AQ25" s="334">
        <f t="shared" ref="AQ25" si="164">AQ26+AQ30+AQ38</f>
        <v>0</v>
      </c>
      <c r="AR25" s="334">
        <f t="shared" ref="AR25" si="165">AR26+AR30+AR38</f>
        <v>0</v>
      </c>
      <c r="AS25" s="334">
        <f t="shared" ref="AS25:AT25" si="166">AS26+AS30+AS38</f>
        <v>0</v>
      </c>
      <c r="AT25" s="334">
        <f t="shared" si="166"/>
        <v>0</v>
      </c>
      <c r="AU25" s="334">
        <f t="shared" ref="AU25" si="167">AU26+AU30+AU38</f>
        <v>0</v>
      </c>
      <c r="AV25" s="334">
        <f t="shared" ref="AV25" si="168">AV26+AV30+AV38</f>
        <v>0</v>
      </c>
      <c r="AW25" s="334">
        <f t="shared" ref="AW25:AX25" si="169">AW26+AW30+AW38</f>
        <v>0</v>
      </c>
      <c r="AX25" s="334">
        <f t="shared" si="169"/>
        <v>0</v>
      </c>
      <c r="AY25" s="334">
        <f t="shared" ref="AY25" si="170">AY26+AY30+AY38</f>
        <v>0</v>
      </c>
      <c r="AZ25" s="334">
        <f t="shared" ref="AZ25" si="171">AZ26+AZ30+AZ38</f>
        <v>0</v>
      </c>
      <c r="BA25" s="334">
        <f t="shared" ref="BA25:BE25" si="172">BA26+BA30+BA38</f>
        <v>0</v>
      </c>
      <c r="BB25" s="334">
        <f t="shared" ref="BB25" si="173">BB26+BB30+BB38</f>
        <v>0</v>
      </c>
      <c r="BC25" s="334">
        <f t="shared" ref="BC25" si="174">BC26+BC30+BC38</f>
        <v>0</v>
      </c>
      <c r="BD25" s="334">
        <f t="shared" ref="BD25" si="175">BD26+BD30+BD38</f>
        <v>0</v>
      </c>
      <c r="BE25" s="334">
        <f t="shared" si="172"/>
        <v>0</v>
      </c>
      <c r="BF25" s="334">
        <f t="shared" ref="BF25:BI25" si="176">BF26+BF30+BF38</f>
        <v>0</v>
      </c>
      <c r="BG25" s="334">
        <f t="shared" ref="BG25" si="177">BG26+BG30+BG38</f>
        <v>0</v>
      </c>
      <c r="BH25" s="334">
        <f t="shared" ref="BH25" si="178">BH26+BH30+BH38</f>
        <v>0</v>
      </c>
      <c r="BI25" s="334">
        <f t="shared" si="176"/>
        <v>0</v>
      </c>
      <c r="BJ25" s="334">
        <f t="shared" ref="BJ25" si="179">BJ26+BJ30+BJ38</f>
        <v>0</v>
      </c>
      <c r="BK25" s="334">
        <f t="shared" ref="BK25:BN25" si="180">BK26+BK30+BK38</f>
        <v>0</v>
      </c>
      <c r="BL25" s="334">
        <f t="shared" ref="BL25" si="181">BL26+BL30+BL38</f>
        <v>0</v>
      </c>
      <c r="BM25" s="334">
        <f t="shared" si="180"/>
        <v>0</v>
      </c>
      <c r="BN25" s="334">
        <f t="shared" si="180"/>
        <v>0</v>
      </c>
      <c r="BO25" s="334">
        <f t="shared" ref="BO25" si="182">BO26+BO30+BO38</f>
        <v>0</v>
      </c>
      <c r="BP25" s="334">
        <f t="shared" ref="BP25" si="183">BP26+BP30+BP38</f>
        <v>0</v>
      </c>
      <c r="BQ25" s="379">
        <f t="shared" si="44"/>
        <v>0</v>
      </c>
      <c r="BR25" s="618">
        <f t="shared" si="45"/>
        <v>0</v>
      </c>
      <c r="BS25" s="618">
        <f t="shared" ca="1" si="46"/>
        <v>0</v>
      </c>
      <c r="BT25" s="618">
        <f t="shared" ca="1" si="47"/>
        <v>0</v>
      </c>
      <c r="BU25" s="646"/>
      <c r="BV25" s="646"/>
    </row>
    <row r="26" spans="1:74" ht="15.75" hidden="1" customHeight="1" thickBot="1" x14ac:dyDescent="0.3">
      <c r="A26" s="184" t="s">
        <v>69</v>
      </c>
      <c r="B26" s="180" t="s">
        <v>70</v>
      </c>
      <c r="C26" s="335">
        <f t="shared" ref="C26:G26" si="184">SUM(C27:C29)</f>
        <v>0</v>
      </c>
      <c r="D26" s="335">
        <f t="shared" ref="D26:E26" si="185">SUM(D27:D29)</f>
        <v>0</v>
      </c>
      <c r="E26" s="335">
        <f t="shared" si="185"/>
        <v>0</v>
      </c>
      <c r="F26" s="335">
        <f t="shared" ref="F26" si="186">SUM(F27:F29)</f>
        <v>0</v>
      </c>
      <c r="G26" s="335">
        <f t="shared" si="184"/>
        <v>0</v>
      </c>
      <c r="H26" s="335">
        <f t="shared" ref="H26" si="187">SUM(H27:H29)</f>
        <v>0</v>
      </c>
      <c r="I26" s="335">
        <f t="shared" ref="I26" si="188">SUM(I27:I29)</f>
        <v>0</v>
      </c>
      <c r="J26" s="335">
        <f t="shared" ref="J26" si="189">SUM(J27:J29)</f>
        <v>0</v>
      </c>
      <c r="K26" s="335">
        <f t="shared" ref="K26" si="190">SUM(K27:K29)</f>
        <v>0</v>
      </c>
      <c r="L26" s="335"/>
      <c r="M26" s="335"/>
      <c r="N26" s="335"/>
      <c r="O26" s="335">
        <f t="shared" ref="O26:P26" si="191">SUM(O27:O29)</f>
        <v>0</v>
      </c>
      <c r="P26" s="335">
        <f t="shared" si="191"/>
        <v>0</v>
      </c>
      <c r="Q26" s="335">
        <f t="shared" ref="Q26" si="192">SUM(Q27:Q29)</f>
        <v>0</v>
      </c>
      <c r="R26" s="335">
        <f t="shared" ref="R26" si="193">SUM(R27:R29)</f>
        <v>0</v>
      </c>
      <c r="S26" s="335">
        <f t="shared" ref="S26" si="194">SUM(S27:S29)</f>
        <v>0</v>
      </c>
      <c r="T26" s="335"/>
      <c r="U26" s="335"/>
      <c r="V26" s="335"/>
      <c r="W26" s="335">
        <f t="shared" ref="W26:X26" si="195">SUM(W27:W29)</f>
        <v>0</v>
      </c>
      <c r="X26" s="335">
        <f t="shared" si="195"/>
        <v>0</v>
      </c>
      <c r="Y26" s="335">
        <f t="shared" ref="Y26" si="196">SUM(Y27:Y29)</f>
        <v>0</v>
      </c>
      <c r="Z26" s="335">
        <f t="shared" ref="Z26" si="197">SUM(Z27:Z29)</f>
        <v>0</v>
      </c>
      <c r="AA26" s="335">
        <f t="shared" ref="AA26:AB26" si="198">SUM(AA27:AA29)</f>
        <v>0</v>
      </c>
      <c r="AB26" s="335">
        <f t="shared" si="198"/>
        <v>0</v>
      </c>
      <c r="AC26" s="335">
        <f t="shared" ref="AC26" si="199">SUM(AC27:AC29)</f>
        <v>0</v>
      </c>
      <c r="AD26" s="335">
        <f t="shared" ref="AD26" si="200">SUM(AD27:AD29)</f>
        <v>0</v>
      </c>
      <c r="AE26" s="335">
        <f t="shared" ref="AE26" si="201">SUM(AE27:AE29)</f>
        <v>0</v>
      </c>
      <c r="AF26" s="335">
        <f t="shared" ref="AF26" si="202">SUM(AF27:AF29)</f>
        <v>0</v>
      </c>
      <c r="AG26" s="335">
        <f t="shared" ref="AG26:AH26" si="203">SUM(AG27:AG29)</f>
        <v>0</v>
      </c>
      <c r="AH26" s="335">
        <f t="shared" si="203"/>
        <v>0</v>
      </c>
      <c r="AI26" s="335">
        <f t="shared" ref="AI26" si="204">SUM(AI27:AI29)</f>
        <v>0</v>
      </c>
      <c r="AJ26" s="335">
        <f t="shared" ref="AJ26" si="205">SUM(AJ27:AJ29)</f>
        <v>0</v>
      </c>
      <c r="AK26" s="335">
        <f t="shared" ref="AK26:AL26" si="206">SUM(AK27:AK29)</f>
        <v>0</v>
      </c>
      <c r="AL26" s="335">
        <f t="shared" si="206"/>
        <v>0</v>
      </c>
      <c r="AM26" s="335">
        <f t="shared" ref="AM26" si="207">SUM(AM27:AM29)</f>
        <v>0</v>
      </c>
      <c r="AN26" s="335">
        <f t="shared" ref="AN26" si="208">SUM(AN27:AN29)</f>
        <v>0</v>
      </c>
      <c r="AO26" s="335">
        <f t="shared" ref="AO26:AP26" si="209">SUM(AO27:AO29)</f>
        <v>0</v>
      </c>
      <c r="AP26" s="335">
        <f t="shared" si="209"/>
        <v>0</v>
      </c>
      <c r="AQ26" s="335">
        <f t="shared" ref="AQ26" si="210">SUM(AQ27:AQ29)</f>
        <v>0</v>
      </c>
      <c r="AR26" s="335">
        <f t="shared" ref="AR26" si="211">SUM(AR27:AR29)</f>
        <v>0</v>
      </c>
      <c r="AS26" s="335">
        <f t="shared" ref="AS26:AT26" si="212">SUM(AS27:AS29)</f>
        <v>0</v>
      </c>
      <c r="AT26" s="335">
        <f t="shared" si="212"/>
        <v>0</v>
      </c>
      <c r="AU26" s="335">
        <f t="shared" ref="AU26" si="213">SUM(AU27:AU29)</f>
        <v>0</v>
      </c>
      <c r="AV26" s="335">
        <f t="shared" ref="AV26" si="214">SUM(AV27:AV29)</f>
        <v>0</v>
      </c>
      <c r="AW26" s="335">
        <f t="shared" ref="AW26:AX26" si="215">SUM(AW27:AW29)</f>
        <v>0</v>
      </c>
      <c r="AX26" s="335">
        <f t="shared" si="215"/>
        <v>0</v>
      </c>
      <c r="AY26" s="335">
        <f t="shared" ref="AY26" si="216">SUM(AY27:AY29)</f>
        <v>0</v>
      </c>
      <c r="AZ26" s="335">
        <f t="shared" ref="AZ26" si="217">SUM(AZ27:AZ29)</f>
        <v>0</v>
      </c>
      <c r="BA26" s="335">
        <f t="shared" ref="BA26:BE26" si="218">SUM(BA27:BA29)</f>
        <v>0</v>
      </c>
      <c r="BB26" s="335">
        <f t="shared" ref="BB26" si="219">SUM(BB27:BB29)</f>
        <v>0</v>
      </c>
      <c r="BC26" s="335">
        <f t="shared" ref="BC26" si="220">SUM(BC27:BC29)</f>
        <v>0</v>
      </c>
      <c r="BD26" s="335">
        <f t="shared" ref="BD26" si="221">SUM(BD27:BD29)</f>
        <v>0</v>
      </c>
      <c r="BE26" s="335">
        <f t="shared" si="218"/>
        <v>0</v>
      </c>
      <c r="BF26" s="335">
        <f t="shared" ref="BF26:BI26" si="222">SUM(BF27:BF29)</f>
        <v>0</v>
      </c>
      <c r="BG26" s="335">
        <f t="shared" ref="BG26" si="223">SUM(BG27:BG29)</f>
        <v>0</v>
      </c>
      <c r="BH26" s="335">
        <f t="shared" ref="BH26" si="224">SUM(BH27:BH29)</f>
        <v>0</v>
      </c>
      <c r="BI26" s="335">
        <f t="shared" si="222"/>
        <v>0</v>
      </c>
      <c r="BJ26" s="335">
        <f t="shared" ref="BJ26" si="225">SUM(BJ27:BJ29)</f>
        <v>0</v>
      </c>
      <c r="BK26" s="335">
        <f t="shared" ref="BK26:BN26" si="226">SUM(BK27:BK29)</f>
        <v>0</v>
      </c>
      <c r="BL26" s="335">
        <f t="shared" ref="BL26" si="227">SUM(BL27:BL29)</f>
        <v>0</v>
      </c>
      <c r="BM26" s="335">
        <f t="shared" si="226"/>
        <v>0</v>
      </c>
      <c r="BN26" s="335">
        <f t="shared" si="226"/>
        <v>0</v>
      </c>
      <c r="BO26" s="335">
        <f t="shared" ref="BO26" si="228">SUM(BO27:BO29)</f>
        <v>0</v>
      </c>
      <c r="BP26" s="335">
        <f t="shared" ref="BP26" si="229">SUM(BP27:BP29)</f>
        <v>0</v>
      </c>
      <c r="BQ26" s="372">
        <f t="shared" si="44"/>
        <v>0</v>
      </c>
      <c r="BR26" s="618">
        <f t="shared" si="45"/>
        <v>0</v>
      </c>
      <c r="BS26" s="618">
        <f t="shared" ca="1" si="46"/>
        <v>0</v>
      </c>
      <c r="BT26" s="618">
        <f t="shared" ca="1" si="47"/>
        <v>0</v>
      </c>
      <c r="BU26" s="646"/>
      <c r="BV26" s="646"/>
    </row>
    <row r="27" spans="1:74" ht="15.75" hidden="1" customHeight="1" thickBot="1" x14ac:dyDescent="0.3">
      <c r="A27" s="184"/>
      <c r="B27" s="180" t="s">
        <v>71</v>
      </c>
      <c r="C27" s="336"/>
      <c r="D27" s="336"/>
      <c r="E27" s="336"/>
      <c r="F27" s="336"/>
      <c r="G27" s="336"/>
      <c r="H27" s="336"/>
      <c r="I27" s="336"/>
      <c r="J27" s="336"/>
      <c r="K27" s="336"/>
      <c r="L27" s="335"/>
      <c r="M27" s="335"/>
      <c r="N27" s="335"/>
      <c r="O27" s="336"/>
      <c r="P27" s="336"/>
      <c r="Q27" s="336"/>
      <c r="R27" s="336"/>
      <c r="S27" s="336"/>
      <c r="T27" s="335"/>
      <c r="U27" s="335"/>
      <c r="V27" s="335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72">
        <f t="shared" si="44"/>
        <v>0</v>
      </c>
      <c r="BR27" s="618">
        <f t="shared" si="45"/>
        <v>0</v>
      </c>
      <c r="BS27" s="618">
        <f t="shared" ca="1" si="46"/>
        <v>0</v>
      </c>
      <c r="BT27" s="618">
        <f t="shared" ca="1" si="47"/>
        <v>0</v>
      </c>
      <c r="BU27" s="646"/>
      <c r="BV27" s="646"/>
    </row>
    <row r="28" spans="1:74" ht="15.75" hidden="1" customHeight="1" thickBot="1" x14ac:dyDescent="0.3">
      <c r="A28" s="184"/>
      <c r="B28" s="180" t="s">
        <v>72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35"/>
      <c r="M28" s="335"/>
      <c r="N28" s="335"/>
      <c r="O28" s="336"/>
      <c r="P28" s="336"/>
      <c r="Q28" s="336"/>
      <c r="R28" s="336"/>
      <c r="S28" s="336"/>
      <c r="T28" s="335"/>
      <c r="U28" s="335"/>
      <c r="V28" s="335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72">
        <f t="shared" si="44"/>
        <v>0</v>
      </c>
      <c r="BR28" s="618">
        <f t="shared" si="45"/>
        <v>0</v>
      </c>
      <c r="BS28" s="618">
        <f t="shared" ca="1" si="46"/>
        <v>0</v>
      </c>
      <c r="BT28" s="618">
        <f t="shared" ca="1" si="47"/>
        <v>0</v>
      </c>
      <c r="BU28" s="646"/>
      <c r="BV28" s="646"/>
    </row>
    <row r="29" spans="1:74" ht="15.75" hidden="1" customHeight="1" thickBot="1" x14ac:dyDescent="0.3">
      <c r="A29" s="184"/>
      <c r="B29" s="180" t="s">
        <v>73</v>
      </c>
      <c r="C29" s="336"/>
      <c r="D29" s="336"/>
      <c r="E29" s="336"/>
      <c r="F29" s="336"/>
      <c r="G29" s="336"/>
      <c r="H29" s="336"/>
      <c r="I29" s="336"/>
      <c r="J29" s="336"/>
      <c r="K29" s="336"/>
      <c r="L29" s="335"/>
      <c r="M29" s="335"/>
      <c r="N29" s="335"/>
      <c r="O29" s="336"/>
      <c r="P29" s="336"/>
      <c r="Q29" s="336"/>
      <c r="R29" s="336"/>
      <c r="S29" s="336"/>
      <c r="T29" s="335"/>
      <c r="U29" s="335"/>
      <c r="V29" s="335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72">
        <f t="shared" si="44"/>
        <v>0</v>
      </c>
      <c r="BR29" s="618">
        <f t="shared" si="45"/>
        <v>0</v>
      </c>
      <c r="BS29" s="618">
        <f t="shared" ca="1" si="46"/>
        <v>0</v>
      </c>
      <c r="BT29" s="618">
        <f t="shared" ca="1" si="47"/>
        <v>0</v>
      </c>
      <c r="BU29" s="646"/>
      <c r="BV29" s="646"/>
    </row>
    <row r="30" spans="1:74" ht="15.75" hidden="1" customHeight="1" thickBot="1" x14ac:dyDescent="0.3">
      <c r="A30" s="184" t="s">
        <v>74</v>
      </c>
      <c r="B30" s="180" t="s">
        <v>75</v>
      </c>
      <c r="C30" s="336">
        <f t="shared" ref="C30:G30" si="230">C31+C33+C34</f>
        <v>0</v>
      </c>
      <c r="D30" s="336">
        <f t="shared" ref="D30:E30" si="231">D31+D33+D34</f>
        <v>0</v>
      </c>
      <c r="E30" s="336">
        <f t="shared" si="231"/>
        <v>0</v>
      </c>
      <c r="F30" s="336">
        <f t="shared" ref="F30" si="232">F31+F33+F34</f>
        <v>0</v>
      </c>
      <c r="G30" s="336">
        <f t="shared" si="230"/>
        <v>0</v>
      </c>
      <c r="H30" s="336">
        <f t="shared" ref="H30" si="233">H31+H33+H34</f>
        <v>0</v>
      </c>
      <c r="I30" s="336">
        <f t="shared" ref="I30" si="234">I31+I33+I34</f>
        <v>0</v>
      </c>
      <c r="J30" s="336">
        <f t="shared" ref="J30" si="235">J31+J33+J34</f>
        <v>0</v>
      </c>
      <c r="K30" s="336">
        <f t="shared" ref="K30" si="236">K31+K33+K34</f>
        <v>0</v>
      </c>
      <c r="L30" s="336"/>
      <c r="M30" s="336"/>
      <c r="N30" s="336"/>
      <c r="O30" s="336">
        <f t="shared" ref="O30:P30" si="237">O31+O33+O34</f>
        <v>0</v>
      </c>
      <c r="P30" s="336">
        <f t="shared" si="237"/>
        <v>0</v>
      </c>
      <c r="Q30" s="336">
        <f t="shared" ref="Q30" si="238">Q31+Q33+Q34</f>
        <v>0</v>
      </c>
      <c r="R30" s="336">
        <f t="shared" ref="R30" si="239">R31+R33+R34</f>
        <v>0</v>
      </c>
      <c r="S30" s="336">
        <f t="shared" ref="S30" si="240">S31+S33+S34</f>
        <v>0</v>
      </c>
      <c r="T30" s="336"/>
      <c r="U30" s="336"/>
      <c r="V30" s="336"/>
      <c r="W30" s="336">
        <f t="shared" ref="W30:X30" si="241">W31+W33+W34</f>
        <v>0</v>
      </c>
      <c r="X30" s="336">
        <f t="shared" si="241"/>
        <v>0</v>
      </c>
      <c r="Y30" s="336">
        <f t="shared" ref="Y30" si="242">Y31+Y33+Y34</f>
        <v>0</v>
      </c>
      <c r="Z30" s="336">
        <f t="shared" ref="Z30" si="243">Z31+Z33+Z34</f>
        <v>0</v>
      </c>
      <c r="AA30" s="336">
        <f t="shared" ref="AA30:AB30" si="244">AA31+AA33+AA34</f>
        <v>0</v>
      </c>
      <c r="AB30" s="336">
        <f t="shared" si="244"/>
        <v>0</v>
      </c>
      <c r="AC30" s="336">
        <f t="shared" ref="AC30" si="245">AC31+AC33+AC34</f>
        <v>0</v>
      </c>
      <c r="AD30" s="336">
        <f t="shared" ref="AD30" si="246">AD31+AD33+AD34</f>
        <v>0</v>
      </c>
      <c r="AE30" s="336">
        <f t="shared" ref="AE30" si="247">AE31+AE33+AE34</f>
        <v>0</v>
      </c>
      <c r="AF30" s="336">
        <f t="shared" ref="AF30" si="248">AF31+AF33+AF34</f>
        <v>0</v>
      </c>
      <c r="AG30" s="336">
        <f t="shared" ref="AG30:AH30" si="249">AG31+AG33+AG34</f>
        <v>0</v>
      </c>
      <c r="AH30" s="336">
        <f t="shared" si="249"/>
        <v>0</v>
      </c>
      <c r="AI30" s="336">
        <f t="shared" ref="AI30" si="250">AI31+AI33+AI34</f>
        <v>0</v>
      </c>
      <c r="AJ30" s="336">
        <f t="shared" ref="AJ30" si="251">AJ31+AJ33+AJ34</f>
        <v>0</v>
      </c>
      <c r="AK30" s="336">
        <f t="shared" ref="AK30:AL30" si="252">AK31+AK33+AK34</f>
        <v>0</v>
      </c>
      <c r="AL30" s="336">
        <f t="shared" si="252"/>
        <v>0</v>
      </c>
      <c r="AM30" s="336">
        <f t="shared" ref="AM30" si="253">AM31+AM33+AM34</f>
        <v>0</v>
      </c>
      <c r="AN30" s="336">
        <f t="shared" ref="AN30" si="254">AN31+AN33+AN34</f>
        <v>0</v>
      </c>
      <c r="AO30" s="336">
        <f t="shared" ref="AO30:AP30" si="255">AO31+AO33+AO34</f>
        <v>0</v>
      </c>
      <c r="AP30" s="336">
        <f t="shared" si="255"/>
        <v>0</v>
      </c>
      <c r="AQ30" s="336">
        <f t="shared" ref="AQ30" si="256">AQ31+AQ33+AQ34</f>
        <v>0</v>
      </c>
      <c r="AR30" s="336">
        <f t="shared" ref="AR30" si="257">AR31+AR33+AR34</f>
        <v>0</v>
      </c>
      <c r="AS30" s="336">
        <f t="shared" ref="AS30:AT30" si="258">AS31+AS33+AS34</f>
        <v>0</v>
      </c>
      <c r="AT30" s="336">
        <f t="shared" si="258"/>
        <v>0</v>
      </c>
      <c r="AU30" s="336">
        <f t="shared" ref="AU30" si="259">AU31+AU33+AU34</f>
        <v>0</v>
      </c>
      <c r="AV30" s="336">
        <f t="shared" ref="AV30" si="260">AV31+AV33+AV34</f>
        <v>0</v>
      </c>
      <c r="AW30" s="336">
        <f t="shared" ref="AW30:AX30" si="261">AW31+AW33+AW34</f>
        <v>0</v>
      </c>
      <c r="AX30" s="336">
        <f t="shared" si="261"/>
        <v>0</v>
      </c>
      <c r="AY30" s="336">
        <f t="shared" ref="AY30" si="262">AY31+AY33+AY34</f>
        <v>0</v>
      </c>
      <c r="AZ30" s="336">
        <f t="shared" ref="AZ30" si="263">AZ31+AZ33+AZ34</f>
        <v>0</v>
      </c>
      <c r="BA30" s="336">
        <f t="shared" ref="BA30:BE30" si="264">BA31+BA33+BA34</f>
        <v>0</v>
      </c>
      <c r="BB30" s="336">
        <f t="shared" ref="BB30" si="265">BB31+BB33+BB34</f>
        <v>0</v>
      </c>
      <c r="BC30" s="336">
        <f t="shared" ref="BC30" si="266">BC31+BC33+BC34</f>
        <v>0</v>
      </c>
      <c r="BD30" s="336">
        <f t="shared" ref="BD30" si="267">BD31+BD33+BD34</f>
        <v>0</v>
      </c>
      <c r="BE30" s="336">
        <f t="shared" si="264"/>
        <v>0</v>
      </c>
      <c r="BF30" s="336">
        <f t="shared" ref="BF30:BI30" si="268">BF31+BF33+BF34</f>
        <v>0</v>
      </c>
      <c r="BG30" s="336">
        <f t="shared" ref="BG30" si="269">BG31+BG33+BG34</f>
        <v>0</v>
      </c>
      <c r="BH30" s="336">
        <f t="shared" ref="BH30" si="270">BH31+BH33+BH34</f>
        <v>0</v>
      </c>
      <c r="BI30" s="336">
        <f t="shared" si="268"/>
        <v>0</v>
      </c>
      <c r="BJ30" s="336">
        <f t="shared" ref="BJ30" si="271">BJ31+BJ33+BJ34</f>
        <v>0</v>
      </c>
      <c r="BK30" s="336">
        <f t="shared" ref="BK30:BN30" si="272">BK31+BK33+BK34</f>
        <v>0</v>
      </c>
      <c r="BL30" s="336">
        <f t="shared" ref="BL30" si="273">BL31+BL33+BL34</f>
        <v>0</v>
      </c>
      <c r="BM30" s="336">
        <f t="shared" si="272"/>
        <v>0</v>
      </c>
      <c r="BN30" s="336">
        <f t="shared" si="272"/>
        <v>0</v>
      </c>
      <c r="BO30" s="336">
        <f t="shared" ref="BO30" si="274">BO31+BO33+BO34</f>
        <v>0</v>
      </c>
      <c r="BP30" s="336">
        <f t="shared" ref="BP30" si="275">BP31+BP33+BP34</f>
        <v>0</v>
      </c>
      <c r="BQ30" s="372">
        <f t="shared" si="44"/>
        <v>0</v>
      </c>
      <c r="BR30" s="618">
        <f t="shared" si="45"/>
        <v>0</v>
      </c>
      <c r="BS30" s="618">
        <f t="shared" ca="1" si="46"/>
        <v>0</v>
      </c>
      <c r="BT30" s="618">
        <f t="shared" ca="1" si="47"/>
        <v>0</v>
      </c>
      <c r="BU30" s="646"/>
      <c r="BV30" s="646"/>
    </row>
    <row r="31" spans="1:74" ht="15.75" hidden="1" customHeight="1" thickBot="1" x14ac:dyDescent="0.3">
      <c r="A31" s="184" t="s">
        <v>76</v>
      </c>
      <c r="B31" s="180" t="s">
        <v>77</v>
      </c>
      <c r="C31" s="336">
        <f t="shared" ref="C31:J31" si="276">C32</f>
        <v>0</v>
      </c>
      <c r="D31" s="336">
        <f t="shared" si="276"/>
        <v>0</v>
      </c>
      <c r="E31" s="336">
        <f t="shared" si="276"/>
        <v>0</v>
      </c>
      <c r="F31" s="336">
        <f t="shared" si="276"/>
        <v>0</v>
      </c>
      <c r="G31" s="336">
        <f t="shared" si="276"/>
        <v>0</v>
      </c>
      <c r="H31" s="336">
        <f t="shared" si="276"/>
        <v>0</v>
      </c>
      <c r="I31" s="336">
        <f t="shared" si="276"/>
        <v>0</v>
      </c>
      <c r="J31" s="336">
        <f t="shared" si="276"/>
        <v>0</v>
      </c>
      <c r="K31" s="336">
        <f t="shared" ref="K31" si="277">K32</f>
        <v>0</v>
      </c>
      <c r="L31" s="336"/>
      <c r="M31" s="336"/>
      <c r="N31" s="336"/>
      <c r="O31" s="336">
        <f t="shared" ref="O31:R31" si="278">O32</f>
        <v>0</v>
      </c>
      <c r="P31" s="336">
        <f t="shared" si="278"/>
        <v>0</v>
      </c>
      <c r="Q31" s="336">
        <f t="shared" si="278"/>
        <v>0</v>
      </c>
      <c r="R31" s="336">
        <f t="shared" si="278"/>
        <v>0</v>
      </c>
      <c r="S31" s="336">
        <f t="shared" ref="S31" si="279">S32</f>
        <v>0</v>
      </c>
      <c r="T31" s="336"/>
      <c r="U31" s="336"/>
      <c r="V31" s="336"/>
      <c r="W31" s="336">
        <f t="shared" ref="W31:Z31" si="280">W32</f>
        <v>0</v>
      </c>
      <c r="X31" s="336">
        <f t="shared" si="280"/>
        <v>0</v>
      </c>
      <c r="Y31" s="336">
        <f t="shared" si="280"/>
        <v>0</v>
      </c>
      <c r="Z31" s="336">
        <f t="shared" si="280"/>
        <v>0</v>
      </c>
      <c r="AA31" s="336">
        <f t="shared" ref="AA31:AD31" si="281">AA32</f>
        <v>0</v>
      </c>
      <c r="AB31" s="336">
        <f t="shared" si="281"/>
        <v>0</v>
      </c>
      <c r="AC31" s="336">
        <f t="shared" si="281"/>
        <v>0</v>
      </c>
      <c r="AD31" s="336">
        <f t="shared" si="281"/>
        <v>0</v>
      </c>
      <c r="AE31" s="336">
        <f t="shared" ref="AE31" si="282">AE32</f>
        <v>0</v>
      </c>
      <c r="AF31" s="336">
        <f t="shared" ref="AF31" si="283">AF32</f>
        <v>0</v>
      </c>
      <c r="AG31" s="336">
        <f t="shared" ref="AG31:AJ31" si="284">AG32</f>
        <v>0</v>
      </c>
      <c r="AH31" s="336">
        <f t="shared" si="284"/>
        <v>0</v>
      </c>
      <c r="AI31" s="336">
        <f t="shared" si="284"/>
        <v>0</v>
      </c>
      <c r="AJ31" s="336">
        <f t="shared" si="284"/>
        <v>0</v>
      </c>
      <c r="AK31" s="336">
        <f t="shared" ref="AK31:AN31" si="285">AK32</f>
        <v>0</v>
      </c>
      <c r="AL31" s="336">
        <f t="shared" si="285"/>
        <v>0</v>
      </c>
      <c r="AM31" s="336">
        <f t="shared" si="285"/>
        <v>0</v>
      </c>
      <c r="AN31" s="336">
        <f t="shared" si="285"/>
        <v>0</v>
      </c>
      <c r="AO31" s="336">
        <f t="shared" ref="AO31:AR31" si="286">AO32</f>
        <v>0</v>
      </c>
      <c r="AP31" s="336">
        <f t="shared" si="286"/>
        <v>0</v>
      </c>
      <c r="AQ31" s="336">
        <f t="shared" si="286"/>
        <v>0</v>
      </c>
      <c r="AR31" s="336">
        <f t="shared" si="286"/>
        <v>0</v>
      </c>
      <c r="AS31" s="336">
        <f t="shared" ref="AS31:AV31" si="287">AS32</f>
        <v>0</v>
      </c>
      <c r="AT31" s="336">
        <f t="shared" si="287"/>
        <v>0</v>
      </c>
      <c r="AU31" s="336">
        <f t="shared" si="287"/>
        <v>0</v>
      </c>
      <c r="AV31" s="336">
        <f t="shared" si="287"/>
        <v>0</v>
      </c>
      <c r="AW31" s="336">
        <f t="shared" ref="AW31:AZ31" si="288">AW32</f>
        <v>0</v>
      </c>
      <c r="AX31" s="336">
        <f t="shared" si="288"/>
        <v>0</v>
      </c>
      <c r="AY31" s="336">
        <f t="shared" si="288"/>
        <v>0</v>
      </c>
      <c r="AZ31" s="336">
        <f t="shared" si="288"/>
        <v>0</v>
      </c>
      <c r="BA31" s="336">
        <f t="shared" ref="BA31:BD31" si="289">BA32</f>
        <v>0</v>
      </c>
      <c r="BB31" s="336">
        <f t="shared" si="289"/>
        <v>0</v>
      </c>
      <c r="BC31" s="336">
        <f t="shared" si="289"/>
        <v>0</v>
      </c>
      <c r="BD31" s="336">
        <f t="shared" si="289"/>
        <v>0</v>
      </c>
      <c r="BE31" s="336">
        <f t="shared" ref="BE31:BP31" si="290">BE32</f>
        <v>0</v>
      </c>
      <c r="BF31" s="336">
        <f t="shared" si="290"/>
        <v>0</v>
      </c>
      <c r="BG31" s="336">
        <f t="shared" si="290"/>
        <v>0</v>
      </c>
      <c r="BH31" s="336">
        <f t="shared" si="290"/>
        <v>0</v>
      </c>
      <c r="BI31" s="336">
        <f t="shared" si="290"/>
        <v>0</v>
      </c>
      <c r="BJ31" s="336">
        <f t="shared" si="290"/>
        <v>0</v>
      </c>
      <c r="BK31" s="336">
        <f t="shared" si="290"/>
        <v>0</v>
      </c>
      <c r="BL31" s="336">
        <f t="shared" si="290"/>
        <v>0</v>
      </c>
      <c r="BM31" s="336">
        <f t="shared" si="290"/>
        <v>0</v>
      </c>
      <c r="BN31" s="336">
        <f t="shared" si="290"/>
        <v>0</v>
      </c>
      <c r="BO31" s="336">
        <f t="shared" si="290"/>
        <v>0</v>
      </c>
      <c r="BP31" s="336">
        <f t="shared" si="290"/>
        <v>0</v>
      </c>
      <c r="BQ31" s="372">
        <f t="shared" si="44"/>
        <v>0</v>
      </c>
      <c r="BR31" s="618">
        <f t="shared" si="45"/>
        <v>0</v>
      </c>
      <c r="BS31" s="618">
        <f t="shared" ca="1" si="46"/>
        <v>0</v>
      </c>
      <c r="BT31" s="618">
        <f t="shared" ca="1" si="47"/>
        <v>0</v>
      </c>
      <c r="BU31" s="646"/>
      <c r="BV31" s="646"/>
    </row>
    <row r="32" spans="1:74" ht="15.75" hidden="1" customHeight="1" thickBot="1" x14ac:dyDescent="0.3">
      <c r="A32" s="184"/>
      <c r="B32" s="180" t="s">
        <v>78</v>
      </c>
      <c r="C32" s="336"/>
      <c r="D32" s="336"/>
      <c r="E32" s="336"/>
      <c r="F32" s="336"/>
      <c r="G32" s="336"/>
      <c r="H32" s="336"/>
      <c r="I32" s="336"/>
      <c r="J32" s="336"/>
      <c r="K32" s="336"/>
      <c r="L32" s="335"/>
      <c r="M32" s="335"/>
      <c r="N32" s="335"/>
      <c r="O32" s="336"/>
      <c r="P32" s="336"/>
      <c r="Q32" s="336"/>
      <c r="R32" s="336"/>
      <c r="S32" s="336"/>
      <c r="T32" s="335"/>
      <c r="U32" s="335"/>
      <c r="V32" s="335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/>
      <c r="AZ32" s="336"/>
      <c r="BA32" s="336"/>
      <c r="BB32" s="336"/>
      <c r="BC32" s="336"/>
      <c r="BD32" s="336"/>
      <c r="BE32" s="336"/>
      <c r="BF32" s="336"/>
      <c r="BG32" s="336"/>
      <c r="BH32" s="336"/>
      <c r="BI32" s="336"/>
      <c r="BJ32" s="336"/>
      <c r="BK32" s="336"/>
      <c r="BL32" s="336"/>
      <c r="BM32" s="336"/>
      <c r="BN32" s="336"/>
      <c r="BO32" s="336"/>
      <c r="BP32" s="336"/>
      <c r="BQ32" s="372">
        <f t="shared" si="44"/>
        <v>0</v>
      </c>
      <c r="BR32" s="618">
        <f t="shared" si="45"/>
        <v>0</v>
      </c>
      <c r="BS32" s="618">
        <f t="shared" ca="1" si="46"/>
        <v>0</v>
      </c>
      <c r="BT32" s="618">
        <f t="shared" ca="1" si="47"/>
        <v>0</v>
      </c>
      <c r="BU32" s="646"/>
      <c r="BV32" s="646"/>
    </row>
    <row r="33" spans="1:74" ht="15.75" hidden="1" customHeight="1" thickBot="1" x14ac:dyDescent="0.3">
      <c r="A33" s="184" t="s">
        <v>79</v>
      </c>
      <c r="B33" s="180" t="s">
        <v>80</v>
      </c>
      <c r="C33" s="336"/>
      <c r="D33" s="336"/>
      <c r="E33" s="336"/>
      <c r="F33" s="336"/>
      <c r="G33" s="336"/>
      <c r="H33" s="336"/>
      <c r="I33" s="336"/>
      <c r="J33" s="336"/>
      <c r="K33" s="336"/>
      <c r="L33" s="335"/>
      <c r="M33" s="335"/>
      <c r="N33" s="335"/>
      <c r="O33" s="336"/>
      <c r="P33" s="336"/>
      <c r="Q33" s="336"/>
      <c r="R33" s="336"/>
      <c r="S33" s="336"/>
      <c r="T33" s="335"/>
      <c r="U33" s="335"/>
      <c r="V33" s="335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6"/>
      <c r="AM33" s="336"/>
      <c r="AN33" s="336"/>
      <c r="AO33" s="336"/>
      <c r="AP33" s="336"/>
      <c r="AQ33" s="336"/>
      <c r="AR33" s="336"/>
      <c r="AS33" s="336"/>
      <c r="AT33" s="336"/>
      <c r="AU33" s="336"/>
      <c r="AV33" s="336"/>
      <c r="AW33" s="336"/>
      <c r="AX33" s="336"/>
      <c r="AY33" s="336"/>
      <c r="AZ33" s="336"/>
      <c r="BA33" s="336"/>
      <c r="BB33" s="336"/>
      <c r="BC33" s="336"/>
      <c r="BD33" s="336"/>
      <c r="BE33" s="336"/>
      <c r="BF33" s="336"/>
      <c r="BG33" s="336"/>
      <c r="BH33" s="336"/>
      <c r="BI33" s="336"/>
      <c r="BJ33" s="336"/>
      <c r="BK33" s="336"/>
      <c r="BL33" s="336"/>
      <c r="BM33" s="336"/>
      <c r="BN33" s="336"/>
      <c r="BO33" s="336"/>
      <c r="BP33" s="336"/>
      <c r="BQ33" s="372">
        <f t="shared" si="44"/>
        <v>0</v>
      </c>
      <c r="BR33" s="618">
        <f t="shared" si="45"/>
        <v>0</v>
      </c>
      <c r="BS33" s="618">
        <f t="shared" ca="1" si="46"/>
        <v>0</v>
      </c>
      <c r="BT33" s="618">
        <f t="shared" ca="1" si="47"/>
        <v>0</v>
      </c>
      <c r="BU33" s="646"/>
      <c r="BV33" s="646"/>
    </row>
    <row r="34" spans="1:74" ht="15.75" hidden="1" customHeight="1" thickBot="1" x14ac:dyDescent="0.3">
      <c r="A34" s="184" t="s">
        <v>81</v>
      </c>
      <c r="B34" s="180" t="s">
        <v>82</v>
      </c>
      <c r="C34" s="336">
        <f t="shared" ref="C34:G34" si="291">SUM(C35:C37)</f>
        <v>0</v>
      </c>
      <c r="D34" s="336">
        <f t="shared" ref="D34:E34" si="292">SUM(D35:D37)</f>
        <v>0</v>
      </c>
      <c r="E34" s="336">
        <f t="shared" si="292"/>
        <v>0</v>
      </c>
      <c r="F34" s="336">
        <f t="shared" ref="F34" si="293">SUM(F35:F37)</f>
        <v>0</v>
      </c>
      <c r="G34" s="336">
        <f t="shared" si="291"/>
        <v>0</v>
      </c>
      <c r="H34" s="336">
        <f t="shared" ref="H34" si="294">SUM(H35:H37)</f>
        <v>0</v>
      </c>
      <c r="I34" s="336">
        <f t="shared" ref="I34" si="295">SUM(I35:I37)</f>
        <v>0</v>
      </c>
      <c r="J34" s="336">
        <f t="shared" ref="J34" si="296">SUM(J35:J37)</f>
        <v>0</v>
      </c>
      <c r="K34" s="336">
        <f t="shared" ref="K34" si="297">SUM(K35:K37)</f>
        <v>0</v>
      </c>
      <c r="L34" s="336"/>
      <c r="M34" s="336"/>
      <c r="N34" s="336"/>
      <c r="O34" s="336">
        <f t="shared" ref="O34:P34" si="298">SUM(O35:O37)</f>
        <v>0</v>
      </c>
      <c r="P34" s="336">
        <f t="shared" si="298"/>
        <v>0</v>
      </c>
      <c r="Q34" s="336">
        <f t="shared" ref="Q34" si="299">SUM(Q35:Q37)</f>
        <v>0</v>
      </c>
      <c r="R34" s="336">
        <f t="shared" ref="R34" si="300">SUM(R35:R37)</f>
        <v>0</v>
      </c>
      <c r="S34" s="336">
        <f t="shared" ref="S34" si="301">SUM(S35:S37)</f>
        <v>0</v>
      </c>
      <c r="T34" s="336"/>
      <c r="U34" s="336"/>
      <c r="V34" s="336"/>
      <c r="W34" s="336">
        <f t="shared" ref="W34:X34" si="302">SUM(W35:W37)</f>
        <v>0</v>
      </c>
      <c r="X34" s="336">
        <f t="shared" si="302"/>
        <v>0</v>
      </c>
      <c r="Y34" s="336">
        <f t="shared" ref="Y34" si="303">SUM(Y35:Y37)</f>
        <v>0</v>
      </c>
      <c r="Z34" s="336">
        <f t="shared" ref="Z34" si="304">SUM(Z35:Z37)</f>
        <v>0</v>
      </c>
      <c r="AA34" s="336">
        <f t="shared" ref="AA34:AB34" si="305">SUM(AA35:AA37)</f>
        <v>0</v>
      </c>
      <c r="AB34" s="336">
        <f t="shared" si="305"/>
        <v>0</v>
      </c>
      <c r="AC34" s="336">
        <f t="shared" ref="AC34" si="306">SUM(AC35:AC37)</f>
        <v>0</v>
      </c>
      <c r="AD34" s="336">
        <f t="shared" ref="AD34" si="307">SUM(AD35:AD37)</f>
        <v>0</v>
      </c>
      <c r="AE34" s="336">
        <f t="shared" ref="AE34" si="308">SUM(AE35:AE37)</f>
        <v>0</v>
      </c>
      <c r="AF34" s="336">
        <f t="shared" ref="AF34" si="309">SUM(AF35:AF37)</f>
        <v>0</v>
      </c>
      <c r="AG34" s="336">
        <f t="shared" ref="AG34:AH34" si="310">SUM(AG35:AG37)</f>
        <v>0</v>
      </c>
      <c r="AH34" s="336">
        <f t="shared" si="310"/>
        <v>0</v>
      </c>
      <c r="AI34" s="336">
        <f t="shared" ref="AI34" si="311">SUM(AI35:AI37)</f>
        <v>0</v>
      </c>
      <c r="AJ34" s="336">
        <f t="shared" ref="AJ34" si="312">SUM(AJ35:AJ37)</f>
        <v>0</v>
      </c>
      <c r="AK34" s="336">
        <f t="shared" ref="AK34:AL34" si="313">SUM(AK35:AK37)</f>
        <v>0</v>
      </c>
      <c r="AL34" s="336">
        <f t="shared" si="313"/>
        <v>0</v>
      </c>
      <c r="AM34" s="336">
        <f t="shared" ref="AM34" si="314">SUM(AM35:AM37)</f>
        <v>0</v>
      </c>
      <c r="AN34" s="336">
        <f t="shared" ref="AN34" si="315">SUM(AN35:AN37)</f>
        <v>0</v>
      </c>
      <c r="AO34" s="336">
        <f t="shared" ref="AO34:AP34" si="316">SUM(AO35:AO37)</f>
        <v>0</v>
      </c>
      <c r="AP34" s="336">
        <f t="shared" si="316"/>
        <v>0</v>
      </c>
      <c r="AQ34" s="336">
        <f t="shared" ref="AQ34" si="317">SUM(AQ35:AQ37)</f>
        <v>0</v>
      </c>
      <c r="AR34" s="336">
        <f t="shared" ref="AR34" si="318">SUM(AR35:AR37)</f>
        <v>0</v>
      </c>
      <c r="AS34" s="336">
        <f t="shared" ref="AS34:AT34" si="319">SUM(AS35:AS37)</f>
        <v>0</v>
      </c>
      <c r="AT34" s="336">
        <f t="shared" si="319"/>
        <v>0</v>
      </c>
      <c r="AU34" s="336">
        <f t="shared" ref="AU34" si="320">SUM(AU35:AU37)</f>
        <v>0</v>
      </c>
      <c r="AV34" s="336">
        <f t="shared" ref="AV34" si="321">SUM(AV35:AV37)</f>
        <v>0</v>
      </c>
      <c r="AW34" s="336">
        <f t="shared" ref="AW34:AX34" si="322">SUM(AW35:AW37)</f>
        <v>0</v>
      </c>
      <c r="AX34" s="336">
        <f t="shared" si="322"/>
        <v>0</v>
      </c>
      <c r="AY34" s="336">
        <f t="shared" ref="AY34" si="323">SUM(AY35:AY37)</f>
        <v>0</v>
      </c>
      <c r="AZ34" s="336">
        <f t="shared" ref="AZ34" si="324">SUM(AZ35:AZ37)</f>
        <v>0</v>
      </c>
      <c r="BA34" s="336">
        <f t="shared" ref="BA34:BE34" si="325">SUM(BA35:BA37)</f>
        <v>0</v>
      </c>
      <c r="BB34" s="336">
        <f t="shared" ref="BB34" si="326">SUM(BB35:BB37)</f>
        <v>0</v>
      </c>
      <c r="BC34" s="336">
        <f t="shared" ref="BC34" si="327">SUM(BC35:BC37)</f>
        <v>0</v>
      </c>
      <c r="BD34" s="336">
        <f t="shared" ref="BD34" si="328">SUM(BD35:BD37)</f>
        <v>0</v>
      </c>
      <c r="BE34" s="336">
        <f t="shared" si="325"/>
        <v>0</v>
      </c>
      <c r="BF34" s="336">
        <f t="shared" ref="BF34:BI34" si="329">SUM(BF35:BF37)</f>
        <v>0</v>
      </c>
      <c r="BG34" s="336">
        <f t="shared" ref="BG34" si="330">SUM(BG35:BG37)</f>
        <v>0</v>
      </c>
      <c r="BH34" s="336">
        <f t="shared" ref="BH34" si="331">SUM(BH35:BH37)</f>
        <v>0</v>
      </c>
      <c r="BI34" s="336">
        <f t="shared" si="329"/>
        <v>0</v>
      </c>
      <c r="BJ34" s="336">
        <f t="shared" ref="BJ34" si="332">SUM(BJ35:BJ37)</f>
        <v>0</v>
      </c>
      <c r="BK34" s="336">
        <f t="shared" ref="BK34:BN34" si="333">SUM(BK35:BK37)</f>
        <v>0</v>
      </c>
      <c r="BL34" s="336">
        <f t="shared" ref="BL34" si="334">SUM(BL35:BL37)</f>
        <v>0</v>
      </c>
      <c r="BM34" s="336">
        <f t="shared" si="333"/>
        <v>0</v>
      </c>
      <c r="BN34" s="336">
        <f t="shared" si="333"/>
        <v>0</v>
      </c>
      <c r="BO34" s="336">
        <f t="shared" ref="BO34" si="335">SUM(BO35:BO37)</f>
        <v>0</v>
      </c>
      <c r="BP34" s="336">
        <f t="shared" ref="BP34" si="336">SUM(BP35:BP37)</f>
        <v>0</v>
      </c>
      <c r="BQ34" s="372">
        <f t="shared" si="44"/>
        <v>0</v>
      </c>
      <c r="BR34" s="618">
        <f t="shared" si="45"/>
        <v>0</v>
      </c>
      <c r="BS34" s="618">
        <f t="shared" ca="1" si="46"/>
        <v>0</v>
      </c>
      <c r="BT34" s="618">
        <f t="shared" ca="1" si="47"/>
        <v>0</v>
      </c>
      <c r="BU34" s="646"/>
      <c r="BV34" s="646"/>
    </row>
    <row r="35" spans="1:74" ht="15.75" hidden="1" customHeight="1" thickBot="1" x14ac:dyDescent="0.3">
      <c r="A35" s="184"/>
      <c r="B35" s="180" t="s">
        <v>83</v>
      </c>
      <c r="C35" s="336"/>
      <c r="D35" s="336"/>
      <c r="E35" s="336"/>
      <c r="F35" s="336"/>
      <c r="G35" s="336"/>
      <c r="H35" s="336"/>
      <c r="I35" s="336"/>
      <c r="J35" s="336"/>
      <c r="K35" s="336"/>
      <c r="L35" s="335"/>
      <c r="M35" s="335"/>
      <c r="N35" s="335"/>
      <c r="O35" s="336"/>
      <c r="P35" s="336"/>
      <c r="Q35" s="336"/>
      <c r="R35" s="336"/>
      <c r="S35" s="336"/>
      <c r="T35" s="335"/>
      <c r="U35" s="335"/>
      <c r="V35" s="335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  <c r="AO35" s="336"/>
      <c r="AP35" s="336"/>
      <c r="AQ35" s="336"/>
      <c r="AR35" s="336"/>
      <c r="AS35" s="336"/>
      <c r="AT35" s="336"/>
      <c r="AU35" s="336"/>
      <c r="AV35" s="336"/>
      <c r="AW35" s="336"/>
      <c r="AX35" s="336"/>
      <c r="AY35" s="336"/>
      <c r="AZ35" s="336"/>
      <c r="BA35" s="336"/>
      <c r="BB35" s="336"/>
      <c r="BC35" s="336"/>
      <c r="BD35" s="336"/>
      <c r="BE35" s="336"/>
      <c r="BF35" s="336"/>
      <c r="BG35" s="336"/>
      <c r="BH35" s="336"/>
      <c r="BI35" s="336"/>
      <c r="BJ35" s="336"/>
      <c r="BK35" s="336"/>
      <c r="BL35" s="336"/>
      <c r="BM35" s="336"/>
      <c r="BN35" s="336"/>
      <c r="BO35" s="336"/>
      <c r="BP35" s="336"/>
      <c r="BQ35" s="372">
        <f t="shared" si="44"/>
        <v>0</v>
      </c>
      <c r="BR35" s="618">
        <f t="shared" si="45"/>
        <v>0</v>
      </c>
      <c r="BS35" s="618">
        <f t="shared" ca="1" si="46"/>
        <v>0</v>
      </c>
      <c r="BT35" s="618">
        <f t="shared" ca="1" si="47"/>
        <v>0</v>
      </c>
      <c r="BU35" s="646"/>
      <c r="BV35" s="646"/>
    </row>
    <row r="36" spans="1:74" ht="15.75" hidden="1" customHeight="1" thickBot="1" x14ac:dyDescent="0.3">
      <c r="A36" s="184"/>
      <c r="B36" s="180" t="s">
        <v>84</v>
      </c>
      <c r="C36" s="336"/>
      <c r="D36" s="336"/>
      <c r="E36" s="336"/>
      <c r="F36" s="336"/>
      <c r="G36" s="336"/>
      <c r="H36" s="336"/>
      <c r="I36" s="336"/>
      <c r="J36" s="336"/>
      <c r="K36" s="336"/>
      <c r="L36" s="335"/>
      <c r="M36" s="335"/>
      <c r="N36" s="335"/>
      <c r="O36" s="336"/>
      <c r="P36" s="336"/>
      <c r="Q36" s="336"/>
      <c r="R36" s="336"/>
      <c r="S36" s="336"/>
      <c r="T36" s="335"/>
      <c r="U36" s="335"/>
      <c r="V36" s="335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72">
        <f t="shared" si="44"/>
        <v>0</v>
      </c>
      <c r="BR36" s="618">
        <f t="shared" si="45"/>
        <v>0</v>
      </c>
      <c r="BS36" s="618">
        <f t="shared" ca="1" si="46"/>
        <v>0</v>
      </c>
      <c r="BT36" s="618">
        <f t="shared" ca="1" si="47"/>
        <v>0</v>
      </c>
      <c r="BU36" s="646"/>
      <c r="BV36" s="646"/>
    </row>
    <row r="37" spans="1:74" ht="15.75" hidden="1" customHeight="1" thickBot="1" x14ac:dyDescent="0.3">
      <c r="A37" s="184"/>
      <c r="B37" s="180" t="s">
        <v>85</v>
      </c>
      <c r="C37" s="336"/>
      <c r="D37" s="336"/>
      <c r="E37" s="336"/>
      <c r="F37" s="336"/>
      <c r="G37" s="336"/>
      <c r="H37" s="336"/>
      <c r="I37" s="336"/>
      <c r="J37" s="336"/>
      <c r="K37" s="336"/>
      <c r="L37" s="335"/>
      <c r="M37" s="335"/>
      <c r="N37" s="335"/>
      <c r="O37" s="336"/>
      <c r="P37" s="336"/>
      <c r="Q37" s="336"/>
      <c r="R37" s="336"/>
      <c r="S37" s="336"/>
      <c r="T37" s="335"/>
      <c r="U37" s="335"/>
      <c r="V37" s="335"/>
      <c r="W37" s="336"/>
      <c r="X37" s="336"/>
      <c r="Y37" s="336"/>
      <c r="Z37" s="336"/>
      <c r="AA37" s="336"/>
      <c r="AB37" s="336"/>
      <c r="AC37" s="336"/>
      <c r="AD37" s="336"/>
      <c r="AE37" s="336"/>
      <c r="AF37" s="336"/>
      <c r="AG37" s="336"/>
      <c r="AH37" s="336"/>
      <c r="AI37" s="336"/>
      <c r="AJ37" s="336"/>
      <c r="AK37" s="336"/>
      <c r="AL37" s="336"/>
      <c r="AM37" s="336"/>
      <c r="AN37" s="336"/>
      <c r="AO37" s="336"/>
      <c r="AP37" s="336"/>
      <c r="AQ37" s="336"/>
      <c r="AR37" s="336"/>
      <c r="AS37" s="336"/>
      <c r="AT37" s="336"/>
      <c r="AU37" s="336"/>
      <c r="AV37" s="336"/>
      <c r="AW37" s="336"/>
      <c r="AX37" s="336"/>
      <c r="AY37" s="336"/>
      <c r="AZ37" s="336"/>
      <c r="BA37" s="336"/>
      <c r="BB37" s="336"/>
      <c r="BC37" s="336"/>
      <c r="BD37" s="336"/>
      <c r="BE37" s="336"/>
      <c r="BF37" s="336"/>
      <c r="BG37" s="336"/>
      <c r="BH37" s="336"/>
      <c r="BI37" s="336"/>
      <c r="BJ37" s="336"/>
      <c r="BK37" s="336"/>
      <c r="BL37" s="336"/>
      <c r="BM37" s="336"/>
      <c r="BN37" s="336"/>
      <c r="BO37" s="336"/>
      <c r="BP37" s="336"/>
      <c r="BQ37" s="372">
        <f t="shared" si="44"/>
        <v>0</v>
      </c>
      <c r="BR37" s="618">
        <f t="shared" si="45"/>
        <v>0</v>
      </c>
      <c r="BS37" s="618">
        <f t="shared" ca="1" si="46"/>
        <v>0</v>
      </c>
      <c r="BT37" s="618">
        <f t="shared" ca="1" si="47"/>
        <v>0</v>
      </c>
      <c r="BU37" s="646"/>
      <c r="BV37" s="646"/>
    </row>
    <row r="38" spans="1:74" ht="15.75" hidden="1" customHeight="1" thickBot="1" x14ac:dyDescent="0.3">
      <c r="A38" s="184" t="s">
        <v>86</v>
      </c>
      <c r="B38" s="180" t="s">
        <v>87</v>
      </c>
      <c r="C38" s="336">
        <f t="shared" ref="C38:G38" si="337">SUM(C39:C44)</f>
        <v>0</v>
      </c>
      <c r="D38" s="336">
        <f t="shared" ref="D38:E38" si="338">SUM(D39:D44)</f>
        <v>0</v>
      </c>
      <c r="E38" s="336">
        <f t="shared" si="338"/>
        <v>0</v>
      </c>
      <c r="F38" s="336">
        <f t="shared" ref="F38" si="339">SUM(F39:F44)</f>
        <v>0</v>
      </c>
      <c r="G38" s="336">
        <f t="shared" si="337"/>
        <v>0</v>
      </c>
      <c r="H38" s="336">
        <f t="shared" ref="H38" si="340">SUM(H39:H44)</f>
        <v>0</v>
      </c>
      <c r="I38" s="336">
        <f t="shared" ref="I38" si="341">SUM(I39:I44)</f>
        <v>0</v>
      </c>
      <c r="J38" s="336">
        <f t="shared" ref="J38" si="342">SUM(J39:J44)</f>
        <v>0</v>
      </c>
      <c r="K38" s="336">
        <f t="shared" ref="K38" si="343">SUM(K39:K44)</f>
        <v>0</v>
      </c>
      <c r="L38" s="336"/>
      <c r="M38" s="336"/>
      <c r="N38" s="336"/>
      <c r="O38" s="336">
        <f t="shared" ref="O38:P38" si="344">SUM(O39:O44)</f>
        <v>0</v>
      </c>
      <c r="P38" s="336">
        <f t="shared" si="344"/>
        <v>0</v>
      </c>
      <c r="Q38" s="336">
        <f t="shared" ref="Q38" si="345">SUM(Q39:Q44)</f>
        <v>0</v>
      </c>
      <c r="R38" s="336">
        <f t="shared" ref="R38" si="346">SUM(R39:R44)</f>
        <v>0</v>
      </c>
      <c r="S38" s="336">
        <f t="shared" ref="S38" si="347">SUM(S39:S44)</f>
        <v>0</v>
      </c>
      <c r="T38" s="336"/>
      <c r="U38" s="336"/>
      <c r="V38" s="336"/>
      <c r="W38" s="336">
        <f t="shared" ref="W38:X38" si="348">SUM(W39:W44)</f>
        <v>0</v>
      </c>
      <c r="X38" s="336">
        <f t="shared" si="348"/>
        <v>0</v>
      </c>
      <c r="Y38" s="336">
        <f t="shared" ref="Y38" si="349">SUM(Y39:Y44)</f>
        <v>0</v>
      </c>
      <c r="Z38" s="336">
        <f t="shared" ref="Z38" si="350">SUM(Z39:Z44)</f>
        <v>0</v>
      </c>
      <c r="AA38" s="336">
        <f t="shared" ref="AA38:AB38" si="351">SUM(AA39:AA44)</f>
        <v>0</v>
      </c>
      <c r="AB38" s="336">
        <f t="shared" si="351"/>
        <v>0</v>
      </c>
      <c r="AC38" s="336">
        <f t="shared" ref="AC38" si="352">SUM(AC39:AC44)</f>
        <v>0</v>
      </c>
      <c r="AD38" s="336">
        <f t="shared" ref="AD38" si="353">SUM(AD39:AD44)</f>
        <v>0</v>
      </c>
      <c r="AE38" s="336">
        <f t="shared" ref="AE38" si="354">SUM(AE39:AE44)</f>
        <v>0</v>
      </c>
      <c r="AF38" s="336">
        <f t="shared" ref="AF38" si="355">SUM(AF39:AF44)</f>
        <v>0</v>
      </c>
      <c r="AG38" s="336">
        <f t="shared" ref="AG38:AH38" si="356">SUM(AG39:AG44)</f>
        <v>0</v>
      </c>
      <c r="AH38" s="336">
        <f t="shared" si="356"/>
        <v>0</v>
      </c>
      <c r="AI38" s="336">
        <f t="shared" ref="AI38" si="357">SUM(AI39:AI44)</f>
        <v>0</v>
      </c>
      <c r="AJ38" s="336">
        <f t="shared" ref="AJ38" si="358">SUM(AJ39:AJ44)</f>
        <v>0</v>
      </c>
      <c r="AK38" s="336">
        <f t="shared" ref="AK38:AL38" si="359">SUM(AK39:AK44)</f>
        <v>0</v>
      </c>
      <c r="AL38" s="336">
        <f t="shared" si="359"/>
        <v>0</v>
      </c>
      <c r="AM38" s="336">
        <f t="shared" ref="AM38" si="360">SUM(AM39:AM44)</f>
        <v>0</v>
      </c>
      <c r="AN38" s="336">
        <f t="shared" ref="AN38" si="361">SUM(AN39:AN44)</f>
        <v>0</v>
      </c>
      <c r="AO38" s="336">
        <f t="shared" ref="AO38:AP38" si="362">SUM(AO39:AO44)</f>
        <v>0</v>
      </c>
      <c r="AP38" s="336">
        <f t="shared" si="362"/>
        <v>0</v>
      </c>
      <c r="AQ38" s="336">
        <f t="shared" ref="AQ38" si="363">SUM(AQ39:AQ44)</f>
        <v>0</v>
      </c>
      <c r="AR38" s="336">
        <f t="shared" ref="AR38" si="364">SUM(AR39:AR44)</f>
        <v>0</v>
      </c>
      <c r="AS38" s="336">
        <f t="shared" ref="AS38:AT38" si="365">SUM(AS39:AS44)</f>
        <v>0</v>
      </c>
      <c r="AT38" s="336">
        <f t="shared" si="365"/>
        <v>0</v>
      </c>
      <c r="AU38" s="336">
        <f t="shared" ref="AU38" si="366">SUM(AU39:AU44)</f>
        <v>0</v>
      </c>
      <c r="AV38" s="336">
        <f t="shared" ref="AV38" si="367">SUM(AV39:AV44)</f>
        <v>0</v>
      </c>
      <c r="AW38" s="336">
        <f t="shared" ref="AW38:AX38" si="368">SUM(AW39:AW44)</f>
        <v>0</v>
      </c>
      <c r="AX38" s="336">
        <f t="shared" si="368"/>
        <v>0</v>
      </c>
      <c r="AY38" s="336">
        <f t="shared" ref="AY38" si="369">SUM(AY39:AY44)</f>
        <v>0</v>
      </c>
      <c r="AZ38" s="336">
        <f t="shared" ref="AZ38" si="370">SUM(AZ39:AZ44)</f>
        <v>0</v>
      </c>
      <c r="BA38" s="336">
        <f t="shared" ref="BA38:BE38" si="371">SUM(BA39:BA44)</f>
        <v>0</v>
      </c>
      <c r="BB38" s="336">
        <f t="shared" ref="BB38" si="372">SUM(BB39:BB44)</f>
        <v>0</v>
      </c>
      <c r="BC38" s="336">
        <f t="shared" ref="BC38" si="373">SUM(BC39:BC44)</f>
        <v>0</v>
      </c>
      <c r="BD38" s="336">
        <f t="shared" ref="BD38" si="374">SUM(BD39:BD44)</f>
        <v>0</v>
      </c>
      <c r="BE38" s="336">
        <f t="shared" si="371"/>
        <v>0</v>
      </c>
      <c r="BF38" s="336">
        <f t="shared" ref="BF38:BI38" si="375">SUM(BF39:BF44)</f>
        <v>0</v>
      </c>
      <c r="BG38" s="336">
        <f t="shared" ref="BG38" si="376">SUM(BG39:BG44)</f>
        <v>0</v>
      </c>
      <c r="BH38" s="336">
        <f t="shared" ref="BH38" si="377">SUM(BH39:BH44)</f>
        <v>0</v>
      </c>
      <c r="BI38" s="336">
        <f t="shared" si="375"/>
        <v>0</v>
      </c>
      <c r="BJ38" s="336">
        <f t="shared" ref="BJ38" si="378">SUM(BJ39:BJ44)</f>
        <v>0</v>
      </c>
      <c r="BK38" s="336">
        <f t="shared" ref="BK38:BN38" si="379">SUM(BK39:BK44)</f>
        <v>0</v>
      </c>
      <c r="BL38" s="336">
        <f t="shared" ref="BL38" si="380">SUM(BL39:BL44)</f>
        <v>0</v>
      </c>
      <c r="BM38" s="336">
        <f t="shared" si="379"/>
        <v>0</v>
      </c>
      <c r="BN38" s="336">
        <f t="shared" si="379"/>
        <v>0</v>
      </c>
      <c r="BO38" s="336">
        <f t="shared" ref="BO38" si="381">SUM(BO39:BO44)</f>
        <v>0</v>
      </c>
      <c r="BP38" s="336">
        <f t="shared" ref="BP38" si="382">SUM(BP39:BP44)</f>
        <v>0</v>
      </c>
      <c r="BQ38" s="372">
        <f t="shared" si="44"/>
        <v>0</v>
      </c>
      <c r="BR38" s="618">
        <f t="shared" si="45"/>
        <v>0</v>
      </c>
      <c r="BS38" s="618">
        <f t="shared" ca="1" si="46"/>
        <v>0</v>
      </c>
      <c r="BT38" s="618">
        <f t="shared" ca="1" si="47"/>
        <v>0</v>
      </c>
      <c r="BU38" s="646"/>
      <c r="BV38" s="646"/>
    </row>
    <row r="39" spans="1:74" ht="15.75" hidden="1" customHeight="1" thickBot="1" x14ac:dyDescent="0.3">
      <c r="A39" s="184"/>
      <c r="B39" s="180" t="s">
        <v>88</v>
      </c>
      <c r="C39" s="336"/>
      <c r="D39" s="336"/>
      <c r="E39" s="336"/>
      <c r="F39" s="336"/>
      <c r="G39" s="336"/>
      <c r="H39" s="336"/>
      <c r="I39" s="336"/>
      <c r="J39" s="336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72">
        <f t="shared" si="44"/>
        <v>0</v>
      </c>
      <c r="BR39" s="618">
        <f t="shared" si="45"/>
        <v>0</v>
      </c>
      <c r="BS39" s="618">
        <f t="shared" ca="1" si="46"/>
        <v>0</v>
      </c>
      <c r="BT39" s="618">
        <f t="shared" ca="1" si="47"/>
        <v>0</v>
      </c>
      <c r="BU39" s="646"/>
      <c r="BV39" s="646"/>
    </row>
    <row r="40" spans="1:74" ht="15.75" hidden="1" customHeight="1" thickBot="1" x14ac:dyDescent="0.3">
      <c r="A40" s="184"/>
      <c r="B40" s="180" t="s">
        <v>89</v>
      </c>
      <c r="C40" s="336"/>
      <c r="D40" s="336"/>
      <c r="E40" s="336"/>
      <c r="F40" s="336"/>
      <c r="G40" s="336"/>
      <c r="H40" s="336"/>
      <c r="I40" s="336"/>
      <c r="J40" s="336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72">
        <f t="shared" si="44"/>
        <v>0</v>
      </c>
      <c r="BR40" s="618">
        <f t="shared" si="45"/>
        <v>0</v>
      </c>
      <c r="BS40" s="618">
        <f t="shared" ca="1" si="46"/>
        <v>0</v>
      </c>
      <c r="BT40" s="618">
        <f t="shared" ca="1" si="47"/>
        <v>0</v>
      </c>
      <c r="BU40" s="646"/>
      <c r="BV40" s="646"/>
    </row>
    <row r="41" spans="1:74" ht="15.75" hidden="1" customHeight="1" thickBot="1" x14ac:dyDescent="0.3">
      <c r="A41" s="184"/>
      <c r="B41" s="180" t="s">
        <v>90</v>
      </c>
      <c r="C41" s="336"/>
      <c r="D41" s="336"/>
      <c r="E41" s="336"/>
      <c r="F41" s="336"/>
      <c r="G41" s="336"/>
      <c r="H41" s="336"/>
      <c r="I41" s="336"/>
      <c r="J41" s="336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72">
        <f t="shared" ref="BQ41:BQ72" si="383">SUMIF($C$8:$BE$8,"2019 terv",C41:BE41)</f>
        <v>0</v>
      </c>
      <c r="BR41" s="618">
        <f t="shared" ref="BR41:BR72" si="384">SUMIF($D$8:$BJ$8,"2019 módosított",D41:BJ41)</f>
        <v>0</v>
      </c>
      <c r="BS41" s="618">
        <f t="shared" ref="BS41:BS72" ca="1" si="385">SUMIF($D$8:$BO$8,"2019 módosított",E41:BO41)</f>
        <v>0</v>
      </c>
      <c r="BT41" s="618">
        <f t="shared" ref="BT41:BT72" ca="1" si="386">SUMIF($D$8:$BO$8,"2019 módosított",F41:BP41)</f>
        <v>0</v>
      </c>
      <c r="BU41" s="646"/>
      <c r="BV41" s="646"/>
    </row>
    <row r="42" spans="1:74" ht="15.75" hidden="1" customHeight="1" thickBot="1" x14ac:dyDescent="0.3">
      <c r="A42" s="184"/>
      <c r="B42" s="180" t="s">
        <v>91</v>
      </c>
      <c r="C42" s="336"/>
      <c r="D42" s="336"/>
      <c r="E42" s="336"/>
      <c r="F42" s="336"/>
      <c r="G42" s="336"/>
      <c r="H42" s="336"/>
      <c r="I42" s="336"/>
      <c r="J42" s="336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72">
        <f t="shared" si="383"/>
        <v>0</v>
      </c>
      <c r="BR42" s="618">
        <f t="shared" si="384"/>
        <v>0</v>
      </c>
      <c r="BS42" s="618">
        <f t="shared" ca="1" si="385"/>
        <v>0</v>
      </c>
      <c r="BT42" s="618">
        <f t="shared" ca="1" si="386"/>
        <v>0</v>
      </c>
      <c r="BU42" s="646"/>
      <c r="BV42" s="646"/>
    </row>
    <row r="43" spans="1:74" ht="15.75" hidden="1" customHeight="1" thickBot="1" x14ac:dyDescent="0.3">
      <c r="A43" s="184"/>
      <c r="B43" s="180" t="s">
        <v>92</v>
      </c>
      <c r="C43" s="336"/>
      <c r="D43" s="336"/>
      <c r="E43" s="336"/>
      <c r="F43" s="336"/>
      <c r="G43" s="336"/>
      <c r="H43" s="336"/>
      <c r="I43" s="336"/>
      <c r="J43" s="33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72">
        <f t="shared" si="383"/>
        <v>0</v>
      </c>
      <c r="BR43" s="618">
        <f t="shared" si="384"/>
        <v>0</v>
      </c>
      <c r="BS43" s="618">
        <f t="shared" ca="1" si="385"/>
        <v>0</v>
      </c>
      <c r="BT43" s="618">
        <f t="shared" ca="1" si="386"/>
        <v>0</v>
      </c>
      <c r="BU43" s="646"/>
      <c r="BV43" s="646"/>
    </row>
    <row r="44" spans="1:74" ht="15.75" hidden="1" customHeight="1" thickBot="1" x14ac:dyDescent="0.3">
      <c r="A44" s="185"/>
      <c r="B44" s="192" t="s">
        <v>93</v>
      </c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74">
        <f t="shared" si="383"/>
        <v>0</v>
      </c>
      <c r="BR44" s="618">
        <f t="shared" si="384"/>
        <v>0</v>
      </c>
      <c r="BS44" s="618">
        <f t="shared" ca="1" si="385"/>
        <v>0</v>
      </c>
      <c r="BT44" s="618">
        <f t="shared" ca="1" si="386"/>
        <v>0</v>
      </c>
      <c r="BU44" s="646"/>
      <c r="BV44" s="646"/>
    </row>
    <row r="45" spans="1:74" ht="15.75" thickBot="1" x14ac:dyDescent="0.3">
      <c r="A45" s="183" t="s">
        <v>94</v>
      </c>
      <c r="B45" s="189" t="s">
        <v>26</v>
      </c>
      <c r="C45" s="335">
        <f t="shared" ref="C45:G45" si="387">C46+C47+C48+C49+C54+C55+C56+C57+C58+C59+C60</f>
        <v>0</v>
      </c>
      <c r="D45" s="335">
        <f t="shared" ref="D45:E45" si="388">D46+D47+D48+D49+D54+D55+D56+D57+D58+D59+D60</f>
        <v>0</v>
      </c>
      <c r="E45" s="335">
        <f t="shared" si="388"/>
        <v>0</v>
      </c>
      <c r="F45" s="335">
        <f t="shared" ref="F45" si="389">F46+F47+F48+F49+F54+F55+F56+F57+F58+F59+F60</f>
        <v>686</v>
      </c>
      <c r="G45" s="335">
        <f t="shared" si="387"/>
        <v>0</v>
      </c>
      <c r="H45" s="335">
        <f t="shared" ref="H45" si="390">H46+H47+H48+H49+H54+H55+H56+H57+H58+H59+H60</f>
        <v>0</v>
      </c>
      <c r="I45" s="335">
        <f t="shared" ref="I45" si="391">I46+I47+I48+I49+I54+I55+I56+I57+I58+I59+I60</f>
        <v>0</v>
      </c>
      <c r="J45" s="335">
        <f t="shared" ref="J45" si="392">J46+J47+J48+J49+J54+J55+J56+J57+J58+J59+J60</f>
        <v>85</v>
      </c>
      <c r="K45" s="335">
        <f t="shared" ref="K45:M45" si="393">K46+K47+K48+K49+K54+K55+K56+K57+K58+K59+K60</f>
        <v>0</v>
      </c>
      <c r="L45" s="335">
        <f t="shared" si="393"/>
        <v>0</v>
      </c>
      <c r="M45" s="335">
        <f t="shared" si="393"/>
        <v>0</v>
      </c>
      <c r="N45" s="335">
        <f t="shared" ref="N45" si="394">N46+N47+N48+N49+N54+N55+N56+N57+N58+N59+N60</f>
        <v>8750</v>
      </c>
      <c r="O45" s="335">
        <f t="shared" ref="O45:P45" si="395">O46+O47+O48+O49+O54+O55+O56+O57+O58+O59+O60</f>
        <v>0</v>
      </c>
      <c r="P45" s="335">
        <f t="shared" si="395"/>
        <v>0</v>
      </c>
      <c r="Q45" s="335">
        <f t="shared" ref="Q45" si="396">Q46+Q47+Q48+Q49+Q54+Q55+Q56+Q57+Q58+Q59+Q60</f>
        <v>0</v>
      </c>
      <c r="R45" s="335">
        <f t="shared" ref="R45" si="397">R46+R47+R48+R49+R54+R55+R56+R57+R58+R59+R60</f>
        <v>0</v>
      </c>
      <c r="S45" s="335">
        <f t="shared" ref="S45" si="398">S46+S47+S48+S49+S54+S55+S56+S57+S58+S59+S60</f>
        <v>0</v>
      </c>
      <c r="T45" s="335"/>
      <c r="U45" s="335"/>
      <c r="V45" s="335"/>
      <c r="W45" s="335">
        <f t="shared" ref="W45:X45" si="399">W46+W47+W48+W49+W54+W55+W56+W57+W58+W59+W60</f>
        <v>0</v>
      </c>
      <c r="X45" s="335">
        <f t="shared" si="399"/>
        <v>0</v>
      </c>
      <c r="Y45" s="335">
        <f t="shared" ref="Y45" si="400">Y46+Y47+Y48+Y49+Y54+Y55+Y56+Y57+Y58+Y59+Y60</f>
        <v>0</v>
      </c>
      <c r="Z45" s="335">
        <f t="shared" ref="Z45" si="401">Z46+Z47+Z48+Z49+Z54+Z55+Z56+Z57+Z58+Z59+Z60</f>
        <v>0</v>
      </c>
      <c r="AA45" s="335">
        <f t="shared" ref="AA45:AB45" si="402">AA46+AA47+AA48+AA49+AA54+AA55+AA56+AA57+AA58+AA59+AA60</f>
        <v>0</v>
      </c>
      <c r="AB45" s="335">
        <f t="shared" si="402"/>
        <v>0</v>
      </c>
      <c r="AC45" s="335">
        <f t="shared" ref="AC45" si="403">AC46+AC47+AC48+AC49+AC54+AC55+AC56+AC57+AC58+AC59+AC60</f>
        <v>0</v>
      </c>
      <c r="AD45" s="335">
        <f t="shared" ref="AD45" si="404">AD46+AD47+AD48+AD49+AD54+AD55+AD56+AD57+AD58+AD59+AD60</f>
        <v>0</v>
      </c>
      <c r="AE45" s="335">
        <f t="shared" ref="AE45" si="405">AE46+AE47+AE48+AE49+AE54+AE55+AE56+AE57+AE58+AE59+AE60</f>
        <v>0</v>
      </c>
      <c r="AF45" s="335">
        <f t="shared" ref="AF45" si="406">AF46+AF47+AF48+AF49+AF54+AF55+AF56+AF57+AF58+AF59+AF60</f>
        <v>0</v>
      </c>
      <c r="AG45" s="335">
        <f t="shared" ref="AG45:AH45" si="407">AG46+AG47+AG48+AG49+AG54+AG55+AG56+AG57+AG58+AG59+AG60</f>
        <v>0</v>
      </c>
      <c r="AH45" s="335">
        <f t="shared" si="407"/>
        <v>0</v>
      </c>
      <c r="AI45" s="335">
        <f t="shared" ref="AI45" si="408">AI46+AI47+AI48+AI49+AI54+AI55+AI56+AI57+AI58+AI59+AI60</f>
        <v>0</v>
      </c>
      <c r="AJ45" s="335">
        <f t="shared" ref="AJ45" si="409">AJ46+AJ47+AJ48+AJ49+AJ54+AJ55+AJ56+AJ57+AJ58+AJ59+AJ60</f>
        <v>712</v>
      </c>
      <c r="AK45" s="335">
        <f t="shared" ref="AK45:AL45" si="410">AK46+AK47+AK48+AK49+AK54+AK55+AK56+AK57+AK58+AK59+AK60</f>
        <v>0</v>
      </c>
      <c r="AL45" s="335">
        <f t="shared" si="410"/>
        <v>0</v>
      </c>
      <c r="AM45" s="335">
        <f t="shared" ref="AM45" si="411">AM46+AM47+AM48+AM49+AM54+AM55+AM56+AM57+AM58+AM59+AM60</f>
        <v>0</v>
      </c>
      <c r="AN45" s="335">
        <f t="shared" ref="AN45" si="412">AN46+AN47+AN48+AN49+AN54+AN55+AN56+AN57+AN58+AN59+AN60</f>
        <v>472</v>
      </c>
      <c r="AO45" s="335">
        <f t="shared" ref="AO45:AP45" si="413">AO46+AO47+AO48+AO49+AO54+AO55+AO56+AO57+AO58+AO59+AO60</f>
        <v>0</v>
      </c>
      <c r="AP45" s="335">
        <f t="shared" si="413"/>
        <v>0</v>
      </c>
      <c r="AQ45" s="335">
        <f t="shared" ref="AQ45" si="414">AQ46+AQ47+AQ48+AQ49+AQ54+AQ55+AQ56+AQ57+AQ58+AQ59+AQ60</f>
        <v>0</v>
      </c>
      <c r="AR45" s="335">
        <f t="shared" ref="AR45" si="415">AR46+AR47+AR48+AR49+AR54+AR55+AR56+AR57+AR58+AR59+AR60</f>
        <v>1</v>
      </c>
      <c r="AS45" s="335">
        <f t="shared" ref="AS45:AT45" si="416">AS46+AS47+AS48+AS49+AS54+AS55+AS56+AS57+AS58+AS59+AS60</f>
        <v>0</v>
      </c>
      <c r="AT45" s="335">
        <f t="shared" si="416"/>
        <v>0</v>
      </c>
      <c r="AU45" s="335">
        <f t="shared" ref="AU45" si="417">AU46+AU47+AU48+AU49+AU54+AU55+AU56+AU57+AU58+AU59+AU60</f>
        <v>0</v>
      </c>
      <c r="AV45" s="335">
        <f t="shared" ref="AV45" si="418">AV46+AV47+AV48+AV49+AV54+AV55+AV56+AV57+AV58+AV59+AV60</f>
        <v>0</v>
      </c>
      <c r="AW45" s="335">
        <f t="shared" ref="AW45:AX45" si="419">AW46+AW47+AW48+AW49+AW54+AW55+AW56+AW57+AW58+AW59+AW60</f>
        <v>0</v>
      </c>
      <c r="AX45" s="335">
        <f t="shared" si="419"/>
        <v>0</v>
      </c>
      <c r="AY45" s="335">
        <f t="shared" ref="AY45" si="420">AY46+AY47+AY48+AY49+AY54+AY55+AY56+AY57+AY58+AY59+AY60</f>
        <v>0</v>
      </c>
      <c r="AZ45" s="335">
        <f t="shared" ref="AZ45" si="421">AZ46+AZ47+AZ48+AZ49+AZ54+AZ55+AZ56+AZ57+AZ58+AZ59+AZ60</f>
        <v>0</v>
      </c>
      <c r="BA45" s="335">
        <f t="shared" ref="BA45:BE45" si="422">BA46+BA47+BA48+BA49+BA54+BA55+BA56+BA57+BA58+BA59+BA60</f>
        <v>0</v>
      </c>
      <c r="BB45" s="335">
        <f t="shared" ref="BB45" si="423">BB46+BB47+BB48+BB49+BB54+BB55+BB56+BB57+BB58+BB59+BB60</f>
        <v>0</v>
      </c>
      <c r="BC45" s="335">
        <f t="shared" ref="BC45" si="424">BC46+BC47+BC48+BC49+BC54+BC55+BC56+BC57+BC58+BC59+BC60</f>
        <v>0</v>
      </c>
      <c r="BD45" s="335">
        <f t="shared" ref="BD45" si="425">BD46+BD47+BD48+BD49+BD54+BD55+BD56+BD57+BD58+BD59+BD60</f>
        <v>64898</v>
      </c>
      <c r="BE45" s="335">
        <f t="shared" si="422"/>
        <v>0</v>
      </c>
      <c r="BF45" s="335">
        <f t="shared" ref="BF45:BI45" si="426">BF46+BF47+BF48+BF49+BF54+BF55+BF56+BF57+BF58+BF59+BF60</f>
        <v>0</v>
      </c>
      <c r="BG45" s="335">
        <f t="shared" ref="BG45" si="427">BG46+BG47+BG48+BG49+BG54+BG55+BG56+BG57+BG58+BG59+BG60</f>
        <v>0</v>
      </c>
      <c r="BH45" s="335">
        <f t="shared" ref="BH45" si="428">BH46+BH47+BH48+BH49+BH54+BH55+BH56+BH57+BH58+BH59+BH60</f>
        <v>0</v>
      </c>
      <c r="BI45" s="335">
        <f t="shared" si="426"/>
        <v>0</v>
      </c>
      <c r="BJ45" s="335">
        <f t="shared" ref="BJ45" si="429">BJ46+BJ47+BJ48+BJ49+BJ54+BJ55+BJ56+BJ57+BJ58+BJ59+BJ60</f>
        <v>0</v>
      </c>
      <c r="BK45" s="335">
        <f t="shared" ref="BK45:BN45" si="430">BK46+BK47+BK48+BK49+BK54+BK55+BK56+BK57+BK58+BK59+BK60</f>
        <v>0</v>
      </c>
      <c r="BL45" s="335">
        <f t="shared" ref="BL45" si="431">BL46+BL47+BL48+BL49+BL54+BL55+BL56+BL57+BL58+BL59+BL60</f>
        <v>0</v>
      </c>
      <c r="BM45" s="335">
        <f t="shared" si="430"/>
        <v>0</v>
      </c>
      <c r="BN45" s="335">
        <f t="shared" si="430"/>
        <v>0</v>
      </c>
      <c r="BO45" s="335">
        <f t="shared" ref="BO45" si="432">BO46+BO47+BO48+BO49+BO54+BO55+BO56+BO57+BO58+BO59+BO60</f>
        <v>0</v>
      </c>
      <c r="BP45" s="335">
        <f t="shared" ref="BP45" si="433">BP46+BP47+BP48+BP49+BP54+BP55+BP56+BP57+BP58+BP59+BP60</f>
        <v>0</v>
      </c>
      <c r="BQ45" s="372">
        <f t="shared" si="383"/>
        <v>0</v>
      </c>
      <c r="BR45" s="618">
        <f t="shared" si="384"/>
        <v>0</v>
      </c>
      <c r="BS45" s="618">
        <f t="shared" ca="1" si="385"/>
        <v>0</v>
      </c>
      <c r="BT45" s="618">
        <f t="shared" ca="1" si="386"/>
        <v>75604</v>
      </c>
      <c r="BU45" s="646"/>
      <c r="BV45" s="646"/>
    </row>
    <row r="46" spans="1:74" ht="15" hidden="1" customHeight="1" thickBot="1" x14ac:dyDescent="0.3">
      <c r="A46" s="184" t="s">
        <v>95</v>
      </c>
      <c r="B46" s="180" t="s">
        <v>96</v>
      </c>
      <c r="C46" s="336"/>
      <c r="D46" s="336"/>
      <c r="E46" s="336"/>
      <c r="F46" s="336"/>
      <c r="G46" s="336"/>
      <c r="H46" s="336"/>
      <c r="I46" s="336"/>
      <c r="J46" s="336"/>
      <c r="K46" s="336"/>
      <c r="L46" s="335"/>
      <c r="M46" s="335"/>
      <c r="N46" s="335"/>
      <c r="O46" s="336"/>
      <c r="P46" s="336"/>
      <c r="Q46" s="336"/>
      <c r="R46" s="336"/>
      <c r="S46" s="336"/>
      <c r="T46" s="335"/>
      <c r="U46" s="335"/>
      <c r="V46" s="335"/>
      <c r="W46" s="336"/>
      <c r="X46" s="336"/>
      <c r="Y46" s="336"/>
      <c r="Z46" s="336"/>
      <c r="AA46" s="336"/>
      <c r="AB46" s="336"/>
      <c r="AC46" s="336"/>
      <c r="AD46" s="336"/>
      <c r="AE46" s="336"/>
      <c r="AF46" s="336"/>
      <c r="AG46" s="336"/>
      <c r="AH46" s="336"/>
      <c r="AI46" s="336"/>
      <c r="AJ46" s="336"/>
      <c r="AK46" s="336"/>
      <c r="AL46" s="336"/>
      <c r="AM46" s="336"/>
      <c r="AN46" s="336"/>
      <c r="AO46" s="336"/>
      <c r="AP46" s="336"/>
      <c r="AQ46" s="336"/>
      <c r="AR46" s="336"/>
      <c r="AS46" s="336"/>
      <c r="AT46" s="336"/>
      <c r="AU46" s="336"/>
      <c r="AV46" s="336"/>
      <c r="AW46" s="336"/>
      <c r="AX46" s="336"/>
      <c r="AY46" s="336"/>
      <c r="AZ46" s="336"/>
      <c r="BA46" s="336"/>
      <c r="BB46" s="336"/>
      <c r="BC46" s="336"/>
      <c r="BD46" s="336"/>
      <c r="BE46" s="336"/>
      <c r="BF46" s="336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72">
        <f t="shared" si="383"/>
        <v>0</v>
      </c>
      <c r="BR46" s="618">
        <f t="shared" si="384"/>
        <v>0</v>
      </c>
      <c r="BS46" s="618">
        <f t="shared" ca="1" si="385"/>
        <v>0</v>
      </c>
      <c r="BT46" s="618">
        <f t="shared" ca="1" si="386"/>
        <v>0</v>
      </c>
      <c r="BU46" s="646"/>
      <c r="BV46" s="646"/>
    </row>
    <row r="47" spans="1:74" ht="15" hidden="1" customHeight="1" thickBot="1" x14ac:dyDescent="0.3">
      <c r="A47" s="184" t="s">
        <v>97</v>
      </c>
      <c r="B47" s="180" t="s">
        <v>98</v>
      </c>
      <c r="C47" s="336"/>
      <c r="D47" s="336"/>
      <c r="E47" s="336"/>
      <c r="F47" s="336"/>
      <c r="G47" s="336"/>
      <c r="H47" s="336"/>
      <c r="I47" s="336"/>
      <c r="J47" s="336"/>
      <c r="K47" s="336"/>
      <c r="L47" s="335"/>
      <c r="M47" s="335"/>
      <c r="N47" s="335"/>
      <c r="O47" s="336"/>
      <c r="P47" s="336"/>
      <c r="Q47" s="336"/>
      <c r="R47" s="336"/>
      <c r="S47" s="336"/>
      <c r="T47" s="335"/>
      <c r="U47" s="335"/>
      <c r="V47" s="335"/>
      <c r="W47" s="336"/>
      <c r="X47" s="336"/>
      <c r="Y47" s="336"/>
      <c r="Z47" s="336"/>
      <c r="AA47" s="336"/>
      <c r="AB47" s="336"/>
      <c r="AC47" s="336"/>
      <c r="AD47" s="336"/>
      <c r="AE47" s="336"/>
      <c r="AF47" s="336"/>
      <c r="AG47" s="336"/>
      <c r="AH47" s="336"/>
      <c r="AI47" s="336"/>
      <c r="AJ47" s="336"/>
      <c r="AK47" s="336"/>
      <c r="AL47" s="336"/>
      <c r="AM47" s="336"/>
      <c r="AN47" s="336"/>
      <c r="AO47" s="336"/>
      <c r="AP47" s="336"/>
      <c r="AQ47" s="336"/>
      <c r="AR47" s="336"/>
      <c r="AS47" s="336"/>
      <c r="AT47" s="336"/>
      <c r="AU47" s="336"/>
      <c r="AV47" s="336"/>
      <c r="AW47" s="336"/>
      <c r="AX47" s="336"/>
      <c r="AY47" s="336"/>
      <c r="AZ47" s="336"/>
      <c r="BA47" s="336"/>
      <c r="BB47" s="336"/>
      <c r="BC47" s="336"/>
      <c r="BD47" s="336"/>
      <c r="BE47" s="336"/>
      <c r="BF47" s="336"/>
      <c r="BG47" s="336"/>
      <c r="BH47" s="336"/>
      <c r="BI47" s="336"/>
      <c r="BJ47" s="336"/>
      <c r="BK47" s="336"/>
      <c r="BL47" s="336"/>
      <c r="BM47" s="336"/>
      <c r="BN47" s="336"/>
      <c r="BO47" s="336"/>
      <c r="BP47" s="336"/>
      <c r="BQ47" s="372">
        <f t="shared" si="383"/>
        <v>0</v>
      </c>
      <c r="BR47" s="618">
        <f t="shared" si="384"/>
        <v>0</v>
      </c>
      <c r="BS47" s="618">
        <f t="shared" ca="1" si="385"/>
        <v>0</v>
      </c>
      <c r="BT47" s="618">
        <f t="shared" ca="1" si="386"/>
        <v>0</v>
      </c>
      <c r="BU47" s="646"/>
      <c r="BV47" s="646"/>
    </row>
    <row r="48" spans="1:74" ht="15" hidden="1" customHeight="1" thickBot="1" x14ac:dyDescent="0.3">
      <c r="A48" s="184" t="s">
        <v>99</v>
      </c>
      <c r="B48" s="180" t="s">
        <v>100</v>
      </c>
      <c r="C48" s="336"/>
      <c r="D48" s="336"/>
      <c r="E48" s="336"/>
      <c r="F48" s="336"/>
      <c r="G48" s="336"/>
      <c r="H48" s="336"/>
      <c r="I48" s="336"/>
      <c r="J48" s="336"/>
      <c r="K48" s="336"/>
      <c r="L48" s="335"/>
      <c r="M48" s="335"/>
      <c r="N48" s="335"/>
      <c r="O48" s="336"/>
      <c r="P48" s="336"/>
      <c r="Q48" s="336"/>
      <c r="R48" s="336"/>
      <c r="S48" s="336"/>
      <c r="T48" s="335"/>
      <c r="U48" s="335"/>
      <c r="V48" s="335"/>
      <c r="W48" s="336"/>
      <c r="X48" s="336"/>
      <c r="Y48" s="336"/>
      <c r="Z48" s="336"/>
      <c r="AA48" s="336"/>
      <c r="AB48" s="336"/>
      <c r="AC48" s="336"/>
      <c r="AD48" s="336"/>
      <c r="AE48" s="336"/>
      <c r="AF48" s="336"/>
      <c r="AG48" s="336"/>
      <c r="AH48" s="336"/>
      <c r="AI48" s="336"/>
      <c r="AJ48" s="336"/>
      <c r="AK48" s="336"/>
      <c r="AL48" s="336"/>
      <c r="AM48" s="336"/>
      <c r="AN48" s="336"/>
      <c r="AO48" s="336"/>
      <c r="AP48" s="336"/>
      <c r="AQ48" s="336"/>
      <c r="AR48" s="336"/>
      <c r="AS48" s="336"/>
      <c r="AT48" s="336"/>
      <c r="AU48" s="336"/>
      <c r="AV48" s="336"/>
      <c r="AW48" s="336"/>
      <c r="AX48" s="336"/>
      <c r="AY48" s="336"/>
      <c r="AZ48" s="336"/>
      <c r="BA48" s="336"/>
      <c r="BB48" s="336"/>
      <c r="BC48" s="336"/>
      <c r="BD48" s="336"/>
      <c r="BE48" s="336"/>
      <c r="BF48" s="336"/>
      <c r="BG48" s="336"/>
      <c r="BH48" s="336"/>
      <c r="BI48" s="336"/>
      <c r="BJ48" s="336"/>
      <c r="BK48" s="336"/>
      <c r="BL48" s="336"/>
      <c r="BM48" s="336"/>
      <c r="BN48" s="336"/>
      <c r="BO48" s="336"/>
      <c r="BP48" s="336"/>
      <c r="BQ48" s="372">
        <f t="shared" si="383"/>
        <v>0</v>
      </c>
      <c r="BR48" s="618">
        <f t="shared" si="384"/>
        <v>0</v>
      </c>
      <c r="BS48" s="618">
        <f t="shared" ca="1" si="385"/>
        <v>0</v>
      </c>
      <c r="BT48" s="618">
        <f t="shared" ca="1" si="386"/>
        <v>0</v>
      </c>
      <c r="BU48" s="646"/>
      <c r="BV48" s="646"/>
    </row>
    <row r="49" spans="1:74" ht="15" hidden="1" customHeight="1" thickBot="1" x14ac:dyDescent="0.3">
      <c r="A49" s="184" t="s">
        <v>101</v>
      </c>
      <c r="B49" s="180" t="s">
        <v>102</v>
      </c>
      <c r="C49" s="336">
        <f t="shared" ref="C49:G49" si="434">SUM(C50:C53)</f>
        <v>0</v>
      </c>
      <c r="D49" s="336">
        <f t="shared" ref="D49:E49" si="435">SUM(D50:D53)</f>
        <v>0</v>
      </c>
      <c r="E49" s="336">
        <f t="shared" si="435"/>
        <v>0</v>
      </c>
      <c r="F49" s="336">
        <f t="shared" ref="F49" si="436">SUM(F50:F53)</f>
        <v>0</v>
      </c>
      <c r="G49" s="336">
        <f t="shared" si="434"/>
        <v>0</v>
      </c>
      <c r="H49" s="336">
        <f t="shared" ref="H49" si="437">SUM(H50:H53)</f>
        <v>0</v>
      </c>
      <c r="I49" s="336">
        <f t="shared" ref="I49" si="438">SUM(I50:I53)</f>
        <v>0</v>
      </c>
      <c r="J49" s="336">
        <f t="shared" ref="J49" si="439">SUM(J50:J53)</f>
        <v>0</v>
      </c>
      <c r="K49" s="336">
        <f t="shared" ref="K49" si="440">SUM(K50:K53)</f>
        <v>0</v>
      </c>
      <c r="L49" s="336"/>
      <c r="M49" s="336"/>
      <c r="N49" s="336"/>
      <c r="O49" s="336">
        <f t="shared" ref="O49:P49" si="441">SUM(O50:O53)</f>
        <v>0</v>
      </c>
      <c r="P49" s="336">
        <f t="shared" si="441"/>
        <v>0</v>
      </c>
      <c r="Q49" s="336">
        <f t="shared" ref="Q49" si="442">SUM(Q50:Q53)</f>
        <v>0</v>
      </c>
      <c r="R49" s="336">
        <f t="shared" ref="R49" si="443">SUM(R50:R53)</f>
        <v>0</v>
      </c>
      <c r="S49" s="336">
        <f t="shared" ref="S49" si="444">SUM(S50:S53)</f>
        <v>0</v>
      </c>
      <c r="T49" s="336"/>
      <c r="U49" s="336"/>
      <c r="V49" s="336"/>
      <c r="W49" s="336">
        <f t="shared" ref="W49:X49" si="445">SUM(W50:W53)</f>
        <v>0</v>
      </c>
      <c r="X49" s="336">
        <f t="shared" si="445"/>
        <v>0</v>
      </c>
      <c r="Y49" s="336">
        <f t="shared" ref="Y49" si="446">SUM(Y50:Y53)</f>
        <v>0</v>
      </c>
      <c r="Z49" s="336">
        <f t="shared" ref="Z49" si="447">SUM(Z50:Z53)</f>
        <v>0</v>
      </c>
      <c r="AA49" s="336">
        <f t="shared" ref="AA49:AB49" si="448">SUM(AA50:AA53)</f>
        <v>0</v>
      </c>
      <c r="AB49" s="336">
        <f t="shared" si="448"/>
        <v>0</v>
      </c>
      <c r="AC49" s="336">
        <f t="shared" ref="AC49" si="449">SUM(AC50:AC53)</f>
        <v>0</v>
      </c>
      <c r="AD49" s="336">
        <f t="shared" ref="AD49" si="450">SUM(AD50:AD53)</f>
        <v>0</v>
      </c>
      <c r="AE49" s="336">
        <f t="shared" ref="AE49" si="451">SUM(AE50:AE53)</f>
        <v>0</v>
      </c>
      <c r="AF49" s="336">
        <f t="shared" ref="AF49" si="452">SUM(AF50:AF53)</f>
        <v>0</v>
      </c>
      <c r="AG49" s="336">
        <f t="shared" ref="AG49:AH49" si="453">SUM(AG50:AG53)</f>
        <v>0</v>
      </c>
      <c r="AH49" s="336">
        <f t="shared" si="453"/>
        <v>0</v>
      </c>
      <c r="AI49" s="336">
        <f t="shared" ref="AI49" si="454">SUM(AI50:AI53)</f>
        <v>0</v>
      </c>
      <c r="AJ49" s="336">
        <f t="shared" ref="AJ49" si="455">SUM(AJ50:AJ53)</f>
        <v>0</v>
      </c>
      <c r="AK49" s="336">
        <f t="shared" ref="AK49:AL49" si="456">SUM(AK50:AK53)</f>
        <v>0</v>
      </c>
      <c r="AL49" s="336">
        <f t="shared" si="456"/>
        <v>0</v>
      </c>
      <c r="AM49" s="336">
        <f t="shared" ref="AM49" si="457">SUM(AM50:AM53)</f>
        <v>0</v>
      </c>
      <c r="AN49" s="336">
        <f t="shared" ref="AN49" si="458">SUM(AN50:AN53)</f>
        <v>0</v>
      </c>
      <c r="AO49" s="336">
        <f t="shared" ref="AO49:AP49" si="459">SUM(AO50:AO53)</f>
        <v>0</v>
      </c>
      <c r="AP49" s="336">
        <f t="shared" si="459"/>
        <v>0</v>
      </c>
      <c r="AQ49" s="336">
        <f t="shared" ref="AQ49" si="460">SUM(AQ50:AQ53)</f>
        <v>0</v>
      </c>
      <c r="AR49" s="336">
        <f t="shared" ref="AR49" si="461">SUM(AR50:AR53)</f>
        <v>0</v>
      </c>
      <c r="AS49" s="336">
        <f t="shared" ref="AS49:AT49" si="462">SUM(AS50:AS53)</f>
        <v>0</v>
      </c>
      <c r="AT49" s="336">
        <f t="shared" si="462"/>
        <v>0</v>
      </c>
      <c r="AU49" s="336">
        <f t="shared" ref="AU49" si="463">SUM(AU50:AU53)</f>
        <v>0</v>
      </c>
      <c r="AV49" s="336">
        <f t="shared" ref="AV49" si="464">SUM(AV50:AV53)</f>
        <v>0</v>
      </c>
      <c r="AW49" s="336">
        <f t="shared" ref="AW49:AX49" si="465">SUM(AW50:AW53)</f>
        <v>0</v>
      </c>
      <c r="AX49" s="336">
        <f t="shared" si="465"/>
        <v>0</v>
      </c>
      <c r="AY49" s="336">
        <f t="shared" ref="AY49" si="466">SUM(AY50:AY53)</f>
        <v>0</v>
      </c>
      <c r="AZ49" s="336">
        <f t="shared" ref="AZ49" si="467">SUM(AZ50:AZ53)</f>
        <v>0</v>
      </c>
      <c r="BA49" s="336">
        <f t="shared" ref="BA49:BE49" si="468">SUM(BA50:BA53)</f>
        <v>0</v>
      </c>
      <c r="BB49" s="336">
        <f t="shared" ref="BB49" si="469">SUM(BB50:BB53)</f>
        <v>0</v>
      </c>
      <c r="BC49" s="336">
        <f t="shared" ref="BC49" si="470">SUM(BC50:BC53)</f>
        <v>0</v>
      </c>
      <c r="BD49" s="336">
        <f t="shared" ref="BD49" si="471">SUM(BD50:BD53)</f>
        <v>0</v>
      </c>
      <c r="BE49" s="336">
        <f t="shared" si="468"/>
        <v>0</v>
      </c>
      <c r="BF49" s="336">
        <f t="shared" ref="BF49:BI49" si="472">SUM(BF50:BF53)</f>
        <v>0</v>
      </c>
      <c r="BG49" s="336">
        <f t="shared" ref="BG49" si="473">SUM(BG50:BG53)</f>
        <v>0</v>
      </c>
      <c r="BH49" s="336">
        <f t="shared" ref="BH49" si="474">SUM(BH50:BH53)</f>
        <v>0</v>
      </c>
      <c r="BI49" s="336">
        <f t="shared" si="472"/>
        <v>0</v>
      </c>
      <c r="BJ49" s="336">
        <f t="shared" ref="BJ49" si="475">SUM(BJ50:BJ53)</f>
        <v>0</v>
      </c>
      <c r="BK49" s="336">
        <f t="shared" ref="BK49:BN49" si="476">SUM(BK50:BK53)</f>
        <v>0</v>
      </c>
      <c r="BL49" s="336">
        <f t="shared" ref="BL49" si="477">SUM(BL50:BL53)</f>
        <v>0</v>
      </c>
      <c r="BM49" s="336">
        <f t="shared" si="476"/>
        <v>0</v>
      </c>
      <c r="BN49" s="336">
        <f t="shared" si="476"/>
        <v>0</v>
      </c>
      <c r="BO49" s="336">
        <f t="shared" ref="BO49" si="478">SUM(BO50:BO53)</f>
        <v>0</v>
      </c>
      <c r="BP49" s="336">
        <f t="shared" ref="BP49" si="479">SUM(BP50:BP53)</f>
        <v>0</v>
      </c>
      <c r="BQ49" s="372">
        <f t="shared" si="383"/>
        <v>0</v>
      </c>
      <c r="BR49" s="618">
        <f t="shared" si="384"/>
        <v>0</v>
      </c>
      <c r="BS49" s="618">
        <f t="shared" ca="1" si="385"/>
        <v>0</v>
      </c>
      <c r="BT49" s="618">
        <f t="shared" ca="1" si="386"/>
        <v>0</v>
      </c>
      <c r="BU49" s="646"/>
      <c r="BV49" s="646"/>
    </row>
    <row r="50" spans="1:74" ht="15" hidden="1" customHeight="1" thickBot="1" x14ac:dyDescent="0.3">
      <c r="A50" s="184"/>
      <c r="B50" s="180" t="s">
        <v>103</v>
      </c>
      <c r="C50" s="336"/>
      <c r="D50" s="336"/>
      <c r="E50" s="336"/>
      <c r="F50" s="336"/>
      <c r="G50" s="336"/>
      <c r="H50" s="336"/>
      <c r="I50" s="336"/>
      <c r="J50" s="336"/>
      <c r="K50" s="336"/>
      <c r="L50" s="335"/>
      <c r="M50" s="335"/>
      <c r="N50" s="335"/>
      <c r="O50" s="336"/>
      <c r="P50" s="336"/>
      <c r="Q50" s="336"/>
      <c r="R50" s="336"/>
      <c r="S50" s="336"/>
      <c r="T50" s="335"/>
      <c r="U50" s="335"/>
      <c r="V50" s="335"/>
      <c r="W50" s="336"/>
      <c r="X50" s="336"/>
      <c r="Y50" s="336"/>
      <c r="Z50" s="336"/>
      <c r="AA50" s="336"/>
      <c r="AB50" s="336"/>
      <c r="AC50" s="336"/>
      <c r="AD50" s="336"/>
      <c r="AE50" s="336"/>
      <c r="AF50" s="336"/>
      <c r="AG50" s="336"/>
      <c r="AH50" s="336"/>
      <c r="AI50" s="336"/>
      <c r="AJ50" s="336"/>
      <c r="AK50" s="336"/>
      <c r="AL50" s="336"/>
      <c r="AM50" s="336"/>
      <c r="AN50" s="336"/>
      <c r="AO50" s="336"/>
      <c r="AP50" s="336"/>
      <c r="AQ50" s="336"/>
      <c r="AR50" s="336"/>
      <c r="AS50" s="336"/>
      <c r="AT50" s="336"/>
      <c r="AU50" s="336"/>
      <c r="AV50" s="336"/>
      <c r="AW50" s="336"/>
      <c r="AX50" s="336"/>
      <c r="AY50" s="336"/>
      <c r="AZ50" s="336"/>
      <c r="BA50" s="336"/>
      <c r="BB50" s="336"/>
      <c r="BC50" s="336"/>
      <c r="BD50" s="336"/>
      <c r="BE50" s="336"/>
      <c r="BF50" s="336"/>
      <c r="BG50" s="336"/>
      <c r="BH50" s="336"/>
      <c r="BI50" s="336"/>
      <c r="BJ50" s="336"/>
      <c r="BK50" s="336"/>
      <c r="BL50" s="336"/>
      <c r="BM50" s="336"/>
      <c r="BN50" s="336"/>
      <c r="BO50" s="336"/>
      <c r="BP50" s="336"/>
      <c r="BQ50" s="372">
        <f t="shared" si="383"/>
        <v>0</v>
      </c>
      <c r="BR50" s="618">
        <f t="shared" si="384"/>
        <v>0</v>
      </c>
      <c r="BS50" s="618">
        <f t="shared" ca="1" si="385"/>
        <v>0</v>
      </c>
      <c r="BT50" s="618">
        <f t="shared" ca="1" si="386"/>
        <v>0</v>
      </c>
      <c r="BU50" s="646"/>
      <c r="BV50" s="646"/>
    </row>
    <row r="51" spans="1:74" ht="15" hidden="1" customHeight="1" thickBot="1" x14ac:dyDescent="0.3">
      <c r="A51" s="184"/>
      <c r="B51" s="180" t="s">
        <v>104</v>
      </c>
      <c r="C51" s="336"/>
      <c r="D51" s="336"/>
      <c r="E51" s="336"/>
      <c r="F51" s="336"/>
      <c r="G51" s="336"/>
      <c r="H51" s="336"/>
      <c r="I51" s="336"/>
      <c r="J51" s="336"/>
      <c r="K51" s="336"/>
      <c r="L51" s="335"/>
      <c r="M51" s="335"/>
      <c r="N51" s="335"/>
      <c r="O51" s="336"/>
      <c r="P51" s="336"/>
      <c r="Q51" s="336"/>
      <c r="R51" s="336"/>
      <c r="S51" s="336"/>
      <c r="T51" s="335"/>
      <c r="U51" s="335"/>
      <c r="V51" s="335"/>
      <c r="W51" s="336"/>
      <c r="X51" s="336"/>
      <c r="Y51" s="336"/>
      <c r="Z51" s="336"/>
      <c r="AA51" s="336"/>
      <c r="AB51" s="336"/>
      <c r="AC51" s="336"/>
      <c r="AD51" s="336"/>
      <c r="AE51" s="336"/>
      <c r="AF51" s="336"/>
      <c r="AG51" s="336"/>
      <c r="AH51" s="336"/>
      <c r="AI51" s="336"/>
      <c r="AJ51" s="336"/>
      <c r="AK51" s="336"/>
      <c r="AL51" s="336"/>
      <c r="AM51" s="336"/>
      <c r="AN51" s="336"/>
      <c r="AO51" s="336"/>
      <c r="AP51" s="336"/>
      <c r="AQ51" s="336"/>
      <c r="AR51" s="336"/>
      <c r="AS51" s="336"/>
      <c r="AT51" s="336"/>
      <c r="AU51" s="336"/>
      <c r="AV51" s="336"/>
      <c r="AW51" s="336"/>
      <c r="AX51" s="336"/>
      <c r="AY51" s="336"/>
      <c r="AZ51" s="336"/>
      <c r="BA51" s="336"/>
      <c r="BB51" s="336"/>
      <c r="BC51" s="336"/>
      <c r="BD51" s="336"/>
      <c r="BE51" s="336"/>
      <c r="BF51" s="336"/>
      <c r="BG51" s="336"/>
      <c r="BH51" s="336"/>
      <c r="BI51" s="336"/>
      <c r="BJ51" s="336"/>
      <c r="BK51" s="336"/>
      <c r="BL51" s="336"/>
      <c r="BM51" s="336"/>
      <c r="BN51" s="336"/>
      <c r="BO51" s="336"/>
      <c r="BP51" s="336"/>
      <c r="BQ51" s="372">
        <f t="shared" si="383"/>
        <v>0</v>
      </c>
      <c r="BR51" s="618">
        <f t="shared" si="384"/>
        <v>0</v>
      </c>
      <c r="BS51" s="618">
        <f t="shared" ca="1" si="385"/>
        <v>0</v>
      </c>
      <c r="BT51" s="618">
        <f t="shared" ca="1" si="386"/>
        <v>0</v>
      </c>
      <c r="BU51" s="646"/>
      <c r="BV51" s="646"/>
    </row>
    <row r="52" spans="1:74" ht="15" hidden="1" customHeight="1" thickBot="1" x14ac:dyDescent="0.3">
      <c r="A52" s="184"/>
      <c r="B52" s="180" t="s">
        <v>105</v>
      </c>
      <c r="C52" s="336"/>
      <c r="D52" s="336"/>
      <c r="E52" s="336"/>
      <c r="F52" s="336"/>
      <c r="G52" s="336"/>
      <c r="H52" s="336"/>
      <c r="I52" s="336"/>
      <c r="J52" s="336"/>
      <c r="K52" s="336"/>
      <c r="L52" s="335"/>
      <c r="M52" s="335"/>
      <c r="N52" s="335"/>
      <c r="O52" s="336"/>
      <c r="P52" s="336"/>
      <c r="Q52" s="336"/>
      <c r="R52" s="336"/>
      <c r="S52" s="336"/>
      <c r="T52" s="335"/>
      <c r="U52" s="335"/>
      <c r="V52" s="335"/>
      <c r="W52" s="336"/>
      <c r="X52" s="336"/>
      <c r="Y52" s="336"/>
      <c r="Z52" s="336"/>
      <c r="AA52" s="336"/>
      <c r="AB52" s="336"/>
      <c r="AC52" s="336"/>
      <c r="AD52" s="336"/>
      <c r="AE52" s="336"/>
      <c r="AF52" s="336"/>
      <c r="AG52" s="336"/>
      <c r="AH52" s="336"/>
      <c r="AI52" s="336"/>
      <c r="AJ52" s="336"/>
      <c r="AK52" s="336"/>
      <c r="AL52" s="336"/>
      <c r="AM52" s="336"/>
      <c r="AN52" s="336"/>
      <c r="AO52" s="336"/>
      <c r="AP52" s="336"/>
      <c r="AQ52" s="336"/>
      <c r="AR52" s="336"/>
      <c r="AS52" s="336"/>
      <c r="AT52" s="336"/>
      <c r="AU52" s="336"/>
      <c r="AV52" s="336"/>
      <c r="AW52" s="336"/>
      <c r="AX52" s="336"/>
      <c r="AY52" s="336"/>
      <c r="AZ52" s="336"/>
      <c r="BA52" s="336"/>
      <c r="BB52" s="336"/>
      <c r="BC52" s="336"/>
      <c r="BD52" s="336"/>
      <c r="BE52" s="336"/>
      <c r="BF52" s="336"/>
      <c r="BG52" s="336"/>
      <c r="BH52" s="336"/>
      <c r="BI52" s="336"/>
      <c r="BJ52" s="336"/>
      <c r="BK52" s="336"/>
      <c r="BL52" s="336"/>
      <c r="BM52" s="336"/>
      <c r="BN52" s="336"/>
      <c r="BO52" s="336"/>
      <c r="BP52" s="336"/>
      <c r="BQ52" s="372">
        <f t="shared" si="383"/>
        <v>0</v>
      </c>
      <c r="BR52" s="618">
        <f t="shared" si="384"/>
        <v>0</v>
      </c>
      <c r="BS52" s="618">
        <f t="shared" ca="1" si="385"/>
        <v>0</v>
      </c>
      <c r="BT52" s="618">
        <f t="shared" ca="1" si="386"/>
        <v>0</v>
      </c>
      <c r="BU52" s="646"/>
      <c r="BV52" s="646"/>
    </row>
    <row r="53" spans="1:74" ht="15" hidden="1" customHeight="1" thickBot="1" x14ac:dyDescent="0.3">
      <c r="A53" s="184"/>
      <c r="B53" s="180" t="s">
        <v>106</v>
      </c>
      <c r="C53" s="336"/>
      <c r="D53" s="336"/>
      <c r="E53" s="336"/>
      <c r="F53" s="336"/>
      <c r="G53" s="336"/>
      <c r="H53" s="336"/>
      <c r="I53" s="336"/>
      <c r="J53" s="336"/>
      <c r="K53" s="336"/>
      <c r="L53" s="335"/>
      <c r="M53" s="335"/>
      <c r="N53" s="335"/>
      <c r="O53" s="336"/>
      <c r="P53" s="336"/>
      <c r="Q53" s="336"/>
      <c r="R53" s="336"/>
      <c r="S53" s="336"/>
      <c r="T53" s="335"/>
      <c r="U53" s="335"/>
      <c r="V53" s="335"/>
      <c r="W53" s="336"/>
      <c r="X53" s="336"/>
      <c r="Y53" s="336"/>
      <c r="Z53" s="336"/>
      <c r="AA53" s="336"/>
      <c r="AB53" s="336"/>
      <c r="AC53" s="336"/>
      <c r="AD53" s="336"/>
      <c r="AE53" s="336"/>
      <c r="AF53" s="336"/>
      <c r="AG53" s="336"/>
      <c r="AH53" s="336"/>
      <c r="AI53" s="336"/>
      <c r="AJ53" s="336"/>
      <c r="AK53" s="336"/>
      <c r="AL53" s="336"/>
      <c r="AM53" s="336"/>
      <c r="AN53" s="336"/>
      <c r="AO53" s="336"/>
      <c r="AP53" s="336"/>
      <c r="AQ53" s="336"/>
      <c r="AR53" s="336"/>
      <c r="AS53" s="336"/>
      <c r="AT53" s="336"/>
      <c r="AU53" s="336"/>
      <c r="AV53" s="336"/>
      <c r="AW53" s="336"/>
      <c r="AX53" s="336"/>
      <c r="AY53" s="336"/>
      <c r="AZ53" s="336"/>
      <c r="BA53" s="336"/>
      <c r="BB53" s="336"/>
      <c r="BC53" s="336"/>
      <c r="BD53" s="336"/>
      <c r="BE53" s="336"/>
      <c r="BF53" s="336"/>
      <c r="BG53" s="336"/>
      <c r="BH53" s="336"/>
      <c r="BI53" s="336"/>
      <c r="BJ53" s="336"/>
      <c r="BK53" s="336"/>
      <c r="BL53" s="336"/>
      <c r="BM53" s="336"/>
      <c r="BN53" s="336"/>
      <c r="BO53" s="336"/>
      <c r="BP53" s="336"/>
      <c r="BQ53" s="372">
        <f t="shared" si="383"/>
        <v>0</v>
      </c>
      <c r="BR53" s="618">
        <f t="shared" si="384"/>
        <v>0</v>
      </c>
      <c r="BS53" s="618">
        <f t="shared" ca="1" si="385"/>
        <v>0</v>
      </c>
      <c r="BT53" s="618">
        <f t="shared" ca="1" si="386"/>
        <v>0</v>
      </c>
      <c r="BU53" s="646"/>
      <c r="BV53" s="646"/>
    </row>
    <row r="54" spans="1:74" ht="15" hidden="1" customHeight="1" thickBot="1" x14ac:dyDescent="0.3">
      <c r="A54" s="184" t="s">
        <v>107</v>
      </c>
      <c r="B54" s="180" t="s">
        <v>108</v>
      </c>
      <c r="C54" s="336"/>
      <c r="D54" s="336"/>
      <c r="E54" s="336"/>
      <c r="F54" s="336"/>
      <c r="G54" s="336"/>
      <c r="H54" s="336"/>
      <c r="I54" s="336"/>
      <c r="J54" s="336"/>
      <c r="K54" s="336"/>
      <c r="L54" s="335"/>
      <c r="M54" s="335"/>
      <c r="N54" s="335"/>
      <c r="O54" s="336"/>
      <c r="P54" s="336"/>
      <c r="Q54" s="336"/>
      <c r="R54" s="336"/>
      <c r="S54" s="336"/>
      <c r="T54" s="335"/>
      <c r="U54" s="335"/>
      <c r="V54" s="335"/>
      <c r="W54" s="336"/>
      <c r="X54" s="336"/>
      <c r="Y54" s="336"/>
      <c r="Z54" s="336"/>
      <c r="AA54" s="336"/>
      <c r="AB54" s="336"/>
      <c r="AC54" s="336"/>
      <c r="AD54" s="336"/>
      <c r="AE54" s="336"/>
      <c r="AF54" s="336"/>
      <c r="AG54" s="336"/>
      <c r="AH54" s="336"/>
      <c r="AI54" s="336"/>
      <c r="AJ54" s="336"/>
      <c r="AK54" s="336"/>
      <c r="AL54" s="336"/>
      <c r="AM54" s="336"/>
      <c r="AN54" s="336"/>
      <c r="AO54" s="336"/>
      <c r="AP54" s="336"/>
      <c r="AQ54" s="336"/>
      <c r="AR54" s="336"/>
      <c r="AS54" s="336"/>
      <c r="AT54" s="336"/>
      <c r="AU54" s="336"/>
      <c r="AV54" s="336"/>
      <c r="AW54" s="336"/>
      <c r="AX54" s="336"/>
      <c r="AY54" s="336"/>
      <c r="AZ54" s="336"/>
      <c r="BA54" s="336"/>
      <c r="BB54" s="336"/>
      <c r="BC54" s="336"/>
      <c r="BD54" s="336"/>
      <c r="BE54" s="336"/>
      <c r="BF54" s="336"/>
      <c r="BG54" s="336"/>
      <c r="BH54" s="336"/>
      <c r="BI54" s="336"/>
      <c r="BJ54" s="336"/>
      <c r="BK54" s="336"/>
      <c r="BL54" s="336"/>
      <c r="BM54" s="336"/>
      <c r="BN54" s="336"/>
      <c r="BO54" s="336"/>
      <c r="BP54" s="336"/>
      <c r="BQ54" s="372">
        <f t="shared" si="383"/>
        <v>0</v>
      </c>
      <c r="BR54" s="618">
        <f t="shared" si="384"/>
        <v>0</v>
      </c>
      <c r="BS54" s="618">
        <f t="shared" ca="1" si="385"/>
        <v>0</v>
      </c>
      <c r="BT54" s="618">
        <f t="shared" ca="1" si="386"/>
        <v>0</v>
      </c>
      <c r="BU54" s="646"/>
      <c r="BV54" s="646"/>
    </row>
    <row r="55" spans="1:74" ht="15" hidden="1" customHeight="1" thickBot="1" x14ac:dyDescent="0.3">
      <c r="A55" s="184" t="s">
        <v>109</v>
      </c>
      <c r="B55" s="180" t="s">
        <v>110</v>
      </c>
      <c r="C55" s="336"/>
      <c r="D55" s="336"/>
      <c r="E55" s="336"/>
      <c r="F55" s="336"/>
      <c r="G55" s="336"/>
      <c r="H55" s="336"/>
      <c r="I55" s="336"/>
      <c r="J55" s="336"/>
      <c r="K55" s="336"/>
      <c r="L55" s="335"/>
      <c r="M55" s="335"/>
      <c r="N55" s="335"/>
      <c r="O55" s="336"/>
      <c r="P55" s="336"/>
      <c r="Q55" s="336"/>
      <c r="R55" s="336"/>
      <c r="S55" s="336"/>
      <c r="T55" s="335"/>
      <c r="U55" s="335"/>
      <c r="V55" s="335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  <c r="AV55" s="336"/>
      <c r="AW55" s="336"/>
      <c r="AX55" s="336"/>
      <c r="AY55" s="336"/>
      <c r="AZ55" s="336"/>
      <c r="BA55" s="336"/>
      <c r="BB55" s="336"/>
      <c r="BC55" s="336"/>
      <c r="BD55" s="336"/>
      <c r="BE55" s="336"/>
      <c r="BF55" s="336"/>
      <c r="BG55" s="336"/>
      <c r="BH55" s="336"/>
      <c r="BI55" s="336"/>
      <c r="BJ55" s="336"/>
      <c r="BK55" s="336"/>
      <c r="BL55" s="336"/>
      <c r="BM55" s="336"/>
      <c r="BN55" s="336"/>
      <c r="BO55" s="336"/>
      <c r="BP55" s="336"/>
      <c r="BQ55" s="372">
        <f t="shared" si="383"/>
        <v>0</v>
      </c>
      <c r="BR55" s="618">
        <f t="shared" si="384"/>
        <v>0</v>
      </c>
      <c r="BS55" s="618">
        <f t="shared" ca="1" si="385"/>
        <v>0</v>
      </c>
      <c r="BT55" s="618">
        <f t="shared" ca="1" si="386"/>
        <v>0</v>
      </c>
      <c r="BU55" s="646"/>
      <c r="BV55" s="646"/>
    </row>
    <row r="56" spans="1:74" ht="15" hidden="1" customHeight="1" thickBot="1" x14ac:dyDescent="0.3">
      <c r="A56" s="184" t="s">
        <v>111</v>
      </c>
      <c r="B56" s="180" t="s">
        <v>112</v>
      </c>
      <c r="C56" s="336"/>
      <c r="D56" s="336"/>
      <c r="E56" s="336"/>
      <c r="F56" s="336"/>
      <c r="G56" s="336"/>
      <c r="H56" s="336"/>
      <c r="I56" s="336"/>
      <c r="J56" s="336"/>
      <c r="K56" s="336"/>
      <c r="L56" s="335"/>
      <c r="M56" s="335"/>
      <c r="N56" s="335"/>
      <c r="O56" s="336"/>
      <c r="P56" s="336"/>
      <c r="Q56" s="336"/>
      <c r="R56" s="336"/>
      <c r="S56" s="336"/>
      <c r="T56" s="335"/>
      <c r="U56" s="335"/>
      <c r="V56" s="335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  <c r="AV56" s="336"/>
      <c r="AW56" s="336"/>
      <c r="AX56" s="336"/>
      <c r="AY56" s="336"/>
      <c r="AZ56" s="336"/>
      <c r="BA56" s="336"/>
      <c r="BB56" s="336"/>
      <c r="BC56" s="336"/>
      <c r="BD56" s="336"/>
      <c r="BE56" s="336"/>
      <c r="BF56" s="336"/>
      <c r="BG56" s="336"/>
      <c r="BH56" s="336"/>
      <c r="BI56" s="336"/>
      <c r="BJ56" s="336"/>
      <c r="BK56" s="336"/>
      <c r="BL56" s="336"/>
      <c r="BM56" s="336"/>
      <c r="BN56" s="336"/>
      <c r="BO56" s="336"/>
      <c r="BP56" s="336"/>
      <c r="BQ56" s="372">
        <f t="shared" si="383"/>
        <v>0</v>
      </c>
      <c r="BR56" s="618">
        <f t="shared" si="384"/>
        <v>0</v>
      </c>
      <c r="BS56" s="618">
        <f t="shared" ca="1" si="385"/>
        <v>0</v>
      </c>
      <c r="BT56" s="618">
        <f t="shared" ca="1" si="386"/>
        <v>0</v>
      </c>
      <c r="BU56" s="646"/>
      <c r="BV56" s="646"/>
    </row>
    <row r="57" spans="1:74" ht="15.75" thickBot="1" x14ac:dyDescent="0.3">
      <c r="A57" s="184" t="s">
        <v>113</v>
      </c>
      <c r="B57" s="180" t="s">
        <v>114</v>
      </c>
      <c r="C57" s="336"/>
      <c r="D57" s="336"/>
      <c r="E57" s="336"/>
      <c r="F57" s="336">
        <v>686</v>
      </c>
      <c r="G57" s="336"/>
      <c r="H57" s="336"/>
      <c r="I57" s="336"/>
      <c r="J57" s="336">
        <v>85</v>
      </c>
      <c r="K57" s="336"/>
      <c r="L57" s="335"/>
      <c r="M57" s="335"/>
      <c r="N57" s="335">
        <f>8190+560</f>
        <v>8750</v>
      </c>
      <c r="O57" s="336"/>
      <c r="P57" s="336"/>
      <c r="Q57" s="336"/>
      <c r="R57" s="336"/>
      <c r="S57" s="336"/>
      <c r="T57" s="335"/>
      <c r="U57" s="335"/>
      <c r="V57" s="335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>
        <v>712</v>
      </c>
      <c r="AK57" s="336"/>
      <c r="AL57" s="336"/>
      <c r="AM57" s="336"/>
      <c r="AN57" s="336">
        <v>472</v>
      </c>
      <c r="AO57" s="336"/>
      <c r="AP57" s="336"/>
      <c r="AQ57" s="336"/>
      <c r="AR57" s="336">
        <v>1</v>
      </c>
      <c r="AS57" s="336"/>
      <c r="AT57" s="336"/>
      <c r="AU57" s="336"/>
      <c r="AV57" s="336"/>
      <c r="AW57" s="336"/>
      <c r="AX57" s="336"/>
      <c r="AY57" s="336"/>
      <c r="AZ57" s="336"/>
      <c r="BA57" s="336"/>
      <c r="BB57" s="336"/>
      <c r="BC57" s="336"/>
      <c r="BD57" s="336">
        <v>64898</v>
      </c>
      <c r="BE57" s="336"/>
      <c r="BF57" s="336"/>
      <c r="BG57" s="336"/>
      <c r="BH57" s="336"/>
      <c r="BI57" s="336"/>
      <c r="BJ57" s="336"/>
      <c r="BK57" s="336"/>
      <c r="BL57" s="336"/>
      <c r="BM57" s="336"/>
      <c r="BN57" s="336"/>
      <c r="BO57" s="336"/>
      <c r="BP57" s="336"/>
      <c r="BQ57" s="372">
        <f t="shared" si="383"/>
        <v>0</v>
      </c>
      <c r="BR57" s="618">
        <f t="shared" si="384"/>
        <v>0</v>
      </c>
      <c r="BS57" s="618">
        <f t="shared" ca="1" si="385"/>
        <v>0</v>
      </c>
      <c r="BT57" s="618">
        <f t="shared" ca="1" si="386"/>
        <v>75604</v>
      </c>
      <c r="BU57" s="646"/>
      <c r="BV57" s="646"/>
    </row>
    <row r="58" spans="1:74" ht="15.75" hidden="1" customHeight="1" thickBot="1" x14ac:dyDescent="0.3">
      <c r="A58" s="184" t="s">
        <v>115</v>
      </c>
      <c r="B58" s="180" t="s">
        <v>116</v>
      </c>
      <c r="C58" s="336"/>
      <c r="D58" s="336"/>
      <c r="E58" s="336"/>
      <c r="F58" s="336"/>
      <c r="G58" s="336"/>
      <c r="H58" s="336"/>
      <c r="I58" s="336"/>
      <c r="J58" s="336"/>
      <c r="K58" s="336"/>
      <c r="L58" s="335"/>
      <c r="M58" s="335"/>
      <c r="N58" s="335"/>
      <c r="O58" s="336"/>
      <c r="P58" s="336"/>
      <c r="Q58" s="336"/>
      <c r="R58" s="336"/>
      <c r="S58" s="336"/>
      <c r="T58" s="335"/>
      <c r="U58" s="335"/>
      <c r="V58" s="335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  <c r="AV58" s="336"/>
      <c r="AW58" s="336"/>
      <c r="AX58" s="336"/>
      <c r="AY58" s="336"/>
      <c r="AZ58" s="336"/>
      <c r="BA58" s="336"/>
      <c r="BB58" s="336"/>
      <c r="BC58" s="336"/>
      <c r="BD58" s="336"/>
      <c r="BE58" s="336"/>
      <c r="BF58" s="336"/>
      <c r="BG58" s="336"/>
      <c r="BH58" s="336"/>
      <c r="BI58" s="336"/>
      <c r="BJ58" s="336"/>
      <c r="BK58" s="336"/>
      <c r="BL58" s="336"/>
      <c r="BM58" s="336"/>
      <c r="BN58" s="336"/>
      <c r="BO58" s="336"/>
      <c r="BP58" s="336"/>
      <c r="BQ58" s="372">
        <f t="shared" si="383"/>
        <v>0</v>
      </c>
      <c r="BR58" s="618">
        <f t="shared" si="384"/>
        <v>0</v>
      </c>
      <c r="BS58" s="618">
        <f t="shared" ca="1" si="385"/>
        <v>0</v>
      </c>
      <c r="BT58" s="618">
        <f t="shared" ca="1" si="386"/>
        <v>0</v>
      </c>
      <c r="BU58" s="646"/>
      <c r="BV58" s="646"/>
    </row>
    <row r="59" spans="1:74" ht="15.75" hidden="1" customHeight="1" thickBot="1" x14ac:dyDescent="0.3">
      <c r="A59" s="184" t="s">
        <v>117</v>
      </c>
      <c r="B59" s="180" t="s">
        <v>118</v>
      </c>
      <c r="C59" s="336"/>
      <c r="D59" s="336"/>
      <c r="E59" s="336"/>
      <c r="F59" s="336"/>
      <c r="G59" s="336"/>
      <c r="H59" s="336"/>
      <c r="I59" s="336"/>
      <c r="J59" s="336"/>
      <c r="K59" s="336"/>
      <c r="L59" s="335"/>
      <c r="M59" s="335"/>
      <c r="N59" s="335"/>
      <c r="O59" s="336"/>
      <c r="P59" s="336"/>
      <c r="Q59" s="336"/>
      <c r="R59" s="336"/>
      <c r="S59" s="336"/>
      <c r="T59" s="335"/>
      <c r="U59" s="335"/>
      <c r="V59" s="335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72">
        <f t="shared" si="383"/>
        <v>0</v>
      </c>
      <c r="BR59" s="618">
        <f t="shared" si="384"/>
        <v>0</v>
      </c>
      <c r="BS59" s="618">
        <f t="shared" ca="1" si="385"/>
        <v>0</v>
      </c>
      <c r="BT59" s="618">
        <f t="shared" ca="1" si="386"/>
        <v>0</v>
      </c>
      <c r="BU59" s="646"/>
      <c r="BV59" s="646"/>
    </row>
    <row r="60" spans="1:74" ht="15.75" hidden="1" customHeight="1" thickBot="1" x14ac:dyDescent="0.3">
      <c r="A60" s="185" t="s">
        <v>119</v>
      </c>
      <c r="B60" s="192" t="s">
        <v>120</v>
      </c>
      <c r="C60" s="337"/>
      <c r="D60" s="337"/>
      <c r="E60" s="337"/>
      <c r="F60" s="337"/>
      <c r="G60" s="337"/>
      <c r="H60" s="337"/>
      <c r="I60" s="337"/>
      <c r="J60" s="337"/>
      <c r="K60" s="337"/>
      <c r="L60" s="337"/>
      <c r="M60" s="337"/>
      <c r="N60" s="337"/>
      <c r="O60" s="337"/>
      <c r="P60" s="337"/>
      <c r="Q60" s="337"/>
      <c r="R60" s="337"/>
      <c r="S60" s="337"/>
      <c r="T60" s="337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337"/>
      <c r="AN60" s="337"/>
      <c r="AO60" s="337"/>
      <c r="AP60" s="337"/>
      <c r="AQ60" s="337"/>
      <c r="AR60" s="337"/>
      <c r="AS60" s="337"/>
      <c r="AT60" s="337"/>
      <c r="AU60" s="337"/>
      <c r="AV60" s="337"/>
      <c r="AW60" s="337"/>
      <c r="AX60" s="337"/>
      <c r="AY60" s="337"/>
      <c r="AZ60" s="337"/>
      <c r="BA60" s="337"/>
      <c r="BB60" s="337"/>
      <c r="BC60" s="337"/>
      <c r="BD60" s="337"/>
      <c r="BE60" s="337"/>
      <c r="BF60" s="337"/>
      <c r="BG60" s="337"/>
      <c r="BH60" s="337"/>
      <c r="BI60" s="337"/>
      <c r="BJ60" s="337"/>
      <c r="BK60" s="337"/>
      <c r="BL60" s="337"/>
      <c r="BM60" s="337"/>
      <c r="BN60" s="337"/>
      <c r="BO60" s="337"/>
      <c r="BP60" s="337"/>
      <c r="BQ60" s="374">
        <f t="shared" si="383"/>
        <v>0</v>
      </c>
      <c r="BR60" s="618">
        <f t="shared" si="384"/>
        <v>0</v>
      </c>
      <c r="BS60" s="618">
        <f t="shared" ca="1" si="385"/>
        <v>0</v>
      </c>
      <c r="BT60" s="618">
        <f t="shared" ca="1" si="386"/>
        <v>0</v>
      </c>
      <c r="BU60" s="646"/>
      <c r="BV60" s="646"/>
    </row>
    <row r="61" spans="1:74" ht="15.75" customHeight="1" thickBot="1" x14ac:dyDescent="0.3">
      <c r="A61" s="183" t="s">
        <v>121</v>
      </c>
      <c r="B61" s="189" t="s">
        <v>28</v>
      </c>
      <c r="C61" s="642">
        <f t="shared" ref="C61:G61" si="480">SUM(C62:C66)</f>
        <v>0</v>
      </c>
      <c r="D61" s="642">
        <f t="shared" ref="D61:E61" si="481">SUM(D62:D66)</f>
        <v>0</v>
      </c>
      <c r="E61" s="642">
        <f t="shared" si="481"/>
        <v>0</v>
      </c>
      <c r="F61" s="642">
        <f t="shared" ref="F61" si="482">SUM(F62:F66)</f>
        <v>0</v>
      </c>
      <c r="G61" s="642">
        <f t="shared" si="480"/>
        <v>0</v>
      </c>
      <c r="H61" s="642">
        <f t="shared" ref="H61" si="483">SUM(H62:H66)</f>
        <v>0</v>
      </c>
      <c r="I61" s="642">
        <f t="shared" ref="I61" si="484">SUM(I62:I66)</f>
        <v>0</v>
      </c>
      <c r="J61" s="642">
        <f t="shared" ref="J61" si="485">SUM(J62:J66)</f>
        <v>0</v>
      </c>
      <c r="K61" s="642">
        <f t="shared" ref="K61" si="486">SUM(K62:K66)</f>
        <v>0</v>
      </c>
      <c r="L61" s="642"/>
      <c r="M61" s="642"/>
      <c r="N61" s="642"/>
      <c r="O61" s="642">
        <f t="shared" ref="O61:P61" si="487">SUM(O62:O66)</f>
        <v>0</v>
      </c>
      <c r="P61" s="642">
        <f t="shared" si="487"/>
        <v>0</v>
      </c>
      <c r="Q61" s="642">
        <f t="shared" ref="Q61" si="488">SUM(Q62:Q66)</f>
        <v>0</v>
      </c>
      <c r="R61" s="642">
        <f t="shared" ref="R61" si="489">SUM(R62:R66)</f>
        <v>0</v>
      </c>
      <c r="S61" s="642">
        <f t="shared" ref="S61" si="490">SUM(S62:S66)</f>
        <v>0</v>
      </c>
      <c r="T61" s="642"/>
      <c r="U61" s="642"/>
      <c r="V61" s="642"/>
      <c r="W61" s="642">
        <f t="shared" ref="W61:X61" si="491">SUM(W62:W66)</f>
        <v>0</v>
      </c>
      <c r="X61" s="642">
        <f t="shared" si="491"/>
        <v>0</v>
      </c>
      <c r="Y61" s="642">
        <f t="shared" ref="Y61" si="492">SUM(Y62:Y66)</f>
        <v>0</v>
      </c>
      <c r="Z61" s="642">
        <f t="shared" ref="Z61" si="493">SUM(Z62:Z66)</f>
        <v>0</v>
      </c>
      <c r="AA61" s="642">
        <f t="shared" ref="AA61:AB61" si="494">SUM(AA62:AA66)</f>
        <v>0</v>
      </c>
      <c r="AB61" s="642">
        <f t="shared" si="494"/>
        <v>0</v>
      </c>
      <c r="AC61" s="642">
        <f t="shared" ref="AC61" si="495">SUM(AC62:AC66)</f>
        <v>0</v>
      </c>
      <c r="AD61" s="642">
        <f t="shared" ref="AD61" si="496">SUM(AD62:AD66)</f>
        <v>0</v>
      </c>
      <c r="AE61" s="642">
        <f t="shared" ref="AE61" si="497">SUM(AE62:AE66)</f>
        <v>0</v>
      </c>
      <c r="AF61" s="642">
        <f t="shared" ref="AF61" si="498">SUM(AF62:AF66)</f>
        <v>0</v>
      </c>
      <c r="AG61" s="642">
        <f t="shared" ref="AG61:AH61" si="499">SUM(AG62:AG66)</f>
        <v>0</v>
      </c>
      <c r="AH61" s="642">
        <f t="shared" si="499"/>
        <v>0</v>
      </c>
      <c r="AI61" s="642">
        <f t="shared" ref="AI61" si="500">SUM(AI62:AI66)</f>
        <v>0</v>
      </c>
      <c r="AJ61" s="642">
        <f t="shared" ref="AJ61" si="501">SUM(AJ62:AJ66)</f>
        <v>0</v>
      </c>
      <c r="AK61" s="642">
        <f t="shared" ref="AK61:AL61" si="502">SUM(AK62:AK66)</f>
        <v>0</v>
      </c>
      <c r="AL61" s="642">
        <f t="shared" si="502"/>
        <v>0</v>
      </c>
      <c r="AM61" s="642">
        <f t="shared" ref="AM61" si="503">SUM(AM62:AM66)</f>
        <v>0</v>
      </c>
      <c r="AN61" s="642">
        <f t="shared" ref="AN61" si="504">SUM(AN62:AN66)</f>
        <v>0</v>
      </c>
      <c r="AO61" s="642">
        <f t="shared" ref="AO61:AP61" si="505">SUM(AO62:AO66)</f>
        <v>0</v>
      </c>
      <c r="AP61" s="642">
        <f t="shared" si="505"/>
        <v>0</v>
      </c>
      <c r="AQ61" s="642">
        <f t="shared" ref="AQ61" si="506">SUM(AQ62:AQ66)</f>
        <v>0</v>
      </c>
      <c r="AR61" s="642">
        <f t="shared" ref="AR61" si="507">SUM(AR62:AR66)</f>
        <v>0</v>
      </c>
      <c r="AS61" s="642">
        <f t="shared" ref="AS61:AT61" si="508">SUM(AS62:AS66)</f>
        <v>0</v>
      </c>
      <c r="AT61" s="642">
        <f t="shared" si="508"/>
        <v>0</v>
      </c>
      <c r="AU61" s="642">
        <f t="shared" ref="AU61" si="509">SUM(AU62:AU66)</f>
        <v>0</v>
      </c>
      <c r="AV61" s="642">
        <f t="shared" ref="AV61" si="510">SUM(AV62:AV66)</f>
        <v>0</v>
      </c>
      <c r="AW61" s="642">
        <f t="shared" ref="AW61:AX61" si="511">SUM(AW62:AW66)</f>
        <v>0</v>
      </c>
      <c r="AX61" s="642">
        <f t="shared" si="511"/>
        <v>0</v>
      </c>
      <c r="AY61" s="642">
        <f t="shared" ref="AY61" si="512">SUM(AY62:AY66)</f>
        <v>0</v>
      </c>
      <c r="AZ61" s="642">
        <f t="shared" ref="AZ61" si="513">SUM(AZ62:AZ66)</f>
        <v>0</v>
      </c>
      <c r="BA61" s="642">
        <f t="shared" ref="BA61:BE61" si="514">SUM(BA62:BA66)</f>
        <v>0</v>
      </c>
      <c r="BB61" s="642">
        <f t="shared" ref="BB61" si="515">SUM(BB62:BB66)</f>
        <v>0</v>
      </c>
      <c r="BC61" s="642">
        <f t="shared" ref="BC61" si="516">SUM(BC62:BC66)</f>
        <v>0</v>
      </c>
      <c r="BD61" s="642">
        <f t="shared" ref="BD61" si="517">SUM(BD62:BD66)</f>
        <v>0</v>
      </c>
      <c r="BE61" s="642">
        <f t="shared" si="514"/>
        <v>0</v>
      </c>
      <c r="BF61" s="642">
        <f t="shared" ref="BF61:BI61" si="518">SUM(BF62:BF66)</f>
        <v>0</v>
      </c>
      <c r="BG61" s="642">
        <f t="shared" ref="BG61" si="519">SUM(BG62:BG66)</f>
        <v>0</v>
      </c>
      <c r="BH61" s="642">
        <f t="shared" ref="BH61" si="520">SUM(BH62:BH66)</f>
        <v>0</v>
      </c>
      <c r="BI61" s="642">
        <f t="shared" si="518"/>
        <v>0</v>
      </c>
      <c r="BJ61" s="642">
        <f t="shared" ref="BJ61" si="521">SUM(BJ62:BJ66)</f>
        <v>0</v>
      </c>
      <c r="BK61" s="642">
        <f t="shared" ref="BK61:BN61" si="522">SUM(BK62:BK66)</f>
        <v>0</v>
      </c>
      <c r="BL61" s="642">
        <f t="shared" ref="BL61" si="523">SUM(BL62:BL66)</f>
        <v>0</v>
      </c>
      <c r="BM61" s="642">
        <f t="shared" si="522"/>
        <v>0</v>
      </c>
      <c r="BN61" s="642">
        <f t="shared" si="522"/>
        <v>0</v>
      </c>
      <c r="BO61" s="642">
        <f t="shared" ref="BO61" si="524">SUM(BO62:BO66)</f>
        <v>0</v>
      </c>
      <c r="BP61" s="642">
        <f t="shared" ref="BP61" si="525">SUM(BP62:BP66)</f>
        <v>0</v>
      </c>
      <c r="BQ61" s="642">
        <f t="shared" si="383"/>
        <v>0</v>
      </c>
      <c r="BR61" s="433">
        <f t="shared" si="384"/>
        <v>0</v>
      </c>
      <c r="BS61" s="618">
        <f t="shared" ca="1" si="385"/>
        <v>0</v>
      </c>
      <c r="BT61" s="618">
        <f t="shared" ca="1" si="386"/>
        <v>0</v>
      </c>
      <c r="BU61" s="646"/>
      <c r="BV61" s="646"/>
    </row>
    <row r="62" spans="1:74" ht="15.75" hidden="1" customHeight="1" thickBot="1" x14ac:dyDescent="0.3">
      <c r="A62" s="184" t="s">
        <v>122</v>
      </c>
      <c r="B62" s="180" t="s">
        <v>123</v>
      </c>
      <c r="C62" s="642"/>
      <c r="D62" s="642"/>
      <c r="E62" s="642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  <c r="Y62" s="642"/>
      <c r="Z62" s="642"/>
      <c r="AA62" s="642"/>
      <c r="AB62" s="642"/>
      <c r="AC62" s="642"/>
      <c r="AD62" s="642"/>
      <c r="AE62" s="642"/>
      <c r="AF62" s="642"/>
      <c r="AG62" s="642"/>
      <c r="AH62" s="642"/>
      <c r="AI62" s="642"/>
      <c r="AJ62" s="642"/>
      <c r="AK62" s="642"/>
      <c r="AL62" s="642"/>
      <c r="AM62" s="642"/>
      <c r="AN62" s="642"/>
      <c r="AO62" s="642"/>
      <c r="AP62" s="642"/>
      <c r="AQ62" s="642"/>
      <c r="AR62" s="642"/>
      <c r="AS62" s="642"/>
      <c r="AT62" s="642"/>
      <c r="AU62" s="642"/>
      <c r="AV62" s="642"/>
      <c r="AW62" s="642"/>
      <c r="AX62" s="642"/>
      <c r="AY62" s="642"/>
      <c r="AZ62" s="642"/>
      <c r="BA62" s="642"/>
      <c r="BB62" s="642"/>
      <c r="BC62" s="642"/>
      <c r="BD62" s="642"/>
      <c r="BE62" s="642"/>
      <c r="BF62" s="642"/>
      <c r="BG62" s="642"/>
      <c r="BH62" s="642"/>
      <c r="BI62" s="642"/>
      <c r="BJ62" s="642"/>
      <c r="BK62" s="642"/>
      <c r="BL62" s="642"/>
      <c r="BM62" s="642"/>
      <c r="BN62" s="642"/>
      <c r="BO62" s="642"/>
      <c r="BP62" s="642"/>
      <c r="BQ62" s="642">
        <f t="shared" si="383"/>
        <v>0</v>
      </c>
      <c r="BR62" s="433">
        <f t="shared" si="384"/>
        <v>0</v>
      </c>
      <c r="BS62" s="618">
        <f t="shared" ca="1" si="385"/>
        <v>0</v>
      </c>
      <c r="BT62" s="618">
        <f t="shared" ca="1" si="386"/>
        <v>0</v>
      </c>
      <c r="BU62" s="646"/>
      <c r="BV62" s="646"/>
    </row>
    <row r="63" spans="1:74" ht="15.75" hidden="1" customHeight="1" thickBot="1" x14ac:dyDescent="0.3">
      <c r="A63" s="184" t="s">
        <v>124</v>
      </c>
      <c r="B63" s="180" t="s">
        <v>125</v>
      </c>
      <c r="C63" s="642"/>
      <c r="D63" s="642"/>
      <c r="E63" s="642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  <c r="Y63" s="642"/>
      <c r="Z63" s="642"/>
      <c r="AA63" s="642"/>
      <c r="AB63" s="642"/>
      <c r="AC63" s="642"/>
      <c r="AD63" s="642"/>
      <c r="AE63" s="642"/>
      <c r="AF63" s="642"/>
      <c r="AG63" s="642"/>
      <c r="AH63" s="642"/>
      <c r="AI63" s="642"/>
      <c r="AJ63" s="642"/>
      <c r="AK63" s="642"/>
      <c r="AL63" s="642"/>
      <c r="AM63" s="642"/>
      <c r="AN63" s="642"/>
      <c r="AO63" s="642"/>
      <c r="AP63" s="642"/>
      <c r="AQ63" s="642"/>
      <c r="AR63" s="642"/>
      <c r="AS63" s="642"/>
      <c r="AT63" s="642"/>
      <c r="AU63" s="642"/>
      <c r="AV63" s="642"/>
      <c r="AW63" s="642"/>
      <c r="AX63" s="642"/>
      <c r="AY63" s="642"/>
      <c r="AZ63" s="642"/>
      <c r="BA63" s="642"/>
      <c r="BB63" s="642"/>
      <c r="BC63" s="642"/>
      <c r="BD63" s="642"/>
      <c r="BE63" s="642"/>
      <c r="BF63" s="642"/>
      <c r="BG63" s="642"/>
      <c r="BH63" s="642"/>
      <c r="BI63" s="642"/>
      <c r="BJ63" s="642"/>
      <c r="BK63" s="642"/>
      <c r="BL63" s="642"/>
      <c r="BM63" s="642"/>
      <c r="BN63" s="642"/>
      <c r="BO63" s="642"/>
      <c r="BP63" s="642"/>
      <c r="BQ63" s="642">
        <f t="shared" si="383"/>
        <v>0</v>
      </c>
      <c r="BR63" s="433">
        <f t="shared" si="384"/>
        <v>0</v>
      </c>
      <c r="BS63" s="618">
        <f t="shared" ca="1" si="385"/>
        <v>0</v>
      </c>
      <c r="BT63" s="618">
        <f t="shared" ca="1" si="386"/>
        <v>0</v>
      </c>
      <c r="BU63" s="646"/>
      <c r="BV63" s="646"/>
    </row>
    <row r="64" spans="1:74" ht="15.75" hidden="1" customHeight="1" thickBot="1" x14ac:dyDescent="0.3">
      <c r="A64" s="184" t="s">
        <v>126</v>
      </c>
      <c r="B64" s="180" t="s">
        <v>127</v>
      </c>
      <c r="C64" s="642"/>
      <c r="D64" s="642"/>
      <c r="E64" s="642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  <c r="Y64" s="642"/>
      <c r="Z64" s="642"/>
      <c r="AA64" s="642"/>
      <c r="AB64" s="642"/>
      <c r="AC64" s="642"/>
      <c r="AD64" s="642"/>
      <c r="AE64" s="642"/>
      <c r="AF64" s="642"/>
      <c r="AG64" s="642"/>
      <c r="AH64" s="642"/>
      <c r="AI64" s="642"/>
      <c r="AJ64" s="642"/>
      <c r="AK64" s="642"/>
      <c r="AL64" s="642"/>
      <c r="AM64" s="642"/>
      <c r="AN64" s="642"/>
      <c r="AO64" s="642"/>
      <c r="AP64" s="642"/>
      <c r="AQ64" s="642"/>
      <c r="AR64" s="642"/>
      <c r="AS64" s="642"/>
      <c r="AT64" s="642"/>
      <c r="AU64" s="642"/>
      <c r="AV64" s="642"/>
      <c r="AW64" s="642"/>
      <c r="AX64" s="642"/>
      <c r="AY64" s="642"/>
      <c r="AZ64" s="642"/>
      <c r="BA64" s="642"/>
      <c r="BB64" s="642"/>
      <c r="BC64" s="642"/>
      <c r="BD64" s="642"/>
      <c r="BE64" s="642"/>
      <c r="BF64" s="642"/>
      <c r="BG64" s="642"/>
      <c r="BH64" s="642"/>
      <c r="BI64" s="642"/>
      <c r="BJ64" s="642"/>
      <c r="BK64" s="642"/>
      <c r="BL64" s="642"/>
      <c r="BM64" s="642"/>
      <c r="BN64" s="642"/>
      <c r="BO64" s="642"/>
      <c r="BP64" s="642"/>
      <c r="BQ64" s="642">
        <f t="shared" si="383"/>
        <v>0</v>
      </c>
      <c r="BR64" s="433">
        <f t="shared" si="384"/>
        <v>0</v>
      </c>
      <c r="BS64" s="618">
        <f t="shared" ca="1" si="385"/>
        <v>0</v>
      </c>
      <c r="BT64" s="618">
        <f t="shared" ca="1" si="386"/>
        <v>0</v>
      </c>
      <c r="BU64" s="646"/>
      <c r="BV64" s="646"/>
    </row>
    <row r="65" spans="1:74" ht="15.75" hidden="1" customHeight="1" thickBot="1" x14ac:dyDescent="0.3">
      <c r="A65" s="184" t="s">
        <v>128</v>
      </c>
      <c r="B65" s="180" t="s">
        <v>129</v>
      </c>
      <c r="C65" s="642"/>
      <c r="D65" s="642"/>
      <c r="E65" s="642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  <c r="Y65" s="642"/>
      <c r="Z65" s="642"/>
      <c r="AA65" s="642"/>
      <c r="AB65" s="642"/>
      <c r="AC65" s="642"/>
      <c r="AD65" s="642"/>
      <c r="AE65" s="642"/>
      <c r="AF65" s="642"/>
      <c r="AG65" s="642"/>
      <c r="AH65" s="642"/>
      <c r="AI65" s="642"/>
      <c r="AJ65" s="642"/>
      <c r="AK65" s="642"/>
      <c r="AL65" s="642"/>
      <c r="AM65" s="642"/>
      <c r="AN65" s="642"/>
      <c r="AO65" s="642"/>
      <c r="AP65" s="642"/>
      <c r="AQ65" s="642"/>
      <c r="AR65" s="642"/>
      <c r="AS65" s="642"/>
      <c r="AT65" s="642"/>
      <c r="AU65" s="642"/>
      <c r="AV65" s="642"/>
      <c r="AW65" s="642"/>
      <c r="AX65" s="642"/>
      <c r="AY65" s="642"/>
      <c r="AZ65" s="642"/>
      <c r="BA65" s="642"/>
      <c r="BB65" s="642"/>
      <c r="BC65" s="642"/>
      <c r="BD65" s="642"/>
      <c r="BE65" s="642"/>
      <c r="BF65" s="642"/>
      <c r="BG65" s="642"/>
      <c r="BH65" s="642"/>
      <c r="BI65" s="642"/>
      <c r="BJ65" s="642"/>
      <c r="BK65" s="642"/>
      <c r="BL65" s="642"/>
      <c r="BM65" s="642"/>
      <c r="BN65" s="642"/>
      <c r="BO65" s="642"/>
      <c r="BP65" s="642"/>
      <c r="BQ65" s="642">
        <f t="shared" si="383"/>
        <v>0</v>
      </c>
      <c r="BR65" s="433">
        <f t="shared" si="384"/>
        <v>0</v>
      </c>
      <c r="BS65" s="618">
        <f t="shared" ca="1" si="385"/>
        <v>0</v>
      </c>
      <c r="BT65" s="618">
        <f t="shared" ca="1" si="386"/>
        <v>0</v>
      </c>
      <c r="BU65" s="646"/>
      <c r="BV65" s="646"/>
    </row>
    <row r="66" spans="1:74" ht="15.75" hidden="1" customHeight="1" thickBot="1" x14ac:dyDescent="0.3">
      <c r="A66" s="185" t="s">
        <v>130</v>
      </c>
      <c r="B66" s="50" t="s">
        <v>131</v>
      </c>
      <c r="C66" s="642"/>
      <c r="D66" s="642"/>
      <c r="E66" s="642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  <c r="Y66" s="642"/>
      <c r="Z66" s="642"/>
      <c r="AA66" s="642"/>
      <c r="AB66" s="642"/>
      <c r="AC66" s="642"/>
      <c r="AD66" s="642"/>
      <c r="AE66" s="642"/>
      <c r="AF66" s="642"/>
      <c r="AG66" s="642"/>
      <c r="AH66" s="642"/>
      <c r="AI66" s="642"/>
      <c r="AJ66" s="642"/>
      <c r="AK66" s="642"/>
      <c r="AL66" s="642"/>
      <c r="AM66" s="642"/>
      <c r="AN66" s="642"/>
      <c r="AO66" s="642"/>
      <c r="AP66" s="642"/>
      <c r="AQ66" s="642"/>
      <c r="AR66" s="642"/>
      <c r="AS66" s="642"/>
      <c r="AT66" s="642"/>
      <c r="AU66" s="642"/>
      <c r="AV66" s="642"/>
      <c r="AW66" s="642"/>
      <c r="AX66" s="642"/>
      <c r="AY66" s="642"/>
      <c r="AZ66" s="642"/>
      <c r="BA66" s="642"/>
      <c r="BB66" s="642"/>
      <c r="BC66" s="642"/>
      <c r="BD66" s="642"/>
      <c r="BE66" s="642"/>
      <c r="BF66" s="642"/>
      <c r="BG66" s="642"/>
      <c r="BH66" s="642"/>
      <c r="BI66" s="642"/>
      <c r="BJ66" s="642"/>
      <c r="BK66" s="642"/>
      <c r="BL66" s="642"/>
      <c r="BM66" s="642"/>
      <c r="BN66" s="642"/>
      <c r="BO66" s="642"/>
      <c r="BP66" s="642"/>
      <c r="BQ66" s="642">
        <f t="shared" si="383"/>
        <v>0</v>
      </c>
      <c r="BR66" s="433">
        <f t="shared" si="384"/>
        <v>0</v>
      </c>
      <c r="BS66" s="618">
        <f t="shared" ca="1" si="385"/>
        <v>0</v>
      </c>
      <c r="BT66" s="618">
        <f t="shared" ca="1" si="386"/>
        <v>0</v>
      </c>
      <c r="BU66" s="646"/>
      <c r="BV66" s="646"/>
    </row>
    <row r="67" spans="1:74" ht="15.75" customHeight="1" thickBot="1" x14ac:dyDescent="0.3">
      <c r="A67" s="183" t="s">
        <v>132</v>
      </c>
      <c r="B67" s="189" t="s">
        <v>133</v>
      </c>
      <c r="C67" s="642">
        <f t="shared" ref="C67:G67" si="526">SUM(C68:C69)</f>
        <v>0</v>
      </c>
      <c r="D67" s="642">
        <f t="shared" ref="D67:E67" si="527">SUM(D68:D69)</f>
        <v>0</v>
      </c>
      <c r="E67" s="642">
        <f t="shared" si="527"/>
        <v>0</v>
      </c>
      <c r="F67" s="642">
        <f t="shared" ref="F67" si="528">SUM(F68:F69)</f>
        <v>0</v>
      </c>
      <c r="G67" s="642">
        <f t="shared" si="526"/>
        <v>0</v>
      </c>
      <c r="H67" s="642">
        <f t="shared" ref="H67" si="529">SUM(H68:H69)</f>
        <v>0</v>
      </c>
      <c r="I67" s="642">
        <f t="shared" ref="I67" si="530">SUM(I68:I69)</f>
        <v>0</v>
      </c>
      <c r="J67" s="642">
        <f t="shared" ref="J67" si="531">SUM(J68:J69)</f>
        <v>0</v>
      </c>
      <c r="K67" s="642">
        <f t="shared" ref="K67" si="532">SUM(K68:K69)</f>
        <v>0</v>
      </c>
      <c r="L67" s="642"/>
      <c r="M67" s="642"/>
      <c r="N67" s="642"/>
      <c r="O67" s="642">
        <f t="shared" ref="O67:P67" si="533">SUM(O68:O69)</f>
        <v>0</v>
      </c>
      <c r="P67" s="642">
        <f t="shared" si="533"/>
        <v>0</v>
      </c>
      <c r="Q67" s="642">
        <f t="shared" ref="Q67" si="534">SUM(Q68:Q69)</f>
        <v>0</v>
      </c>
      <c r="R67" s="642">
        <f t="shared" ref="R67" si="535">SUM(R68:R69)</f>
        <v>0</v>
      </c>
      <c r="S67" s="642">
        <f t="shared" ref="S67" si="536">SUM(S68:S69)</f>
        <v>0</v>
      </c>
      <c r="T67" s="642"/>
      <c r="U67" s="642"/>
      <c r="V67" s="642"/>
      <c r="W67" s="642">
        <f t="shared" ref="W67:X67" si="537">SUM(W68:W69)</f>
        <v>0</v>
      </c>
      <c r="X67" s="642">
        <f t="shared" si="537"/>
        <v>0</v>
      </c>
      <c r="Y67" s="642">
        <f t="shared" ref="Y67" si="538">SUM(Y68:Y69)</f>
        <v>0</v>
      </c>
      <c r="Z67" s="642">
        <f t="shared" ref="Z67" si="539">SUM(Z68:Z69)</f>
        <v>0</v>
      </c>
      <c r="AA67" s="642">
        <f t="shared" ref="AA67:AB67" si="540">SUM(AA68:AA69)</f>
        <v>0</v>
      </c>
      <c r="AB67" s="642">
        <f t="shared" si="540"/>
        <v>0</v>
      </c>
      <c r="AC67" s="642">
        <f t="shared" ref="AC67" si="541">SUM(AC68:AC69)</f>
        <v>0</v>
      </c>
      <c r="AD67" s="642">
        <f t="shared" ref="AD67" si="542">SUM(AD68:AD69)</f>
        <v>0</v>
      </c>
      <c r="AE67" s="642">
        <f t="shared" ref="AE67" si="543">SUM(AE68:AE69)</f>
        <v>0</v>
      </c>
      <c r="AF67" s="642">
        <f t="shared" ref="AF67" si="544">SUM(AF68:AF69)</f>
        <v>0</v>
      </c>
      <c r="AG67" s="642">
        <f t="shared" ref="AG67:AH67" si="545">SUM(AG68:AG69)</f>
        <v>0</v>
      </c>
      <c r="AH67" s="642">
        <f t="shared" si="545"/>
        <v>0</v>
      </c>
      <c r="AI67" s="642">
        <f t="shared" ref="AI67" si="546">SUM(AI68:AI69)</f>
        <v>0</v>
      </c>
      <c r="AJ67" s="642">
        <f t="shared" ref="AJ67" si="547">SUM(AJ68:AJ69)</f>
        <v>0</v>
      </c>
      <c r="AK67" s="642">
        <f t="shared" ref="AK67:AL67" si="548">SUM(AK68:AK69)</f>
        <v>0</v>
      </c>
      <c r="AL67" s="642">
        <f t="shared" si="548"/>
        <v>0</v>
      </c>
      <c r="AM67" s="642">
        <f t="shared" ref="AM67" si="549">SUM(AM68:AM69)</f>
        <v>0</v>
      </c>
      <c r="AN67" s="642">
        <f t="shared" ref="AN67" si="550">SUM(AN68:AN69)</f>
        <v>0</v>
      </c>
      <c r="AO67" s="642">
        <f t="shared" ref="AO67:AP67" si="551">SUM(AO68:AO69)</f>
        <v>0</v>
      </c>
      <c r="AP67" s="642">
        <f t="shared" si="551"/>
        <v>0</v>
      </c>
      <c r="AQ67" s="642">
        <f t="shared" ref="AQ67" si="552">SUM(AQ68:AQ69)</f>
        <v>0</v>
      </c>
      <c r="AR67" s="642">
        <f t="shared" ref="AR67" si="553">SUM(AR68:AR69)</f>
        <v>0</v>
      </c>
      <c r="AS67" s="642">
        <f t="shared" ref="AS67:AT67" si="554">SUM(AS68:AS69)</f>
        <v>0</v>
      </c>
      <c r="AT67" s="642">
        <f t="shared" si="554"/>
        <v>0</v>
      </c>
      <c r="AU67" s="642">
        <f t="shared" ref="AU67" si="555">SUM(AU68:AU69)</f>
        <v>0</v>
      </c>
      <c r="AV67" s="642">
        <f t="shared" ref="AV67" si="556">SUM(AV68:AV69)</f>
        <v>0</v>
      </c>
      <c r="AW67" s="642">
        <f t="shared" ref="AW67:AX67" si="557">SUM(AW68:AW69)</f>
        <v>0</v>
      </c>
      <c r="AX67" s="642">
        <f t="shared" si="557"/>
        <v>0</v>
      </c>
      <c r="AY67" s="642">
        <f t="shared" ref="AY67" si="558">SUM(AY68:AY69)</f>
        <v>0</v>
      </c>
      <c r="AZ67" s="642">
        <f t="shared" ref="AZ67" si="559">SUM(AZ68:AZ69)</f>
        <v>0</v>
      </c>
      <c r="BA67" s="642">
        <f t="shared" ref="BA67:BE67" si="560">SUM(BA68:BA69)</f>
        <v>0</v>
      </c>
      <c r="BB67" s="642">
        <f t="shared" ref="BB67" si="561">SUM(BB68:BB69)</f>
        <v>0</v>
      </c>
      <c r="BC67" s="642">
        <f t="shared" ref="BC67" si="562">SUM(BC68:BC69)</f>
        <v>0</v>
      </c>
      <c r="BD67" s="642">
        <f t="shared" ref="BD67" si="563">SUM(BD68:BD69)</f>
        <v>0</v>
      </c>
      <c r="BE67" s="642">
        <f t="shared" si="560"/>
        <v>0</v>
      </c>
      <c r="BF67" s="642">
        <f t="shared" ref="BF67:BI67" si="564">SUM(BF68:BF69)</f>
        <v>0</v>
      </c>
      <c r="BG67" s="642">
        <f t="shared" ref="BG67" si="565">SUM(BG68:BG69)</f>
        <v>0</v>
      </c>
      <c r="BH67" s="642">
        <f t="shared" ref="BH67" si="566">SUM(BH68:BH69)</f>
        <v>0</v>
      </c>
      <c r="BI67" s="642">
        <f t="shared" si="564"/>
        <v>0</v>
      </c>
      <c r="BJ67" s="642">
        <f t="shared" ref="BJ67" si="567">SUM(BJ68:BJ69)</f>
        <v>0</v>
      </c>
      <c r="BK67" s="642">
        <f t="shared" ref="BK67:BN67" si="568">SUM(BK68:BK69)</f>
        <v>0</v>
      </c>
      <c r="BL67" s="642">
        <f t="shared" ref="BL67" si="569">SUM(BL68:BL69)</f>
        <v>0</v>
      </c>
      <c r="BM67" s="642">
        <f t="shared" si="568"/>
        <v>0</v>
      </c>
      <c r="BN67" s="642">
        <f t="shared" si="568"/>
        <v>0</v>
      </c>
      <c r="BO67" s="642">
        <f t="shared" ref="BO67" si="570">SUM(BO68:BO69)</f>
        <v>0</v>
      </c>
      <c r="BP67" s="642">
        <f t="shared" ref="BP67" si="571">SUM(BP68:BP69)</f>
        <v>0</v>
      </c>
      <c r="BQ67" s="642">
        <f t="shared" si="383"/>
        <v>0</v>
      </c>
      <c r="BR67" s="433">
        <f t="shared" si="384"/>
        <v>0</v>
      </c>
      <c r="BS67" s="618">
        <f t="shared" ca="1" si="385"/>
        <v>0</v>
      </c>
      <c r="BT67" s="618">
        <f t="shared" ca="1" si="386"/>
        <v>0</v>
      </c>
      <c r="BU67" s="646"/>
      <c r="BV67" s="646"/>
    </row>
    <row r="68" spans="1:74" ht="15.75" hidden="1" customHeight="1" thickBot="1" x14ac:dyDescent="0.3">
      <c r="A68" s="184" t="s">
        <v>134</v>
      </c>
      <c r="B68" s="180" t="s">
        <v>135</v>
      </c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72">
        <f t="shared" si="383"/>
        <v>0</v>
      </c>
      <c r="BR68" s="618">
        <f t="shared" si="384"/>
        <v>0</v>
      </c>
      <c r="BS68" s="618">
        <f t="shared" ca="1" si="385"/>
        <v>0</v>
      </c>
      <c r="BT68" s="618">
        <f t="shared" ca="1" si="386"/>
        <v>0</v>
      </c>
      <c r="BU68" s="646"/>
      <c r="BV68" s="646"/>
    </row>
    <row r="69" spans="1:74" ht="15.75" hidden="1" customHeight="1" thickBot="1" x14ac:dyDescent="0.3">
      <c r="A69" s="185" t="s">
        <v>136</v>
      </c>
      <c r="B69" s="192" t="s">
        <v>137</v>
      </c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337"/>
      <c r="AN69" s="337"/>
      <c r="AO69" s="337"/>
      <c r="AP69" s="337"/>
      <c r="AQ69" s="337"/>
      <c r="AR69" s="337"/>
      <c r="AS69" s="337"/>
      <c r="AT69" s="337"/>
      <c r="AU69" s="337"/>
      <c r="AV69" s="337"/>
      <c r="AW69" s="337"/>
      <c r="AX69" s="337"/>
      <c r="AY69" s="337"/>
      <c r="AZ69" s="337"/>
      <c r="BA69" s="337"/>
      <c r="BB69" s="337"/>
      <c r="BC69" s="337"/>
      <c r="BD69" s="337"/>
      <c r="BE69" s="337"/>
      <c r="BF69" s="337"/>
      <c r="BG69" s="337"/>
      <c r="BH69" s="337"/>
      <c r="BI69" s="337"/>
      <c r="BJ69" s="337"/>
      <c r="BK69" s="337"/>
      <c r="BL69" s="337"/>
      <c r="BM69" s="337"/>
      <c r="BN69" s="337"/>
      <c r="BO69" s="337"/>
      <c r="BP69" s="337"/>
      <c r="BQ69" s="374">
        <f t="shared" si="383"/>
        <v>0</v>
      </c>
      <c r="BR69" s="618">
        <f t="shared" si="384"/>
        <v>0</v>
      </c>
      <c r="BS69" s="618">
        <f t="shared" ca="1" si="385"/>
        <v>0</v>
      </c>
      <c r="BT69" s="618">
        <f t="shared" ca="1" si="386"/>
        <v>0</v>
      </c>
      <c r="BU69" s="646"/>
      <c r="BV69" s="646"/>
    </row>
    <row r="70" spans="1:74" ht="15.75" customHeight="1" thickBot="1" x14ac:dyDescent="0.3">
      <c r="A70" s="183" t="s">
        <v>138</v>
      </c>
      <c r="B70" s="189" t="s">
        <v>139</v>
      </c>
      <c r="C70" s="338">
        <f t="shared" ref="C70:J70" si="572">C71</f>
        <v>0</v>
      </c>
      <c r="D70" s="338">
        <f t="shared" si="572"/>
        <v>0</v>
      </c>
      <c r="E70" s="338">
        <f t="shared" si="572"/>
        <v>0</v>
      </c>
      <c r="F70" s="338">
        <f t="shared" si="572"/>
        <v>0</v>
      </c>
      <c r="G70" s="338">
        <f t="shared" si="572"/>
        <v>0</v>
      </c>
      <c r="H70" s="338">
        <f t="shared" si="572"/>
        <v>0</v>
      </c>
      <c r="I70" s="338">
        <f t="shared" si="572"/>
        <v>0</v>
      </c>
      <c r="J70" s="338">
        <f t="shared" si="572"/>
        <v>0</v>
      </c>
      <c r="K70" s="338">
        <f t="shared" ref="K70" si="573">K71</f>
        <v>0</v>
      </c>
      <c r="L70" s="338"/>
      <c r="M70" s="338"/>
      <c r="N70" s="338"/>
      <c r="O70" s="338">
        <f t="shared" ref="O70:R70" si="574">O71</f>
        <v>0</v>
      </c>
      <c r="P70" s="338">
        <f t="shared" si="574"/>
        <v>0</v>
      </c>
      <c r="Q70" s="338">
        <f t="shared" si="574"/>
        <v>0</v>
      </c>
      <c r="R70" s="338">
        <f t="shared" si="574"/>
        <v>0</v>
      </c>
      <c r="S70" s="338">
        <f t="shared" ref="S70" si="575">S71</f>
        <v>0</v>
      </c>
      <c r="T70" s="338"/>
      <c r="U70" s="338"/>
      <c r="V70" s="338"/>
      <c r="W70" s="338">
        <f t="shared" ref="W70:Z70" si="576">W71</f>
        <v>0</v>
      </c>
      <c r="X70" s="338">
        <f t="shared" si="576"/>
        <v>0</v>
      </c>
      <c r="Y70" s="338">
        <f t="shared" si="576"/>
        <v>0</v>
      </c>
      <c r="Z70" s="338">
        <f t="shared" si="576"/>
        <v>0</v>
      </c>
      <c r="AA70" s="338">
        <f t="shared" ref="AA70:AD70" si="577">AA71</f>
        <v>0</v>
      </c>
      <c r="AB70" s="338">
        <f t="shared" si="577"/>
        <v>0</v>
      </c>
      <c r="AC70" s="338">
        <f t="shared" si="577"/>
        <v>0</v>
      </c>
      <c r="AD70" s="338">
        <f t="shared" si="577"/>
        <v>0</v>
      </c>
      <c r="AE70" s="338">
        <f t="shared" ref="AE70" si="578">AE71</f>
        <v>0</v>
      </c>
      <c r="AF70" s="338">
        <f t="shared" ref="AF70" si="579">AF71</f>
        <v>0</v>
      </c>
      <c r="AG70" s="338">
        <f t="shared" ref="AG70:AJ70" si="580">AG71</f>
        <v>0</v>
      </c>
      <c r="AH70" s="338">
        <f t="shared" si="580"/>
        <v>0</v>
      </c>
      <c r="AI70" s="338">
        <f t="shared" si="580"/>
        <v>0</v>
      </c>
      <c r="AJ70" s="338">
        <f t="shared" si="580"/>
        <v>0</v>
      </c>
      <c r="AK70" s="338">
        <f t="shared" ref="AK70:AN70" si="581">AK71</f>
        <v>0</v>
      </c>
      <c r="AL70" s="338">
        <f t="shared" si="581"/>
        <v>0</v>
      </c>
      <c r="AM70" s="338">
        <f t="shared" si="581"/>
        <v>0</v>
      </c>
      <c r="AN70" s="338">
        <f t="shared" si="581"/>
        <v>0</v>
      </c>
      <c r="AO70" s="338">
        <f t="shared" ref="AO70:AR70" si="582">AO71</f>
        <v>0</v>
      </c>
      <c r="AP70" s="338">
        <f t="shared" si="582"/>
        <v>0</v>
      </c>
      <c r="AQ70" s="338">
        <f t="shared" si="582"/>
        <v>0</v>
      </c>
      <c r="AR70" s="338">
        <f t="shared" si="582"/>
        <v>0</v>
      </c>
      <c r="AS70" s="338">
        <f t="shared" ref="AS70:AV70" si="583">AS71</f>
        <v>0</v>
      </c>
      <c r="AT70" s="338">
        <f t="shared" si="583"/>
        <v>0</v>
      </c>
      <c r="AU70" s="338">
        <f t="shared" si="583"/>
        <v>0</v>
      </c>
      <c r="AV70" s="338">
        <f t="shared" si="583"/>
        <v>0</v>
      </c>
      <c r="AW70" s="338">
        <f t="shared" ref="AW70:AZ70" si="584">AW71</f>
        <v>0</v>
      </c>
      <c r="AX70" s="338">
        <f t="shared" si="584"/>
        <v>0</v>
      </c>
      <c r="AY70" s="338">
        <f t="shared" si="584"/>
        <v>0</v>
      </c>
      <c r="AZ70" s="338">
        <f t="shared" si="584"/>
        <v>0</v>
      </c>
      <c r="BA70" s="338">
        <f t="shared" ref="BA70:BD70" si="585">BA71</f>
        <v>0</v>
      </c>
      <c r="BB70" s="338">
        <f t="shared" si="585"/>
        <v>0</v>
      </c>
      <c r="BC70" s="338">
        <f t="shared" si="585"/>
        <v>0</v>
      </c>
      <c r="BD70" s="338">
        <f t="shared" si="585"/>
        <v>0</v>
      </c>
      <c r="BE70" s="338">
        <f t="shared" ref="BE70:BP70" si="586">BE71</f>
        <v>0</v>
      </c>
      <c r="BF70" s="338">
        <f t="shared" si="586"/>
        <v>0</v>
      </c>
      <c r="BG70" s="338">
        <f t="shared" si="586"/>
        <v>0</v>
      </c>
      <c r="BH70" s="338">
        <f t="shared" si="586"/>
        <v>0</v>
      </c>
      <c r="BI70" s="338">
        <f t="shared" si="586"/>
        <v>0</v>
      </c>
      <c r="BJ70" s="338">
        <f t="shared" si="586"/>
        <v>0</v>
      </c>
      <c r="BK70" s="338">
        <f t="shared" si="586"/>
        <v>0</v>
      </c>
      <c r="BL70" s="338">
        <f t="shared" si="586"/>
        <v>0</v>
      </c>
      <c r="BM70" s="338">
        <f t="shared" si="586"/>
        <v>0</v>
      </c>
      <c r="BN70" s="338">
        <f t="shared" si="586"/>
        <v>0</v>
      </c>
      <c r="BO70" s="338">
        <f t="shared" si="586"/>
        <v>0</v>
      </c>
      <c r="BP70" s="338">
        <f t="shared" si="586"/>
        <v>0</v>
      </c>
      <c r="BQ70" s="372">
        <f t="shared" si="383"/>
        <v>0</v>
      </c>
      <c r="BR70" s="618">
        <f t="shared" si="384"/>
        <v>0</v>
      </c>
      <c r="BS70" s="618">
        <f t="shared" ca="1" si="385"/>
        <v>0</v>
      </c>
      <c r="BT70" s="618">
        <f t="shared" ca="1" si="386"/>
        <v>0</v>
      </c>
      <c r="BU70" s="646"/>
      <c r="BV70" s="646"/>
    </row>
    <row r="71" spans="1:74" ht="15.75" customHeight="1" thickBot="1" x14ac:dyDescent="0.3">
      <c r="A71" s="185"/>
      <c r="B71" s="192" t="s">
        <v>140</v>
      </c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  <c r="AA71" s="336"/>
      <c r="AB71" s="336"/>
      <c r="AC71" s="336"/>
      <c r="AD71" s="336"/>
      <c r="AE71" s="336"/>
      <c r="AF71" s="336"/>
      <c r="AG71" s="336"/>
      <c r="AH71" s="336"/>
      <c r="AI71" s="336"/>
      <c r="AJ71" s="336"/>
      <c r="AK71" s="336"/>
      <c r="AL71" s="336"/>
      <c r="AM71" s="336"/>
      <c r="AN71" s="336"/>
      <c r="AO71" s="336"/>
      <c r="AP71" s="336"/>
      <c r="AQ71" s="336"/>
      <c r="AR71" s="336"/>
      <c r="AS71" s="336"/>
      <c r="AT71" s="336"/>
      <c r="AU71" s="336"/>
      <c r="AV71" s="336"/>
      <c r="AW71" s="336"/>
      <c r="AX71" s="336"/>
      <c r="AY71" s="336"/>
      <c r="AZ71" s="336"/>
      <c r="BA71" s="336"/>
      <c r="BB71" s="336"/>
      <c r="BC71" s="336"/>
      <c r="BD71" s="336"/>
      <c r="BE71" s="336"/>
      <c r="BF71" s="336"/>
      <c r="BG71" s="336"/>
      <c r="BH71" s="336"/>
      <c r="BI71" s="336"/>
      <c r="BJ71" s="336"/>
      <c r="BK71" s="336"/>
      <c r="BL71" s="336"/>
      <c r="BM71" s="336"/>
      <c r="BN71" s="336"/>
      <c r="BO71" s="336"/>
      <c r="BP71" s="336"/>
      <c r="BQ71" s="374">
        <f t="shared" si="383"/>
        <v>0</v>
      </c>
      <c r="BR71" s="618">
        <f t="shared" si="384"/>
        <v>0</v>
      </c>
      <c r="BS71" s="618">
        <f t="shared" ca="1" si="385"/>
        <v>0</v>
      </c>
      <c r="BT71" s="618">
        <f t="shared" ca="1" si="386"/>
        <v>0</v>
      </c>
      <c r="BU71" s="646"/>
      <c r="BV71" s="646"/>
    </row>
    <row r="72" spans="1:74" ht="15.75" thickBot="1" x14ac:dyDescent="0.3">
      <c r="A72" s="625"/>
      <c r="B72" s="180" t="s">
        <v>831</v>
      </c>
      <c r="C72" s="694"/>
      <c r="D72" s="694"/>
      <c r="E72" s="694"/>
      <c r="F72" s="694"/>
      <c r="G72" s="694"/>
      <c r="H72" s="694"/>
      <c r="I72" s="694"/>
      <c r="J72" s="694"/>
      <c r="BQ72" s="374">
        <f t="shared" si="383"/>
        <v>0</v>
      </c>
      <c r="BR72" s="618">
        <f t="shared" si="384"/>
        <v>0</v>
      </c>
      <c r="BS72" s="618">
        <f t="shared" ca="1" si="385"/>
        <v>0</v>
      </c>
      <c r="BT72" s="618">
        <f t="shared" ca="1" si="386"/>
        <v>0</v>
      </c>
      <c r="BU72" s="646"/>
      <c r="BV72" s="646"/>
    </row>
    <row r="73" spans="1:74" ht="15.75" thickBot="1" x14ac:dyDescent="0.3">
      <c r="A73" s="186" t="s">
        <v>141</v>
      </c>
      <c r="B73" s="194" t="s">
        <v>142</v>
      </c>
      <c r="C73" s="334">
        <f t="shared" ref="C73:BA73" si="587">C9+C22+C25+C45+C61+C67+C70</f>
        <v>253937</v>
      </c>
      <c r="D73" s="334">
        <f t="shared" ref="D73:E73" si="588">D9+D22+D25+D45+D61+D67+D70</f>
        <v>253937</v>
      </c>
      <c r="E73" s="334">
        <f t="shared" si="588"/>
        <v>253937</v>
      </c>
      <c r="F73" s="334">
        <f t="shared" ref="F73" si="589">F9+F22+F25+F45+F61+F67+F70</f>
        <v>686</v>
      </c>
      <c r="G73" s="334">
        <f t="shared" si="587"/>
        <v>89585930</v>
      </c>
      <c r="H73" s="334">
        <f t="shared" ref="H73" si="590">H9+H22+H25+H45+H61+H67+H70</f>
        <v>89585930</v>
      </c>
      <c r="I73" s="334">
        <f t="shared" ref="I73" si="591">I9+I22+I25+I45+I61+I67+I70</f>
        <v>88196179</v>
      </c>
      <c r="J73" s="334">
        <f t="shared" ref="J73" si="592">J9+J22+J25+J45+J61+J67+J70</f>
        <v>75339596</v>
      </c>
      <c r="K73" s="334">
        <f t="shared" si="587"/>
        <v>0</v>
      </c>
      <c r="L73" s="334">
        <f t="shared" si="587"/>
        <v>0</v>
      </c>
      <c r="M73" s="334">
        <f t="shared" si="587"/>
        <v>0</v>
      </c>
      <c r="N73" s="334">
        <f t="shared" ref="N73" si="593">N9+N22+N25+N45+N61+N67+N70</f>
        <v>8750</v>
      </c>
      <c r="O73" s="334">
        <f t="shared" si="587"/>
        <v>2343213</v>
      </c>
      <c r="P73" s="334">
        <f t="shared" ref="P73" si="594">P9+P22+P25+P45+P61+P67+P70</f>
        <v>2343213</v>
      </c>
      <c r="Q73" s="334">
        <f t="shared" ref="Q73" si="595">Q9+Q22+Q25+Q45+Q61+Q67+Q70</f>
        <v>2343213</v>
      </c>
      <c r="R73" s="334">
        <f t="shared" ref="R73" si="596">R9+R22+R25+R45+R61+R67+R70</f>
        <v>0</v>
      </c>
      <c r="S73" s="334">
        <f t="shared" si="587"/>
        <v>0</v>
      </c>
      <c r="T73" s="334"/>
      <c r="U73" s="334"/>
      <c r="V73" s="334"/>
      <c r="W73" s="334">
        <f t="shared" si="587"/>
        <v>0</v>
      </c>
      <c r="X73" s="334">
        <f t="shared" ref="X73:Y73" si="597">X9+X22+X25+X45+X61+X67+X70</f>
        <v>0</v>
      </c>
      <c r="Y73" s="334">
        <f t="shared" si="597"/>
        <v>0</v>
      </c>
      <c r="Z73" s="334">
        <f t="shared" ref="Z73" si="598">Z9+Z22+Z25+Z45+Z61+Z67+Z70</f>
        <v>0</v>
      </c>
      <c r="AA73" s="334">
        <f t="shared" si="587"/>
        <v>50673000</v>
      </c>
      <c r="AB73" s="334">
        <f t="shared" ref="AB73" si="599">AB9+AB22+AB25+AB45+AB61+AB67+AB70</f>
        <v>50673000</v>
      </c>
      <c r="AC73" s="334">
        <f t="shared" ref="AC73" si="600">AC9+AC22+AC25+AC45+AC61+AC67+AC70</f>
        <v>50673000</v>
      </c>
      <c r="AD73" s="334">
        <f t="shared" ref="AD73" si="601">AD9+AD22+AD25+AD45+AD61+AD67+AD70</f>
        <v>0</v>
      </c>
      <c r="AE73" s="334">
        <f t="shared" si="587"/>
        <v>0</v>
      </c>
      <c r="AF73" s="334">
        <f t="shared" si="587"/>
        <v>0</v>
      </c>
      <c r="AG73" s="334">
        <f t="shared" si="587"/>
        <v>3111500</v>
      </c>
      <c r="AH73" s="334">
        <f t="shared" ref="AH73" si="602">AH9+AH22+AH25+AH45+AH61+AH67+AH70</f>
        <v>3111500</v>
      </c>
      <c r="AI73" s="334">
        <f t="shared" ref="AI73" si="603">AI9+AI22+AI25+AI45+AI61+AI67+AI70</f>
        <v>3111500</v>
      </c>
      <c r="AJ73" s="334">
        <f t="shared" ref="AJ73" si="604">AJ9+AJ22+AJ25+AJ45+AJ61+AJ67+AJ70</f>
        <v>712</v>
      </c>
      <c r="AK73" s="334">
        <f t="shared" si="587"/>
        <v>15481673</v>
      </c>
      <c r="AL73" s="334">
        <f t="shared" ref="AL73" si="605">AL9+AL22+AL25+AL45+AL61+AL67+AL70</f>
        <v>15481673</v>
      </c>
      <c r="AM73" s="334">
        <f t="shared" ref="AM73" si="606">AM9+AM22+AM25+AM45+AM61+AM67+AM70</f>
        <v>15481673</v>
      </c>
      <c r="AN73" s="334">
        <f t="shared" ref="AN73" si="607">AN9+AN22+AN25+AN45+AN61+AN67+AN70</f>
        <v>472</v>
      </c>
      <c r="AO73" s="334">
        <f t="shared" si="587"/>
        <v>26814466</v>
      </c>
      <c r="AP73" s="334">
        <f t="shared" ref="AP73" si="608">AP9+AP22+AP25+AP45+AP61+AP67+AP70</f>
        <v>26814466</v>
      </c>
      <c r="AQ73" s="334">
        <f t="shared" ref="AQ73" si="609">AQ9+AQ22+AQ25+AQ45+AQ61+AQ67+AQ70</f>
        <v>26814466</v>
      </c>
      <c r="AR73" s="334">
        <f t="shared" ref="AR73" si="610">AR9+AR22+AR25+AR45+AR61+AR67+AR70</f>
        <v>15872699</v>
      </c>
      <c r="AS73" s="334">
        <f t="shared" si="587"/>
        <v>50949927</v>
      </c>
      <c r="AT73" s="334">
        <f t="shared" ref="AT73" si="611">AT9+AT22+AT25+AT45+AT61+AT67+AT70</f>
        <v>50949927</v>
      </c>
      <c r="AU73" s="334">
        <f t="shared" ref="AU73" si="612">AU9+AU22+AU25+AU45+AU61+AU67+AU70</f>
        <v>50949927</v>
      </c>
      <c r="AV73" s="334">
        <f t="shared" ref="AV73" si="613">AV9+AV22+AV25+AV45+AV61+AV67+AV70</f>
        <v>77522081</v>
      </c>
      <c r="AW73" s="334">
        <f t="shared" si="587"/>
        <v>32648778</v>
      </c>
      <c r="AX73" s="334">
        <f t="shared" ref="AX73" si="614">AX9+AX22+AX25+AX45+AX61+AX67+AX70</f>
        <v>32648778</v>
      </c>
      <c r="AY73" s="334">
        <f t="shared" ref="AY73" si="615">AY9+AY22+AY25+AY45+AY61+AY67+AY70</f>
        <v>32648778</v>
      </c>
      <c r="AZ73" s="334">
        <f t="shared" ref="AZ73" si="616">AZ9+AZ22+AZ25+AZ45+AZ61+AZ67+AZ70</f>
        <v>0</v>
      </c>
      <c r="BA73" s="334">
        <f t="shared" si="587"/>
        <v>952724500</v>
      </c>
      <c r="BB73" s="334">
        <f t="shared" ref="BB73" si="617">BB9+BB22+BB25+BB45+BB61+BB67+BB70</f>
        <v>952724500</v>
      </c>
      <c r="BC73" s="334">
        <f t="shared" ref="BC73" si="618">BC9+BC22+BC25+BC45+BC61+BC67+BC70</f>
        <v>952724500</v>
      </c>
      <c r="BD73" s="334">
        <f t="shared" ref="BD73" si="619">BD9+BD22+BD25+BD45+BD61+BD67+BD70</f>
        <v>952212898</v>
      </c>
      <c r="BE73" s="334">
        <f t="shared" ref="BE73" si="620">BE9+BE22+BE25+BE45+BE61+BE67+BE70</f>
        <v>6300015</v>
      </c>
      <c r="BF73" s="334">
        <f t="shared" ref="BF73:BI73" si="621">BF9+BF22+BF25+BF45+BF61+BF67+BF70</f>
        <v>6300015</v>
      </c>
      <c r="BG73" s="334">
        <f t="shared" ref="BG73" si="622">BG9+BG22+BG25+BG45+BG61+BG67+BG70</f>
        <v>6300015</v>
      </c>
      <c r="BH73" s="334">
        <f t="shared" ref="BH73" si="623">BH9+BH22+BH25+BH45+BH61+BH67+BH70</f>
        <v>0</v>
      </c>
      <c r="BI73" s="334">
        <f t="shared" si="621"/>
        <v>0</v>
      </c>
      <c r="BJ73" s="334">
        <f t="shared" ref="BJ73" si="624">BJ9+BJ22+BJ25+BJ45+BJ61+BJ67+BJ70</f>
        <v>3698429</v>
      </c>
      <c r="BK73" s="334">
        <f t="shared" ref="BK73:BN73" si="625">BK9+BK22+BK25+BK45+BK61+BK67+BK70</f>
        <v>3698429</v>
      </c>
      <c r="BL73" s="334">
        <f t="shared" ref="BL73" si="626">BL9+BL22+BL25+BL45+BL61+BL67+BL70</f>
        <v>3698429</v>
      </c>
      <c r="BM73" s="334">
        <f t="shared" si="625"/>
        <v>0</v>
      </c>
      <c r="BN73" s="334">
        <f t="shared" si="625"/>
        <v>0</v>
      </c>
      <c r="BO73" s="334">
        <f t="shared" ref="BO73" si="627">BO9+BO22+BO25+BO45+BO61+BO67+BO70</f>
        <v>4975845</v>
      </c>
      <c r="BP73" s="334">
        <f t="shared" ref="BP73" si="628">BP9+BP22+BP25+BP45+BP61+BP67+BP70</f>
        <v>4975845</v>
      </c>
      <c r="BQ73" s="379">
        <f t="shared" ref="BQ73:BQ85" si="629">SUMIF($C$8:$BE$8,"2019 terv",C73:BE73)</f>
        <v>1230886939</v>
      </c>
      <c r="BR73" s="618">
        <f t="shared" ref="BR73:BR85" si="630">SUMIF($D$8:$BJ$8,"2019 módosított",D73:BJ73)</f>
        <v>1234585368</v>
      </c>
      <c r="BS73" s="618">
        <f t="shared" ref="BS73:BS85" ca="1" si="631">SUMIF($D$8:$BO$8,"2019 módosított",E73:BO73)</f>
        <v>1238171462</v>
      </c>
      <c r="BT73" s="618">
        <f t="shared" ref="BT73:BT85" ca="1" si="632">SUMIF($D$8:$BO$8,"2019 módosított",F73:BP73)</f>
        <v>1129632168</v>
      </c>
      <c r="BU73" s="646"/>
      <c r="BV73" s="646"/>
    </row>
    <row r="74" spans="1:74" ht="15.75" thickBot="1" x14ac:dyDescent="0.3">
      <c r="A74" s="187" t="s">
        <v>143</v>
      </c>
      <c r="B74" s="198" t="s">
        <v>144</v>
      </c>
      <c r="C74" s="335">
        <f t="shared" ref="C74:G74" si="633">C75+C83</f>
        <v>10660884</v>
      </c>
      <c r="D74" s="335">
        <f t="shared" ref="D74:E74" si="634">D75+D83</f>
        <v>10660884</v>
      </c>
      <c r="E74" s="335">
        <f t="shared" si="634"/>
        <v>10660884</v>
      </c>
      <c r="F74" s="335">
        <f t="shared" ref="F74" si="635">F75+F83</f>
        <v>10660884</v>
      </c>
      <c r="G74" s="335">
        <f t="shared" si="633"/>
        <v>61762053</v>
      </c>
      <c r="H74" s="335">
        <f t="shared" ref="H74" si="636">H75+H83</f>
        <v>61762053</v>
      </c>
      <c r="I74" s="335">
        <f t="shared" ref="I74" si="637">I75+I83</f>
        <v>61762053</v>
      </c>
      <c r="J74" s="335">
        <f t="shared" ref="J74" si="638">J75+J83</f>
        <v>61762053</v>
      </c>
      <c r="K74" s="335">
        <f t="shared" ref="K74:L74" si="639">K75+K83</f>
        <v>395238181</v>
      </c>
      <c r="L74" s="335">
        <f t="shared" si="639"/>
        <v>395238181</v>
      </c>
      <c r="M74" s="335">
        <f t="shared" ref="M74" si="640">M75+M83</f>
        <v>395238181</v>
      </c>
      <c r="N74" s="335">
        <f t="shared" ref="N74" si="641">N75+N83</f>
        <v>395238181</v>
      </c>
      <c r="O74" s="335">
        <f t="shared" ref="O74:P74" si="642">O75+O83</f>
        <v>46781218</v>
      </c>
      <c r="P74" s="335">
        <f t="shared" si="642"/>
        <v>46781218</v>
      </c>
      <c r="Q74" s="335">
        <f t="shared" ref="Q74" si="643">Q75+Q83</f>
        <v>46781218</v>
      </c>
      <c r="R74" s="335">
        <f t="shared" ref="R74" si="644">R75+R83</f>
        <v>46781218</v>
      </c>
      <c r="S74" s="335">
        <f t="shared" ref="S74:T74" si="645">S75+S83</f>
        <v>366828889</v>
      </c>
      <c r="T74" s="335">
        <f t="shared" si="645"/>
        <v>366828889</v>
      </c>
      <c r="U74" s="335">
        <f t="shared" ref="U74" si="646">U75+U83</f>
        <v>366828889</v>
      </c>
      <c r="V74" s="335">
        <f t="shared" ref="V74" si="647">V75+V83</f>
        <v>366828889</v>
      </c>
      <c r="W74" s="335">
        <f t="shared" ref="W74:X74" si="648">W75+W83</f>
        <v>284479351</v>
      </c>
      <c r="X74" s="335">
        <f t="shared" si="648"/>
        <v>284479351</v>
      </c>
      <c r="Y74" s="335">
        <f t="shared" ref="Y74" si="649">Y75+Y83</f>
        <v>284479351</v>
      </c>
      <c r="Z74" s="335">
        <f t="shared" ref="Z74" si="650">Z75+Z83</f>
        <v>284479351</v>
      </c>
      <c r="AA74" s="335">
        <f t="shared" ref="AA74:AB74" si="651">AA75+AA83</f>
        <v>869044355</v>
      </c>
      <c r="AB74" s="335">
        <f t="shared" si="651"/>
        <v>869044355</v>
      </c>
      <c r="AC74" s="335">
        <f t="shared" ref="AC74" si="652">AC75+AC83</f>
        <v>869044355</v>
      </c>
      <c r="AD74" s="335">
        <f t="shared" ref="AD74" si="653">AD75+AD83</f>
        <v>869044355</v>
      </c>
      <c r="AE74" s="335">
        <f t="shared" ref="AE74" si="654">AE75+AE83</f>
        <v>0</v>
      </c>
      <c r="AF74" s="335">
        <f t="shared" ref="AF74" si="655">AF75+AF83</f>
        <v>0</v>
      </c>
      <c r="AG74" s="335">
        <f t="shared" ref="AG74:AH74" si="656">AG75+AG83</f>
        <v>13911200</v>
      </c>
      <c r="AH74" s="335">
        <f t="shared" si="656"/>
        <v>13911200</v>
      </c>
      <c r="AI74" s="335">
        <f t="shared" ref="AI74" si="657">AI75+AI83</f>
        <v>13911200</v>
      </c>
      <c r="AJ74" s="335">
        <f t="shared" ref="AJ74" si="658">AJ75+AJ83</f>
        <v>13911200</v>
      </c>
      <c r="AK74" s="335">
        <f t="shared" ref="AK74:AL74" si="659">AK75+AK83</f>
        <v>8750000</v>
      </c>
      <c r="AL74" s="335">
        <f t="shared" si="659"/>
        <v>8750000</v>
      </c>
      <c r="AM74" s="335">
        <f t="shared" ref="AM74" si="660">AM75+AM83</f>
        <v>8750000</v>
      </c>
      <c r="AN74" s="335">
        <f t="shared" ref="AN74" si="661">AN75+AN83</f>
        <v>8750000</v>
      </c>
      <c r="AO74" s="335">
        <f t="shared" ref="AO74:AP74" si="662">AO75+AO83</f>
        <v>15155227</v>
      </c>
      <c r="AP74" s="335">
        <f t="shared" si="662"/>
        <v>15155227</v>
      </c>
      <c r="AQ74" s="335">
        <f t="shared" ref="AQ74" si="663">AQ75+AQ83</f>
        <v>15155227</v>
      </c>
      <c r="AR74" s="335">
        <f t="shared" ref="AR74" si="664">AR75+AR83</f>
        <v>15155227</v>
      </c>
      <c r="AS74" s="335">
        <f t="shared" ref="AS74:AT74" si="665">AS75+AS83</f>
        <v>32048976</v>
      </c>
      <c r="AT74" s="335">
        <f t="shared" si="665"/>
        <v>32048976</v>
      </c>
      <c r="AU74" s="335">
        <f t="shared" ref="AU74" si="666">AU75+AU83</f>
        <v>32048976</v>
      </c>
      <c r="AV74" s="335">
        <f t="shared" ref="AV74" si="667">AV75+AV83</f>
        <v>32048976</v>
      </c>
      <c r="AW74" s="335">
        <f t="shared" ref="AW74:AX74" si="668">AW75+AW83</f>
        <v>24435525</v>
      </c>
      <c r="AX74" s="335">
        <f t="shared" si="668"/>
        <v>24435525</v>
      </c>
      <c r="AY74" s="335">
        <f t="shared" ref="AY74" si="669">AY75+AY83</f>
        <v>24435525</v>
      </c>
      <c r="AZ74" s="335">
        <f t="shared" ref="AZ74" si="670">AZ75+AZ83</f>
        <v>24435525</v>
      </c>
      <c r="BA74" s="335">
        <f t="shared" ref="BA74:BE74" si="671">BA75+BA83</f>
        <v>0</v>
      </c>
      <c r="BB74" s="335">
        <f t="shared" ref="BB74" si="672">BB75+BB83</f>
        <v>0</v>
      </c>
      <c r="BC74" s="335">
        <f t="shared" ref="BC74" si="673">BC75+BC83</f>
        <v>0</v>
      </c>
      <c r="BD74" s="335">
        <f t="shared" ref="BD74" si="674">BD75+BD83</f>
        <v>0</v>
      </c>
      <c r="BE74" s="335">
        <f t="shared" si="671"/>
        <v>0</v>
      </c>
      <c r="BF74" s="335">
        <f t="shared" ref="BF74:BI74" si="675">BF75+BF83</f>
        <v>0</v>
      </c>
      <c r="BG74" s="335">
        <f t="shared" ref="BG74" si="676">BG75+BG83</f>
        <v>0</v>
      </c>
      <c r="BH74" s="335">
        <f t="shared" ref="BH74" si="677">BH75+BH83</f>
        <v>0</v>
      </c>
      <c r="BI74" s="335">
        <f t="shared" si="675"/>
        <v>0</v>
      </c>
      <c r="BJ74" s="335">
        <f t="shared" ref="BJ74" si="678">BJ75+BJ83</f>
        <v>0</v>
      </c>
      <c r="BK74" s="335">
        <f t="shared" ref="BK74:BN74" si="679">BK75+BK83</f>
        <v>0</v>
      </c>
      <c r="BL74" s="335">
        <f t="shared" ref="BL74" si="680">BL75+BL83</f>
        <v>0</v>
      </c>
      <c r="BM74" s="335">
        <f t="shared" si="679"/>
        <v>0</v>
      </c>
      <c r="BN74" s="335">
        <f t="shared" si="679"/>
        <v>0</v>
      </c>
      <c r="BO74" s="335">
        <f t="shared" ref="BO74" si="681">BO75+BO83</f>
        <v>0</v>
      </c>
      <c r="BP74" s="335">
        <f t="shared" ref="BP74" si="682">BP75+BP83</f>
        <v>0</v>
      </c>
      <c r="BQ74" s="372">
        <f t="shared" si="629"/>
        <v>2129095859</v>
      </c>
      <c r="BR74" s="618">
        <f t="shared" si="630"/>
        <v>2129095859</v>
      </c>
      <c r="BS74" s="618">
        <f t="shared" ca="1" si="631"/>
        <v>2129095859</v>
      </c>
      <c r="BT74" s="618">
        <f t="shared" ca="1" si="632"/>
        <v>2129095859</v>
      </c>
      <c r="BU74" s="646"/>
      <c r="BV74" s="646"/>
    </row>
    <row r="75" spans="1:74" ht="15.75" thickBot="1" x14ac:dyDescent="0.3">
      <c r="A75" s="184" t="s">
        <v>145</v>
      </c>
      <c r="B75" s="180" t="s">
        <v>146</v>
      </c>
      <c r="C75" s="336">
        <f t="shared" ref="C75:G75" si="683">SUM(C76:C77,C78,C79,C83,C82)</f>
        <v>10660884</v>
      </c>
      <c r="D75" s="336">
        <f t="shared" ref="D75:E75" si="684">SUM(D76:D77,D78,D79,D83,D82)</f>
        <v>10660884</v>
      </c>
      <c r="E75" s="336">
        <f t="shared" si="684"/>
        <v>10660884</v>
      </c>
      <c r="F75" s="336">
        <f t="shared" ref="F75" si="685">SUM(F76:F77,F78,F79,F83,F82)</f>
        <v>10660884</v>
      </c>
      <c r="G75" s="336">
        <f t="shared" si="683"/>
        <v>61762053</v>
      </c>
      <c r="H75" s="336">
        <f t="shared" ref="H75" si="686">SUM(H76:H77,H78,H79,H83,H82)</f>
        <v>61762053</v>
      </c>
      <c r="I75" s="336">
        <f t="shared" ref="I75" si="687">SUM(I76:I77,I78,I79,I83,I82)</f>
        <v>61762053</v>
      </c>
      <c r="J75" s="336">
        <f t="shared" ref="J75" si="688">SUM(J76:J77,J78,J79,J83,J82)</f>
        <v>61762053</v>
      </c>
      <c r="K75" s="336">
        <f t="shared" ref="K75:L75" si="689">SUM(K76:K77,K78,K79,K83,K82)</f>
        <v>395238181</v>
      </c>
      <c r="L75" s="336">
        <f t="shared" si="689"/>
        <v>395238181</v>
      </c>
      <c r="M75" s="336">
        <f t="shared" ref="M75" si="690">SUM(M76:M77,M78,M79,M83,M82)</f>
        <v>395238181</v>
      </c>
      <c r="N75" s="336">
        <f t="shared" ref="N75" si="691">SUM(N76:N77,N78,N79,N83,N82)</f>
        <v>395238181</v>
      </c>
      <c r="O75" s="336">
        <f t="shared" ref="O75:P75" si="692">SUM(O76:O77,O78,O79,O83,O82)</f>
        <v>46781218</v>
      </c>
      <c r="P75" s="336">
        <f t="shared" si="692"/>
        <v>46781218</v>
      </c>
      <c r="Q75" s="336">
        <f t="shared" ref="Q75" si="693">SUM(Q76:Q77,Q78,Q79,Q83,Q82)</f>
        <v>46781218</v>
      </c>
      <c r="R75" s="336">
        <f t="shared" ref="R75" si="694">SUM(R76:R77,R78,R79,R83,R82)</f>
        <v>46781218</v>
      </c>
      <c r="S75" s="336">
        <f t="shared" ref="S75:T75" si="695">SUM(S76:S77,S78,S79,S83,S82)</f>
        <v>366828889</v>
      </c>
      <c r="T75" s="336">
        <f t="shared" si="695"/>
        <v>366828889</v>
      </c>
      <c r="U75" s="336">
        <f t="shared" ref="U75" si="696">SUM(U76:U77,U78,U79,U83,U82)</f>
        <v>366828889</v>
      </c>
      <c r="V75" s="336">
        <f t="shared" ref="V75" si="697">SUM(V76:V77,V78,V79,V83,V82)</f>
        <v>366828889</v>
      </c>
      <c r="W75" s="336">
        <f t="shared" ref="W75:X75" si="698">SUM(W76:W77,W78,W79,W83,W82)</f>
        <v>284479351</v>
      </c>
      <c r="X75" s="336">
        <f t="shared" si="698"/>
        <v>284479351</v>
      </c>
      <c r="Y75" s="336">
        <f t="shared" ref="Y75" si="699">SUM(Y76:Y77,Y78,Y79,Y83,Y82)</f>
        <v>284479351</v>
      </c>
      <c r="Z75" s="336">
        <f t="shared" ref="Z75" si="700">SUM(Z76:Z77,Z78,Z79,Z83,Z82)</f>
        <v>284479351</v>
      </c>
      <c r="AA75" s="336">
        <f t="shared" ref="AA75:AB75" si="701">SUM(AA76:AA77,AA78,AA79,AA83,AA82)</f>
        <v>869044355</v>
      </c>
      <c r="AB75" s="336">
        <f t="shared" si="701"/>
        <v>869044355</v>
      </c>
      <c r="AC75" s="336">
        <f t="shared" ref="AC75" si="702">SUM(AC76:AC77,AC78,AC79,AC83,AC82)</f>
        <v>869044355</v>
      </c>
      <c r="AD75" s="336">
        <f t="shared" ref="AD75" si="703">SUM(AD76:AD77,AD78,AD79,AD83,AD82)</f>
        <v>869044355</v>
      </c>
      <c r="AE75" s="336">
        <f t="shared" ref="AE75" si="704">SUM(AE76:AE77,AE78,AE79,AE83,AE82)</f>
        <v>0</v>
      </c>
      <c r="AF75" s="336">
        <f t="shared" ref="AF75" si="705">SUM(AF76:AF77,AF78,AF79,AF83,AF82)</f>
        <v>0</v>
      </c>
      <c r="AG75" s="336">
        <f t="shared" ref="AG75:AH75" si="706">SUM(AG76:AG77,AG78,AG79,AG83,AG82)</f>
        <v>13911200</v>
      </c>
      <c r="AH75" s="336">
        <f t="shared" si="706"/>
        <v>13911200</v>
      </c>
      <c r="AI75" s="336">
        <f t="shared" ref="AI75" si="707">SUM(AI76:AI77,AI78,AI79,AI83,AI82)</f>
        <v>13911200</v>
      </c>
      <c r="AJ75" s="336">
        <f t="shared" ref="AJ75" si="708">SUM(AJ76:AJ77,AJ78,AJ79,AJ83,AJ82)</f>
        <v>13911200</v>
      </c>
      <c r="AK75" s="336">
        <f t="shared" ref="AK75:AL75" si="709">SUM(AK76:AK77,AK78,AK79,AK83,AK82)</f>
        <v>8750000</v>
      </c>
      <c r="AL75" s="336">
        <f t="shared" si="709"/>
        <v>8750000</v>
      </c>
      <c r="AM75" s="336">
        <f t="shared" ref="AM75" si="710">SUM(AM76:AM77,AM78,AM79,AM83,AM82)</f>
        <v>8750000</v>
      </c>
      <c r="AN75" s="336">
        <f t="shared" ref="AN75" si="711">SUM(AN76:AN77,AN78,AN79,AN83,AN82)</f>
        <v>8750000</v>
      </c>
      <c r="AO75" s="336">
        <f t="shared" ref="AO75:AP75" si="712">SUM(AO76:AO77,AO78,AO79,AO83,AO82)</f>
        <v>15155227</v>
      </c>
      <c r="AP75" s="336">
        <f t="shared" si="712"/>
        <v>15155227</v>
      </c>
      <c r="AQ75" s="336">
        <f t="shared" ref="AQ75" si="713">SUM(AQ76:AQ77,AQ78,AQ79,AQ83,AQ82)</f>
        <v>15155227</v>
      </c>
      <c r="AR75" s="336">
        <f t="shared" ref="AR75" si="714">SUM(AR76:AR77,AR78,AR79,AR83,AR82)</f>
        <v>15155227</v>
      </c>
      <c r="AS75" s="336">
        <f t="shared" ref="AS75:AT75" si="715">SUM(AS76:AS77,AS78,AS79,AS83,AS82)</f>
        <v>32048976</v>
      </c>
      <c r="AT75" s="336">
        <f t="shared" si="715"/>
        <v>32048976</v>
      </c>
      <c r="AU75" s="336">
        <f t="shared" ref="AU75" si="716">SUM(AU76:AU77,AU78,AU79,AU83,AU82)</f>
        <v>32048976</v>
      </c>
      <c r="AV75" s="336">
        <f t="shared" ref="AV75" si="717">SUM(AV76:AV77,AV78,AV79,AV83,AV82)</f>
        <v>32048976</v>
      </c>
      <c r="AW75" s="336">
        <f t="shared" ref="AW75:AX75" si="718">SUM(AW76:AW77,AW78,AW79,AW83,AW82)</f>
        <v>24435525</v>
      </c>
      <c r="AX75" s="336">
        <f t="shared" si="718"/>
        <v>24435525</v>
      </c>
      <c r="AY75" s="336">
        <f t="shared" ref="AY75" si="719">SUM(AY76:AY77,AY78,AY79,AY83,AY82)</f>
        <v>24435525</v>
      </c>
      <c r="AZ75" s="336">
        <f t="shared" ref="AZ75" si="720">SUM(AZ76:AZ77,AZ78,AZ79,AZ83,AZ82)</f>
        <v>24435525</v>
      </c>
      <c r="BA75" s="336">
        <f t="shared" ref="BA75:BE75" si="721">SUM(BA76:BA77,BA78,BA79,BA83,BA82)</f>
        <v>0</v>
      </c>
      <c r="BB75" s="336">
        <f t="shared" ref="BB75" si="722">SUM(BB76:BB77,BB78,BB79,BB83,BB82)</f>
        <v>0</v>
      </c>
      <c r="BC75" s="336">
        <f t="shared" ref="BC75" si="723">SUM(BC76:BC77,BC78,BC79,BC83,BC82)</f>
        <v>0</v>
      </c>
      <c r="BD75" s="336">
        <f t="shared" ref="BD75" si="724">SUM(BD76:BD77,BD78,BD79,BD83,BD82)</f>
        <v>0</v>
      </c>
      <c r="BE75" s="336">
        <f t="shared" si="721"/>
        <v>0</v>
      </c>
      <c r="BF75" s="336">
        <f t="shared" ref="BF75:BI75" si="725">SUM(BF76:BF77,BF78,BF79,BF83,BF82)</f>
        <v>0</v>
      </c>
      <c r="BG75" s="336">
        <f t="shared" ref="BG75" si="726">SUM(BG76:BG77,BG78,BG79,BG83,BG82)</f>
        <v>0</v>
      </c>
      <c r="BH75" s="336">
        <f t="shared" ref="BH75" si="727">SUM(BH76:BH77,BH78,BH79,BH83,BH82)</f>
        <v>0</v>
      </c>
      <c r="BI75" s="336">
        <f t="shared" si="725"/>
        <v>0</v>
      </c>
      <c r="BJ75" s="336">
        <f t="shared" ref="BJ75" si="728">SUM(BJ76:BJ77,BJ78,BJ79,BJ83,BJ82)</f>
        <v>0</v>
      </c>
      <c r="BK75" s="336">
        <f t="shared" ref="BK75:BN75" si="729">SUM(BK76:BK77,BK78,BK79,BK83,BK82)</f>
        <v>0</v>
      </c>
      <c r="BL75" s="336">
        <f t="shared" ref="BL75" si="730">SUM(BL76:BL77,BL78,BL79,BL83,BL82)</f>
        <v>0</v>
      </c>
      <c r="BM75" s="336">
        <f t="shared" si="729"/>
        <v>0</v>
      </c>
      <c r="BN75" s="336">
        <f t="shared" si="729"/>
        <v>0</v>
      </c>
      <c r="BO75" s="336">
        <f t="shared" ref="BO75" si="731">SUM(BO76:BO77,BO78,BO79,BO83,BO82)</f>
        <v>0</v>
      </c>
      <c r="BP75" s="336">
        <f t="shared" ref="BP75" si="732">SUM(BP76:BP77,BP78,BP79,BP83,BP82)</f>
        <v>0</v>
      </c>
      <c r="BQ75" s="372">
        <f t="shared" si="629"/>
        <v>2129095859</v>
      </c>
      <c r="BR75" s="618">
        <f t="shared" si="630"/>
        <v>2129095859</v>
      </c>
      <c r="BS75" s="618">
        <f t="shared" ca="1" si="631"/>
        <v>2129095859</v>
      </c>
      <c r="BT75" s="618">
        <f t="shared" ca="1" si="632"/>
        <v>2129095859</v>
      </c>
      <c r="BU75" s="646"/>
      <c r="BV75" s="646"/>
    </row>
    <row r="76" spans="1:74" ht="15" customHeight="1" thickBot="1" x14ac:dyDescent="0.3">
      <c r="A76" s="184" t="s">
        <v>147</v>
      </c>
      <c r="B76" s="180" t="s">
        <v>148</v>
      </c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6"/>
      <c r="AA76" s="336"/>
      <c r="AB76" s="336"/>
      <c r="AC76" s="336"/>
      <c r="AD76" s="336"/>
      <c r="AE76" s="336"/>
      <c r="AF76" s="336"/>
      <c r="AG76" s="336"/>
      <c r="AH76" s="336"/>
      <c r="AI76" s="336"/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/>
      <c r="AY76" s="336"/>
      <c r="AZ76" s="336"/>
      <c r="BA76" s="336"/>
      <c r="BB76" s="336"/>
      <c r="BC76" s="336"/>
      <c r="BD76" s="336"/>
      <c r="BE76" s="336"/>
      <c r="BF76" s="336"/>
      <c r="BG76" s="336"/>
      <c r="BH76" s="336"/>
      <c r="BI76" s="336"/>
      <c r="BJ76" s="336"/>
      <c r="BK76" s="336"/>
      <c r="BL76" s="336"/>
      <c r="BM76" s="336"/>
      <c r="BN76" s="336"/>
      <c r="BO76" s="336"/>
      <c r="BP76" s="336"/>
      <c r="BQ76" s="372">
        <f t="shared" si="629"/>
        <v>0</v>
      </c>
      <c r="BR76" s="618">
        <f t="shared" si="630"/>
        <v>0</v>
      </c>
      <c r="BS76" s="618">
        <f t="shared" ca="1" si="631"/>
        <v>0</v>
      </c>
      <c r="BT76" s="618">
        <f t="shared" ca="1" si="632"/>
        <v>0</v>
      </c>
      <c r="BU76" s="646"/>
      <c r="BV76" s="646"/>
    </row>
    <row r="77" spans="1:74" ht="15" customHeight="1" thickBot="1" x14ac:dyDescent="0.3">
      <c r="A77" s="184" t="s">
        <v>149</v>
      </c>
      <c r="B77" s="180" t="s">
        <v>150</v>
      </c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6"/>
      <c r="AA77" s="336"/>
      <c r="AB77" s="336"/>
      <c r="AC77" s="336"/>
      <c r="AD77" s="336"/>
      <c r="AE77" s="336"/>
      <c r="AF77" s="336"/>
      <c r="AG77" s="336"/>
      <c r="AH77" s="336"/>
      <c r="AI77" s="336"/>
      <c r="AJ77" s="336"/>
      <c r="AK77" s="336"/>
      <c r="AL77" s="336"/>
      <c r="AM77" s="336"/>
      <c r="AN77" s="336"/>
      <c r="AO77" s="336"/>
      <c r="AP77" s="336"/>
      <c r="AQ77" s="336"/>
      <c r="AR77" s="336"/>
      <c r="AS77" s="336"/>
      <c r="AT77" s="336"/>
      <c r="AU77" s="336"/>
      <c r="AV77" s="336"/>
      <c r="AW77" s="336"/>
      <c r="AX77" s="336"/>
      <c r="AY77" s="336"/>
      <c r="AZ77" s="336"/>
      <c r="BA77" s="336"/>
      <c r="BB77" s="336"/>
      <c r="BC77" s="336"/>
      <c r="BD77" s="336"/>
      <c r="BE77" s="336"/>
      <c r="BF77" s="336"/>
      <c r="BG77" s="336"/>
      <c r="BH77" s="336"/>
      <c r="BI77" s="336"/>
      <c r="BJ77" s="336"/>
      <c r="BK77" s="336"/>
      <c r="BL77" s="336"/>
      <c r="BM77" s="336"/>
      <c r="BN77" s="336"/>
      <c r="BO77" s="336"/>
      <c r="BP77" s="336"/>
      <c r="BQ77" s="372">
        <f t="shared" si="629"/>
        <v>0</v>
      </c>
      <c r="BR77" s="618">
        <f t="shared" si="630"/>
        <v>0</v>
      </c>
      <c r="BS77" s="618">
        <f t="shared" ca="1" si="631"/>
        <v>0</v>
      </c>
      <c r="BT77" s="618">
        <f t="shared" ca="1" si="632"/>
        <v>0</v>
      </c>
      <c r="BU77" s="646"/>
      <c r="BV77" s="646"/>
    </row>
    <row r="78" spans="1:74" ht="15" customHeight="1" thickBot="1" x14ac:dyDescent="0.3">
      <c r="A78" s="184" t="s">
        <v>151</v>
      </c>
      <c r="B78" s="180" t="s">
        <v>152</v>
      </c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336"/>
      <c r="AC78" s="336"/>
      <c r="AD78" s="336"/>
      <c r="AE78" s="336"/>
      <c r="AF78" s="336"/>
      <c r="AG78" s="336"/>
      <c r="AH78" s="336"/>
      <c r="AI78" s="336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/>
      <c r="AY78" s="336"/>
      <c r="AZ78" s="336"/>
      <c r="BA78" s="336"/>
      <c r="BB78" s="336"/>
      <c r="BC78" s="336"/>
      <c r="BD78" s="336"/>
      <c r="BE78" s="336"/>
      <c r="BF78" s="336"/>
      <c r="BG78" s="336"/>
      <c r="BH78" s="336"/>
      <c r="BI78" s="336"/>
      <c r="BJ78" s="336"/>
      <c r="BK78" s="336"/>
      <c r="BL78" s="336"/>
      <c r="BM78" s="336"/>
      <c r="BN78" s="336"/>
      <c r="BO78" s="336"/>
      <c r="BP78" s="336"/>
      <c r="BQ78" s="372">
        <f t="shared" si="629"/>
        <v>0</v>
      </c>
      <c r="BR78" s="618">
        <f t="shared" si="630"/>
        <v>0</v>
      </c>
      <c r="BS78" s="618">
        <f t="shared" ca="1" si="631"/>
        <v>0</v>
      </c>
      <c r="BT78" s="618">
        <f t="shared" ca="1" si="632"/>
        <v>0</v>
      </c>
      <c r="BU78" s="646"/>
      <c r="BV78" s="646"/>
    </row>
    <row r="79" spans="1:74" ht="15.75" thickBot="1" x14ac:dyDescent="0.3">
      <c r="A79" s="184" t="s">
        <v>153</v>
      </c>
      <c r="B79" s="180" t="s">
        <v>154</v>
      </c>
      <c r="C79" s="336">
        <f t="shared" ref="C79:G79" si="733">SUM(C80:C81)</f>
        <v>10660884</v>
      </c>
      <c r="D79" s="336">
        <f t="shared" ref="D79:E79" si="734">SUM(D80:D81)</f>
        <v>10660884</v>
      </c>
      <c r="E79" s="336">
        <f t="shared" si="734"/>
        <v>10660884</v>
      </c>
      <c r="F79" s="336">
        <f t="shared" ref="F79" si="735">SUM(F80:F81)</f>
        <v>10660884</v>
      </c>
      <c r="G79" s="336">
        <f t="shared" si="733"/>
        <v>61762053</v>
      </c>
      <c r="H79" s="336">
        <f t="shared" ref="H79" si="736">SUM(H80:H81)</f>
        <v>61762053</v>
      </c>
      <c r="I79" s="336">
        <f t="shared" ref="I79" si="737">SUM(I80:I81)</f>
        <v>61762053</v>
      </c>
      <c r="J79" s="336">
        <f t="shared" ref="J79" si="738">SUM(J80:J81)</f>
        <v>61762053</v>
      </c>
      <c r="K79" s="336">
        <f t="shared" ref="K79:L79" si="739">SUM(K80:K81)</f>
        <v>395238181</v>
      </c>
      <c r="L79" s="336">
        <f t="shared" si="739"/>
        <v>395238181</v>
      </c>
      <c r="M79" s="336">
        <f t="shared" ref="M79" si="740">SUM(M80:M81)</f>
        <v>395238181</v>
      </c>
      <c r="N79" s="336">
        <f t="shared" ref="N79" si="741">SUM(N80:N81)</f>
        <v>395238181</v>
      </c>
      <c r="O79" s="336">
        <f t="shared" ref="O79:P79" si="742">SUM(O80:O81)</f>
        <v>46781218</v>
      </c>
      <c r="P79" s="336">
        <f t="shared" si="742"/>
        <v>46781218</v>
      </c>
      <c r="Q79" s="336">
        <f t="shared" ref="Q79" si="743">SUM(Q80:Q81)</f>
        <v>46781218</v>
      </c>
      <c r="R79" s="336">
        <f t="shared" ref="R79" si="744">SUM(R80:R81)</f>
        <v>46781218</v>
      </c>
      <c r="S79" s="336">
        <f t="shared" ref="S79:T79" si="745">SUM(S80:S81)</f>
        <v>366828889</v>
      </c>
      <c r="T79" s="336">
        <f t="shared" si="745"/>
        <v>366828889</v>
      </c>
      <c r="U79" s="336">
        <f t="shared" ref="U79" si="746">SUM(U80:U81)</f>
        <v>366828889</v>
      </c>
      <c r="V79" s="336">
        <f t="shared" ref="V79" si="747">SUM(V80:V81)</f>
        <v>366828889</v>
      </c>
      <c r="W79" s="336">
        <f t="shared" ref="W79:X79" si="748">SUM(W80:W81)</f>
        <v>284479351</v>
      </c>
      <c r="X79" s="336">
        <f t="shared" si="748"/>
        <v>284479351</v>
      </c>
      <c r="Y79" s="336">
        <f t="shared" ref="Y79" si="749">SUM(Y80:Y81)</f>
        <v>284479351</v>
      </c>
      <c r="Z79" s="336">
        <f t="shared" ref="Z79" si="750">SUM(Z80:Z81)</f>
        <v>284479351</v>
      </c>
      <c r="AA79" s="336">
        <f t="shared" ref="AA79:AB79" si="751">SUM(AA80:AA81)</f>
        <v>869044355</v>
      </c>
      <c r="AB79" s="336">
        <f t="shared" si="751"/>
        <v>869044355</v>
      </c>
      <c r="AC79" s="336">
        <f t="shared" ref="AC79" si="752">SUM(AC80:AC81)</f>
        <v>869044355</v>
      </c>
      <c r="AD79" s="336">
        <f t="shared" ref="AD79" si="753">SUM(AD80:AD81)</f>
        <v>869044355</v>
      </c>
      <c r="AE79" s="336">
        <f t="shared" ref="AE79" si="754">SUM(AE80:AE81)</f>
        <v>0</v>
      </c>
      <c r="AF79" s="336">
        <f t="shared" ref="AF79" si="755">SUM(AF80:AF81)</f>
        <v>0</v>
      </c>
      <c r="AG79" s="336">
        <f t="shared" ref="AG79:AH79" si="756">SUM(AG80:AG81)</f>
        <v>13911200</v>
      </c>
      <c r="AH79" s="336">
        <f t="shared" si="756"/>
        <v>13911200</v>
      </c>
      <c r="AI79" s="336">
        <f t="shared" ref="AI79" si="757">SUM(AI80:AI81)</f>
        <v>13911200</v>
      </c>
      <c r="AJ79" s="336">
        <f t="shared" ref="AJ79" si="758">SUM(AJ80:AJ81)</f>
        <v>13911200</v>
      </c>
      <c r="AK79" s="336">
        <f t="shared" ref="AK79:AL79" si="759">SUM(AK80:AK81)</f>
        <v>8750000</v>
      </c>
      <c r="AL79" s="336">
        <f t="shared" si="759"/>
        <v>8750000</v>
      </c>
      <c r="AM79" s="336">
        <f t="shared" ref="AM79" si="760">SUM(AM80:AM81)</f>
        <v>8750000</v>
      </c>
      <c r="AN79" s="336">
        <f t="shared" ref="AN79" si="761">SUM(AN80:AN81)</f>
        <v>8750000</v>
      </c>
      <c r="AO79" s="336">
        <f t="shared" ref="AO79:AP79" si="762">SUM(AO80:AO81)</f>
        <v>15155227</v>
      </c>
      <c r="AP79" s="336">
        <f t="shared" si="762"/>
        <v>15155227</v>
      </c>
      <c r="AQ79" s="336">
        <f t="shared" ref="AQ79" si="763">SUM(AQ80:AQ81)</f>
        <v>15155227</v>
      </c>
      <c r="AR79" s="336">
        <f t="shared" ref="AR79" si="764">SUM(AR80:AR81)</f>
        <v>15155227</v>
      </c>
      <c r="AS79" s="336">
        <f t="shared" ref="AS79:AT79" si="765">SUM(AS80:AS81)</f>
        <v>32048976</v>
      </c>
      <c r="AT79" s="336">
        <f t="shared" si="765"/>
        <v>32048976</v>
      </c>
      <c r="AU79" s="336">
        <f t="shared" ref="AU79" si="766">SUM(AU80:AU81)</f>
        <v>32048976</v>
      </c>
      <c r="AV79" s="336">
        <f t="shared" ref="AV79" si="767">SUM(AV80:AV81)</f>
        <v>32048976</v>
      </c>
      <c r="AW79" s="336">
        <f t="shared" ref="AW79:AX79" si="768">SUM(AW80:AW81)</f>
        <v>24435525</v>
      </c>
      <c r="AX79" s="336">
        <f t="shared" si="768"/>
        <v>24435525</v>
      </c>
      <c r="AY79" s="336">
        <f t="shared" ref="AY79" si="769">SUM(AY80:AY81)</f>
        <v>24435525</v>
      </c>
      <c r="AZ79" s="336">
        <f t="shared" ref="AZ79" si="770">SUM(AZ80:AZ81)</f>
        <v>24435525</v>
      </c>
      <c r="BA79" s="336">
        <f t="shared" ref="BA79:BE79" si="771">SUM(BA80:BA81)</f>
        <v>0</v>
      </c>
      <c r="BB79" s="336">
        <f t="shared" ref="BB79" si="772">SUM(BB80:BB81)</f>
        <v>0</v>
      </c>
      <c r="BC79" s="336">
        <f t="shared" ref="BC79" si="773">SUM(BC80:BC81)</f>
        <v>0</v>
      </c>
      <c r="BD79" s="336">
        <f t="shared" ref="BD79" si="774">SUM(BD80:BD81)</f>
        <v>0</v>
      </c>
      <c r="BE79" s="336">
        <f t="shared" si="771"/>
        <v>0</v>
      </c>
      <c r="BF79" s="336">
        <f t="shared" ref="BF79:BI79" si="775">SUM(BF80:BF81)</f>
        <v>0</v>
      </c>
      <c r="BG79" s="336">
        <f t="shared" ref="BG79" si="776">SUM(BG80:BG81)</f>
        <v>0</v>
      </c>
      <c r="BH79" s="336">
        <f t="shared" ref="BH79" si="777">SUM(BH80:BH81)</f>
        <v>0</v>
      </c>
      <c r="BI79" s="336">
        <f t="shared" si="775"/>
        <v>0</v>
      </c>
      <c r="BJ79" s="336">
        <f t="shared" ref="BJ79" si="778">SUM(BJ80:BJ81)</f>
        <v>0</v>
      </c>
      <c r="BK79" s="336">
        <f t="shared" ref="BK79:BN79" si="779">SUM(BK80:BK81)</f>
        <v>0</v>
      </c>
      <c r="BL79" s="336">
        <f t="shared" ref="BL79" si="780">SUM(BL80:BL81)</f>
        <v>0</v>
      </c>
      <c r="BM79" s="336">
        <f t="shared" si="779"/>
        <v>0</v>
      </c>
      <c r="BN79" s="336">
        <f t="shared" si="779"/>
        <v>0</v>
      </c>
      <c r="BO79" s="336">
        <f t="shared" ref="BO79" si="781">SUM(BO80:BO81)</f>
        <v>0</v>
      </c>
      <c r="BP79" s="336">
        <f t="shared" ref="BP79" si="782">SUM(BP80:BP81)</f>
        <v>0</v>
      </c>
      <c r="BQ79" s="372">
        <f t="shared" si="629"/>
        <v>2129095859</v>
      </c>
      <c r="BR79" s="618">
        <f t="shared" si="630"/>
        <v>2129095859</v>
      </c>
      <c r="BS79" s="618">
        <f t="shared" ca="1" si="631"/>
        <v>2129095859</v>
      </c>
      <c r="BT79" s="618">
        <f t="shared" ca="1" si="632"/>
        <v>2129095859</v>
      </c>
      <c r="BU79" s="646"/>
      <c r="BV79" s="646"/>
    </row>
    <row r="80" spans="1:74" ht="15.75" thickBot="1" x14ac:dyDescent="0.3">
      <c r="A80" s="184"/>
      <c r="B80" s="180" t="s">
        <v>29</v>
      </c>
      <c r="C80" s="336"/>
      <c r="D80" s="336"/>
      <c r="E80" s="336"/>
      <c r="F80" s="336"/>
      <c r="G80" s="336">
        <v>61762053</v>
      </c>
      <c r="H80" s="336">
        <v>61762053</v>
      </c>
      <c r="I80" s="336">
        <v>61762053</v>
      </c>
      <c r="J80" s="336">
        <v>61762053</v>
      </c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>
        <f>13911200-6040432-1830336</f>
        <v>6040432</v>
      </c>
      <c r="AH80" s="336">
        <f>13911200-6040432-1830336</f>
        <v>6040432</v>
      </c>
      <c r="AI80" s="336">
        <f>13911200-6040432-1830336</f>
        <v>6040432</v>
      </c>
      <c r="AJ80" s="336">
        <f>13911200-6040432-1830336</f>
        <v>6040432</v>
      </c>
      <c r="AK80" s="336">
        <v>8750000</v>
      </c>
      <c r="AL80" s="336">
        <v>8750000</v>
      </c>
      <c r="AM80" s="336">
        <v>8750000</v>
      </c>
      <c r="AN80" s="336">
        <v>8750000</v>
      </c>
      <c r="AO80" s="336">
        <v>15155227</v>
      </c>
      <c r="AP80" s="336">
        <v>15155227</v>
      </c>
      <c r="AQ80" s="336">
        <v>15155227</v>
      </c>
      <c r="AR80" s="336">
        <v>15155227</v>
      </c>
      <c r="AS80" s="336">
        <v>32048976</v>
      </c>
      <c r="AT80" s="336">
        <v>32048976</v>
      </c>
      <c r="AU80" s="336">
        <v>32048976</v>
      </c>
      <c r="AV80" s="336">
        <v>32048976</v>
      </c>
      <c r="AW80" s="336">
        <v>24435525</v>
      </c>
      <c r="AX80" s="336">
        <v>24435525</v>
      </c>
      <c r="AY80" s="336">
        <v>24435525</v>
      </c>
      <c r="AZ80" s="336">
        <v>24435525</v>
      </c>
      <c r="BA80" s="336"/>
      <c r="BB80" s="336"/>
      <c r="BC80" s="336"/>
      <c r="BD80" s="336"/>
      <c r="BE80" s="336"/>
      <c r="BF80" s="336"/>
      <c r="BG80" s="336"/>
      <c r="BH80" s="336"/>
      <c r="BI80" s="336"/>
      <c r="BJ80" s="336"/>
      <c r="BK80" s="336"/>
      <c r="BL80" s="336"/>
      <c r="BM80" s="336"/>
      <c r="BN80" s="336"/>
      <c r="BO80" s="336"/>
      <c r="BP80" s="336"/>
      <c r="BQ80" s="372">
        <f t="shared" si="629"/>
        <v>148192213</v>
      </c>
      <c r="BR80" s="618">
        <f t="shared" si="630"/>
        <v>148192213</v>
      </c>
      <c r="BS80" s="618">
        <f t="shared" ca="1" si="631"/>
        <v>148192213</v>
      </c>
      <c r="BT80" s="618">
        <f t="shared" ca="1" si="632"/>
        <v>148192213</v>
      </c>
      <c r="BU80" s="646"/>
      <c r="BV80" s="646"/>
    </row>
    <row r="81" spans="1:74" ht="15.75" thickBot="1" x14ac:dyDescent="0.3">
      <c r="A81" s="184"/>
      <c r="B81" s="180" t="s">
        <v>30</v>
      </c>
      <c r="C81" s="336">
        <v>10660884</v>
      </c>
      <c r="D81" s="336">
        <v>10660884</v>
      </c>
      <c r="E81" s="336">
        <v>10660884</v>
      </c>
      <c r="F81" s="336">
        <v>10660884</v>
      </c>
      <c r="G81" s="336"/>
      <c r="H81" s="336"/>
      <c r="I81" s="336"/>
      <c r="J81" s="336"/>
      <c r="K81" s="336">
        <f>347338181+47900000</f>
        <v>395238181</v>
      </c>
      <c r="L81" s="336">
        <f>347338181+47900000</f>
        <v>395238181</v>
      </c>
      <c r="M81" s="336">
        <f>347338181+47900000</f>
        <v>395238181</v>
      </c>
      <c r="N81" s="336">
        <f>347338181+47900000</f>
        <v>395238181</v>
      </c>
      <c r="O81" s="336">
        <v>46781218</v>
      </c>
      <c r="P81" s="336">
        <v>46781218</v>
      </c>
      <c r="Q81" s="336">
        <v>46781218</v>
      </c>
      <c r="R81" s="336">
        <v>46781218</v>
      </c>
      <c r="S81" s="336">
        <v>366828889</v>
      </c>
      <c r="T81" s="336">
        <v>366828889</v>
      </c>
      <c r="U81" s="336">
        <v>366828889</v>
      </c>
      <c r="V81" s="336">
        <v>366828889</v>
      </c>
      <c r="W81" s="336">
        <f>284765101-285750</f>
        <v>284479351</v>
      </c>
      <c r="X81" s="336">
        <f>284765101-285750</f>
        <v>284479351</v>
      </c>
      <c r="Y81" s="336">
        <f>284765101-285750</f>
        <v>284479351</v>
      </c>
      <c r="Z81" s="336">
        <f>284765101-285750</f>
        <v>284479351</v>
      </c>
      <c r="AA81" s="336">
        <v>869044355</v>
      </c>
      <c r="AB81" s="336">
        <v>869044355</v>
      </c>
      <c r="AC81" s="336">
        <v>869044355</v>
      </c>
      <c r="AD81" s="336">
        <v>869044355</v>
      </c>
      <c r="AE81" s="336"/>
      <c r="AF81" s="336"/>
      <c r="AG81" s="336">
        <f>6040432+1830336</f>
        <v>7870768</v>
      </c>
      <c r="AH81" s="336">
        <f>6040432+1830336</f>
        <v>7870768</v>
      </c>
      <c r="AI81" s="336">
        <f>6040432+1830336</f>
        <v>7870768</v>
      </c>
      <c r="AJ81" s="336">
        <f>6040432+1830336</f>
        <v>7870768</v>
      </c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  <c r="AU81" s="336"/>
      <c r="AV81" s="336"/>
      <c r="AW81" s="336"/>
      <c r="AX81" s="336"/>
      <c r="AY81" s="336"/>
      <c r="AZ81" s="336"/>
      <c r="BA81" s="336"/>
      <c r="BB81" s="336"/>
      <c r="BC81" s="336"/>
      <c r="BD81" s="336"/>
      <c r="BE81" s="336"/>
      <c r="BF81" s="336"/>
      <c r="BG81" s="336"/>
      <c r="BH81" s="336"/>
      <c r="BI81" s="336"/>
      <c r="BJ81" s="336"/>
      <c r="BK81" s="336"/>
      <c r="BL81" s="336"/>
      <c r="BM81" s="336"/>
      <c r="BN81" s="336"/>
      <c r="BO81" s="336"/>
      <c r="BP81" s="336"/>
      <c r="BQ81" s="374">
        <f t="shared" si="629"/>
        <v>1980903646</v>
      </c>
      <c r="BR81" s="618">
        <f t="shared" si="630"/>
        <v>1980903646</v>
      </c>
      <c r="BS81" s="618">
        <f t="shared" ca="1" si="631"/>
        <v>1980903646</v>
      </c>
      <c r="BT81" s="618">
        <f t="shared" ca="1" si="632"/>
        <v>1980903646</v>
      </c>
      <c r="BU81" s="646"/>
      <c r="BV81" s="646"/>
    </row>
    <row r="82" spans="1:74" ht="15.75" customHeight="1" thickBot="1" x14ac:dyDescent="0.3">
      <c r="A82" s="184" t="s">
        <v>543</v>
      </c>
      <c r="B82" s="180" t="s">
        <v>337</v>
      </c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72">
        <f t="shared" si="629"/>
        <v>0</v>
      </c>
      <c r="BR82" s="618">
        <f t="shared" si="630"/>
        <v>0</v>
      </c>
      <c r="BS82" s="618">
        <f t="shared" ca="1" si="631"/>
        <v>0</v>
      </c>
      <c r="BT82" s="618">
        <f t="shared" ca="1" si="632"/>
        <v>0</v>
      </c>
      <c r="BU82" s="646"/>
      <c r="BV82" s="646"/>
    </row>
    <row r="83" spans="1:74" ht="15.75" customHeight="1" thickBot="1" x14ac:dyDescent="0.3">
      <c r="A83" s="184" t="s">
        <v>155</v>
      </c>
      <c r="B83" s="180" t="s">
        <v>156</v>
      </c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36"/>
      <c r="AA83" s="336"/>
      <c r="AB83" s="336"/>
      <c r="AC83" s="336"/>
      <c r="AD83" s="336"/>
      <c r="AE83" s="336"/>
      <c r="AF83" s="336"/>
      <c r="AG83" s="336"/>
      <c r="AH83" s="336"/>
      <c r="AI83" s="336"/>
      <c r="AJ83" s="336"/>
      <c r="AK83" s="336"/>
      <c r="AL83" s="336"/>
      <c r="AM83" s="336"/>
      <c r="AN83" s="336"/>
      <c r="AO83" s="336"/>
      <c r="AP83" s="336"/>
      <c r="AQ83" s="336"/>
      <c r="AR83" s="336"/>
      <c r="AS83" s="336"/>
      <c r="AT83" s="336"/>
      <c r="AU83" s="336"/>
      <c r="AV83" s="336"/>
      <c r="AW83" s="336"/>
      <c r="AX83" s="336"/>
      <c r="AY83" s="336"/>
      <c r="AZ83" s="336"/>
      <c r="BA83" s="336"/>
      <c r="BB83" s="336"/>
      <c r="BC83" s="336"/>
      <c r="BD83" s="336"/>
      <c r="BE83" s="336"/>
      <c r="BF83" s="336"/>
      <c r="BG83" s="336"/>
      <c r="BH83" s="336"/>
      <c r="BI83" s="336"/>
      <c r="BJ83" s="336"/>
      <c r="BK83" s="336"/>
      <c r="BL83" s="336"/>
      <c r="BM83" s="336"/>
      <c r="BN83" s="336"/>
      <c r="BO83" s="336"/>
      <c r="BP83" s="336"/>
      <c r="BQ83" s="372">
        <f t="shared" si="629"/>
        <v>0</v>
      </c>
      <c r="BR83" s="618">
        <f t="shared" si="630"/>
        <v>0</v>
      </c>
      <c r="BS83" s="618">
        <f t="shared" ca="1" si="631"/>
        <v>0</v>
      </c>
      <c r="BT83" s="618">
        <f t="shared" ca="1" si="632"/>
        <v>0</v>
      </c>
      <c r="BU83" s="646"/>
      <c r="BV83" s="646"/>
    </row>
    <row r="84" spans="1:74" ht="15.75" customHeight="1" thickBot="1" x14ac:dyDescent="0.3">
      <c r="A84" s="185" t="s">
        <v>157</v>
      </c>
      <c r="B84" s="192" t="s">
        <v>158</v>
      </c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337"/>
      <c r="AM84" s="337"/>
      <c r="AN84" s="337"/>
      <c r="AO84" s="337"/>
      <c r="AP84" s="337"/>
      <c r="AQ84" s="337"/>
      <c r="AR84" s="337"/>
      <c r="AS84" s="337"/>
      <c r="AT84" s="337"/>
      <c r="AU84" s="337"/>
      <c r="AV84" s="337"/>
      <c r="AW84" s="337"/>
      <c r="AX84" s="337"/>
      <c r="AY84" s="337"/>
      <c r="AZ84" s="337"/>
      <c r="BA84" s="337"/>
      <c r="BB84" s="337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74">
        <f t="shared" si="629"/>
        <v>0</v>
      </c>
      <c r="BR84" s="618">
        <f t="shared" si="630"/>
        <v>0</v>
      </c>
      <c r="BS84" s="618">
        <f t="shared" ca="1" si="631"/>
        <v>0</v>
      </c>
      <c r="BT84" s="618">
        <f t="shared" ca="1" si="632"/>
        <v>0</v>
      </c>
      <c r="BU84" s="646"/>
      <c r="BV84" s="646"/>
    </row>
    <row r="85" spans="1:74" s="434" customFormat="1" ht="15.75" thickBot="1" x14ac:dyDescent="0.3">
      <c r="A85" s="312" t="s">
        <v>264</v>
      </c>
      <c r="B85" s="22" t="s">
        <v>159</v>
      </c>
      <c r="C85" s="435">
        <f t="shared" ref="C85:BA85" si="783">C73+C74</f>
        <v>10914821</v>
      </c>
      <c r="D85" s="435">
        <f t="shared" ref="D85:E85" si="784">D73+D74</f>
        <v>10914821</v>
      </c>
      <c r="E85" s="435">
        <f t="shared" si="784"/>
        <v>10914821</v>
      </c>
      <c r="F85" s="435">
        <f t="shared" ref="F85" si="785">F73+F74</f>
        <v>10661570</v>
      </c>
      <c r="G85" s="435">
        <f t="shared" si="783"/>
        <v>151347983</v>
      </c>
      <c r="H85" s="435">
        <f t="shared" ref="H85" si="786">H73+H74</f>
        <v>151347983</v>
      </c>
      <c r="I85" s="435">
        <f t="shared" ref="I85" si="787">I73+I74</f>
        <v>149958232</v>
      </c>
      <c r="J85" s="435">
        <f t="shared" ref="J85" si="788">J73+J74</f>
        <v>137101649</v>
      </c>
      <c r="K85" s="435">
        <f t="shared" si="783"/>
        <v>395238181</v>
      </c>
      <c r="L85" s="435">
        <f t="shared" ref="L85" si="789">L73+L74</f>
        <v>395238181</v>
      </c>
      <c r="M85" s="435">
        <f t="shared" ref="M85" si="790">M73+M74</f>
        <v>395238181</v>
      </c>
      <c r="N85" s="435">
        <f t="shared" ref="N85" si="791">N73+N74</f>
        <v>395246931</v>
      </c>
      <c r="O85" s="435">
        <f t="shared" si="783"/>
        <v>49124431</v>
      </c>
      <c r="P85" s="435">
        <f t="shared" ref="P85" si="792">P73+P74</f>
        <v>49124431</v>
      </c>
      <c r="Q85" s="435">
        <f t="shared" ref="Q85" si="793">Q73+Q74</f>
        <v>49124431</v>
      </c>
      <c r="R85" s="435">
        <f t="shared" ref="R85" si="794">R73+R74</f>
        <v>46781218</v>
      </c>
      <c r="S85" s="435">
        <f t="shared" si="783"/>
        <v>366828889</v>
      </c>
      <c r="T85" s="435">
        <f t="shared" ref="T85" si="795">T73+T74</f>
        <v>366828889</v>
      </c>
      <c r="U85" s="435">
        <f t="shared" ref="U85" si="796">U73+U74</f>
        <v>366828889</v>
      </c>
      <c r="V85" s="435">
        <f t="shared" ref="V85" si="797">V73+V74</f>
        <v>366828889</v>
      </c>
      <c r="W85" s="435">
        <f t="shared" si="783"/>
        <v>284479351</v>
      </c>
      <c r="X85" s="435">
        <f t="shared" ref="X85:Y85" si="798">X73+X74</f>
        <v>284479351</v>
      </c>
      <c r="Y85" s="435">
        <f t="shared" si="798"/>
        <v>284479351</v>
      </c>
      <c r="Z85" s="435">
        <f t="shared" ref="Z85" si="799">Z73+Z74</f>
        <v>284479351</v>
      </c>
      <c r="AA85" s="435">
        <f t="shared" si="783"/>
        <v>919717355</v>
      </c>
      <c r="AB85" s="435">
        <f t="shared" ref="AB85" si="800">AB73+AB74</f>
        <v>919717355</v>
      </c>
      <c r="AC85" s="435">
        <f t="shared" ref="AC85" si="801">AC73+AC74</f>
        <v>919717355</v>
      </c>
      <c r="AD85" s="435">
        <f t="shared" ref="AD85" si="802">AD73+AD74</f>
        <v>869044355</v>
      </c>
      <c r="AE85" s="435">
        <f t="shared" si="783"/>
        <v>0</v>
      </c>
      <c r="AF85" s="435">
        <f t="shared" si="783"/>
        <v>0</v>
      </c>
      <c r="AG85" s="435">
        <f t="shared" si="783"/>
        <v>17022700</v>
      </c>
      <c r="AH85" s="435">
        <f t="shared" ref="AH85" si="803">AH73+AH74</f>
        <v>17022700</v>
      </c>
      <c r="AI85" s="435">
        <f t="shared" ref="AI85" si="804">AI73+AI74</f>
        <v>17022700</v>
      </c>
      <c r="AJ85" s="435">
        <f t="shared" ref="AJ85" si="805">AJ73+AJ74</f>
        <v>13911912</v>
      </c>
      <c r="AK85" s="435">
        <f t="shared" si="783"/>
        <v>24231673</v>
      </c>
      <c r="AL85" s="435">
        <f t="shared" ref="AL85" si="806">AL73+AL74</f>
        <v>24231673</v>
      </c>
      <c r="AM85" s="435">
        <f t="shared" ref="AM85" si="807">AM73+AM74</f>
        <v>24231673</v>
      </c>
      <c r="AN85" s="435">
        <f t="shared" ref="AN85" si="808">AN73+AN74</f>
        <v>8750472</v>
      </c>
      <c r="AO85" s="435">
        <f t="shared" si="783"/>
        <v>41969693</v>
      </c>
      <c r="AP85" s="435">
        <f t="shared" ref="AP85" si="809">AP73+AP74</f>
        <v>41969693</v>
      </c>
      <c r="AQ85" s="435">
        <f t="shared" ref="AQ85" si="810">AQ73+AQ74</f>
        <v>41969693</v>
      </c>
      <c r="AR85" s="435">
        <f t="shared" ref="AR85" si="811">AR73+AR74</f>
        <v>31027926</v>
      </c>
      <c r="AS85" s="435">
        <f t="shared" si="783"/>
        <v>82998903</v>
      </c>
      <c r="AT85" s="435">
        <f t="shared" ref="AT85" si="812">AT73+AT74</f>
        <v>82998903</v>
      </c>
      <c r="AU85" s="435">
        <f t="shared" ref="AU85" si="813">AU73+AU74</f>
        <v>82998903</v>
      </c>
      <c r="AV85" s="435">
        <f t="shared" ref="AV85" si="814">AV73+AV74</f>
        <v>109571057</v>
      </c>
      <c r="AW85" s="435">
        <f t="shared" si="783"/>
        <v>57084303</v>
      </c>
      <c r="AX85" s="435">
        <f t="shared" ref="AX85" si="815">AX73+AX74</f>
        <v>57084303</v>
      </c>
      <c r="AY85" s="435">
        <f t="shared" ref="AY85" si="816">AY73+AY74</f>
        <v>57084303</v>
      </c>
      <c r="AZ85" s="435">
        <f t="shared" ref="AZ85" si="817">AZ73+AZ74</f>
        <v>24435525</v>
      </c>
      <c r="BA85" s="435">
        <f t="shared" si="783"/>
        <v>952724500</v>
      </c>
      <c r="BB85" s="435">
        <f t="shared" ref="BB85" si="818">BB73+BB74</f>
        <v>952724500</v>
      </c>
      <c r="BC85" s="435">
        <f t="shared" ref="BC85" si="819">BC73+BC74</f>
        <v>952724500</v>
      </c>
      <c r="BD85" s="435">
        <f t="shared" ref="BD85" si="820">BD73+BD74</f>
        <v>952212898</v>
      </c>
      <c r="BE85" s="435">
        <f t="shared" ref="BE85" si="821">BE73+BE74</f>
        <v>6300015</v>
      </c>
      <c r="BF85" s="435">
        <f t="shared" ref="BF85:BI85" si="822">BF73+BF74</f>
        <v>6300015</v>
      </c>
      <c r="BG85" s="435">
        <f t="shared" ref="BG85" si="823">BG73+BG74</f>
        <v>6300015</v>
      </c>
      <c r="BH85" s="435">
        <f t="shared" ref="BH85" si="824">BH73+BH74</f>
        <v>0</v>
      </c>
      <c r="BI85" s="435">
        <f t="shared" si="822"/>
        <v>0</v>
      </c>
      <c r="BJ85" s="435">
        <f t="shared" ref="BJ85" si="825">BJ73+BJ74</f>
        <v>3698429</v>
      </c>
      <c r="BK85" s="435">
        <f t="shared" ref="BK85:BN85" si="826">BK73+BK74</f>
        <v>3698429</v>
      </c>
      <c r="BL85" s="435">
        <f t="shared" ref="BL85" si="827">BL73+BL74</f>
        <v>3698429</v>
      </c>
      <c r="BM85" s="435">
        <f t="shared" si="826"/>
        <v>0</v>
      </c>
      <c r="BN85" s="435">
        <f t="shared" si="826"/>
        <v>0</v>
      </c>
      <c r="BO85" s="435">
        <f t="shared" ref="BO85" si="828">BO73+BO74</f>
        <v>4975845</v>
      </c>
      <c r="BP85" s="435">
        <f t="shared" ref="BP85" si="829">BP73+BP74</f>
        <v>4975845</v>
      </c>
      <c r="BQ85" s="436">
        <f t="shared" si="629"/>
        <v>3359982798</v>
      </c>
      <c r="BR85" s="618">
        <f t="shared" si="630"/>
        <v>3363681227</v>
      </c>
      <c r="BS85" s="618">
        <f t="shared" ca="1" si="631"/>
        <v>3367267321</v>
      </c>
      <c r="BT85" s="618">
        <f t="shared" ca="1" si="632"/>
        <v>3258728027</v>
      </c>
      <c r="BU85" s="646"/>
      <c r="BV85" s="646"/>
    </row>
    <row r="86" spans="1:74" x14ac:dyDescent="0.25">
      <c r="A86" s="202"/>
      <c r="B86" s="203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1"/>
      <c r="AF86" s="340"/>
      <c r="AG86" s="340"/>
      <c r="AH86" s="340"/>
      <c r="AI86" s="340"/>
      <c r="AJ86" s="340"/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40"/>
      <c r="BB86" s="340"/>
      <c r="BC86" s="340"/>
      <c r="BD86" s="340"/>
      <c r="BE86" s="340"/>
      <c r="BF86" s="340"/>
      <c r="BG86" s="340"/>
      <c r="BH86" s="340"/>
      <c r="BI86" s="340"/>
      <c r="BJ86" s="340"/>
      <c r="BK86" s="340"/>
      <c r="BL86" s="340"/>
      <c r="BM86" s="340"/>
      <c r="BN86" s="340"/>
      <c r="BO86" s="340"/>
      <c r="BP86" s="340"/>
      <c r="BQ86" s="340"/>
      <c r="BR86" s="340"/>
      <c r="BS86" s="340"/>
      <c r="BT86" s="340"/>
      <c r="BU86" s="646"/>
      <c r="BV86" s="646"/>
    </row>
    <row r="87" spans="1:74" ht="15.75" thickBot="1" x14ac:dyDescent="0.3">
      <c r="A87" s="204"/>
      <c r="B87" s="205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2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  <c r="AQ87" s="343"/>
      <c r="AR87" s="343"/>
      <c r="AS87" s="343"/>
      <c r="AT87" s="343"/>
      <c r="AU87" s="343"/>
      <c r="AV87" s="343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  <c r="BR87" s="343"/>
      <c r="BS87" s="343"/>
      <c r="BT87" s="343"/>
      <c r="BU87" s="646"/>
      <c r="BV87" s="646"/>
    </row>
    <row r="88" spans="1:74" ht="15.75" thickBot="1" x14ac:dyDescent="0.3">
      <c r="A88" s="188" t="s">
        <v>160</v>
      </c>
      <c r="B88" s="198" t="s">
        <v>34</v>
      </c>
      <c r="C88" s="335">
        <f t="shared" ref="C88:G88" si="830">C89+C101</f>
        <v>541356</v>
      </c>
      <c r="D88" s="335">
        <f t="shared" ref="D88:E88" si="831">D89+D101</f>
        <v>541356</v>
      </c>
      <c r="E88" s="335">
        <f t="shared" si="831"/>
        <v>540000</v>
      </c>
      <c r="F88" s="335">
        <f t="shared" ref="F88" si="832">F89+F101</f>
        <v>540000</v>
      </c>
      <c r="G88" s="335">
        <f t="shared" si="830"/>
        <v>22626000</v>
      </c>
      <c r="H88" s="335">
        <f t="shared" ref="H88" si="833">H89+H101</f>
        <v>22626000</v>
      </c>
      <c r="I88" s="335">
        <f t="shared" ref="I88" si="834">I89+I101</f>
        <v>24717000</v>
      </c>
      <c r="J88" s="335">
        <f t="shared" ref="J88" si="835">J89+J101</f>
        <v>24717000</v>
      </c>
      <c r="K88" s="335">
        <f t="shared" ref="K88:L88" si="836">K89+K101</f>
        <v>0</v>
      </c>
      <c r="L88" s="335">
        <f t="shared" si="836"/>
        <v>0</v>
      </c>
      <c r="M88" s="335">
        <f t="shared" ref="M88" si="837">M89+M101</f>
        <v>0</v>
      </c>
      <c r="N88" s="335">
        <f t="shared" ref="N88" si="838">N89+N101</f>
        <v>0</v>
      </c>
      <c r="O88" s="335">
        <f t="shared" ref="O88:P88" si="839">O89+O101</f>
        <v>0</v>
      </c>
      <c r="P88" s="335">
        <f t="shared" si="839"/>
        <v>0</v>
      </c>
      <c r="Q88" s="335">
        <f t="shared" ref="Q88" si="840">Q89+Q101</f>
        <v>0</v>
      </c>
      <c r="R88" s="335">
        <f t="shared" ref="R88" si="841">R89+R101</f>
        <v>0</v>
      </c>
      <c r="S88" s="335">
        <f t="shared" ref="S88:T88" si="842">S89+S101</f>
        <v>0</v>
      </c>
      <c r="T88" s="335">
        <f t="shared" si="842"/>
        <v>0</v>
      </c>
      <c r="U88" s="335">
        <f t="shared" ref="U88" si="843">U89+U101</f>
        <v>0</v>
      </c>
      <c r="V88" s="335">
        <f t="shared" ref="V88" si="844">V89+V101</f>
        <v>0</v>
      </c>
      <c r="W88" s="335">
        <f t="shared" ref="W88:X88" si="845">W89+W101</f>
        <v>0</v>
      </c>
      <c r="X88" s="335">
        <f t="shared" si="845"/>
        <v>0</v>
      </c>
      <c r="Y88" s="335">
        <f t="shared" ref="Y88" si="846">Y89+Y101</f>
        <v>0</v>
      </c>
      <c r="Z88" s="335">
        <f t="shared" ref="Z88" si="847">Z89+Z101</f>
        <v>0</v>
      </c>
      <c r="AA88" s="335">
        <f t="shared" ref="AA88" si="848">AA89+AA101</f>
        <v>0</v>
      </c>
      <c r="AB88" s="335"/>
      <c r="AC88" s="335"/>
      <c r="AD88" s="335"/>
      <c r="AE88" s="335">
        <f t="shared" ref="AE88" si="849">AE89+AE101</f>
        <v>0</v>
      </c>
      <c r="AF88" s="335">
        <f t="shared" ref="AF88" si="850">AF89+AF101</f>
        <v>0</v>
      </c>
      <c r="AG88" s="335">
        <f t="shared" ref="AG88:AH88" si="851">AG89+AG101</f>
        <v>0</v>
      </c>
      <c r="AH88" s="335">
        <f t="shared" si="851"/>
        <v>0</v>
      </c>
      <c r="AI88" s="335">
        <f t="shared" ref="AI88" si="852">AI89+AI101</f>
        <v>0</v>
      </c>
      <c r="AJ88" s="335">
        <f t="shared" ref="AJ88" si="853">AJ89+AJ101</f>
        <v>0</v>
      </c>
      <c r="AK88" s="335">
        <f t="shared" ref="AK88" si="854">AK89+AK101</f>
        <v>5035756</v>
      </c>
      <c r="AL88" s="335">
        <f t="shared" ref="AL88" si="855">AL89+AL101</f>
        <v>5035756</v>
      </c>
      <c r="AM88" s="335">
        <f t="shared" ref="AM88" si="856">AM89+AM101</f>
        <v>2819094</v>
      </c>
      <c r="AN88" s="335">
        <f t="shared" ref="AN88" si="857">AN89+AN101</f>
        <v>2819094</v>
      </c>
      <c r="AO88" s="335">
        <f t="shared" ref="AO88:AP88" si="858">AO89+AO101</f>
        <v>6552576</v>
      </c>
      <c r="AP88" s="335">
        <f t="shared" si="858"/>
        <v>6552576</v>
      </c>
      <c r="AQ88" s="335">
        <f t="shared" ref="AQ88" si="859">AQ89+AQ101</f>
        <v>9989726</v>
      </c>
      <c r="AR88" s="335">
        <f t="shared" ref="AR88" si="860">AR89+AR101</f>
        <v>9989726</v>
      </c>
      <c r="AS88" s="335">
        <f t="shared" ref="AS88:AT88" si="861">AS89+AS101</f>
        <v>17466000</v>
      </c>
      <c r="AT88" s="335">
        <f t="shared" si="861"/>
        <v>17466000</v>
      </c>
      <c r="AU88" s="335">
        <f t="shared" ref="AU88" si="862">AU89+AU101</f>
        <v>19922984</v>
      </c>
      <c r="AV88" s="335">
        <f t="shared" ref="AV88" si="863">AV89+AV101</f>
        <v>19922984</v>
      </c>
      <c r="AW88" s="335">
        <f t="shared" ref="AW88:AX88" si="864">AW89+AW101</f>
        <v>41357298</v>
      </c>
      <c r="AX88" s="335">
        <f t="shared" si="864"/>
        <v>41357298</v>
      </c>
      <c r="AY88" s="335">
        <f t="shared" ref="AY88" si="865">AY89+AY101</f>
        <v>40496966</v>
      </c>
      <c r="AZ88" s="335">
        <f t="shared" ref="AZ88" si="866">AZ89+AZ101</f>
        <v>40496966</v>
      </c>
      <c r="BA88" s="335">
        <f t="shared" ref="BA88:BE88" si="867">BA89+BA101</f>
        <v>0</v>
      </c>
      <c r="BB88" s="335">
        <f t="shared" ref="BB88" si="868">BB89+BB101</f>
        <v>0</v>
      </c>
      <c r="BC88" s="335">
        <f t="shared" ref="BC88" si="869">BC89+BC101</f>
        <v>0</v>
      </c>
      <c r="BD88" s="335">
        <f t="shared" ref="BD88" si="870">BD89+BD101</f>
        <v>0</v>
      </c>
      <c r="BE88" s="335">
        <f t="shared" si="867"/>
        <v>0</v>
      </c>
      <c r="BF88" s="335">
        <f t="shared" ref="BF88:BI88" si="871">BF89+BF101</f>
        <v>0</v>
      </c>
      <c r="BG88" s="335">
        <f t="shared" ref="BG88" si="872">BG89+BG101</f>
        <v>0</v>
      </c>
      <c r="BH88" s="335">
        <f t="shared" ref="BH88" si="873">BH89+BH101</f>
        <v>0</v>
      </c>
      <c r="BI88" s="335">
        <f t="shared" si="871"/>
        <v>0</v>
      </c>
      <c r="BJ88" s="335">
        <f t="shared" ref="BJ88" si="874">BJ89+BJ101</f>
        <v>0</v>
      </c>
      <c r="BK88" s="335">
        <f t="shared" ref="BK88:BN88" si="875">BK89+BK101</f>
        <v>0</v>
      </c>
      <c r="BL88" s="335">
        <f t="shared" ref="BL88" si="876">BL89+BL101</f>
        <v>0</v>
      </c>
      <c r="BM88" s="335">
        <f t="shared" si="875"/>
        <v>0</v>
      </c>
      <c r="BN88" s="335">
        <f t="shared" si="875"/>
        <v>0</v>
      </c>
      <c r="BO88" s="335">
        <f t="shared" ref="BO88" si="877">BO89+BO101</f>
        <v>0</v>
      </c>
      <c r="BP88" s="335">
        <f t="shared" ref="BP88" si="878">BP89+BP101</f>
        <v>0</v>
      </c>
      <c r="BQ88" s="372">
        <f t="shared" ref="BQ88:BQ119" si="879">SUMIF($C$8:$BE$8,"2019 terv",C88:BE88)</f>
        <v>93578986</v>
      </c>
      <c r="BR88" s="618">
        <f t="shared" ref="BR88:BR119" si="880">SUMIF($D$8:$BJ$8,"2019 módosított",D88:BJ88)</f>
        <v>93578986</v>
      </c>
      <c r="BS88" s="618">
        <f t="shared" ref="BS88:BS119" ca="1" si="881">SUMIF($D$8:$BO$8,"2019 módosított",E88:BO88)</f>
        <v>98485770</v>
      </c>
      <c r="BT88" s="618">
        <f t="shared" ref="BT88:BT119" ca="1" si="882">SUMIF($D$8:$BO$8,"2019 módosított",F88:BP88)</f>
        <v>98485770</v>
      </c>
      <c r="BU88" s="646"/>
      <c r="BV88" s="646"/>
    </row>
    <row r="89" spans="1:74" ht="15.75" thickBot="1" x14ac:dyDescent="0.3">
      <c r="A89" s="190" t="s">
        <v>161</v>
      </c>
      <c r="B89" s="180" t="s">
        <v>162</v>
      </c>
      <c r="C89" s="336">
        <f t="shared" ref="C89:G89" si="883">SUM(C90:C100)</f>
        <v>541356</v>
      </c>
      <c r="D89" s="336">
        <f t="shared" ref="D89:E89" si="884">SUM(D90:D100)</f>
        <v>541356</v>
      </c>
      <c r="E89" s="336">
        <f t="shared" si="884"/>
        <v>540000</v>
      </c>
      <c r="F89" s="336">
        <f t="shared" ref="F89" si="885">SUM(F90:F100)</f>
        <v>540000</v>
      </c>
      <c r="G89" s="336">
        <f t="shared" si="883"/>
        <v>18480000</v>
      </c>
      <c r="H89" s="336">
        <f t="shared" ref="H89" si="886">SUM(H90:H100)</f>
        <v>18480000</v>
      </c>
      <c r="I89" s="336">
        <f t="shared" ref="I89" si="887">SUM(I90:I100)</f>
        <v>20371000</v>
      </c>
      <c r="J89" s="336">
        <f t="shared" ref="J89" si="888">SUM(J90:J100)</f>
        <v>20371000</v>
      </c>
      <c r="K89" s="336">
        <f t="shared" ref="K89:L89" si="889">SUM(K90:K100)</f>
        <v>0</v>
      </c>
      <c r="L89" s="336">
        <f t="shared" si="889"/>
        <v>0</v>
      </c>
      <c r="M89" s="336">
        <f t="shared" ref="M89" si="890">SUM(M90:M100)</f>
        <v>0</v>
      </c>
      <c r="N89" s="336">
        <f t="shared" ref="N89" si="891">SUM(N90:N100)</f>
        <v>0</v>
      </c>
      <c r="O89" s="336">
        <f t="shared" ref="O89:P89" si="892">SUM(O90:O100)</f>
        <v>0</v>
      </c>
      <c r="P89" s="336">
        <f t="shared" si="892"/>
        <v>0</v>
      </c>
      <c r="Q89" s="336">
        <f t="shared" ref="Q89" si="893">SUM(Q90:Q100)</f>
        <v>0</v>
      </c>
      <c r="R89" s="336">
        <f t="shared" ref="R89" si="894">SUM(R90:R100)</f>
        <v>0</v>
      </c>
      <c r="S89" s="336">
        <f t="shared" ref="S89:T89" si="895">SUM(S90:S100)</f>
        <v>0</v>
      </c>
      <c r="T89" s="336">
        <f t="shared" si="895"/>
        <v>0</v>
      </c>
      <c r="U89" s="336">
        <f t="shared" ref="U89" si="896">SUM(U90:U100)</f>
        <v>0</v>
      </c>
      <c r="V89" s="336">
        <f t="shared" ref="V89" si="897">SUM(V90:V100)</f>
        <v>0</v>
      </c>
      <c r="W89" s="336">
        <f t="shared" ref="W89:X89" si="898">SUM(W90:W100)</f>
        <v>0</v>
      </c>
      <c r="X89" s="336">
        <f t="shared" si="898"/>
        <v>0</v>
      </c>
      <c r="Y89" s="336">
        <f t="shared" ref="Y89" si="899">SUM(Y90:Y100)</f>
        <v>0</v>
      </c>
      <c r="Z89" s="336">
        <f t="shared" ref="Z89" si="900">SUM(Z90:Z100)</f>
        <v>0</v>
      </c>
      <c r="AA89" s="336">
        <f t="shared" ref="AA89" si="901">SUM(AA90:AA100)</f>
        <v>0</v>
      </c>
      <c r="AB89" s="336"/>
      <c r="AC89" s="336"/>
      <c r="AD89" s="336"/>
      <c r="AE89" s="336">
        <f t="shared" ref="AE89" si="902">SUM(AE90:AE100)</f>
        <v>0</v>
      </c>
      <c r="AF89" s="336">
        <f t="shared" ref="AF89" si="903">SUM(AF90:AF100)</f>
        <v>0</v>
      </c>
      <c r="AG89" s="336">
        <f t="shared" ref="AG89:AH89" si="904">SUM(AG90:AG100)</f>
        <v>0</v>
      </c>
      <c r="AH89" s="336">
        <f t="shared" si="904"/>
        <v>0</v>
      </c>
      <c r="AI89" s="336">
        <f t="shared" ref="AI89" si="905">SUM(AI90:AI100)</f>
        <v>0</v>
      </c>
      <c r="AJ89" s="336">
        <f t="shared" ref="AJ89" si="906">SUM(AJ90:AJ100)</f>
        <v>0</v>
      </c>
      <c r="AK89" s="336">
        <f t="shared" ref="AK89" si="907">SUM(AK90:AK100)</f>
        <v>5035756</v>
      </c>
      <c r="AL89" s="336">
        <f t="shared" ref="AL89" si="908">SUM(AL90:AL100)</f>
        <v>5035756</v>
      </c>
      <c r="AM89" s="336">
        <f t="shared" ref="AM89" si="909">SUM(AM90:AM100)</f>
        <v>2819094</v>
      </c>
      <c r="AN89" s="336">
        <f t="shared" ref="AN89" si="910">SUM(AN90:AN100)</f>
        <v>2819094</v>
      </c>
      <c r="AO89" s="336">
        <f t="shared" ref="AO89:AP89" si="911">SUM(AO90:AO100)</f>
        <v>6552576</v>
      </c>
      <c r="AP89" s="336">
        <f t="shared" si="911"/>
        <v>6552576</v>
      </c>
      <c r="AQ89" s="336">
        <f t="shared" ref="AQ89" si="912">SUM(AQ90:AQ100)</f>
        <v>6428766</v>
      </c>
      <c r="AR89" s="336">
        <f t="shared" ref="AR89" si="913">SUM(AR90:AR100)</f>
        <v>6428766</v>
      </c>
      <c r="AS89" s="336">
        <f t="shared" ref="AS89:AT89" si="914">SUM(AS90:AS100)</f>
        <v>17466000</v>
      </c>
      <c r="AT89" s="336">
        <f t="shared" si="914"/>
        <v>16442450</v>
      </c>
      <c r="AU89" s="336">
        <f t="shared" ref="AU89" si="915">SUM(AU90:AU100)</f>
        <v>17452364</v>
      </c>
      <c r="AV89" s="336">
        <f t="shared" ref="AV89" si="916">SUM(AV90:AV100)</f>
        <v>17452364</v>
      </c>
      <c r="AW89" s="336">
        <f t="shared" ref="AW89:AX89" si="917">SUM(AW90:AW100)</f>
        <v>41357298</v>
      </c>
      <c r="AX89" s="336">
        <f t="shared" si="917"/>
        <v>41357298</v>
      </c>
      <c r="AY89" s="336">
        <f t="shared" ref="AY89" si="918">SUM(AY90:AY100)</f>
        <v>40496966</v>
      </c>
      <c r="AZ89" s="336">
        <f t="shared" ref="AZ89" si="919">SUM(AZ90:AZ100)</f>
        <v>40496966</v>
      </c>
      <c r="BA89" s="336">
        <f t="shared" ref="BA89:BE89" si="920">SUM(BA90:BA100)</f>
        <v>0</v>
      </c>
      <c r="BB89" s="336">
        <f t="shared" ref="BB89" si="921">SUM(BB90:BB100)</f>
        <v>0</v>
      </c>
      <c r="BC89" s="336">
        <f t="shared" ref="BC89" si="922">SUM(BC90:BC100)</f>
        <v>0</v>
      </c>
      <c r="BD89" s="336">
        <f t="shared" ref="BD89" si="923">SUM(BD90:BD100)</f>
        <v>0</v>
      </c>
      <c r="BE89" s="336">
        <f t="shared" si="920"/>
        <v>0</v>
      </c>
      <c r="BF89" s="336">
        <f t="shared" ref="BF89:BI89" si="924">SUM(BF90:BF100)</f>
        <v>0</v>
      </c>
      <c r="BG89" s="336">
        <f t="shared" ref="BG89" si="925">SUM(BG90:BG100)</f>
        <v>0</v>
      </c>
      <c r="BH89" s="336">
        <f t="shared" ref="BH89" si="926">SUM(BH90:BH100)</f>
        <v>0</v>
      </c>
      <c r="BI89" s="336">
        <f t="shared" si="924"/>
        <v>0</v>
      </c>
      <c r="BJ89" s="336">
        <f t="shared" ref="BJ89" si="927">SUM(BJ90:BJ100)</f>
        <v>0</v>
      </c>
      <c r="BK89" s="336">
        <f t="shared" ref="BK89:BN89" si="928">SUM(BK90:BK100)</f>
        <v>0</v>
      </c>
      <c r="BL89" s="336">
        <f t="shared" ref="BL89" si="929">SUM(BL90:BL100)</f>
        <v>0</v>
      </c>
      <c r="BM89" s="336">
        <f t="shared" si="928"/>
        <v>0</v>
      </c>
      <c r="BN89" s="336">
        <f t="shared" si="928"/>
        <v>0</v>
      </c>
      <c r="BO89" s="336">
        <f t="shared" ref="BO89" si="930">SUM(BO90:BO100)</f>
        <v>0</v>
      </c>
      <c r="BP89" s="336">
        <f t="shared" ref="BP89" si="931">SUM(BP90:BP100)</f>
        <v>0</v>
      </c>
      <c r="BQ89" s="372">
        <f t="shared" si="879"/>
        <v>89432986</v>
      </c>
      <c r="BR89" s="618">
        <f t="shared" si="880"/>
        <v>88409436</v>
      </c>
      <c r="BS89" s="618">
        <f t="shared" ca="1" si="881"/>
        <v>88108190</v>
      </c>
      <c r="BT89" s="618">
        <f t="shared" ca="1" si="882"/>
        <v>88108190</v>
      </c>
      <c r="BU89" s="646"/>
      <c r="BV89" s="646"/>
    </row>
    <row r="90" spans="1:74" ht="15.75" thickBot="1" x14ac:dyDescent="0.3">
      <c r="A90" s="190" t="s">
        <v>163</v>
      </c>
      <c r="B90" s="180" t="s">
        <v>164</v>
      </c>
      <c r="C90" s="336">
        <v>541356</v>
      </c>
      <c r="D90" s="336">
        <v>541356</v>
      </c>
      <c r="E90" s="336"/>
      <c r="F90" s="336"/>
      <c r="G90" s="336">
        <f>22626000-7866000</f>
        <v>14760000</v>
      </c>
      <c r="H90" s="336">
        <f>22626000-7866000</f>
        <v>14760000</v>
      </c>
      <c r="I90" s="336">
        <v>16530000</v>
      </c>
      <c r="J90" s="336">
        <v>16530000</v>
      </c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  <c r="Y90" s="336"/>
      <c r="Z90" s="336"/>
      <c r="AA90" s="336"/>
      <c r="AB90" s="336"/>
      <c r="AC90" s="336"/>
      <c r="AD90" s="336"/>
      <c r="AE90" s="336"/>
      <c r="AF90" s="336"/>
      <c r="AG90" s="336"/>
      <c r="AH90" s="336"/>
      <c r="AI90" s="336"/>
      <c r="AJ90" s="336"/>
      <c r="AK90" s="336">
        <v>5035756</v>
      </c>
      <c r="AL90" s="336">
        <v>5035756</v>
      </c>
      <c r="AM90" s="336">
        <v>2465760</v>
      </c>
      <c r="AN90" s="336">
        <v>2465760</v>
      </c>
      <c r="AO90" s="336">
        <v>6552576</v>
      </c>
      <c r="AP90" s="336">
        <v>6552576</v>
      </c>
      <c r="AQ90" s="336">
        <v>6428766</v>
      </c>
      <c r="AR90" s="336">
        <v>6428766</v>
      </c>
      <c r="AS90" s="336">
        <v>17466000</v>
      </c>
      <c r="AT90" s="336">
        <f>17466000-1023550</f>
        <v>16442450</v>
      </c>
      <c r="AU90" s="336">
        <v>17420546</v>
      </c>
      <c r="AV90" s="336">
        <v>17420546</v>
      </c>
      <c r="AW90" s="336">
        <v>41357298</v>
      </c>
      <c r="AX90" s="336">
        <f>41357298-130000</f>
        <v>41227298</v>
      </c>
      <c r="AY90" s="336">
        <v>40479903</v>
      </c>
      <c r="AZ90" s="336">
        <v>40479903</v>
      </c>
      <c r="BA90" s="336"/>
      <c r="BB90" s="336"/>
      <c r="BC90" s="336"/>
      <c r="BD90" s="336"/>
      <c r="BE90" s="336"/>
      <c r="BF90" s="336"/>
      <c r="BG90" s="336"/>
      <c r="BH90" s="336"/>
      <c r="BI90" s="336"/>
      <c r="BJ90" s="336"/>
      <c r="BK90" s="336"/>
      <c r="BL90" s="336"/>
      <c r="BM90" s="336"/>
      <c r="BN90" s="336"/>
      <c r="BO90" s="336"/>
      <c r="BP90" s="336"/>
      <c r="BQ90" s="372">
        <f t="shared" si="879"/>
        <v>85712986</v>
      </c>
      <c r="BR90" s="618">
        <f t="shared" si="880"/>
        <v>84559436</v>
      </c>
      <c r="BS90" s="618">
        <f t="shared" ca="1" si="881"/>
        <v>83324975</v>
      </c>
      <c r="BT90" s="618">
        <f t="shared" ca="1" si="882"/>
        <v>83324975</v>
      </c>
      <c r="BU90" s="646"/>
      <c r="BV90" s="646"/>
    </row>
    <row r="91" spans="1:74" ht="15" hidden="1" customHeight="1" thickBot="1" x14ac:dyDescent="0.3">
      <c r="A91" s="190" t="s">
        <v>533</v>
      </c>
      <c r="B91" s="180" t="s">
        <v>534</v>
      </c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  <c r="Y91" s="336"/>
      <c r="Z91" s="336"/>
      <c r="AA91" s="336"/>
      <c r="AB91" s="336"/>
      <c r="AC91" s="336"/>
      <c r="AD91" s="336"/>
      <c r="AE91" s="336"/>
      <c r="AF91" s="336"/>
      <c r="AG91" s="336"/>
      <c r="AH91" s="336"/>
      <c r="AI91" s="336"/>
      <c r="AJ91" s="336"/>
      <c r="AK91" s="336"/>
      <c r="AL91" s="336"/>
      <c r="AM91" s="336"/>
      <c r="AN91" s="336"/>
      <c r="AO91" s="336"/>
      <c r="AP91" s="336"/>
      <c r="AQ91" s="336"/>
      <c r="AR91" s="336"/>
      <c r="AS91" s="336"/>
      <c r="AT91" s="336"/>
      <c r="AU91" s="336"/>
      <c r="AV91" s="336"/>
      <c r="AW91" s="336"/>
      <c r="AX91" s="336"/>
      <c r="AY91" s="336"/>
      <c r="AZ91" s="336"/>
      <c r="BA91" s="336"/>
      <c r="BB91" s="336"/>
      <c r="BC91" s="336"/>
      <c r="BD91" s="336"/>
      <c r="BE91" s="336"/>
      <c r="BF91" s="336"/>
      <c r="BG91" s="336"/>
      <c r="BH91" s="336"/>
      <c r="BI91" s="336"/>
      <c r="BJ91" s="336"/>
      <c r="BK91" s="336"/>
      <c r="BL91" s="336"/>
      <c r="BM91" s="336"/>
      <c r="BN91" s="336"/>
      <c r="BO91" s="336"/>
      <c r="BP91" s="336"/>
      <c r="BQ91" s="372">
        <f t="shared" si="879"/>
        <v>0</v>
      </c>
      <c r="BR91" s="618">
        <f t="shared" si="880"/>
        <v>0</v>
      </c>
      <c r="BS91" s="618">
        <f t="shared" ca="1" si="881"/>
        <v>0</v>
      </c>
      <c r="BT91" s="618">
        <f t="shared" ca="1" si="882"/>
        <v>0</v>
      </c>
      <c r="BU91" s="646"/>
      <c r="BV91" s="646"/>
    </row>
    <row r="92" spans="1:74" ht="15" hidden="1" customHeight="1" thickBot="1" x14ac:dyDescent="0.3">
      <c r="A92" s="190" t="s">
        <v>165</v>
      </c>
      <c r="B92" s="180" t="s">
        <v>166</v>
      </c>
      <c r="C92" s="336"/>
      <c r="D92" s="336"/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6"/>
      <c r="AH92" s="336"/>
      <c r="AI92" s="336"/>
      <c r="AJ92" s="336"/>
      <c r="AK92" s="336"/>
      <c r="AL92" s="336"/>
      <c r="AM92" s="336"/>
      <c r="AN92" s="336"/>
      <c r="AO92" s="336"/>
      <c r="AP92" s="336"/>
      <c r="AQ92" s="336"/>
      <c r="AR92" s="336"/>
      <c r="AS92" s="336"/>
      <c r="AT92" s="336"/>
      <c r="AU92" s="336"/>
      <c r="AV92" s="336"/>
      <c r="AW92" s="336"/>
      <c r="AX92" s="336"/>
      <c r="AY92" s="336"/>
      <c r="AZ92" s="336"/>
      <c r="BA92" s="336"/>
      <c r="BB92" s="336"/>
      <c r="BC92" s="336"/>
      <c r="BD92" s="336"/>
      <c r="BE92" s="336"/>
      <c r="BF92" s="336"/>
      <c r="BG92" s="336"/>
      <c r="BH92" s="336"/>
      <c r="BI92" s="336"/>
      <c r="BJ92" s="336"/>
      <c r="BK92" s="336"/>
      <c r="BL92" s="336"/>
      <c r="BM92" s="336"/>
      <c r="BN92" s="336"/>
      <c r="BO92" s="336"/>
      <c r="BP92" s="336"/>
      <c r="BQ92" s="372">
        <f t="shared" si="879"/>
        <v>0</v>
      </c>
      <c r="BR92" s="618">
        <f t="shared" si="880"/>
        <v>0</v>
      </c>
      <c r="BS92" s="618">
        <f t="shared" ca="1" si="881"/>
        <v>0</v>
      </c>
      <c r="BT92" s="618">
        <f t="shared" ca="1" si="882"/>
        <v>0</v>
      </c>
      <c r="BU92" s="646"/>
      <c r="BV92" s="646"/>
    </row>
    <row r="93" spans="1:74" ht="15" hidden="1" customHeight="1" thickBot="1" x14ac:dyDescent="0.3">
      <c r="A93" s="190" t="s">
        <v>167</v>
      </c>
      <c r="B93" s="180" t="s">
        <v>168</v>
      </c>
      <c r="C93" s="336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  <c r="AA93" s="336"/>
      <c r="AB93" s="336"/>
      <c r="AC93" s="336"/>
      <c r="AD93" s="336"/>
      <c r="AE93" s="336"/>
      <c r="AF93" s="336"/>
      <c r="AG93" s="336"/>
      <c r="AH93" s="336"/>
      <c r="AI93" s="336"/>
      <c r="AJ93" s="336"/>
      <c r="AK93" s="336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6"/>
      <c r="AX93" s="336"/>
      <c r="AY93" s="336"/>
      <c r="AZ93" s="336"/>
      <c r="BA93" s="336"/>
      <c r="BB93" s="336"/>
      <c r="BC93" s="336"/>
      <c r="BD93" s="336"/>
      <c r="BE93" s="336"/>
      <c r="BF93" s="336"/>
      <c r="BG93" s="336"/>
      <c r="BH93" s="336"/>
      <c r="BI93" s="336"/>
      <c r="BJ93" s="336"/>
      <c r="BK93" s="336"/>
      <c r="BL93" s="336"/>
      <c r="BM93" s="336"/>
      <c r="BN93" s="336"/>
      <c r="BO93" s="336"/>
      <c r="BP93" s="336"/>
      <c r="BQ93" s="372">
        <f t="shared" si="879"/>
        <v>0</v>
      </c>
      <c r="BR93" s="618">
        <f t="shared" si="880"/>
        <v>0</v>
      </c>
      <c r="BS93" s="618">
        <f t="shared" ca="1" si="881"/>
        <v>0</v>
      </c>
      <c r="BT93" s="618">
        <f t="shared" ca="1" si="882"/>
        <v>0</v>
      </c>
      <c r="BU93" s="646"/>
      <c r="BV93" s="646"/>
    </row>
    <row r="94" spans="1:74" ht="15" hidden="1" customHeight="1" thickBot="1" x14ac:dyDescent="0.3">
      <c r="A94" s="190" t="s">
        <v>169</v>
      </c>
      <c r="B94" s="180" t="s">
        <v>170</v>
      </c>
      <c r="C94" s="336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  <c r="BE94" s="336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72">
        <f t="shared" si="879"/>
        <v>0</v>
      </c>
      <c r="BR94" s="618">
        <f t="shared" si="880"/>
        <v>0</v>
      </c>
      <c r="BS94" s="618">
        <f t="shared" ca="1" si="881"/>
        <v>0</v>
      </c>
      <c r="BT94" s="618">
        <f t="shared" ca="1" si="882"/>
        <v>0</v>
      </c>
      <c r="BU94" s="646"/>
      <c r="BV94" s="646"/>
    </row>
    <row r="95" spans="1:74" ht="15" hidden="1" customHeight="1" thickBot="1" x14ac:dyDescent="0.3">
      <c r="A95" s="190" t="s">
        <v>171</v>
      </c>
      <c r="B95" s="180" t="s">
        <v>172</v>
      </c>
      <c r="C95" s="336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  <c r="AA95" s="336"/>
      <c r="AB95" s="336"/>
      <c r="AC95" s="336"/>
      <c r="AD95" s="336"/>
      <c r="AE95" s="336"/>
      <c r="AF95" s="336"/>
      <c r="AG95" s="336"/>
      <c r="AH95" s="336"/>
      <c r="AI95" s="336"/>
      <c r="AJ95" s="336"/>
      <c r="AK95" s="336"/>
      <c r="AL95" s="336"/>
      <c r="AM95" s="336"/>
      <c r="AN95" s="336"/>
      <c r="AO95" s="336"/>
      <c r="AP95" s="336"/>
      <c r="AQ95" s="336"/>
      <c r="AR95" s="336"/>
      <c r="AS95" s="336"/>
      <c r="AT95" s="336"/>
      <c r="AU95" s="336"/>
      <c r="AV95" s="336"/>
      <c r="AW95" s="336"/>
      <c r="AX95" s="336"/>
      <c r="AY95" s="336"/>
      <c r="AZ95" s="336"/>
      <c r="BA95" s="336"/>
      <c r="BB95" s="336"/>
      <c r="BC95" s="336"/>
      <c r="BD95" s="336"/>
      <c r="BE95" s="336"/>
      <c r="BF95" s="336"/>
      <c r="BG95" s="336"/>
      <c r="BH95" s="336"/>
      <c r="BI95" s="336"/>
      <c r="BJ95" s="336"/>
      <c r="BK95" s="336"/>
      <c r="BL95" s="336"/>
      <c r="BM95" s="336"/>
      <c r="BN95" s="336"/>
      <c r="BO95" s="336"/>
      <c r="BP95" s="336"/>
      <c r="BQ95" s="372">
        <f t="shared" si="879"/>
        <v>0</v>
      </c>
      <c r="BR95" s="618">
        <f t="shared" si="880"/>
        <v>0</v>
      </c>
      <c r="BS95" s="618">
        <f t="shared" ca="1" si="881"/>
        <v>0</v>
      </c>
      <c r="BT95" s="618">
        <f t="shared" ca="1" si="882"/>
        <v>0</v>
      </c>
      <c r="BU95" s="646"/>
      <c r="BV95" s="646"/>
    </row>
    <row r="96" spans="1:74" ht="15" hidden="1" customHeight="1" thickBot="1" x14ac:dyDescent="0.3">
      <c r="A96" s="190" t="s">
        <v>173</v>
      </c>
      <c r="B96" s="180" t="s">
        <v>174</v>
      </c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  <c r="Z96" s="336"/>
      <c r="AA96" s="336"/>
      <c r="AB96" s="336"/>
      <c r="AC96" s="336"/>
      <c r="AD96" s="336"/>
      <c r="AE96" s="336"/>
      <c r="AF96" s="336"/>
      <c r="AG96" s="336"/>
      <c r="AH96" s="336"/>
      <c r="AI96" s="336"/>
      <c r="AJ96" s="336"/>
      <c r="AK96" s="336"/>
      <c r="AL96" s="336"/>
      <c r="AM96" s="336"/>
      <c r="AN96" s="336"/>
      <c r="AO96" s="336"/>
      <c r="AP96" s="336"/>
      <c r="AQ96" s="336"/>
      <c r="AR96" s="336"/>
      <c r="AS96" s="336"/>
      <c r="AT96" s="336"/>
      <c r="AU96" s="336"/>
      <c r="AV96" s="336"/>
      <c r="AW96" s="336"/>
      <c r="AX96" s="336"/>
      <c r="AY96" s="336"/>
      <c r="AZ96" s="336"/>
      <c r="BA96" s="336"/>
      <c r="BB96" s="336"/>
      <c r="BC96" s="336"/>
      <c r="BD96" s="336"/>
      <c r="BE96" s="336"/>
      <c r="BF96" s="336"/>
      <c r="BG96" s="336"/>
      <c r="BH96" s="336"/>
      <c r="BI96" s="336"/>
      <c r="BJ96" s="336"/>
      <c r="BK96" s="336"/>
      <c r="BL96" s="336"/>
      <c r="BM96" s="336"/>
      <c r="BN96" s="336"/>
      <c r="BO96" s="336"/>
      <c r="BP96" s="336"/>
      <c r="BQ96" s="372">
        <f t="shared" si="879"/>
        <v>0</v>
      </c>
      <c r="BR96" s="618">
        <f t="shared" si="880"/>
        <v>0</v>
      </c>
      <c r="BS96" s="618">
        <f t="shared" ca="1" si="881"/>
        <v>0</v>
      </c>
      <c r="BT96" s="618">
        <f t="shared" ca="1" si="882"/>
        <v>0</v>
      </c>
      <c r="BU96" s="646"/>
      <c r="BV96" s="646"/>
    </row>
    <row r="97" spans="1:74" ht="15" hidden="1" customHeight="1" thickBot="1" x14ac:dyDescent="0.3">
      <c r="A97" s="190" t="s">
        <v>175</v>
      </c>
      <c r="B97" s="180" t="s">
        <v>176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  <c r="Y97" s="336"/>
      <c r="Z97" s="336"/>
      <c r="AA97" s="336"/>
      <c r="AB97" s="336"/>
      <c r="AC97" s="336"/>
      <c r="AD97" s="336"/>
      <c r="AE97" s="336"/>
      <c r="AF97" s="336"/>
      <c r="AG97" s="336"/>
      <c r="AH97" s="336"/>
      <c r="AI97" s="336"/>
      <c r="AJ97" s="336"/>
      <c r="AK97" s="336"/>
      <c r="AL97" s="336"/>
      <c r="AM97" s="336"/>
      <c r="AN97" s="336"/>
      <c r="AO97" s="336"/>
      <c r="AP97" s="336"/>
      <c r="AQ97" s="336"/>
      <c r="AR97" s="336"/>
      <c r="AS97" s="336"/>
      <c r="AT97" s="336"/>
      <c r="AU97" s="336"/>
      <c r="AV97" s="336"/>
      <c r="AW97" s="336"/>
      <c r="AX97" s="336"/>
      <c r="AY97" s="336"/>
      <c r="AZ97" s="336"/>
      <c r="BA97" s="336"/>
      <c r="BB97" s="336"/>
      <c r="BC97" s="336"/>
      <c r="BD97" s="336"/>
      <c r="BE97" s="336"/>
      <c r="BF97" s="336"/>
      <c r="BG97" s="336"/>
      <c r="BH97" s="336"/>
      <c r="BI97" s="336"/>
      <c r="BJ97" s="336"/>
      <c r="BK97" s="336"/>
      <c r="BL97" s="336"/>
      <c r="BM97" s="336"/>
      <c r="BN97" s="336"/>
      <c r="BO97" s="336"/>
      <c r="BP97" s="336"/>
      <c r="BQ97" s="372">
        <f t="shared" si="879"/>
        <v>0</v>
      </c>
      <c r="BR97" s="618">
        <f t="shared" si="880"/>
        <v>0</v>
      </c>
      <c r="BS97" s="618">
        <f t="shared" ca="1" si="881"/>
        <v>0</v>
      </c>
      <c r="BT97" s="618">
        <f t="shared" ca="1" si="882"/>
        <v>0</v>
      </c>
      <c r="BU97" s="646"/>
      <c r="BV97" s="646"/>
    </row>
    <row r="98" spans="1:74" ht="15" hidden="1" customHeight="1" thickBot="1" x14ac:dyDescent="0.3">
      <c r="A98" s="190" t="s">
        <v>177</v>
      </c>
      <c r="B98" s="180" t="s">
        <v>178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36"/>
      <c r="Z98" s="336"/>
      <c r="AA98" s="336"/>
      <c r="AB98" s="336"/>
      <c r="AC98" s="336"/>
      <c r="AD98" s="336"/>
      <c r="AE98" s="336"/>
      <c r="AF98" s="336"/>
      <c r="AG98" s="336"/>
      <c r="AH98" s="336"/>
      <c r="AI98" s="336"/>
      <c r="AJ98" s="336"/>
      <c r="AK98" s="336"/>
      <c r="AL98" s="336"/>
      <c r="AM98" s="336"/>
      <c r="AN98" s="336"/>
      <c r="AO98" s="336"/>
      <c r="AP98" s="336"/>
      <c r="AQ98" s="336"/>
      <c r="AR98" s="336"/>
      <c r="AS98" s="336"/>
      <c r="AT98" s="336"/>
      <c r="AU98" s="336"/>
      <c r="AV98" s="336"/>
      <c r="AW98" s="336"/>
      <c r="AX98" s="336"/>
      <c r="AY98" s="336"/>
      <c r="AZ98" s="336"/>
      <c r="BA98" s="336"/>
      <c r="BB98" s="336"/>
      <c r="BC98" s="336"/>
      <c r="BD98" s="336"/>
      <c r="BE98" s="336"/>
      <c r="BF98" s="336"/>
      <c r="BG98" s="336"/>
      <c r="BH98" s="336"/>
      <c r="BI98" s="336"/>
      <c r="BJ98" s="336"/>
      <c r="BK98" s="336"/>
      <c r="BL98" s="336"/>
      <c r="BM98" s="336"/>
      <c r="BN98" s="336"/>
      <c r="BO98" s="336"/>
      <c r="BP98" s="336"/>
      <c r="BQ98" s="372">
        <f t="shared" si="879"/>
        <v>0</v>
      </c>
      <c r="BR98" s="618">
        <f t="shared" si="880"/>
        <v>0</v>
      </c>
      <c r="BS98" s="618">
        <f t="shared" ca="1" si="881"/>
        <v>0</v>
      </c>
      <c r="BT98" s="618">
        <f t="shared" ca="1" si="882"/>
        <v>0</v>
      </c>
      <c r="BU98" s="646"/>
      <c r="BV98" s="646"/>
    </row>
    <row r="99" spans="1:74" ht="15" hidden="1" customHeight="1" thickBot="1" x14ac:dyDescent="0.3">
      <c r="A99" s="190" t="s">
        <v>179</v>
      </c>
      <c r="B99" s="180" t="s">
        <v>180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  <c r="AA99" s="336"/>
      <c r="AB99" s="336"/>
      <c r="AC99" s="336"/>
      <c r="AD99" s="336"/>
      <c r="AE99" s="336"/>
      <c r="AF99" s="336"/>
      <c r="AG99" s="336"/>
      <c r="AH99" s="336"/>
      <c r="AI99" s="336"/>
      <c r="AJ99" s="336"/>
      <c r="AK99" s="336"/>
      <c r="AL99" s="336"/>
      <c r="AM99" s="336"/>
      <c r="AN99" s="336"/>
      <c r="AO99" s="336"/>
      <c r="AP99" s="336"/>
      <c r="AQ99" s="336"/>
      <c r="AR99" s="336"/>
      <c r="AS99" s="336"/>
      <c r="AT99" s="336"/>
      <c r="AU99" s="336"/>
      <c r="AV99" s="336"/>
      <c r="AW99" s="336"/>
      <c r="AX99" s="336"/>
      <c r="AY99" s="336"/>
      <c r="AZ99" s="336"/>
      <c r="BA99" s="336"/>
      <c r="BB99" s="336"/>
      <c r="BC99" s="336"/>
      <c r="BD99" s="336"/>
      <c r="BE99" s="336"/>
      <c r="BF99" s="336"/>
      <c r="BG99" s="336"/>
      <c r="BH99" s="336"/>
      <c r="BI99" s="336"/>
      <c r="BJ99" s="336"/>
      <c r="BK99" s="336"/>
      <c r="BL99" s="336"/>
      <c r="BM99" s="336"/>
      <c r="BN99" s="336"/>
      <c r="BO99" s="336"/>
      <c r="BP99" s="336"/>
      <c r="BQ99" s="372">
        <f t="shared" si="879"/>
        <v>0</v>
      </c>
      <c r="BR99" s="618">
        <f t="shared" si="880"/>
        <v>0</v>
      </c>
      <c r="BS99" s="618">
        <f t="shared" ca="1" si="881"/>
        <v>0</v>
      </c>
      <c r="BT99" s="618">
        <f t="shared" ca="1" si="882"/>
        <v>0</v>
      </c>
      <c r="BU99" s="646"/>
      <c r="BV99" s="646"/>
    </row>
    <row r="100" spans="1:74" ht="15.75" thickBot="1" x14ac:dyDescent="0.3">
      <c r="A100" s="190" t="s">
        <v>181</v>
      </c>
      <c r="B100" s="180" t="s">
        <v>182</v>
      </c>
      <c r="C100" s="336"/>
      <c r="D100" s="336"/>
      <c r="E100" s="336">
        <v>540000</v>
      </c>
      <c r="F100" s="336">
        <v>540000</v>
      </c>
      <c r="G100" s="336">
        <v>3720000</v>
      </c>
      <c r="H100" s="336">
        <v>3720000</v>
      </c>
      <c r="I100" s="336">
        <v>3841000</v>
      </c>
      <c r="J100" s="336">
        <v>3841000</v>
      </c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6"/>
      <c r="Z100" s="336"/>
      <c r="AA100" s="336"/>
      <c r="AB100" s="336"/>
      <c r="AC100" s="336"/>
      <c r="AD100" s="336"/>
      <c r="AE100" s="336"/>
      <c r="AF100" s="336"/>
      <c r="AG100" s="336"/>
      <c r="AH100" s="336"/>
      <c r="AI100" s="336"/>
      <c r="AJ100" s="336"/>
      <c r="AK100" s="336"/>
      <c r="AL100" s="336"/>
      <c r="AM100" s="336">
        <v>353334</v>
      </c>
      <c r="AN100" s="336">
        <v>353334</v>
      </c>
      <c r="AO100" s="336"/>
      <c r="AP100" s="336"/>
      <c r="AQ100" s="336"/>
      <c r="AR100" s="336"/>
      <c r="AS100" s="336"/>
      <c r="AT100" s="336"/>
      <c r="AU100" s="336">
        <v>31818</v>
      </c>
      <c r="AV100" s="336">
        <v>31818</v>
      </c>
      <c r="AW100" s="336"/>
      <c r="AX100" s="336">
        <v>130000</v>
      </c>
      <c r="AY100" s="336">
        <v>17063</v>
      </c>
      <c r="AZ100" s="336">
        <v>17063</v>
      </c>
      <c r="BA100" s="336"/>
      <c r="BB100" s="336"/>
      <c r="BC100" s="336"/>
      <c r="BD100" s="336"/>
      <c r="BE100" s="336"/>
      <c r="BF100" s="336"/>
      <c r="BG100" s="336"/>
      <c r="BH100" s="336"/>
      <c r="BI100" s="336"/>
      <c r="BJ100" s="336"/>
      <c r="BK100" s="336"/>
      <c r="BL100" s="336"/>
      <c r="BM100" s="336"/>
      <c r="BN100" s="336"/>
      <c r="BO100" s="336"/>
      <c r="BP100" s="336"/>
      <c r="BQ100" s="372">
        <f t="shared" si="879"/>
        <v>3720000</v>
      </c>
      <c r="BR100" s="618">
        <f t="shared" si="880"/>
        <v>3850000</v>
      </c>
      <c r="BS100" s="618">
        <f t="shared" ca="1" si="881"/>
        <v>4783215</v>
      </c>
      <c r="BT100" s="618">
        <f t="shared" ca="1" si="882"/>
        <v>4783215</v>
      </c>
      <c r="BU100" s="646"/>
      <c r="BV100" s="646"/>
    </row>
    <row r="101" spans="1:74" ht="15.75" thickBot="1" x14ac:dyDescent="0.3">
      <c r="A101" s="190" t="s">
        <v>183</v>
      </c>
      <c r="B101" s="180" t="s">
        <v>184</v>
      </c>
      <c r="C101" s="336">
        <f t="shared" ref="C101:G101" si="932">SUM(C102:C104)</f>
        <v>0</v>
      </c>
      <c r="D101" s="336">
        <f t="shared" ref="D101:E101" si="933">SUM(D102:D104)</f>
        <v>0</v>
      </c>
      <c r="E101" s="336">
        <f t="shared" si="933"/>
        <v>0</v>
      </c>
      <c r="F101" s="336">
        <f t="shared" ref="F101" si="934">SUM(F102:F104)</f>
        <v>0</v>
      </c>
      <c r="G101" s="336">
        <f t="shared" si="932"/>
        <v>4146000</v>
      </c>
      <c r="H101" s="336">
        <f t="shared" ref="H101" si="935">SUM(H102:H104)</f>
        <v>4146000</v>
      </c>
      <c r="I101" s="336">
        <f t="shared" ref="I101" si="936">SUM(I102:I104)</f>
        <v>4346000</v>
      </c>
      <c r="J101" s="336">
        <f t="shared" ref="J101" si="937">SUM(J102:J104)</f>
        <v>4346000</v>
      </c>
      <c r="K101" s="336">
        <f t="shared" ref="K101:L101" si="938">SUM(K102:K104)</f>
        <v>0</v>
      </c>
      <c r="L101" s="336">
        <f t="shared" si="938"/>
        <v>0</v>
      </c>
      <c r="M101" s="336">
        <f t="shared" ref="M101" si="939">SUM(M102:M104)</f>
        <v>0</v>
      </c>
      <c r="N101" s="336">
        <f t="shared" ref="N101" si="940">SUM(N102:N104)</f>
        <v>0</v>
      </c>
      <c r="O101" s="336">
        <f t="shared" ref="O101:P101" si="941">SUM(O102:O104)</f>
        <v>0</v>
      </c>
      <c r="P101" s="336">
        <f t="shared" si="941"/>
        <v>0</v>
      </c>
      <c r="Q101" s="336">
        <f t="shared" ref="Q101" si="942">SUM(Q102:Q104)</f>
        <v>0</v>
      </c>
      <c r="R101" s="336">
        <f t="shared" ref="R101" si="943">SUM(R102:R104)</f>
        <v>0</v>
      </c>
      <c r="S101" s="336">
        <f t="shared" ref="S101:T101" si="944">SUM(S102:S104)</f>
        <v>0</v>
      </c>
      <c r="T101" s="336">
        <f t="shared" si="944"/>
        <v>0</v>
      </c>
      <c r="U101" s="336">
        <f t="shared" ref="U101" si="945">SUM(U102:U104)</f>
        <v>0</v>
      </c>
      <c r="V101" s="336">
        <f t="shared" ref="V101" si="946">SUM(V102:V104)</f>
        <v>0</v>
      </c>
      <c r="W101" s="336">
        <f t="shared" ref="W101:X101" si="947">SUM(W102:W104)</f>
        <v>0</v>
      </c>
      <c r="X101" s="336">
        <f t="shared" si="947"/>
        <v>0</v>
      </c>
      <c r="Y101" s="336">
        <f t="shared" ref="Y101" si="948">SUM(Y102:Y104)</f>
        <v>0</v>
      </c>
      <c r="Z101" s="336">
        <f t="shared" ref="Z101" si="949">SUM(Z102:Z104)</f>
        <v>0</v>
      </c>
      <c r="AA101" s="336">
        <f t="shared" ref="AA101" si="950">SUM(AA102:AA104)</f>
        <v>0</v>
      </c>
      <c r="AB101" s="336"/>
      <c r="AC101" s="336"/>
      <c r="AD101" s="336"/>
      <c r="AE101" s="336">
        <f t="shared" ref="AE101" si="951">SUM(AE102:AE104)</f>
        <v>0</v>
      </c>
      <c r="AF101" s="336">
        <f t="shared" ref="AF101" si="952">SUM(AF102:AF104)</f>
        <v>0</v>
      </c>
      <c r="AG101" s="336">
        <f t="shared" ref="AG101:AH101" si="953">SUM(AG102:AG104)</f>
        <v>0</v>
      </c>
      <c r="AH101" s="336">
        <f t="shared" si="953"/>
        <v>0</v>
      </c>
      <c r="AI101" s="336">
        <f t="shared" ref="AI101" si="954">SUM(AI102:AI104)</f>
        <v>0</v>
      </c>
      <c r="AJ101" s="336">
        <f t="shared" ref="AJ101" si="955">SUM(AJ102:AJ104)</f>
        <v>0</v>
      </c>
      <c r="AK101" s="336">
        <f t="shared" ref="AK101" si="956">SUM(AK102:AK104)</f>
        <v>0</v>
      </c>
      <c r="AL101" s="336">
        <f t="shared" ref="AL101" si="957">SUM(AL102:AL104)</f>
        <v>0</v>
      </c>
      <c r="AM101" s="336">
        <f t="shared" ref="AM101" si="958">SUM(AM102:AM104)</f>
        <v>0</v>
      </c>
      <c r="AN101" s="336">
        <f t="shared" ref="AN101" si="959">SUM(AN102:AN104)</f>
        <v>0</v>
      </c>
      <c r="AO101" s="336">
        <f t="shared" ref="AO101:AP101" si="960">SUM(AO102:AO104)</f>
        <v>0</v>
      </c>
      <c r="AP101" s="336">
        <f t="shared" si="960"/>
        <v>0</v>
      </c>
      <c r="AQ101" s="336">
        <f t="shared" ref="AQ101" si="961">SUM(AQ102:AQ104)</f>
        <v>3560960</v>
      </c>
      <c r="AR101" s="336">
        <f t="shared" ref="AR101" si="962">SUM(AR102:AR104)</f>
        <v>3560960</v>
      </c>
      <c r="AS101" s="336">
        <f t="shared" ref="AS101:AT101" si="963">SUM(AS102:AS104)</f>
        <v>0</v>
      </c>
      <c r="AT101" s="336">
        <f t="shared" si="963"/>
        <v>1023550</v>
      </c>
      <c r="AU101" s="336">
        <f t="shared" ref="AU101" si="964">SUM(AU102:AU104)</f>
        <v>2470620</v>
      </c>
      <c r="AV101" s="336">
        <f t="shared" ref="AV101" si="965">SUM(AV102:AV104)</f>
        <v>2470620</v>
      </c>
      <c r="AW101" s="336">
        <f t="shared" ref="AW101:AX101" si="966">SUM(AW102:AW104)</f>
        <v>0</v>
      </c>
      <c r="AX101" s="336">
        <f t="shared" si="966"/>
        <v>0</v>
      </c>
      <c r="AY101" s="336">
        <f t="shared" ref="AY101" si="967">SUM(AY102:AY104)</f>
        <v>0</v>
      </c>
      <c r="AZ101" s="336">
        <f t="shared" ref="AZ101" si="968">SUM(AZ102:AZ104)</f>
        <v>0</v>
      </c>
      <c r="BA101" s="336">
        <f t="shared" ref="BA101:BE101" si="969">SUM(BA102:BA104)</f>
        <v>0</v>
      </c>
      <c r="BB101" s="336">
        <f t="shared" ref="BB101" si="970">SUM(BB102:BB104)</f>
        <v>0</v>
      </c>
      <c r="BC101" s="336">
        <f t="shared" ref="BC101" si="971">SUM(BC102:BC104)</f>
        <v>0</v>
      </c>
      <c r="BD101" s="336">
        <f t="shared" ref="BD101" si="972">SUM(BD102:BD104)</f>
        <v>0</v>
      </c>
      <c r="BE101" s="336">
        <f t="shared" si="969"/>
        <v>0</v>
      </c>
      <c r="BF101" s="336">
        <f t="shared" ref="BF101:BI101" si="973">SUM(BF102:BF104)</f>
        <v>0</v>
      </c>
      <c r="BG101" s="336">
        <f t="shared" ref="BG101" si="974">SUM(BG102:BG104)</f>
        <v>0</v>
      </c>
      <c r="BH101" s="336">
        <f t="shared" ref="BH101" si="975">SUM(BH102:BH104)</f>
        <v>0</v>
      </c>
      <c r="BI101" s="336">
        <f t="shared" si="973"/>
        <v>0</v>
      </c>
      <c r="BJ101" s="336">
        <f t="shared" ref="BJ101" si="976">SUM(BJ102:BJ104)</f>
        <v>0</v>
      </c>
      <c r="BK101" s="336">
        <f t="shared" ref="BK101:BN101" si="977">SUM(BK102:BK104)</f>
        <v>0</v>
      </c>
      <c r="BL101" s="336">
        <f t="shared" ref="BL101" si="978">SUM(BL102:BL104)</f>
        <v>0</v>
      </c>
      <c r="BM101" s="336">
        <f t="shared" si="977"/>
        <v>0</v>
      </c>
      <c r="BN101" s="336">
        <f t="shared" si="977"/>
        <v>0</v>
      </c>
      <c r="BO101" s="336">
        <f t="shared" ref="BO101" si="979">SUM(BO102:BO104)</f>
        <v>0</v>
      </c>
      <c r="BP101" s="336">
        <f t="shared" ref="BP101" si="980">SUM(BP102:BP104)</f>
        <v>0</v>
      </c>
      <c r="BQ101" s="372">
        <f t="shared" si="879"/>
        <v>4146000</v>
      </c>
      <c r="BR101" s="618">
        <f t="shared" si="880"/>
        <v>5169550</v>
      </c>
      <c r="BS101" s="618">
        <f t="shared" ca="1" si="881"/>
        <v>10377580</v>
      </c>
      <c r="BT101" s="618">
        <f t="shared" ca="1" si="882"/>
        <v>10377580</v>
      </c>
      <c r="BU101" s="646"/>
      <c r="BV101" s="646"/>
    </row>
    <row r="102" spans="1:74" ht="15.75" thickBot="1" x14ac:dyDescent="0.3">
      <c r="A102" s="190" t="s">
        <v>185</v>
      </c>
      <c r="B102" s="180" t="s">
        <v>186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336"/>
      <c r="AD102" s="336"/>
      <c r="AE102" s="336"/>
      <c r="AF102" s="336"/>
      <c r="AG102" s="336"/>
      <c r="AH102" s="336"/>
      <c r="AI102" s="336"/>
      <c r="AJ102" s="336"/>
      <c r="AK102" s="336"/>
      <c r="AL102" s="336"/>
      <c r="AM102" s="336"/>
      <c r="AN102" s="336"/>
      <c r="AO102" s="336"/>
      <c r="AP102" s="336"/>
      <c r="AQ102" s="336"/>
      <c r="AR102" s="336"/>
      <c r="AS102" s="336"/>
      <c r="AT102" s="336"/>
      <c r="AU102" s="336"/>
      <c r="AV102" s="336"/>
      <c r="AW102" s="336"/>
      <c r="AX102" s="336"/>
      <c r="AY102" s="336"/>
      <c r="AZ102" s="336"/>
      <c r="BA102" s="336"/>
      <c r="BB102" s="336"/>
      <c r="BC102" s="336"/>
      <c r="BD102" s="336"/>
      <c r="BE102" s="336"/>
      <c r="BF102" s="336"/>
      <c r="BG102" s="336"/>
      <c r="BH102" s="336"/>
      <c r="BI102" s="336"/>
      <c r="BJ102" s="336"/>
      <c r="BK102" s="336"/>
      <c r="BL102" s="336"/>
      <c r="BM102" s="336"/>
      <c r="BN102" s="336"/>
      <c r="BO102" s="336"/>
      <c r="BP102" s="336"/>
      <c r="BQ102" s="372">
        <f t="shared" si="879"/>
        <v>0</v>
      </c>
      <c r="BR102" s="618">
        <f t="shared" si="880"/>
        <v>0</v>
      </c>
      <c r="BS102" s="618">
        <f t="shared" ca="1" si="881"/>
        <v>0</v>
      </c>
      <c r="BT102" s="618">
        <f t="shared" ca="1" si="882"/>
        <v>0</v>
      </c>
      <c r="BU102" s="646"/>
      <c r="BV102" s="646"/>
    </row>
    <row r="103" spans="1:74" ht="15.75" thickBot="1" x14ac:dyDescent="0.3">
      <c r="A103" s="190" t="s">
        <v>187</v>
      </c>
      <c r="B103" s="180" t="s">
        <v>188</v>
      </c>
      <c r="C103" s="336"/>
      <c r="D103" s="336"/>
      <c r="E103" s="336"/>
      <c r="F103" s="336"/>
      <c r="G103" s="336">
        <v>4146000</v>
      </c>
      <c r="H103" s="336">
        <v>4146000</v>
      </c>
      <c r="I103" s="336">
        <v>4346000</v>
      </c>
      <c r="J103" s="336">
        <v>4346000</v>
      </c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  <c r="Y103" s="336"/>
      <c r="Z103" s="336"/>
      <c r="AA103" s="336"/>
      <c r="AB103" s="336"/>
      <c r="AC103" s="336"/>
      <c r="AD103" s="336"/>
      <c r="AE103" s="336"/>
      <c r="AF103" s="336"/>
      <c r="AG103" s="336"/>
      <c r="AH103" s="336"/>
      <c r="AI103" s="336"/>
      <c r="AJ103" s="336"/>
      <c r="AK103" s="336"/>
      <c r="AL103" s="336"/>
      <c r="AM103" s="336"/>
      <c r="AN103" s="336"/>
      <c r="AO103" s="336"/>
      <c r="AP103" s="336"/>
      <c r="AQ103" s="336">
        <v>3560960</v>
      </c>
      <c r="AR103" s="336">
        <v>3560960</v>
      </c>
      <c r="AS103" s="336"/>
      <c r="AT103" s="336"/>
      <c r="AU103" s="336"/>
      <c r="AV103" s="336"/>
      <c r="AW103" s="336"/>
      <c r="AX103" s="336"/>
      <c r="AY103" s="336"/>
      <c r="AZ103" s="336"/>
      <c r="BA103" s="336"/>
      <c r="BB103" s="336"/>
      <c r="BC103" s="336"/>
      <c r="BD103" s="336"/>
      <c r="BE103" s="336"/>
      <c r="BF103" s="336"/>
      <c r="BG103" s="336"/>
      <c r="BH103" s="336"/>
      <c r="BI103" s="336"/>
      <c r="BJ103" s="336"/>
      <c r="BK103" s="336"/>
      <c r="BL103" s="336"/>
      <c r="BM103" s="336"/>
      <c r="BN103" s="336"/>
      <c r="BO103" s="336"/>
      <c r="BP103" s="336"/>
      <c r="BQ103" s="372">
        <f t="shared" si="879"/>
        <v>4146000</v>
      </c>
      <c r="BR103" s="618">
        <f t="shared" si="880"/>
        <v>4146000</v>
      </c>
      <c r="BS103" s="618">
        <f t="shared" ca="1" si="881"/>
        <v>7906960</v>
      </c>
      <c r="BT103" s="618">
        <f t="shared" ca="1" si="882"/>
        <v>7906960</v>
      </c>
      <c r="BU103" s="646"/>
      <c r="BV103" s="646"/>
    </row>
    <row r="104" spans="1:74" ht="15.75" thickBot="1" x14ac:dyDescent="0.3">
      <c r="A104" s="191" t="s">
        <v>189</v>
      </c>
      <c r="B104" s="50" t="s">
        <v>190</v>
      </c>
      <c r="C104" s="337"/>
      <c r="D104" s="337"/>
      <c r="E104" s="337"/>
      <c r="F104" s="337"/>
      <c r="G104" s="337"/>
      <c r="H104" s="337"/>
      <c r="I104" s="337"/>
      <c r="J104" s="337"/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7"/>
      <c r="V104" s="337"/>
      <c r="W104" s="337"/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337"/>
      <c r="AM104" s="337"/>
      <c r="AN104" s="337"/>
      <c r="AO104" s="337"/>
      <c r="AP104" s="337"/>
      <c r="AQ104" s="337"/>
      <c r="AR104" s="337"/>
      <c r="AS104" s="337"/>
      <c r="AT104" s="337">
        <v>1023550</v>
      </c>
      <c r="AU104" s="337">
        <v>2470620</v>
      </c>
      <c r="AV104" s="337">
        <v>2470620</v>
      </c>
      <c r="AW104" s="337"/>
      <c r="AX104" s="337"/>
      <c r="AY104" s="337"/>
      <c r="AZ104" s="337"/>
      <c r="BA104" s="337"/>
      <c r="BB104" s="337"/>
      <c r="BC104" s="337"/>
      <c r="BD104" s="337"/>
      <c r="BE104" s="337"/>
      <c r="BF104" s="337"/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74">
        <f t="shared" si="879"/>
        <v>0</v>
      </c>
      <c r="BR104" s="618">
        <f t="shared" si="880"/>
        <v>1023550</v>
      </c>
      <c r="BS104" s="618">
        <f t="shared" ca="1" si="881"/>
        <v>2470620</v>
      </c>
      <c r="BT104" s="618">
        <f t="shared" ca="1" si="882"/>
        <v>2470620</v>
      </c>
      <c r="BU104" s="646"/>
      <c r="BV104" s="646"/>
    </row>
    <row r="105" spans="1:74" ht="15.75" thickBot="1" x14ac:dyDescent="0.3">
      <c r="A105" s="188" t="s">
        <v>191</v>
      </c>
      <c r="B105" s="198" t="s">
        <v>192</v>
      </c>
      <c r="C105" s="376">
        <f t="shared" ref="C105" si="981">SUM(C106:C110)</f>
        <v>105564</v>
      </c>
      <c r="D105" s="376">
        <f t="shared" ref="D105:E105" si="982">SUM(D106:D110)</f>
        <v>105564</v>
      </c>
      <c r="E105" s="376">
        <f t="shared" si="982"/>
        <v>85050</v>
      </c>
      <c r="F105" s="376">
        <f t="shared" ref="F105" si="983">SUM(F106:F110)</f>
        <v>85050</v>
      </c>
      <c r="G105" s="376">
        <f t="shared" ref="G105:H105" si="984">SUM(G106:G110)</f>
        <v>4258683</v>
      </c>
      <c r="H105" s="376">
        <f t="shared" si="984"/>
        <v>4258683</v>
      </c>
      <c r="I105" s="376">
        <f t="shared" ref="I105" si="985">SUM(I106:I110)</f>
        <v>4437180</v>
      </c>
      <c r="J105" s="376">
        <f t="shared" ref="J105" si="986">SUM(J106:J110)</f>
        <v>4437180</v>
      </c>
      <c r="K105" s="376">
        <f t="shared" ref="K105:L105" si="987">SUM(K106:K110)</f>
        <v>0</v>
      </c>
      <c r="L105" s="376">
        <f t="shared" si="987"/>
        <v>0</v>
      </c>
      <c r="M105" s="376">
        <f t="shared" ref="M105" si="988">SUM(M106:M110)</f>
        <v>0</v>
      </c>
      <c r="N105" s="376">
        <f t="shared" ref="N105" si="989">SUM(N106:N110)</f>
        <v>0</v>
      </c>
      <c r="O105" s="376">
        <f t="shared" ref="O105:P105" si="990">SUM(O106:O110)</f>
        <v>0</v>
      </c>
      <c r="P105" s="376">
        <f t="shared" si="990"/>
        <v>0</v>
      </c>
      <c r="Q105" s="376">
        <f t="shared" ref="Q105" si="991">SUM(Q106:Q110)</f>
        <v>0</v>
      </c>
      <c r="R105" s="376">
        <f t="shared" ref="R105" si="992">SUM(R106:R110)</f>
        <v>0</v>
      </c>
      <c r="S105" s="376">
        <f t="shared" ref="S105:T105" si="993">SUM(S106:S110)</f>
        <v>0</v>
      </c>
      <c r="T105" s="376">
        <f t="shared" si="993"/>
        <v>0</v>
      </c>
      <c r="U105" s="376">
        <f t="shared" ref="U105" si="994">SUM(U106:U110)</f>
        <v>0</v>
      </c>
      <c r="V105" s="376">
        <f t="shared" ref="V105" si="995">SUM(V106:V110)</f>
        <v>0</v>
      </c>
      <c r="W105" s="376">
        <f t="shared" ref="W105:X105" si="996">SUM(W106:W110)</f>
        <v>0</v>
      </c>
      <c r="X105" s="376">
        <f t="shared" si="996"/>
        <v>0</v>
      </c>
      <c r="Y105" s="376">
        <f t="shared" ref="Y105" si="997">SUM(Y106:Y110)</f>
        <v>0</v>
      </c>
      <c r="Z105" s="376">
        <f t="shared" ref="Z105" si="998">SUM(Z106:Z110)</f>
        <v>0</v>
      </c>
      <c r="AA105" s="376">
        <f t="shared" ref="AA105" si="999">SUM(AA106:AA110)</f>
        <v>0</v>
      </c>
      <c r="AB105" s="376"/>
      <c r="AC105" s="376"/>
      <c r="AD105" s="376"/>
      <c r="AE105" s="376">
        <f t="shared" ref="AE105" si="1000">SUM(AE106:AE110)</f>
        <v>0</v>
      </c>
      <c r="AF105" s="376">
        <f t="shared" ref="AF105" si="1001">SUM(AF106:AF110)</f>
        <v>0</v>
      </c>
      <c r="AG105" s="376">
        <f t="shared" ref="AG105:AH105" si="1002">SUM(AG106:AG110)</f>
        <v>0</v>
      </c>
      <c r="AH105" s="376">
        <f t="shared" si="1002"/>
        <v>0</v>
      </c>
      <c r="AI105" s="376">
        <f t="shared" ref="AI105" si="1003">SUM(AI106:AI110)</f>
        <v>0</v>
      </c>
      <c r="AJ105" s="376">
        <f t="shared" ref="AJ105" si="1004">SUM(AJ106:AJ110)</f>
        <v>0</v>
      </c>
      <c r="AK105" s="376">
        <f t="shared" ref="AK105" si="1005">SUM(AK106:AK110)</f>
        <v>981972</v>
      </c>
      <c r="AL105" s="376">
        <f t="shared" ref="AL105" si="1006">SUM(AL106:AL110)</f>
        <v>981972</v>
      </c>
      <c r="AM105" s="376">
        <f t="shared" ref="AM105" si="1007">SUM(AM106:AM110)</f>
        <v>515928</v>
      </c>
      <c r="AN105" s="376">
        <f t="shared" ref="AN105" si="1008">SUM(AN106:AN110)</f>
        <v>515928</v>
      </c>
      <c r="AO105" s="376">
        <f t="shared" ref="AO105:AP105" si="1009">SUM(AO106:AO110)</f>
        <v>1277752</v>
      </c>
      <c r="AP105" s="376">
        <f t="shared" si="1009"/>
        <v>1277752</v>
      </c>
      <c r="AQ105" s="376">
        <f t="shared" ref="AQ105" si="1010">SUM(AQ106:AQ110)</f>
        <v>1529077</v>
      </c>
      <c r="AR105" s="376">
        <f t="shared" ref="AR105" si="1011">SUM(AR106:AR110)</f>
        <v>1529077</v>
      </c>
      <c r="AS105" s="335">
        <f t="shared" ref="AS105:AT105" si="1012">SUM(AS106:AS110)</f>
        <v>3405870</v>
      </c>
      <c r="AT105" s="335">
        <f t="shared" si="1012"/>
        <v>3405870</v>
      </c>
      <c r="AU105" s="335">
        <f t="shared" ref="AU105" si="1013">SUM(AU106:AU110)</f>
        <v>3670477</v>
      </c>
      <c r="AV105" s="335">
        <f t="shared" ref="AV105" si="1014">SUM(AV106:AV110)</f>
        <v>3670477</v>
      </c>
      <c r="AW105" s="335">
        <f t="shared" ref="AW105:AX105" si="1015">SUM(AW106:AW110)</f>
        <v>8064673</v>
      </c>
      <c r="AX105" s="335">
        <f t="shared" si="1015"/>
        <v>8064673</v>
      </c>
      <c r="AY105" s="335">
        <f t="shared" ref="AY105" si="1016">SUM(AY106:AY110)</f>
        <v>8064673</v>
      </c>
      <c r="AZ105" s="335">
        <f t="shared" ref="AZ105" si="1017">SUM(AZ106:AZ110)</f>
        <v>7557293</v>
      </c>
      <c r="BA105" s="335">
        <f t="shared" ref="BA105:BE105" si="1018">SUM(BA106:BA110)</f>
        <v>0</v>
      </c>
      <c r="BB105" s="335">
        <f t="shared" ref="BB105" si="1019">SUM(BB106:BB110)</f>
        <v>0</v>
      </c>
      <c r="BC105" s="335">
        <f t="shared" ref="BC105" si="1020">SUM(BC106:BC110)</f>
        <v>0</v>
      </c>
      <c r="BD105" s="335">
        <f t="shared" ref="BD105" si="1021">SUM(BD106:BD110)</f>
        <v>0</v>
      </c>
      <c r="BE105" s="335">
        <f t="shared" si="1018"/>
        <v>0</v>
      </c>
      <c r="BF105" s="335">
        <f t="shared" ref="BF105:BI105" si="1022">SUM(BF106:BF110)</f>
        <v>0</v>
      </c>
      <c r="BG105" s="335">
        <f t="shared" ref="BG105" si="1023">SUM(BG106:BG110)</f>
        <v>0</v>
      </c>
      <c r="BH105" s="335">
        <f t="shared" ref="BH105" si="1024">SUM(BH106:BH110)</f>
        <v>0</v>
      </c>
      <c r="BI105" s="335">
        <f t="shared" si="1022"/>
        <v>0</v>
      </c>
      <c r="BJ105" s="335">
        <f t="shared" ref="BJ105" si="1025">SUM(BJ106:BJ110)</f>
        <v>0</v>
      </c>
      <c r="BK105" s="335">
        <f t="shared" ref="BK105:BN105" si="1026">SUM(BK106:BK110)</f>
        <v>0</v>
      </c>
      <c r="BL105" s="335">
        <f t="shared" ref="BL105" si="1027">SUM(BL106:BL110)</f>
        <v>0</v>
      </c>
      <c r="BM105" s="335">
        <f t="shared" si="1026"/>
        <v>0</v>
      </c>
      <c r="BN105" s="335">
        <f t="shared" si="1026"/>
        <v>0</v>
      </c>
      <c r="BO105" s="335">
        <f t="shared" ref="BO105" si="1028">SUM(BO106:BO110)</f>
        <v>0</v>
      </c>
      <c r="BP105" s="335">
        <f t="shared" ref="BP105" si="1029">SUM(BP106:BP110)</f>
        <v>0</v>
      </c>
      <c r="BQ105" s="372">
        <f t="shared" si="879"/>
        <v>18094514</v>
      </c>
      <c r="BR105" s="618">
        <f t="shared" si="880"/>
        <v>18094514</v>
      </c>
      <c r="BS105" s="618">
        <f t="shared" ca="1" si="881"/>
        <v>18302385</v>
      </c>
      <c r="BT105" s="618">
        <f t="shared" ca="1" si="882"/>
        <v>17795005</v>
      </c>
      <c r="BU105" s="646"/>
      <c r="BV105" s="646"/>
    </row>
    <row r="106" spans="1:74" ht="15.75" thickBot="1" x14ac:dyDescent="0.3">
      <c r="A106" s="190"/>
      <c r="B106" s="180" t="s">
        <v>193</v>
      </c>
      <c r="C106" s="337">
        <v>105564</v>
      </c>
      <c r="D106" s="337">
        <v>105564</v>
      </c>
      <c r="E106" s="337">
        <v>85050</v>
      </c>
      <c r="F106" s="337">
        <v>85050</v>
      </c>
      <c r="G106" s="337">
        <v>4258683</v>
      </c>
      <c r="H106" s="337">
        <v>4258683</v>
      </c>
      <c r="I106" s="337">
        <v>4437180</v>
      </c>
      <c r="J106" s="337">
        <v>4437180</v>
      </c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>
        <v>981972</v>
      </c>
      <c r="AL106" s="337">
        <v>981972</v>
      </c>
      <c r="AM106" s="337">
        <v>515928</v>
      </c>
      <c r="AN106" s="337">
        <v>515928</v>
      </c>
      <c r="AO106" s="337">
        <v>1277752</v>
      </c>
      <c r="AP106" s="337">
        <v>1277752</v>
      </c>
      <c r="AQ106" s="337">
        <v>1529077</v>
      </c>
      <c r="AR106" s="337">
        <v>1529077</v>
      </c>
      <c r="AS106" s="337">
        <v>3405870</v>
      </c>
      <c r="AT106" s="337">
        <v>3405870</v>
      </c>
      <c r="AU106" s="337">
        <v>3670477</v>
      </c>
      <c r="AV106" s="337">
        <v>3670477</v>
      </c>
      <c r="AW106" s="337">
        <v>8064673</v>
      </c>
      <c r="AX106" s="337">
        <v>8064673</v>
      </c>
      <c r="AY106" s="337">
        <v>8064673</v>
      </c>
      <c r="AZ106" s="337">
        <v>7557293</v>
      </c>
      <c r="BA106" s="337"/>
      <c r="BB106" s="337"/>
      <c r="BC106" s="337"/>
      <c r="BD106" s="337"/>
      <c r="BE106" s="337"/>
      <c r="BF106" s="337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74">
        <f t="shared" si="879"/>
        <v>18094514</v>
      </c>
      <c r="BR106" s="618">
        <f t="shared" si="880"/>
        <v>18094514</v>
      </c>
      <c r="BS106" s="618">
        <f t="shared" ca="1" si="881"/>
        <v>18302385</v>
      </c>
      <c r="BT106" s="618">
        <f t="shared" ca="1" si="882"/>
        <v>17795005</v>
      </c>
      <c r="BU106" s="646"/>
      <c r="BV106" s="646"/>
    </row>
    <row r="107" spans="1:74" ht="15.75" hidden="1" customHeight="1" thickBot="1" x14ac:dyDescent="0.3">
      <c r="A107" s="190"/>
      <c r="B107" s="180" t="s">
        <v>194</v>
      </c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  <c r="AU107" s="335"/>
      <c r="AV107" s="335"/>
      <c r="AW107" s="335"/>
      <c r="AX107" s="335"/>
      <c r="AY107" s="335"/>
      <c r="AZ107" s="335"/>
      <c r="BA107" s="335"/>
      <c r="BB107" s="335"/>
      <c r="BC107" s="335"/>
      <c r="BD107" s="335"/>
      <c r="BE107" s="335"/>
      <c r="BF107" s="335"/>
      <c r="BG107" s="335"/>
      <c r="BH107" s="335"/>
      <c r="BI107" s="335"/>
      <c r="BJ107" s="335"/>
      <c r="BK107" s="335"/>
      <c r="BL107" s="335"/>
      <c r="BM107" s="335"/>
      <c r="BN107" s="335"/>
      <c r="BO107" s="335"/>
      <c r="BP107" s="335"/>
      <c r="BQ107" s="372">
        <f t="shared" si="879"/>
        <v>0</v>
      </c>
      <c r="BR107" s="618">
        <f t="shared" si="880"/>
        <v>0</v>
      </c>
      <c r="BS107" s="618">
        <f t="shared" ca="1" si="881"/>
        <v>0</v>
      </c>
      <c r="BT107" s="618">
        <f t="shared" ca="1" si="882"/>
        <v>0</v>
      </c>
      <c r="BU107" s="646"/>
      <c r="BV107" s="646"/>
    </row>
    <row r="108" spans="1:74" ht="15.75" hidden="1" customHeight="1" thickBot="1" x14ac:dyDescent="0.3">
      <c r="A108" s="191"/>
      <c r="B108" s="192" t="s">
        <v>195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  <c r="Y108" s="336"/>
      <c r="Z108" s="336"/>
      <c r="AA108" s="336"/>
      <c r="AB108" s="336"/>
      <c r="AC108" s="336"/>
      <c r="AD108" s="336"/>
      <c r="AE108" s="336"/>
      <c r="AF108" s="336"/>
      <c r="AG108" s="336"/>
      <c r="AH108" s="336"/>
      <c r="AI108" s="336"/>
      <c r="AJ108" s="336"/>
      <c r="AK108" s="336"/>
      <c r="AL108" s="336"/>
      <c r="AM108" s="336"/>
      <c r="AN108" s="336"/>
      <c r="AO108" s="336"/>
      <c r="AP108" s="336"/>
      <c r="AQ108" s="336"/>
      <c r="AR108" s="336"/>
      <c r="AS108" s="336"/>
      <c r="AT108" s="336"/>
      <c r="AU108" s="336"/>
      <c r="AV108" s="336"/>
      <c r="AW108" s="336"/>
      <c r="AX108" s="336"/>
      <c r="AY108" s="336"/>
      <c r="AZ108" s="336"/>
      <c r="BA108" s="336"/>
      <c r="BB108" s="336"/>
      <c r="BC108" s="336"/>
      <c r="BD108" s="336"/>
      <c r="BE108" s="336"/>
      <c r="BF108" s="336"/>
      <c r="BG108" s="336"/>
      <c r="BH108" s="336"/>
      <c r="BI108" s="336"/>
      <c r="BJ108" s="336"/>
      <c r="BK108" s="336"/>
      <c r="BL108" s="336"/>
      <c r="BM108" s="336"/>
      <c r="BN108" s="336"/>
      <c r="BO108" s="336"/>
      <c r="BP108" s="336"/>
      <c r="BQ108" s="372">
        <f t="shared" si="879"/>
        <v>0</v>
      </c>
      <c r="BR108" s="618">
        <f t="shared" si="880"/>
        <v>0</v>
      </c>
      <c r="BS108" s="618">
        <f t="shared" ca="1" si="881"/>
        <v>0</v>
      </c>
      <c r="BT108" s="618">
        <f t="shared" ca="1" si="882"/>
        <v>0</v>
      </c>
      <c r="BU108" s="646"/>
      <c r="BV108" s="646"/>
    </row>
    <row r="109" spans="1:74" ht="15.75" hidden="1" customHeight="1" thickBot="1" x14ac:dyDescent="0.3">
      <c r="A109" s="191"/>
      <c r="B109" s="192" t="s">
        <v>196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6"/>
      <c r="Z109" s="336"/>
      <c r="AA109" s="336"/>
      <c r="AB109" s="336"/>
      <c r="AC109" s="336"/>
      <c r="AD109" s="336"/>
      <c r="AE109" s="336"/>
      <c r="AF109" s="336"/>
      <c r="AG109" s="336"/>
      <c r="AH109" s="336"/>
      <c r="AI109" s="336"/>
      <c r="AJ109" s="336"/>
      <c r="AK109" s="336"/>
      <c r="AL109" s="336"/>
      <c r="AM109" s="336"/>
      <c r="AN109" s="336"/>
      <c r="AO109" s="336"/>
      <c r="AP109" s="336"/>
      <c r="AQ109" s="336"/>
      <c r="AR109" s="336"/>
      <c r="AS109" s="336"/>
      <c r="AT109" s="336"/>
      <c r="AU109" s="336"/>
      <c r="AV109" s="336"/>
      <c r="AW109" s="336"/>
      <c r="AX109" s="336"/>
      <c r="AY109" s="336"/>
      <c r="AZ109" s="336"/>
      <c r="BA109" s="336"/>
      <c r="BB109" s="336"/>
      <c r="BC109" s="336"/>
      <c r="BD109" s="336"/>
      <c r="BE109" s="336"/>
      <c r="BF109" s="336"/>
      <c r="BG109" s="336"/>
      <c r="BH109" s="336"/>
      <c r="BI109" s="336"/>
      <c r="BJ109" s="336"/>
      <c r="BK109" s="336"/>
      <c r="BL109" s="336"/>
      <c r="BM109" s="336"/>
      <c r="BN109" s="336"/>
      <c r="BO109" s="336"/>
      <c r="BP109" s="336"/>
      <c r="BQ109" s="372">
        <f t="shared" si="879"/>
        <v>0</v>
      </c>
      <c r="BR109" s="618">
        <f t="shared" si="880"/>
        <v>0</v>
      </c>
      <c r="BS109" s="618">
        <f t="shared" ca="1" si="881"/>
        <v>0</v>
      </c>
      <c r="BT109" s="618">
        <f t="shared" ca="1" si="882"/>
        <v>0</v>
      </c>
      <c r="BU109" s="646"/>
      <c r="BV109" s="646"/>
    </row>
    <row r="110" spans="1:74" ht="15.75" hidden="1" customHeight="1" thickBot="1" x14ac:dyDescent="0.3">
      <c r="A110" s="191"/>
      <c r="B110" s="192" t="s">
        <v>197</v>
      </c>
      <c r="C110" s="337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337"/>
      <c r="AM110" s="337"/>
      <c r="AN110" s="337"/>
      <c r="AO110" s="337"/>
      <c r="AP110" s="337"/>
      <c r="AQ110" s="337"/>
      <c r="AR110" s="337"/>
      <c r="AS110" s="337"/>
      <c r="AT110" s="337"/>
      <c r="AU110" s="337"/>
      <c r="AV110" s="337"/>
      <c r="AW110" s="337"/>
      <c r="AX110" s="337"/>
      <c r="AY110" s="337"/>
      <c r="AZ110" s="337"/>
      <c r="BA110" s="337"/>
      <c r="BB110" s="337"/>
      <c r="BC110" s="337"/>
      <c r="BD110" s="337"/>
      <c r="BE110" s="337"/>
      <c r="BF110" s="337"/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74">
        <f t="shared" si="879"/>
        <v>0</v>
      </c>
      <c r="BR110" s="618">
        <f t="shared" si="880"/>
        <v>0</v>
      </c>
      <c r="BS110" s="618">
        <f t="shared" ca="1" si="881"/>
        <v>0</v>
      </c>
      <c r="BT110" s="618">
        <f t="shared" ca="1" si="882"/>
        <v>0</v>
      </c>
      <c r="BU110" s="646"/>
      <c r="BV110" s="646"/>
    </row>
    <row r="111" spans="1:74" ht="15.75" thickBot="1" x14ac:dyDescent="0.3">
      <c r="A111" s="188" t="s">
        <v>198</v>
      </c>
      <c r="B111" s="189" t="s">
        <v>35</v>
      </c>
      <c r="C111" s="335">
        <f t="shared" ref="C111:G111" si="1030">SUM(C112:C113,C114,C123,C122)</f>
        <v>219794</v>
      </c>
      <c r="D111" s="335">
        <f t="shared" ref="D111:E111" si="1031">SUM(D112:D113,D114,D123,D122)</f>
        <v>219794</v>
      </c>
      <c r="E111" s="335">
        <f t="shared" si="1031"/>
        <v>241664</v>
      </c>
      <c r="F111" s="335">
        <f t="shared" ref="F111" si="1032">SUM(F112:F113,F114,F123,F122)</f>
        <v>47693</v>
      </c>
      <c r="G111" s="335">
        <f t="shared" si="1030"/>
        <v>103930053.63</v>
      </c>
      <c r="H111" s="335">
        <f>SUM(H112:H113,H114,H123,H122)</f>
        <v>103685054</v>
      </c>
      <c r="I111" s="335">
        <f>SUM(I112:I113,I114,I123,I122)</f>
        <v>100025806</v>
      </c>
      <c r="J111" s="335">
        <f>SUM(J112:J113,J114,J123,J122)</f>
        <v>75325180</v>
      </c>
      <c r="K111" s="335">
        <f t="shared" ref="K111:L111" si="1033">SUM(K112:K113,K114,K123,K122)</f>
        <v>88750370</v>
      </c>
      <c r="L111" s="335">
        <f t="shared" si="1033"/>
        <v>88750370</v>
      </c>
      <c r="M111" s="335">
        <f t="shared" ref="M111" si="1034">SUM(M112:M113,M114,M123,M122)</f>
        <v>89750370</v>
      </c>
      <c r="N111" s="335">
        <f t="shared" ref="N111" si="1035">SUM(N112:N113,N114,N123,N122)</f>
        <v>89548317</v>
      </c>
      <c r="O111" s="335">
        <f t="shared" ref="O111:P111" si="1036">SUM(O112:O113,O114,O123,O122)</f>
        <v>1000000</v>
      </c>
      <c r="P111" s="335">
        <f t="shared" si="1036"/>
        <v>1000000</v>
      </c>
      <c r="Q111" s="335">
        <f t="shared" ref="Q111" si="1037">SUM(Q112:Q113,Q114,Q123,Q122)</f>
        <v>1000000</v>
      </c>
      <c r="R111" s="335">
        <f t="shared" ref="R111" si="1038">SUM(R112:R113,R114,R123,R122)</f>
        <v>7270</v>
      </c>
      <c r="S111" s="335">
        <f t="shared" ref="S111:T111" si="1039">SUM(S112:S113,S114,S123,S122)</f>
        <v>80171743</v>
      </c>
      <c r="T111" s="335">
        <f t="shared" si="1039"/>
        <v>80171743</v>
      </c>
      <c r="U111" s="335">
        <f t="shared" ref="U111" si="1040">SUM(U112:U113,U114,U123,U122)</f>
        <v>80171743</v>
      </c>
      <c r="V111" s="335">
        <f t="shared" ref="V111" si="1041">SUM(V112:V113,V114,V123,V122)</f>
        <v>0</v>
      </c>
      <c r="W111" s="335">
        <f t="shared" ref="W111:X111" si="1042">SUM(W112:W113,W114,W123,W122)</f>
        <v>15673300</v>
      </c>
      <c r="X111" s="335">
        <f t="shared" si="1042"/>
        <v>76197301</v>
      </c>
      <c r="Y111" s="335">
        <f t="shared" ref="Y111" si="1043">SUM(Y112:Y113,Y114,Y123,Y122)</f>
        <v>76197301</v>
      </c>
      <c r="Z111" s="335">
        <f t="shared" ref="Z111" si="1044">SUM(Z112:Z113,Z114,Z123,Z122)</f>
        <v>39078376</v>
      </c>
      <c r="AA111" s="335">
        <f t="shared" ref="AA111:AB111" si="1045">SUM(AA112:AA113,AA114,AA123,AA122)</f>
        <v>198412772</v>
      </c>
      <c r="AB111" s="335">
        <f t="shared" si="1045"/>
        <v>88348194</v>
      </c>
      <c r="AC111" s="335">
        <f t="shared" ref="AC111" si="1046">SUM(AC112:AC113,AC114,AC123,AC122)</f>
        <v>88348194</v>
      </c>
      <c r="AD111" s="335">
        <f t="shared" ref="AD111" si="1047">SUM(AD112:AD113,AD114,AD123,AD122)</f>
        <v>77498044</v>
      </c>
      <c r="AE111" s="335">
        <f t="shared" ref="AE111" si="1048">SUM(AE112:AE113,AE114,AE123,AE122)</f>
        <v>0</v>
      </c>
      <c r="AF111" s="335">
        <f t="shared" ref="AF111" si="1049">SUM(AF112:AF113,AF114,AF123,AF122)</f>
        <v>0</v>
      </c>
      <c r="AG111" s="335">
        <f t="shared" ref="AG111:AH111" si="1050">SUM(AG112:AG113,AG114,AG123,AG122)</f>
        <v>3252700</v>
      </c>
      <c r="AH111" s="335">
        <f t="shared" si="1050"/>
        <v>3252700</v>
      </c>
      <c r="AI111" s="335">
        <f t="shared" ref="AI111" si="1051">SUM(AI112:AI113,AI114,AI123,AI122)</f>
        <v>3230531</v>
      </c>
      <c r="AJ111" s="335">
        <f t="shared" ref="AJ111" si="1052">SUM(AJ112:AJ113,AJ114,AJ123,AJ122)</f>
        <v>1176772</v>
      </c>
      <c r="AK111" s="335">
        <f t="shared" ref="AK111" si="1053">SUM(AK112:AK113,AK114,AK123,AK122)</f>
        <v>18213945</v>
      </c>
      <c r="AL111" s="335">
        <f t="shared" ref="AL111" si="1054">SUM(AL112:AL113,AL114,AL123,AL122)</f>
        <v>18213945</v>
      </c>
      <c r="AM111" s="335">
        <f t="shared" ref="AM111" si="1055">SUM(AM112:AM113,AM114,AM123,AM122)</f>
        <v>20896651</v>
      </c>
      <c r="AN111" s="335">
        <f t="shared" ref="AN111" si="1056">SUM(AN112:AN113,AN114,AN123,AN122)</f>
        <v>3602633</v>
      </c>
      <c r="AO111" s="335">
        <f t="shared" ref="AO111:AP111" si="1057">SUM(AO112:AO113,AO114,AO123,AO122)</f>
        <v>34139365</v>
      </c>
      <c r="AP111" s="335">
        <f t="shared" si="1057"/>
        <v>34055608</v>
      </c>
      <c r="AQ111" s="335">
        <f t="shared" ref="AQ111" si="1058">SUM(AQ112:AQ113,AQ114,AQ123,AQ122)</f>
        <v>23274505</v>
      </c>
      <c r="AR111" s="335">
        <f t="shared" ref="AR111" si="1059">SUM(AR112:AR113,AR114,AR123,AR122)</f>
        <v>9539248</v>
      </c>
      <c r="AS111" s="335">
        <f t="shared" ref="AS111:AT111" si="1060">SUM(AS112:AS113,AS114,AS123,AS122)</f>
        <v>18676333</v>
      </c>
      <c r="AT111" s="335">
        <f t="shared" si="1060"/>
        <v>18436333</v>
      </c>
      <c r="AU111" s="335">
        <f t="shared" ref="AU111" si="1061">SUM(AU112:AU113,AU114,AU123,AU122)</f>
        <v>14137767</v>
      </c>
      <c r="AV111" s="335">
        <f t="shared" ref="AV111" si="1062">SUM(AV112:AV113,AV114,AV123,AV122)</f>
        <v>7405333</v>
      </c>
      <c r="AW111" s="335">
        <f t="shared" ref="AW111:AX111" si="1063">SUM(AW112:AW113,AW114,AW123,AW122)</f>
        <v>1638932</v>
      </c>
      <c r="AX111" s="335">
        <f t="shared" si="1063"/>
        <v>1638932</v>
      </c>
      <c r="AY111" s="335">
        <f t="shared" ref="AY111" si="1064">SUM(AY112:AY113,AY114,AY123,AY122)</f>
        <v>802613</v>
      </c>
      <c r="AZ111" s="335">
        <f t="shared" ref="AZ111" si="1065">SUM(AZ112:AZ113,AZ114,AZ123,AZ122)</f>
        <v>272832</v>
      </c>
      <c r="BA111" s="335">
        <f t="shared" ref="BA111:BE111" si="1066">SUM(BA112:BA113,BA114,BA123,BA122)</f>
        <v>27940000</v>
      </c>
      <c r="BB111" s="335">
        <f t="shared" ref="BB111" si="1067">SUM(BB112:BB113,BB114,BB123,BB122)</f>
        <v>34036000</v>
      </c>
      <c r="BC111" s="335">
        <f t="shared" ref="BC111" si="1068">SUM(BC112:BC113,BC114,BC123,BC122)</f>
        <v>34036000</v>
      </c>
      <c r="BD111" s="335">
        <f t="shared" ref="BD111" si="1069">SUM(BD112:BD113,BD114,BD123,BD122)</f>
        <v>28671484</v>
      </c>
      <c r="BE111" s="335">
        <f t="shared" si="1066"/>
        <v>7100000</v>
      </c>
      <c r="BF111" s="335">
        <f t="shared" ref="BF111:BI111" si="1070">SUM(BF112:BF113,BF114,BF123,BF122)</f>
        <v>7100000</v>
      </c>
      <c r="BG111" s="335">
        <f t="shared" ref="BG111" si="1071">SUM(BG112:BG113,BG114,BG123,BG122)</f>
        <v>7100000</v>
      </c>
      <c r="BH111" s="335">
        <f t="shared" ref="BH111" si="1072">SUM(BH112:BH113,BH114,BH123,BH122)</f>
        <v>0</v>
      </c>
      <c r="BI111" s="335">
        <f t="shared" si="1070"/>
        <v>0</v>
      </c>
      <c r="BJ111" s="335">
        <f t="shared" ref="BJ111" si="1073">SUM(BJ112:BJ113,BJ114,BJ123,BJ122)</f>
        <v>3698429</v>
      </c>
      <c r="BK111" s="335">
        <f t="shared" ref="BK111:BN111" si="1074">SUM(BK112:BK113,BK114,BK123,BK122)</f>
        <v>3698429</v>
      </c>
      <c r="BL111" s="335">
        <f t="shared" ref="BL111" si="1075">SUM(BL112:BL113,BL114,BL123,BL122)</f>
        <v>3698429</v>
      </c>
      <c r="BM111" s="335">
        <f t="shared" si="1074"/>
        <v>0</v>
      </c>
      <c r="BN111" s="335">
        <f t="shared" si="1074"/>
        <v>0</v>
      </c>
      <c r="BO111" s="335">
        <f t="shared" ref="BO111" si="1076">SUM(BO112:BO113,BO114,BO123,BO122)</f>
        <v>140000</v>
      </c>
      <c r="BP111" s="335">
        <f t="shared" ref="BP111" si="1077">SUM(BP112:BP113,BP114,BP123,BP122)</f>
        <v>140000</v>
      </c>
      <c r="BQ111" s="372">
        <f t="shared" si="879"/>
        <v>599119307.63</v>
      </c>
      <c r="BR111" s="618">
        <f t="shared" si="880"/>
        <v>558804403</v>
      </c>
      <c r="BS111" s="618">
        <f t="shared" ca="1" si="881"/>
        <v>543051574</v>
      </c>
      <c r="BT111" s="618">
        <f t="shared" ca="1" si="882"/>
        <v>336011611</v>
      </c>
      <c r="BU111" s="646"/>
      <c r="BV111" s="646"/>
    </row>
    <row r="112" spans="1:74" ht="15.75" thickBot="1" x14ac:dyDescent="0.3">
      <c r="A112" s="190" t="s">
        <v>199</v>
      </c>
      <c r="B112" s="180" t="s">
        <v>200</v>
      </c>
      <c r="C112" s="336"/>
      <c r="D112" s="336"/>
      <c r="E112" s="336"/>
      <c r="F112" s="336"/>
      <c r="G112" s="336"/>
      <c r="H112" s="336"/>
      <c r="I112" s="336">
        <v>3039076</v>
      </c>
      <c r="J112" s="336">
        <v>3039076</v>
      </c>
      <c r="K112" s="336"/>
      <c r="L112" s="336"/>
      <c r="M112" s="336"/>
      <c r="N112" s="336"/>
      <c r="O112" s="336"/>
      <c r="P112" s="336"/>
      <c r="Q112" s="336">
        <v>5724</v>
      </c>
      <c r="R112" s="336">
        <v>5724</v>
      </c>
      <c r="S112" s="336"/>
      <c r="T112" s="336"/>
      <c r="U112" s="336"/>
      <c r="V112" s="336"/>
      <c r="W112" s="336"/>
      <c r="X112" s="336"/>
      <c r="Y112" s="336"/>
      <c r="Z112" s="336"/>
      <c r="AA112" s="336"/>
      <c r="AB112" s="336"/>
      <c r="AC112" s="336"/>
      <c r="AD112" s="336"/>
      <c r="AE112" s="336"/>
      <c r="AF112" s="336"/>
      <c r="AG112" s="336"/>
      <c r="AH112" s="336"/>
      <c r="AI112" s="336"/>
      <c r="AJ112" s="336"/>
      <c r="AK112" s="336"/>
      <c r="AL112" s="336">
        <v>30000</v>
      </c>
      <c r="AM112" s="336">
        <v>30000</v>
      </c>
      <c r="AN112" s="336">
        <v>17321</v>
      </c>
      <c r="AO112" s="336"/>
      <c r="AP112" s="336">
        <v>500000</v>
      </c>
      <c r="AQ112" s="336">
        <v>650000</v>
      </c>
      <c r="AR112" s="336">
        <v>649983</v>
      </c>
      <c r="AS112" s="336"/>
      <c r="AT112" s="336"/>
      <c r="AU112" s="336"/>
      <c r="AV112" s="336"/>
      <c r="AW112" s="336">
        <v>1290497</v>
      </c>
      <c r="AX112" s="336">
        <v>1290497</v>
      </c>
      <c r="AY112" s="336">
        <f>1290497+677427-120210-1335945</f>
        <v>511769</v>
      </c>
      <c r="AZ112" s="336">
        <v>120175</v>
      </c>
      <c r="BA112" s="336"/>
      <c r="BB112" s="336"/>
      <c r="BC112" s="336"/>
      <c r="BD112" s="336"/>
      <c r="BE112" s="336">
        <v>684620</v>
      </c>
      <c r="BF112" s="336">
        <v>684620</v>
      </c>
      <c r="BG112" s="336">
        <v>684620</v>
      </c>
      <c r="BH112" s="336"/>
      <c r="BI112" s="336"/>
      <c r="BJ112" s="336"/>
      <c r="BK112" s="336"/>
      <c r="BL112" s="336"/>
      <c r="BM112" s="336"/>
      <c r="BN112" s="336"/>
      <c r="BO112" s="336"/>
      <c r="BP112" s="336"/>
      <c r="BQ112" s="372">
        <f t="shared" si="879"/>
        <v>1975117</v>
      </c>
      <c r="BR112" s="618">
        <f t="shared" si="880"/>
        <v>2505117</v>
      </c>
      <c r="BS112" s="618">
        <f t="shared" ca="1" si="881"/>
        <v>4921189</v>
      </c>
      <c r="BT112" s="618">
        <f t="shared" ca="1" si="882"/>
        <v>3832279</v>
      </c>
      <c r="BU112" s="646"/>
      <c r="BV112" s="646"/>
    </row>
    <row r="113" spans="1:78" ht="15.75" thickBot="1" x14ac:dyDescent="0.3">
      <c r="A113" s="190" t="s">
        <v>201</v>
      </c>
      <c r="B113" s="180" t="s">
        <v>202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  <c r="Y113" s="336"/>
      <c r="Z113" s="336"/>
      <c r="AA113" s="336"/>
      <c r="AB113" s="336"/>
      <c r="AC113" s="336"/>
      <c r="AD113" s="336"/>
      <c r="AE113" s="336"/>
      <c r="AF113" s="336"/>
      <c r="AG113" s="336"/>
      <c r="AH113" s="336"/>
      <c r="AI113" s="336"/>
      <c r="AJ113" s="336"/>
      <c r="AK113" s="336"/>
      <c r="AL113" s="336"/>
      <c r="AM113" s="336"/>
      <c r="AN113" s="336"/>
      <c r="AO113" s="336"/>
      <c r="AP113" s="336"/>
      <c r="AQ113" s="336"/>
      <c r="AR113" s="336"/>
      <c r="AS113" s="336"/>
      <c r="AT113" s="336"/>
      <c r="AU113" s="336"/>
      <c r="AV113" s="336"/>
      <c r="AW113" s="336"/>
      <c r="AX113" s="336"/>
      <c r="AY113" s="336"/>
      <c r="AZ113" s="336"/>
      <c r="BA113" s="336"/>
      <c r="BB113" s="336"/>
      <c r="BC113" s="336"/>
      <c r="BD113" s="336"/>
      <c r="BE113" s="336"/>
      <c r="BF113" s="336"/>
      <c r="BG113" s="336"/>
      <c r="BH113" s="336"/>
      <c r="BI113" s="336"/>
      <c r="BJ113" s="336"/>
      <c r="BK113" s="336"/>
      <c r="BL113" s="336"/>
      <c r="BM113" s="336"/>
      <c r="BN113" s="336"/>
      <c r="BO113" s="336"/>
      <c r="BP113" s="336"/>
      <c r="BQ113" s="372">
        <f t="shared" si="879"/>
        <v>0</v>
      </c>
      <c r="BR113" s="618">
        <f t="shared" si="880"/>
        <v>0</v>
      </c>
      <c r="BS113" s="618">
        <f t="shared" ca="1" si="881"/>
        <v>0</v>
      </c>
      <c r="BT113" s="618">
        <f t="shared" ca="1" si="882"/>
        <v>0</v>
      </c>
      <c r="BU113" s="646"/>
      <c r="BV113" s="646"/>
    </row>
    <row r="114" spans="1:78" ht="15.75" thickBot="1" x14ac:dyDescent="0.3">
      <c r="A114" s="190" t="s">
        <v>203</v>
      </c>
      <c r="B114" s="180" t="s">
        <v>204</v>
      </c>
      <c r="C114" s="336">
        <f t="shared" ref="C114" si="1078">SUM(C115:C121)</f>
        <v>169129</v>
      </c>
      <c r="D114" s="336">
        <f t="shared" ref="D114:E114" si="1079">SUM(D115:D121)</f>
        <v>169129</v>
      </c>
      <c r="E114" s="336">
        <f t="shared" si="1079"/>
        <v>169129</v>
      </c>
      <c r="F114" s="336">
        <f t="shared" ref="F114" si="1080">SUM(F115:F121)</f>
        <v>35693</v>
      </c>
      <c r="G114" s="336">
        <f>SUM(G115:G121)</f>
        <v>81785869</v>
      </c>
      <c r="H114" s="336">
        <f>SUM(H115:H121)</f>
        <v>81540869</v>
      </c>
      <c r="I114" s="336">
        <f>SUM(I115:I121)</f>
        <v>74112066</v>
      </c>
      <c r="J114" s="336">
        <f>SUM(J115:J121)</f>
        <v>55099224</v>
      </c>
      <c r="K114" s="336">
        <f t="shared" ref="K114:L114" si="1081">SUM(K115:K121)</f>
        <v>1000000</v>
      </c>
      <c r="L114" s="336">
        <f t="shared" si="1081"/>
        <v>480981</v>
      </c>
      <c r="M114" s="336">
        <f t="shared" ref="M114" si="1082">SUM(M115:M121)</f>
        <v>1480981</v>
      </c>
      <c r="N114" s="336">
        <f t="shared" ref="N114" si="1083">SUM(N115:N121)</f>
        <v>1278890</v>
      </c>
      <c r="O114" s="336">
        <f t="shared" ref="O114:P114" si="1084">SUM(O115:O121)</f>
        <v>787402</v>
      </c>
      <c r="P114" s="336">
        <f t="shared" si="1084"/>
        <v>787402</v>
      </c>
      <c r="Q114" s="336">
        <f t="shared" ref="Q114" si="1085">SUM(Q115:Q121)</f>
        <v>781678</v>
      </c>
      <c r="R114" s="336">
        <f t="shared" ref="R114" si="1086">SUM(R115:R121)</f>
        <v>0</v>
      </c>
      <c r="S114" s="336">
        <f t="shared" ref="S114:T114" si="1087">SUM(S115:S121)</f>
        <v>2868900</v>
      </c>
      <c r="T114" s="336">
        <f t="shared" si="1087"/>
        <v>2868900</v>
      </c>
      <c r="U114" s="336">
        <f t="shared" ref="U114" si="1088">SUM(U115:U121)</f>
        <v>4198900</v>
      </c>
      <c r="V114" s="336">
        <f t="shared" ref="V114" si="1089">SUM(V115:V121)</f>
        <v>0</v>
      </c>
      <c r="W114" s="336">
        <f t="shared" ref="W114:X114" si="1090">SUM(W115:W121)</f>
        <v>991300</v>
      </c>
      <c r="X114" s="336">
        <f t="shared" si="1090"/>
        <v>1191300</v>
      </c>
      <c r="Y114" s="336">
        <f t="shared" ref="Y114" si="1091">SUM(Y115:Y121)</f>
        <v>1633251</v>
      </c>
      <c r="Z114" s="336">
        <f t="shared" ref="Z114" si="1092">SUM(Z115:Z121)</f>
        <v>1142063</v>
      </c>
      <c r="AA114" s="336">
        <f t="shared" ref="AA114:AB114" si="1093">SUM(AA115:AA121)</f>
        <v>12116621</v>
      </c>
      <c r="AB114" s="336">
        <f t="shared" si="1093"/>
        <v>17739330</v>
      </c>
      <c r="AC114" s="336">
        <f t="shared" ref="AC114" si="1094">SUM(AC115:AC121)</f>
        <v>17739330</v>
      </c>
      <c r="AD114" s="336">
        <f t="shared" ref="AD114" si="1095">SUM(AD115:AD121)</f>
        <v>9854252</v>
      </c>
      <c r="AE114" s="336">
        <f t="shared" ref="AE114" si="1096">SUM(AE115:AE121)</f>
        <v>0</v>
      </c>
      <c r="AF114" s="336">
        <f t="shared" ref="AF114" si="1097">SUM(AF115:AF121)</f>
        <v>0</v>
      </c>
      <c r="AG114" s="336">
        <f t="shared" ref="AG114:AH114" si="1098">SUM(AG115:AG121)</f>
        <v>2482441</v>
      </c>
      <c r="AH114" s="336">
        <f t="shared" si="1098"/>
        <v>2482441</v>
      </c>
      <c r="AI114" s="336">
        <f t="shared" ref="AI114" si="1099">SUM(AI115:AI121)</f>
        <v>2460272</v>
      </c>
      <c r="AJ114" s="336">
        <f t="shared" ref="AJ114" si="1100">SUM(AJ115:AJ121)</f>
        <v>893065</v>
      </c>
      <c r="AK114" s="336">
        <f t="shared" ref="AK114" si="1101">SUM(AK115:AK121)</f>
        <v>13401359</v>
      </c>
      <c r="AL114" s="336">
        <f t="shared" ref="AL114" si="1102">SUM(AL115:AL121)</f>
        <v>13371359</v>
      </c>
      <c r="AM114" s="336">
        <f t="shared" ref="AM114" si="1103">SUM(AM115:AM121)</f>
        <v>15483726</v>
      </c>
      <c r="AN114" s="336">
        <f t="shared" ref="AN114" si="1104">SUM(AN115:AN121)</f>
        <v>2825127</v>
      </c>
      <c r="AO114" s="336">
        <f t="shared" ref="AO114:AP114" si="1105">SUM(AO115:AO121)</f>
        <v>26881390</v>
      </c>
      <c r="AP114" s="336">
        <f t="shared" si="1105"/>
        <v>26297633</v>
      </c>
      <c r="AQ114" s="336">
        <f t="shared" ref="AQ114" si="1106">SUM(AQ115:AQ121)</f>
        <v>17658576</v>
      </c>
      <c r="AR114" s="336">
        <f t="shared" ref="AR114" si="1107">SUM(AR115:AR121)</f>
        <v>7223306</v>
      </c>
      <c r="AS114" s="336">
        <f t="shared" ref="AS114:AT114" si="1108">SUM(AS115:AS121)</f>
        <v>14705774</v>
      </c>
      <c r="AT114" s="336">
        <f t="shared" si="1108"/>
        <v>14516798</v>
      </c>
      <c r="AU114" s="336">
        <f t="shared" ref="AU114" si="1109">SUM(AU115:AU121)</f>
        <v>8542099</v>
      </c>
      <c r="AV114" s="336">
        <f t="shared" ref="AV114" si="1110">SUM(AV115:AV121)</f>
        <v>3206299</v>
      </c>
      <c r="AW114" s="336">
        <f t="shared" ref="AW114:AX114" si="1111">SUM(AW115:AW121)</f>
        <v>0</v>
      </c>
      <c r="AX114" s="336">
        <f t="shared" si="1111"/>
        <v>0</v>
      </c>
      <c r="AY114" s="336">
        <f t="shared" ref="AY114" si="1112">SUM(AY115:AY121)</f>
        <v>0</v>
      </c>
      <c r="AZ114" s="336">
        <f t="shared" ref="AZ114" si="1113">SUM(AZ115:AZ121)</f>
        <v>0</v>
      </c>
      <c r="BA114" s="336">
        <f t="shared" ref="BA114:BE114" si="1114">SUM(BA115:BA121)</f>
        <v>22000000</v>
      </c>
      <c r="BB114" s="336">
        <f t="shared" ref="BB114" si="1115">SUM(BB115:BB121)</f>
        <v>26800000</v>
      </c>
      <c r="BC114" s="336">
        <f t="shared" ref="BC114" si="1116">SUM(BC115:BC121)</f>
        <v>25960000</v>
      </c>
      <c r="BD114" s="336">
        <f t="shared" ref="BD114" si="1117">SUM(BD115:BD121)</f>
        <v>21999484</v>
      </c>
      <c r="BE114" s="336">
        <f t="shared" si="1114"/>
        <v>4905931</v>
      </c>
      <c r="BF114" s="336">
        <f t="shared" ref="BF114:BI114" si="1118">SUM(BF115:BF121)</f>
        <v>4905931</v>
      </c>
      <c r="BG114" s="336">
        <f t="shared" ref="BG114" si="1119">SUM(BG115:BG121)</f>
        <v>4905931</v>
      </c>
      <c r="BH114" s="336">
        <f t="shared" ref="BH114" si="1120">SUM(BH115:BH121)</f>
        <v>0</v>
      </c>
      <c r="BI114" s="336">
        <f t="shared" si="1118"/>
        <v>0</v>
      </c>
      <c r="BJ114" s="336">
        <f t="shared" ref="BJ114" si="1121">SUM(BJ115:BJ121)</f>
        <v>2951788</v>
      </c>
      <c r="BK114" s="336">
        <f t="shared" ref="BK114:BN114" si="1122">SUM(BK115:BK121)</f>
        <v>2951788</v>
      </c>
      <c r="BL114" s="336">
        <f t="shared" ref="BL114" si="1123">SUM(BL115:BL121)</f>
        <v>2951788</v>
      </c>
      <c r="BM114" s="336">
        <f t="shared" si="1122"/>
        <v>0</v>
      </c>
      <c r="BN114" s="336">
        <f t="shared" si="1122"/>
        <v>0</v>
      </c>
      <c r="BO114" s="336">
        <f t="shared" ref="BO114" si="1124">SUM(BO115:BO121)</f>
        <v>140000</v>
      </c>
      <c r="BP114" s="336">
        <f t="shared" ref="BP114" si="1125">SUM(BP115:BP121)</f>
        <v>140000</v>
      </c>
      <c r="BQ114" s="372">
        <f t="shared" si="879"/>
        <v>184096116</v>
      </c>
      <c r="BR114" s="618">
        <f t="shared" si="880"/>
        <v>196103861</v>
      </c>
      <c r="BS114" s="618">
        <f t="shared" ca="1" si="881"/>
        <v>178217727</v>
      </c>
      <c r="BT114" s="618">
        <f t="shared" ca="1" si="882"/>
        <v>106649191</v>
      </c>
      <c r="BU114" s="646"/>
      <c r="BV114" s="646"/>
    </row>
    <row r="115" spans="1:78" ht="15" customHeight="1" thickBot="1" x14ac:dyDescent="0.3">
      <c r="A115" s="190" t="s">
        <v>205</v>
      </c>
      <c r="B115" s="180" t="s">
        <v>206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36"/>
      <c r="AA115" s="336"/>
      <c r="AB115" s="336"/>
      <c r="AC115" s="336"/>
      <c r="AD115" s="336"/>
      <c r="AE115" s="336"/>
      <c r="AF115" s="336"/>
      <c r="AG115" s="336"/>
      <c r="AH115" s="336"/>
      <c r="AI115" s="336"/>
      <c r="AJ115" s="336"/>
      <c r="AK115" s="336"/>
      <c r="AL115" s="336"/>
      <c r="AM115" s="336"/>
      <c r="AN115" s="336"/>
      <c r="AO115" s="336"/>
      <c r="AP115" s="336"/>
      <c r="AQ115" s="336"/>
      <c r="AR115" s="336"/>
      <c r="AS115" s="336"/>
      <c r="AT115" s="336"/>
      <c r="AU115" s="336"/>
      <c r="AV115" s="336"/>
      <c r="AW115" s="336"/>
      <c r="AX115" s="336"/>
      <c r="AY115" s="336"/>
      <c r="AZ115" s="336"/>
      <c r="BA115" s="336"/>
      <c r="BB115" s="336"/>
      <c r="BC115" s="336"/>
      <c r="BD115" s="336"/>
      <c r="BE115" s="336"/>
      <c r="BF115" s="336"/>
      <c r="BG115" s="336"/>
      <c r="BH115" s="336"/>
      <c r="BI115" s="336"/>
      <c r="BJ115" s="336"/>
      <c r="BK115" s="336"/>
      <c r="BL115" s="336"/>
      <c r="BM115" s="336"/>
      <c r="BN115" s="336"/>
      <c r="BO115" s="336"/>
      <c r="BP115" s="336"/>
      <c r="BQ115" s="372">
        <f t="shared" si="879"/>
        <v>0</v>
      </c>
      <c r="BR115" s="618">
        <f t="shared" si="880"/>
        <v>0</v>
      </c>
      <c r="BS115" s="618">
        <f t="shared" ca="1" si="881"/>
        <v>0</v>
      </c>
      <c r="BT115" s="618">
        <f t="shared" ca="1" si="882"/>
        <v>0</v>
      </c>
      <c r="BU115" s="646"/>
      <c r="BV115" s="646"/>
    </row>
    <row r="116" spans="1:78" ht="15" customHeight="1" thickBot="1" x14ac:dyDescent="0.3">
      <c r="A116" s="190" t="s">
        <v>207</v>
      </c>
      <c r="B116" s="180" t="s">
        <v>208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6"/>
      <c r="Z116" s="336"/>
      <c r="AA116" s="336"/>
      <c r="AB116" s="336"/>
      <c r="AC116" s="336"/>
      <c r="AD116" s="336"/>
      <c r="AE116" s="336"/>
      <c r="AF116" s="336"/>
      <c r="AG116" s="336"/>
      <c r="AH116" s="336"/>
      <c r="AI116" s="336"/>
      <c r="AJ116" s="336"/>
      <c r="AK116" s="336"/>
      <c r="AL116" s="336"/>
      <c r="AM116" s="336"/>
      <c r="AN116" s="336"/>
      <c r="AO116" s="336"/>
      <c r="AP116" s="336"/>
      <c r="AQ116" s="336"/>
      <c r="AR116" s="336"/>
      <c r="AS116" s="336"/>
      <c r="AT116" s="336"/>
      <c r="AU116" s="336"/>
      <c r="AV116" s="336"/>
      <c r="AW116" s="336"/>
      <c r="AX116" s="336"/>
      <c r="AY116" s="336"/>
      <c r="AZ116" s="336"/>
      <c r="BA116" s="336"/>
      <c r="BB116" s="336"/>
      <c r="BC116" s="336"/>
      <c r="BD116" s="336"/>
      <c r="BE116" s="336"/>
      <c r="BF116" s="336"/>
      <c r="BG116" s="336"/>
      <c r="BH116" s="336"/>
      <c r="BI116" s="336"/>
      <c r="BJ116" s="336"/>
      <c r="BK116" s="336"/>
      <c r="BL116" s="336"/>
      <c r="BM116" s="336"/>
      <c r="BN116" s="336"/>
      <c r="BO116" s="336"/>
      <c r="BP116" s="336"/>
      <c r="BQ116" s="372">
        <f t="shared" si="879"/>
        <v>0</v>
      </c>
      <c r="BR116" s="618">
        <f t="shared" si="880"/>
        <v>0</v>
      </c>
      <c r="BS116" s="618">
        <f t="shared" ca="1" si="881"/>
        <v>0</v>
      </c>
      <c r="BT116" s="618">
        <f t="shared" ca="1" si="882"/>
        <v>0</v>
      </c>
      <c r="BU116" s="646"/>
      <c r="BV116" s="646"/>
    </row>
    <row r="117" spans="1:78" ht="15" customHeight="1" thickBot="1" x14ac:dyDescent="0.3">
      <c r="A117" s="190" t="s">
        <v>209</v>
      </c>
      <c r="B117" s="180" t="s">
        <v>210</v>
      </c>
      <c r="C117" s="336"/>
      <c r="D117" s="336"/>
      <c r="E117" s="336"/>
      <c r="F117" s="336"/>
      <c r="G117" s="336"/>
      <c r="H117" s="336"/>
      <c r="I117" s="336">
        <v>1558950</v>
      </c>
      <c r="J117" s="336">
        <v>1558950</v>
      </c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6"/>
      <c r="Z117" s="336"/>
      <c r="AA117" s="336"/>
      <c r="AB117" s="336"/>
      <c r="AC117" s="336"/>
      <c r="AD117" s="336"/>
      <c r="AE117" s="336"/>
      <c r="AF117" s="336"/>
      <c r="AG117" s="336"/>
      <c r="AH117" s="336"/>
      <c r="AI117" s="336"/>
      <c r="AJ117" s="336"/>
      <c r="AK117" s="336"/>
      <c r="AL117" s="336"/>
      <c r="AM117" s="336"/>
      <c r="AN117" s="336"/>
      <c r="AO117" s="336"/>
      <c r="AP117" s="336"/>
      <c r="AQ117" s="336"/>
      <c r="AR117" s="336"/>
      <c r="AS117" s="336"/>
      <c r="AT117" s="336"/>
      <c r="AU117" s="336"/>
      <c r="AV117" s="336"/>
      <c r="AW117" s="336"/>
      <c r="AX117" s="336"/>
      <c r="AY117" s="336"/>
      <c r="AZ117" s="336"/>
      <c r="BA117" s="336"/>
      <c r="BB117" s="336"/>
      <c r="BC117" s="336"/>
      <c r="BD117" s="336"/>
      <c r="BE117" s="336"/>
      <c r="BF117" s="336"/>
      <c r="BG117" s="336"/>
      <c r="BH117" s="336"/>
      <c r="BI117" s="336"/>
      <c r="BJ117" s="336"/>
      <c r="BK117" s="336"/>
      <c r="BL117" s="336"/>
      <c r="BM117" s="336"/>
      <c r="BN117" s="336"/>
      <c r="BO117" s="336"/>
      <c r="BP117" s="336"/>
      <c r="BQ117" s="372">
        <f t="shared" si="879"/>
        <v>0</v>
      </c>
      <c r="BR117" s="618">
        <f t="shared" si="880"/>
        <v>0</v>
      </c>
      <c r="BS117" s="618">
        <f t="shared" ca="1" si="881"/>
        <v>1558950</v>
      </c>
      <c r="BT117" s="618">
        <f t="shared" ca="1" si="882"/>
        <v>1558950</v>
      </c>
      <c r="BU117" s="646"/>
      <c r="BV117" s="646"/>
    </row>
    <row r="118" spans="1:78" ht="15" customHeight="1" thickBot="1" x14ac:dyDescent="0.3">
      <c r="A118" s="190" t="s">
        <v>211</v>
      </c>
      <c r="B118" s="180" t="s">
        <v>212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  <c r="Y118" s="336"/>
      <c r="Z118" s="336"/>
      <c r="AA118" s="336"/>
      <c r="AB118" s="336"/>
      <c r="AC118" s="336"/>
      <c r="AD118" s="336"/>
      <c r="AE118" s="336"/>
      <c r="AF118" s="336"/>
      <c r="AG118" s="336"/>
      <c r="AH118" s="336"/>
      <c r="AI118" s="336">
        <v>733565</v>
      </c>
      <c r="AJ118" s="336">
        <v>733565</v>
      </c>
      <c r="AK118" s="336"/>
      <c r="AL118" s="336"/>
      <c r="AM118" s="336"/>
      <c r="AN118" s="336"/>
      <c r="AO118" s="336"/>
      <c r="AP118" s="336"/>
      <c r="AQ118" s="336"/>
      <c r="AR118" s="336"/>
      <c r="AS118" s="336"/>
      <c r="AT118" s="336"/>
      <c r="AU118" s="336"/>
      <c r="AV118" s="336"/>
      <c r="AW118" s="336"/>
      <c r="AX118" s="336"/>
      <c r="AY118" s="336"/>
      <c r="AZ118" s="336"/>
      <c r="BA118" s="336"/>
      <c r="BB118" s="336"/>
      <c r="BC118" s="336"/>
      <c r="BD118" s="336"/>
      <c r="BE118" s="336"/>
      <c r="BF118" s="336"/>
      <c r="BG118" s="336"/>
      <c r="BH118" s="336"/>
      <c r="BI118" s="336"/>
      <c r="BJ118" s="336"/>
      <c r="BK118" s="336"/>
      <c r="BL118" s="336"/>
      <c r="BM118" s="336"/>
      <c r="BN118" s="336"/>
      <c r="BO118" s="336"/>
      <c r="BP118" s="336"/>
      <c r="BQ118" s="372">
        <f t="shared" si="879"/>
        <v>0</v>
      </c>
      <c r="BR118" s="618">
        <f t="shared" si="880"/>
        <v>0</v>
      </c>
      <c r="BS118" s="618">
        <f t="shared" ca="1" si="881"/>
        <v>733565</v>
      </c>
      <c r="BT118" s="618">
        <f t="shared" ca="1" si="882"/>
        <v>733565</v>
      </c>
      <c r="BU118" s="646"/>
      <c r="BV118" s="646"/>
    </row>
    <row r="119" spans="1:78" ht="15" customHeight="1" thickBot="1" x14ac:dyDescent="0.3">
      <c r="A119" s="190" t="s">
        <v>213</v>
      </c>
      <c r="B119" s="180" t="s">
        <v>214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72">
        <f t="shared" si="879"/>
        <v>0</v>
      </c>
      <c r="BR119" s="618">
        <f t="shared" si="880"/>
        <v>0</v>
      </c>
      <c r="BS119" s="618">
        <f t="shared" ca="1" si="881"/>
        <v>0</v>
      </c>
      <c r="BT119" s="618">
        <f t="shared" ca="1" si="882"/>
        <v>0</v>
      </c>
      <c r="BU119" s="646"/>
      <c r="BV119" s="646"/>
    </row>
    <row r="120" spans="1:78" ht="15.75" thickBot="1" x14ac:dyDescent="0.3">
      <c r="A120" s="190" t="s">
        <v>215</v>
      </c>
      <c r="B120" s="180" t="s">
        <v>216</v>
      </c>
      <c r="C120" s="336"/>
      <c r="D120" s="336"/>
      <c r="E120" s="336"/>
      <c r="F120" s="336"/>
      <c r="G120" s="336">
        <v>8782218</v>
      </c>
      <c r="H120" s="336">
        <v>8782218</v>
      </c>
      <c r="I120" s="336">
        <f>8782218+3371943</f>
        <v>12154161</v>
      </c>
      <c r="J120" s="336">
        <v>418868</v>
      </c>
      <c r="K120" s="336"/>
      <c r="L120" s="336">
        <v>100000</v>
      </c>
      <c r="M120" s="336">
        <f>100000+1000000</f>
        <v>1100000</v>
      </c>
      <c r="N120" s="336">
        <f>100000+1000000</f>
        <v>1100000</v>
      </c>
      <c r="O120" s="336"/>
      <c r="P120" s="336"/>
      <c r="Q120" s="336"/>
      <c r="R120" s="336"/>
      <c r="S120" s="336"/>
      <c r="T120" s="336"/>
      <c r="U120" s="336">
        <v>1330000</v>
      </c>
      <c r="V120" s="336"/>
      <c r="W120" s="336"/>
      <c r="X120" s="336">
        <v>1000000</v>
      </c>
      <c r="Y120" s="336">
        <f>1000000+130951+311000</f>
        <v>1441951</v>
      </c>
      <c r="Z120" s="336">
        <v>1000000</v>
      </c>
      <c r="AA120" s="336"/>
      <c r="AB120" s="336">
        <v>7600000</v>
      </c>
      <c r="AC120" s="336">
        <f>7600000+100000</f>
        <v>7700000</v>
      </c>
      <c r="AD120" s="336">
        <f>7600000+100000</f>
        <v>7700000</v>
      </c>
      <c r="AE120" s="336"/>
      <c r="AF120" s="336"/>
      <c r="AG120" s="336"/>
      <c r="AH120" s="336"/>
      <c r="AI120" s="336"/>
      <c r="AJ120" s="336"/>
      <c r="AK120" s="336"/>
      <c r="AL120" s="336"/>
      <c r="AM120" s="336"/>
      <c r="AN120" s="336"/>
      <c r="AO120" s="336"/>
      <c r="AP120" s="336"/>
      <c r="AQ120" s="336"/>
      <c r="AR120" s="336"/>
      <c r="AS120" s="336">
        <f>15327821-622047</f>
        <v>14705774</v>
      </c>
      <c r="AT120" s="336">
        <f>15327821-622047-188976-5568504</f>
        <v>8948294</v>
      </c>
      <c r="AU120" s="336">
        <f>15327821-622047-188976-5568504-2142985-2624672+1030000-1370124+2362205-866918</f>
        <v>5335800</v>
      </c>
      <c r="AV120" s="336"/>
      <c r="AW120" s="336"/>
      <c r="AX120" s="336"/>
      <c r="AY120" s="336"/>
      <c r="AZ120" s="336"/>
      <c r="BA120" s="336"/>
      <c r="BB120" s="336">
        <v>22000000</v>
      </c>
      <c r="BC120" s="336">
        <v>22000000</v>
      </c>
      <c r="BD120" s="336">
        <v>21600000</v>
      </c>
      <c r="BE120" s="336"/>
      <c r="BF120" s="336"/>
      <c r="BG120" s="336"/>
      <c r="BH120" s="336"/>
      <c r="BI120" s="336"/>
      <c r="BJ120" s="336"/>
      <c r="BK120" s="336"/>
      <c r="BL120" s="336"/>
      <c r="BM120" s="336"/>
      <c r="BN120" s="336"/>
      <c r="BO120" s="336">
        <v>80000</v>
      </c>
      <c r="BP120" s="336">
        <v>80000</v>
      </c>
      <c r="BQ120" s="372">
        <f t="shared" ref="BQ120:BQ152" si="1126">SUMIF($C$8:$BE$8,"2019 terv",C120:BE120)</f>
        <v>23487992</v>
      </c>
      <c r="BR120" s="618">
        <f t="shared" ref="BR120:BR151" si="1127">SUMIF($D$8:$BJ$8,"2019 módosított",D120:BJ120)</f>
        <v>48430512</v>
      </c>
      <c r="BS120" s="618">
        <f t="shared" ref="BS120:BS151" ca="1" si="1128">SUMIF($D$8:$BO$8,"2019 módosított",E120:BO120)</f>
        <v>51141912</v>
      </c>
      <c r="BT120" s="618">
        <f t="shared" ref="BT120:BT151" ca="1" si="1129">SUMIF($D$8:$BO$8,"2019 módosított",F120:BP120)</f>
        <v>31898868</v>
      </c>
      <c r="BU120" s="646"/>
      <c r="BV120" s="646"/>
    </row>
    <row r="121" spans="1:78" ht="15.75" thickBot="1" x14ac:dyDescent="0.3">
      <c r="A121" s="190" t="s">
        <v>217</v>
      </c>
      <c r="B121" s="180" t="s">
        <v>218</v>
      </c>
      <c r="C121" s="336">
        <v>169129</v>
      </c>
      <c r="D121" s="336">
        <v>169129</v>
      </c>
      <c r="E121" s="336">
        <v>169129</v>
      </c>
      <c r="F121" s="336">
        <v>35693</v>
      </c>
      <c r="G121" s="336">
        <f>60812922+12190729</f>
        <v>73003651</v>
      </c>
      <c r="H121" s="336">
        <f>60812922+12190729-245000</f>
        <v>72758651</v>
      </c>
      <c r="I121" s="336">
        <f>60812922+12190729-245000-1787005-1523430-1558950-3039076-3371943-1094292+15000</f>
        <v>60398955</v>
      </c>
      <c r="J121" s="336">
        <v>53121406</v>
      </c>
      <c r="K121" s="336">
        <v>1000000</v>
      </c>
      <c r="L121" s="336">
        <f>1000000-100000-519019</f>
        <v>380981</v>
      </c>
      <c r="M121" s="336">
        <f>1000000-100000-519019</f>
        <v>380981</v>
      </c>
      <c r="N121" s="336">
        <v>178890</v>
      </c>
      <c r="O121" s="336">
        <v>787402</v>
      </c>
      <c r="P121" s="336">
        <v>787402</v>
      </c>
      <c r="Q121" s="336">
        <f>787402-5724</f>
        <v>781678</v>
      </c>
      <c r="R121" s="336"/>
      <c r="S121" s="336">
        <v>2868900</v>
      </c>
      <c r="T121" s="336">
        <v>2868900</v>
      </c>
      <c r="U121" s="336">
        <v>2868900</v>
      </c>
      <c r="V121" s="336"/>
      <c r="W121" s="336">
        <v>991300</v>
      </c>
      <c r="X121" s="336">
        <f>991300-800000</f>
        <v>191300</v>
      </c>
      <c r="Y121" s="336">
        <f>991300-800000</f>
        <v>191300</v>
      </c>
      <c r="Z121" s="336">
        <v>142063</v>
      </c>
      <c r="AA121" s="336">
        <v>12116621</v>
      </c>
      <c r="AB121" s="336">
        <f>12116621-7600000+5902709-280000</f>
        <v>10139330</v>
      </c>
      <c r="AC121" s="336">
        <f>12116621-7600000+5902709-280000-100000</f>
        <v>10039330</v>
      </c>
      <c r="AD121" s="336">
        <v>2154252</v>
      </c>
      <c r="AE121" s="336"/>
      <c r="AF121" s="336"/>
      <c r="AG121" s="336">
        <v>2482441</v>
      </c>
      <c r="AH121" s="336">
        <v>2482441</v>
      </c>
      <c r="AI121" s="336">
        <f>2482441-733565-22169</f>
        <v>1726707</v>
      </c>
      <c r="AJ121" s="336">
        <v>159500</v>
      </c>
      <c r="AK121" s="336">
        <f>325000+9342271+3734088</f>
        <v>13401359</v>
      </c>
      <c r="AL121" s="336">
        <f>325000+9342271+3734088-30000</f>
        <v>13371359</v>
      </c>
      <c r="AM121" s="336">
        <f>325000+9342271+3734088-30000+2112367</f>
        <v>15483726</v>
      </c>
      <c r="AN121" s="336">
        <v>2825127</v>
      </c>
      <c r="AO121" s="336">
        <v>26881390</v>
      </c>
      <c r="AP121" s="336">
        <f>26881390-500000-83757</f>
        <v>26297633</v>
      </c>
      <c r="AQ121" s="336">
        <f>26881390-500000-83757-2904311-5584746-150000</f>
        <v>17658576</v>
      </c>
      <c r="AR121" s="336">
        <v>7223306</v>
      </c>
      <c r="AS121" s="336"/>
      <c r="AT121" s="336">
        <f>3206299+2362205</f>
        <v>5568504</v>
      </c>
      <c r="AU121" s="336">
        <f>3206299</f>
        <v>3206299</v>
      </c>
      <c r="AV121" s="336">
        <f>3206299</f>
        <v>3206299</v>
      </c>
      <c r="AW121" s="336"/>
      <c r="AX121" s="336"/>
      <c r="AY121" s="336"/>
      <c r="AZ121" s="336"/>
      <c r="BA121" s="336">
        <f>22000000</f>
        <v>22000000</v>
      </c>
      <c r="BB121" s="336">
        <v>4800000</v>
      </c>
      <c r="BC121" s="336">
        <f>4800000-520000-320000</f>
        <v>3960000</v>
      </c>
      <c r="BD121" s="336">
        <v>399484</v>
      </c>
      <c r="BE121" s="336">
        <v>4905931</v>
      </c>
      <c r="BF121" s="336">
        <v>4905931</v>
      </c>
      <c r="BG121" s="336">
        <v>4905931</v>
      </c>
      <c r="BH121" s="336"/>
      <c r="BI121" s="336"/>
      <c r="BJ121" s="336">
        <v>2951788</v>
      </c>
      <c r="BK121" s="336">
        <v>2951788</v>
      </c>
      <c r="BL121" s="336">
        <v>2951788</v>
      </c>
      <c r="BM121" s="336"/>
      <c r="BN121" s="336"/>
      <c r="BO121" s="336">
        <v>60000</v>
      </c>
      <c r="BP121" s="336">
        <v>60000</v>
      </c>
      <c r="BQ121" s="372">
        <f t="shared" si="1126"/>
        <v>160608124</v>
      </c>
      <c r="BR121" s="618">
        <f t="shared" si="1127"/>
        <v>147673349</v>
      </c>
      <c r="BS121" s="618">
        <f t="shared" ca="1" si="1128"/>
        <v>124783300</v>
      </c>
      <c r="BT121" s="618">
        <f t="shared" ca="1" si="1129"/>
        <v>72457808</v>
      </c>
      <c r="BU121" s="646"/>
      <c r="BV121" s="646"/>
    </row>
    <row r="122" spans="1:78" ht="15.75" thickBot="1" x14ac:dyDescent="0.3">
      <c r="A122" s="190" t="s">
        <v>219</v>
      </c>
      <c r="B122" s="180" t="s">
        <v>220</v>
      </c>
      <c r="C122" s="336"/>
      <c r="D122" s="336"/>
      <c r="E122" s="336"/>
      <c r="F122" s="336"/>
      <c r="G122" s="336">
        <v>12000</v>
      </c>
      <c r="H122" s="336">
        <v>12000</v>
      </c>
      <c r="I122" s="336">
        <f>12000+1523430</f>
        <v>1535430</v>
      </c>
      <c r="J122" s="336">
        <f>12000+1523430</f>
        <v>1535430</v>
      </c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  <c r="Y122" s="336"/>
      <c r="Z122" s="336"/>
      <c r="AA122" s="336"/>
      <c r="AB122" s="336"/>
      <c r="AC122" s="336"/>
      <c r="AD122" s="336"/>
      <c r="AE122" s="336"/>
      <c r="AF122" s="336"/>
      <c r="AG122" s="336"/>
      <c r="AH122" s="336"/>
      <c r="AI122" s="336"/>
      <c r="AJ122" s="336"/>
      <c r="AK122" s="336"/>
      <c r="AL122" s="336"/>
      <c r="AM122" s="336"/>
      <c r="AN122" s="336"/>
      <c r="AO122" s="336"/>
      <c r="AP122" s="336"/>
      <c r="AQ122" s="336"/>
      <c r="AR122" s="336"/>
      <c r="AS122" s="336"/>
      <c r="AT122" s="336"/>
      <c r="AU122" s="336"/>
      <c r="AV122" s="336"/>
      <c r="AW122" s="336"/>
      <c r="AX122" s="336"/>
      <c r="AY122" s="336">
        <v>120210</v>
      </c>
      <c r="AZ122" s="336">
        <v>120210</v>
      </c>
      <c r="BA122" s="336"/>
      <c r="BB122" s="336"/>
      <c r="BC122" s="336"/>
      <c r="BD122" s="336"/>
      <c r="BE122" s="336"/>
      <c r="BF122" s="336"/>
      <c r="BG122" s="336"/>
      <c r="BH122" s="336"/>
      <c r="BI122" s="336"/>
      <c r="BJ122" s="336"/>
      <c r="BK122" s="336"/>
      <c r="BL122" s="336"/>
      <c r="BM122" s="336"/>
      <c r="BN122" s="336"/>
      <c r="BO122" s="336"/>
      <c r="BP122" s="336"/>
      <c r="BQ122" s="372">
        <f t="shared" si="1126"/>
        <v>12000</v>
      </c>
      <c r="BR122" s="618">
        <f t="shared" si="1127"/>
        <v>12000</v>
      </c>
      <c r="BS122" s="618">
        <f t="shared" ca="1" si="1128"/>
        <v>1655640</v>
      </c>
      <c r="BT122" s="618">
        <f t="shared" ca="1" si="1129"/>
        <v>1655640</v>
      </c>
      <c r="BU122" s="646"/>
      <c r="BV122" s="646"/>
    </row>
    <row r="123" spans="1:78" ht="15.75" thickBot="1" x14ac:dyDescent="0.3">
      <c r="A123" s="190" t="s">
        <v>221</v>
      </c>
      <c r="B123" s="180" t="s">
        <v>222</v>
      </c>
      <c r="C123" s="336">
        <f t="shared" ref="C123:G123" si="1130">SUM(C124:C126)</f>
        <v>50665</v>
      </c>
      <c r="D123" s="336">
        <f t="shared" ref="D123:E123" si="1131">SUM(D124:D126)</f>
        <v>50665</v>
      </c>
      <c r="E123" s="336">
        <f t="shared" si="1131"/>
        <v>72535</v>
      </c>
      <c r="F123" s="336">
        <f t="shared" ref="F123" si="1132">SUM(F124:F126)</f>
        <v>12000</v>
      </c>
      <c r="G123" s="336">
        <f t="shared" si="1130"/>
        <v>22132184.630000003</v>
      </c>
      <c r="H123" s="336">
        <f t="shared" ref="H123" si="1133">SUM(H124:H126)</f>
        <v>22132185</v>
      </c>
      <c r="I123" s="336">
        <f t="shared" ref="I123" si="1134">SUM(I124:I126)</f>
        <v>21339234</v>
      </c>
      <c r="J123" s="336">
        <f t="shared" ref="J123" si="1135">SUM(J124:J126)</f>
        <v>15651450</v>
      </c>
      <c r="K123" s="336">
        <f t="shared" ref="K123:L123" si="1136">SUM(K124:K126)</f>
        <v>87750370</v>
      </c>
      <c r="L123" s="336">
        <f t="shared" si="1136"/>
        <v>88269389</v>
      </c>
      <c r="M123" s="336">
        <f t="shared" ref="M123" si="1137">SUM(M124:M126)</f>
        <v>88269389</v>
      </c>
      <c r="N123" s="336">
        <f t="shared" ref="N123" si="1138">SUM(N124:N126)</f>
        <v>88269427</v>
      </c>
      <c r="O123" s="336">
        <f t="shared" ref="O123:P123" si="1139">SUM(O124:O126)</f>
        <v>212598</v>
      </c>
      <c r="P123" s="336">
        <f t="shared" si="1139"/>
        <v>212598</v>
      </c>
      <c r="Q123" s="336">
        <f t="shared" ref="Q123" si="1140">SUM(Q124:Q126)</f>
        <v>212598</v>
      </c>
      <c r="R123" s="336">
        <f t="shared" ref="R123" si="1141">SUM(R124:R126)</f>
        <v>1546</v>
      </c>
      <c r="S123" s="336">
        <f t="shared" ref="S123:T123" si="1142">SUM(S124:S126)</f>
        <v>77302843</v>
      </c>
      <c r="T123" s="336">
        <f t="shared" si="1142"/>
        <v>77302843</v>
      </c>
      <c r="U123" s="336">
        <f t="shared" ref="U123" si="1143">SUM(U124:U126)</f>
        <v>75972843</v>
      </c>
      <c r="V123" s="336">
        <f t="shared" ref="V123" si="1144">SUM(V124:V126)</f>
        <v>0</v>
      </c>
      <c r="W123" s="336">
        <f t="shared" ref="W123:X123" si="1145">SUM(W124:W126)</f>
        <v>14682000</v>
      </c>
      <c r="X123" s="336">
        <f t="shared" si="1145"/>
        <v>75006001</v>
      </c>
      <c r="Y123" s="336">
        <f t="shared" ref="Y123" si="1146">SUM(Y124:Y126)</f>
        <v>74564050</v>
      </c>
      <c r="Z123" s="336">
        <f t="shared" ref="Z123" si="1147">SUM(Z124:Z126)</f>
        <v>37936313</v>
      </c>
      <c r="AA123" s="336">
        <f t="shared" ref="AA123:AB123" si="1148">SUM(AA124:AA126)</f>
        <v>186296151</v>
      </c>
      <c r="AB123" s="336">
        <f t="shared" si="1148"/>
        <v>70608864</v>
      </c>
      <c r="AC123" s="336">
        <f t="shared" ref="AC123" si="1149">SUM(AC124:AC126)</f>
        <v>70608864</v>
      </c>
      <c r="AD123" s="336">
        <f t="shared" ref="AD123" si="1150">SUM(AD124:AD126)</f>
        <v>67643792</v>
      </c>
      <c r="AE123" s="336">
        <f t="shared" ref="AE123" si="1151">SUM(AE124:AE126)</f>
        <v>0</v>
      </c>
      <c r="AF123" s="336">
        <f t="shared" ref="AF123" si="1152">SUM(AF124:AF126)</f>
        <v>0</v>
      </c>
      <c r="AG123" s="336">
        <f t="shared" ref="AG123:AH123" si="1153">SUM(AG124:AG126)</f>
        <v>770259</v>
      </c>
      <c r="AH123" s="336">
        <f t="shared" si="1153"/>
        <v>770259</v>
      </c>
      <c r="AI123" s="336">
        <f t="shared" ref="AI123" si="1154">SUM(AI124:AI126)</f>
        <v>770259</v>
      </c>
      <c r="AJ123" s="336">
        <f t="shared" ref="AJ123" si="1155">SUM(AJ124:AJ126)</f>
        <v>283707</v>
      </c>
      <c r="AK123" s="336">
        <f t="shared" ref="AK123" si="1156">SUM(AK124:AK126)</f>
        <v>4812586</v>
      </c>
      <c r="AL123" s="336">
        <f t="shared" ref="AL123" si="1157">SUM(AL124:AL126)</f>
        <v>4812586</v>
      </c>
      <c r="AM123" s="336">
        <f t="shared" ref="AM123" si="1158">SUM(AM124:AM126)</f>
        <v>5382925</v>
      </c>
      <c r="AN123" s="336">
        <f t="shared" ref="AN123" si="1159">SUM(AN124:AN126)</f>
        <v>760185</v>
      </c>
      <c r="AO123" s="336">
        <f t="shared" ref="AO123:AP123" si="1160">SUM(AO124:AO126)</f>
        <v>7257975</v>
      </c>
      <c r="AP123" s="336">
        <f t="shared" si="1160"/>
        <v>7257975</v>
      </c>
      <c r="AQ123" s="336">
        <f t="shared" ref="AQ123" si="1161">SUM(AQ124:AQ126)</f>
        <v>4965929</v>
      </c>
      <c r="AR123" s="336">
        <f t="shared" ref="AR123" si="1162">SUM(AR124:AR126)</f>
        <v>1665959</v>
      </c>
      <c r="AS123" s="336">
        <f t="shared" ref="AS123:AT123" si="1163">SUM(AS124:AS126)</f>
        <v>3970559</v>
      </c>
      <c r="AT123" s="336">
        <f t="shared" si="1163"/>
        <v>3919535</v>
      </c>
      <c r="AU123" s="336">
        <f t="shared" ref="AU123" si="1164">SUM(AU124:AU126)</f>
        <v>5595668</v>
      </c>
      <c r="AV123" s="336">
        <v>4199034</v>
      </c>
      <c r="AW123" s="336">
        <f t="shared" ref="AW123:AX123" si="1165">SUM(AW124:AW126)</f>
        <v>348435</v>
      </c>
      <c r="AX123" s="336">
        <f t="shared" si="1165"/>
        <v>348435</v>
      </c>
      <c r="AY123" s="336">
        <f t="shared" ref="AY123" si="1166">SUM(AY124:AY126)</f>
        <v>170634</v>
      </c>
      <c r="AZ123" s="336">
        <f t="shared" ref="AZ123" si="1167">SUM(AZ124:AZ126)</f>
        <v>32447</v>
      </c>
      <c r="BA123" s="336">
        <f t="shared" ref="BA123:BE123" si="1168">SUM(BA124:BA126)</f>
        <v>5940000</v>
      </c>
      <c r="BB123" s="336">
        <f t="shared" ref="BB123" si="1169">SUM(BB124:BB126)</f>
        <v>7236000</v>
      </c>
      <c r="BC123" s="336">
        <f t="shared" ref="BC123" si="1170">SUM(BC124:BC126)</f>
        <v>8076000</v>
      </c>
      <c r="BD123" s="336">
        <f t="shared" ref="BD123" si="1171">SUM(BD124:BD126)</f>
        <v>6672000</v>
      </c>
      <c r="BE123" s="336">
        <f t="shared" si="1168"/>
        <v>1509449</v>
      </c>
      <c r="BF123" s="336">
        <f t="shared" ref="BF123:BI123" si="1172">SUM(BF124:BF126)</f>
        <v>1509449</v>
      </c>
      <c r="BG123" s="336">
        <f t="shared" ref="BG123" si="1173">SUM(BG124:BG126)</f>
        <v>1509449</v>
      </c>
      <c r="BH123" s="336">
        <f t="shared" ref="BH123" si="1174">SUM(BH124:BH126)</f>
        <v>0</v>
      </c>
      <c r="BI123" s="336">
        <f t="shared" si="1172"/>
        <v>0</v>
      </c>
      <c r="BJ123" s="336">
        <f t="shared" ref="BJ123" si="1175">SUM(BJ124:BJ126)</f>
        <v>746641</v>
      </c>
      <c r="BK123" s="336">
        <f t="shared" ref="BK123:BN123" si="1176">SUM(BK124:BK126)</f>
        <v>746641</v>
      </c>
      <c r="BL123" s="336">
        <f t="shared" ref="BL123" si="1177">SUM(BL124:BL126)</f>
        <v>746641</v>
      </c>
      <c r="BM123" s="336">
        <f t="shared" si="1176"/>
        <v>0</v>
      </c>
      <c r="BN123" s="336">
        <f t="shared" si="1176"/>
        <v>0</v>
      </c>
      <c r="BO123" s="336">
        <f t="shared" ref="BO123" si="1178">SUM(BO124:BO126)</f>
        <v>0</v>
      </c>
      <c r="BP123" s="336">
        <f t="shared" ref="BP123" si="1179">SUM(BP124:BP126)</f>
        <v>0</v>
      </c>
      <c r="BQ123" s="372">
        <f t="shared" si="1126"/>
        <v>413036074.63</v>
      </c>
      <c r="BR123" s="618">
        <f t="shared" si="1127"/>
        <v>360183425</v>
      </c>
      <c r="BS123" s="618">
        <f t="shared" ca="1" si="1128"/>
        <v>358257018</v>
      </c>
      <c r="BT123" s="618">
        <f t="shared" ca="1" si="1129"/>
        <v>223874501</v>
      </c>
      <c r="BU123" s="646"/>
      <c r="BV123" s="646"/>
    </row>
    <row r="124" spans="1:78" ht="15.75" thickBot="1" x14ac:dyDescent="0.3">
      <c r="A124" s="190"/>
      <c r="B124" s="192" t="s">
        <v>223</v>
      </c>
      <c r="C124" s="336">
        <v>45665</v>
      </c>
      <c r="D124" s="336">
        <v>45665</v>
      </c>
      <c r="E124" s="336">
        <v>45665</v>
      </c>
      <c r="F124" s="336">
        <v>2551</v>
      </c>
      <c r="G124" s="336">
        <f>(G120+G121)*0.27</f>
        <v>22082184.630000003</v>
      </c>
      <c r="H124" s="336">
        <v>22082185</v>
      </c>
      <c r="I124" s="336">
        <f>22082185-482492-295459</f>
        <v>21304234</v>
      </c>
      <c r="J124" s="336">
        <v>15618606</v>
      </c>
      <c r="K124" s="336">
        <v>87750370</v>
      </c>
      <c r="L124" s="336">
        <v>87750370</v>
      </c>
      <c r="M124" s="336">
        <v>87750370</v>
      </c>
      <c r="N124" s="336">
        <v>87750408</v>
      </c>
      <c r="O124" s="336">
        <v>212598</v>
      </c>
      <c r="P124" s="336">
        <v>212598</v>
      </c>
      <c r="Q124" s="336">
        <v>212598</v>
      </c>
      <c r="R124" s="336">
        <v>1546</v>
      </c>
      <c r="S124" s="336">
        <f>774603+75198240</f>
        <v>75972843</v>
      </c>
      <c r="T124" s="336">
        <f>774603+75198240</f>
        <v>75972843</v>
      </c>
      <c r="U124" s="336">
        <f>774603+75198240</f>
        <v>75972843</v>
      </c>
      <c r="V124" s="336"/>
      <c r="W124" s="336">
        <v>13770000</v>
      </c>
      <c r="X124" s="336">
        <f>13770000+9249743+47898000+3376258</f>
        <v>74294001</v>
      </c>
      <c r="Y124" s="336">
        <f>13770000+9249743+47898000+3376258+35357</f>
        <v>74329358</v>
      </c>
      <c r="Z124" s="336">
        <v>37936313</v>
      </c>
      <c r="AA124" s="336">
        <f>171476946+3271488+11267717</f>
        <v>186016151</v>
      </c>
      <c r="AB124" s="336">
        <f>171476946+3271488+11267717-115687287</f>
        <v>70328864</v>
      </c>
      <c r="AC124" s="336">
        <f>171476946+3271488+11267717-115687287</f>
        <v>70328864</v>
      </c>
      <c r="AD124" s="336">
        <v>67543792</v>
      </c>
      <c r="AE124" s="336"/>
      <c r="AF124" s="336"/>
      <c r="AG124" s="336">
        <v>670259</v>
      </c>
      <c r="AH124" s="336">
        <v>670259</v>
      </c>
      <c r="AI124" s="336">
        <v>670259</v>
      </c>
      <c r="AJ124" s="336">
        <v>283707</v>
      </c>
      <c r="AK124" s="336">
        <f>3804382+1008204</f>
        <v>4812586</v>
      </c>
      <c r="AL124" s="336">
        <f>3804382+1008204</f>
        <v>4812586</v>
      </c>
      <c r="AM124" s="336">
        <f>3804382+1008204+570339</f>
        <v>5382925</v>
      </c>
      <c r="AN124" s="336">
        <v>760185</v>
      </c>
      <c r="AO124" s="336">
        <v>7257975</v>
      </c>
      <c r="AP124" s="336">
        <v>7257975</v>
      </c>
      <c r="AQ124" s="336">
        <f>7257975-784164-1507882</f>
        <v>4965929</v>
      </c>
      <c r="AR124" s="336">
        <v>1665959</v>
      </c>
      <c r="AS124" s="336">
        <f>4138512-167953</f>
        <v>3970559</v>
      </c>
      <c r="AT124" s="336">
        <f>4138512-167953-51024</f>
        <v>3919535</v>
      </c>
      <c r="AU124" s="336">
        <f>4138512-167953-51024-578606-369933</f>
        <v>2970996</v>
      </c>
      <c r="AV124" s="336">
        <v>1574362</v>
      </c>
      <c r="AW124" s="336">
        <v>348435</v>
      </c>
      <c r="AX124" s="336">
        <v>348435</v>
      </c>
      <c r="AY124" s="336">
        <f>348435+182905-360706</f>
        <v>170634</v>
      </c>
      <c r="AZ124" s="336">
        <v>32447</v>
      </c>
      <c r="BA124" s="339">
        <v>5940000</v>
      </c>
      <c r="BB124" s="339">
        <f>5940000+1296000</f>
        <v>7236000</v>
      </c>
      <c r="BC124" s="339">
        <f>5940000+1296000</f>
        <v>7236000</v>
      </c>
      <c r="BD124" s="339">
        <v>5832000</v>
      </c>
      <c r="BE124" s="339">
        <f>184847+1324602</f>
        <v>1509449</v>
      </c>
      <c r="BF124" s="339">
        <f>184847+1324602</f>
        <v>1509449</v>
      </c>
      <c r="BG124" s="339">
        <f>184847+1324602</f>
        <v>1509449</v>
      </c>
      <c r="BH124" s="339"/>
      <c r="BI124" s="339"/>
      <c r="BJ124" s="339">
        <v>746641</v>
      </c>
      <c r="BK124" s="339">
        <v>746641</v>
      </c>
      <c r="BL124" s="339">
        <v>746641</v>
      </c>
      <c r="BM124" s="339"/>
      <c r="BN124" s="339"/>
      <c r="BO124" s="339"/>
      <c r="BP124" s="339"/>
      <c r="BQ124" s="372">
        <f t="shared" si="1126"/>
        <v>410359074.63</v>
      </c>
      <c r="BR124" s="618">
        <f t="shared" si="1127"/>
        <v>357187406</v>
      </c>
      <c r="BS124" s="618">
        <f t="shared" ca="1" si="1128"/>
        <v>353596765</v>
      </c>
      <c r="BT124" s="618">
        <f t="shared" ca="1" si="1129"/>
        <v>219748517</v>
      </c>
      <c r="BU124" s="646"/>
      <c r="BV124" s="646"/>
    </row>
    <row r="125" spans="1:78" ht="15.75" thickBot="1" x14ac:dyDescent="0.3">
      <c r="A125" s="377"/>
      <c r="B125" s="201" t="s">
        <v>224</v>
      </c>
      <c r="C125" s="336"/>
      <c r="D125" s="336"/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36"/>
      <c r="AA125" s="336"/>
      <c r="AB125" s="336"/>
      <c r="AC125" s="336"/>
      <c r="AD125" s="336"/>
      <c r="AE125" s="336"/>
      <c r="AF125" s="336"/>
      <c r="AG125" s="336"/>
      <c r="AH125" s="336"/>
      <c r="AI125" s="336"/>
      <c r="AJ125" s="336"/>
      <c r="AK125" s="336"/>
      <c r="AL125" s="336"/>
      <c r="AM125" s="336"/>
      <c r="AN125" s="336"/>
      <c r="AO125" s="336"/>
      <c r="AP125" s="336"/>
      <c r="AQ125" s="336"/>
      <c r="AR125" s="336"/>
      <c r="AS125" s="336"/>
      <c r="AT125" s="336"/>
      <c r="AU125" s="336"/>
      <c r="AV125" s="336"/>
      <c r="AW125" s="336"/>
      <c r="AX125" s="336"/>
      <c r="AY125" s="336"/>
      <c r="AZ125" s="336"/>
      <c r="BA125" s="336"/>
      <c r="BB125" s="336"/>
      <c r="BC125" s="336"/>
      <c r="BD125" s="336"/>
      <c r="BE125" s="336"/>
      <c r="BF125" s="336"/>
      <c r="BG125" s="336"/>
      <c r="BH125" s="336"/>
      <c r="BI125" s="336"/>
      <c r="BJ125" s="336"/>
      <c r="BK125" s="336"/>
      <c r="BL125" s="336"/>
      <c r="BM125" s="336"/>
      <c r="BN125" s="336"/>
      <c r="BO125" s="336"/>
      <c r="BP125" s="336"/>
      <c r="BQ125" s="372">
        <f t="shared" si="1126"/>
        <v>0</v>
      </c>
      <c r="BR125" s="618">
        <f t="shared" si="1127"/>
        <v>0</v>
      </c>
      <c r="BS125" s="618">
        <f t="shared" ca="1" si="1128"/>
        <v>0</v>
      </c>
      <c r="BT125" s="618">
        <f t="shared" ca="1" si="1129"/>
        <v>0</v>
      </c>
      <c r="BU125" s="646"/>
      <c r="BV125" s="646"/>
    </row>
    <row r="126" spans="1:78" ht="15.75" thickBot="1" x14ac:dyDescent="0.3">
      <c r="A126" s="381" t="s">
        <v>225</v>
      </c>
      <c r="B126" s="206" t="s">
        <v>226</v>
      </c>
      <c r="C126" s="337">
        <v>5000</v>
      </c>
      <c r="D126" s="337">
        <v>5000</v>
      </c>
      <c r="E126" s="337">
        <f>5000+21870</f>
        <v>26870</v>
      </c>
      <c r="F126" s="337">
        <v>9449</v>
      </c>
      <c r="G126" s="337">
        <v>50000</v>
      </c>
      <c r="H126" s="337">
        <v>50000</v>
      </c>
      <c r="I126" s="337">
        <v>35000</v>
      </c>
      <c r="J126" s="337">
        <v>32844</v>
      </c>
      <c r="K126" s="337"/>
      <c r="L126" s="337">
        <v>519019</v>
      </c>
      <c r="M126" s="337">
        <v>519019</v>
      </c>
      <c r="N126" s="337">
        <v>519019</v>
      </c>
      <c r="O126" s="337"/>
      <c r="P126" s="337"/>
      <c r="Q126" s="337"/>
      <c r="R126" s="337"/>
      <c r="S126" s="337">
        <v>1330000</v>
      </c>
      <c r="T126" s="337">
        <v>1330000</v>
      </c>
      <c r="U126" s="337"/>
      <c r="V126" s="337"/>
      <c r="W126" s="337">
        <v>912000</v>
      </c>
      <c r="X126" s="337">
        <f>912000-200000</f>
        <v>712000</v>
      </c>
      <c r="Y126" s="337">
        <f>912000-200000-166308-311000</f>
        <v>234692</v>
      </c>
      <c r="Z126" s="337">
        <v>0</v>
      </c>
      <c r="AA126" s="337">
        <v>280000</v>
      </c>
      <c r="AB126" s="337">
        <v>280000</v>
      </c>
      <c r="AC126" s="337">
        <v>280000</v>
      </c>
      <c r="AD126" s="337">
        <v>100000</v>
      </c>
      <c r="AE126" s="337"/>
      <c r="AF126" s="337"/>
      <c r="AG126" s="337">
        <v>100000</v>
      </c>
      <c r="AH126" s="337">
        <v>100000</v>
      </c>
      <c r="AI126" s="337">
        <v>100000</v>
      </c>
      <c r="AJ126" s="337"/>
      <c r="AK126" s="337"/>
      <c r="AL126" s="337"/>
      <c r="AM126" s="337"/>
      <c r="AN126" s="337"/>
      <c r="AO126" s="337"/>
      <c r="AP126" s="337"/>
      <c r="AQ126" s="337"/>
      <c r="AR126" s="337"/>
      <c r="AS126" s="337"/>
      <c r="AT126" s="337"/>
      <c r="AU126" s="337">
        <v>2624672</v>
      </c>
      <c r="AV126" s="337">
        <v>2624672</v>
      </c>
      <c r="AW126" s="337"/>
      <c r="AX126" s="337"/>
      <c r="AY126" s="337"/>
      <c r="AZ126" s="337"/>
      <c r="BA126" s="337"/>
      <c r="BB126" s="337"/>
      <c r="BC126" s="337">
        <v>840000</v>
      </c>
      <c r="BD126" s="337">
        <v>840000</v>
      </c>
      <c r="BE126" s="337"/>
      <c r="BF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74">
        <f t="shared" si="1126"/>
        <v>2677000</v>
      </c>
      <c r="BR126" s="618">
        <f t="shared" si="1127"/>
        <v>2996019</v>
      </c>
      <c r="BS126" s="618">
        <f t="shared" ca="1" si="1128"/>
        <v>4660253</v>
      </c>
      <c r="BT126" s="618">
        <f t="shared" ca="1" si="1129"/>
        <v>4125984</v>
      </c>
      <c r="BU126" s="646"/>
      <c r="BV126" s="646"/>
    </row>
    <row r="127" spans="1:78" ht="15.75" thickBot="1" x14ac:dyDescent="0.3">
      <c r="A127" s="380" t="s">
        <v>227</v>
      </c>
      <c r="B127" s="378" t="s">
        <v>36</v>
      </c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  <c r="AU127" s="344"/>
      <c r="AV127" s="344"/>
      <c r="AW127" s="344"/>
      <c r="AX127" s="344"/>
      <c r="AY127" s="344"/>
      <c r="AZ127" s="344"/>
      <c r="BA127" s="344"/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44"/>
      <c r="BO127" s="344"/>
      <c r="BP127" s="344"/>
      <c r="BQ127" s="379">
        <f t="shared" si="1126"/>
        <v>0</v>
      </c>
      <c r="BR127" s="618">
        <f t="shared" si="1127"/>
        <v>0</v>
      </c>
      <c r="BS127" s="618">
        <f t="shared" ca="1" si="1128"/>
        <v>0</v>
      </c>
      <c r="BT127" s="618">
        <f t="shared" ca="1" si="1129"/>
        <v>0</v>
      </c>
      <c r="BU127" s="646"/>
      <c r="BV127" s="646"/>
    </row>
    <row r="128" spans="1:78" ht="15.75" thickBot="1" x14ac:dyDescent="0.3">
      <c r="A128" s="188" t="s">
        <v>228</v>
      </c>
      <c r="B128" s="189" t="s">
        <v>37</v>
      </c>
      <c r="C128" s="335">
        <f t="shared" ref="C128:G128" si="1180">SUM(C129:C134)</f>
        <v>0</v>
      </c>
      <c r="D128" s="335">
        <f t="shared" ref="D128:E128" si="1181">SUM(D129:D134)</f>
        <v>0</v>
      </c>
      <c r="E128" s="335">
        <f t="shared" si="1181"/>
        <v>0</v>
      </c>
      <c r="F128" s="335">
        <f t="shared" ref="F128" si="1182">SUM(F129:F134)</f>
        <v>0</v>
      </c>
      <c r="G128" s="335">
        <f t="shared" si="1180"/>
        <v>0</v>
      </c>
      <c r="H128" s="335">
        <f t="shared" ref="H128" si="1183">SUM(H129:H134)</f>
        <v>245000</v>
      </c>
      <c r="I128" s="335">
        <f t="shared" ref="I128" si="1184">SUM(I129:I134)</f>
        <v>245000</v>
      </c>
      <c r="J128" s="335">
        <f t="shared" ref="J128" si="1185">SUM(J129:J134)</f>
        <v>245000</v>
      </c>
      <c r="K128" s="335">
        <f t="shared" ref="K128:L128" si="1186">SUM(K129:K134)</f>
        <v>0</v>
      </c>
      <c r="L128" s="335">
        <f t="shared" si="1186"/>
        <v>0</v>
      </c>
      <c r="M128" s="335">
        <f t="shared" ref="M128" si="1187">SUM(M129:M134)</f>
        <v>0</v>
      </c>
      <c r="N128" s="335">
        <f t="shared" ref="N128" si="1188">SUM(N129:N134)</f>
        <v>0</v>
      </c>
      <c r="O128" s="335">
        <f t="shared" ref="O128:P128" si="1189">SUM(O129:O134)</f>
        <v>0</v>
      </c>
      <c r="P128" s="335">
        <f t="shared" si="1189"/>
        <v>0</v>
      </c>
      <c r="Q128" s="335">
        <f t="shared" ref="Q128" si="1190">SUM(Q129:Q134)</f>
        <v>0</v>
      </c>
      <c r="R128" s="335">
        <f t="shared" ref="R128" si="1191">SUM(R129:R134)</f>
        <v>0</v>
      </c>
      <c r="S128" s="335">
        <f t="shared" ref="S128:T128" si="1192">SUM(S129:S134)</f>
        <v>0</v>
      </c>
      <c r="T128" s="335">
        <f t="shared" si="1192"/>
        <v>0</v>
      </c>
      <c r="U128" s="335">
        <f t="shared" ref="U128" si="1193">SUM(U129:U134)</f>
        <v>0</v>
      </c>
      <c r="V128" s="335">
        <f t="shared" ref="V128" si="1194">SUM(V129:V134)</f>
        <v>0</v>
      </c>
      <c r="W128" s="335">
        <f t="shared" ref="W128:X128" si="1195">SUM(W129:W134)</f>
        <v>0</v>
      </c>
      <c r="X128" s="335">
        <f t="shared" si="1195"/>
        <v>0</v>
      </c>
      <c r="Y128" s="335">
        <f t="shared" ref="Y128" si="1196">SUM(Y129:Y134)</f>
        <v>0</v>
      </c>
      <c r="Z128" s="335">
        <f t="shared" ref="Z128" si="1197">SUM(Z129:Z134)</f>
        <v>0</v>
      </c>
      <c r="AA128" s="335">
        <f t="shared" ref="AA128:AB128" si="1198">SUM(AA129:AA134)</f>
        <v>0</v>
      </c>
      <c r="AB128" s="335">
        <f t="shared" si="1198"/>
        <v>0</v>
      </c>
      <c r="AC128" s="335">
        <f t="shared" ref="AC128" si="1199">SUM(AC129:AC134)</f>
        <v>0</v>
      </c>
      <c r="AD128" s="335">
        <f t="shared" ref="AD128" si="1200">SUM(AD129:AD134)</f>
        <v>0</v>
      </c>
      <c r="AE128" s="335">
        <f t="shared" ref="AE128" si="1201">SUM(AE129:AE134)</f>
        <v>0</v>
      </c>
      <c r="AF128" s="335">
        <f t="shared" ref="AF128" si="1202">SUM(AF129:AF134)</f>
        <v>0</v>
      </c>
      <c r="AG128" s="335">
        <f t="shared" ref="AG128:AH128" si="1203">SUM(AG129:AG134)</f>
        <v>0</v>
      </c>
      <c r="AH128" s="335">
        <f t="shared" si="1203"/>
        <v>0</v>
      </c>
      <c r="AI128" s="335">
        <f t="shared" ref="AI128" si="1204">SUM(AI129:AI134)</f>
        <v>0</v>
      </c>
      <c r="AJ128" s="335">
        <f t="shared" ref="AJ128" si="1205">SUM(AJ129:AJ134)</f>
        <v>0</v>
      </c>
      <c r="AK128" s="335">
        <f t="shared" ref="AK128" si="1206">SUM(AK129:AK134)</f>
        <v>0</v>
      </c>
      <c r="AL128" s="335">
        <f t="shared" ref="AL128" si="1207">SUM(AL129:AL134)</f>
        <v>0</v>
      </c>
      <c r="AM128" s="335">
        <f t="shared" ref="AM128" si="1208">SUM(AM129:AM134)</f>
        <v>0</v>
      </c>
      <c r="AN128" s="335">
        <f t="shared" ref="AN128" si="1209">SUM(AN129:AN134)</f>
        <v>0</v>
      </c>
      <c r="AO128" s="335">
        <f t="shared" ref="AO128:AP128" si="1210">SUM(AO129:AO134)</f>
        <v>0</v>
      </c>
      <c r="AP128" s="335">
        <f t="shared" si="1210"/>
        <v>0</v>
      </c>
      <c r="AQ128" s="335">
        <f t="shared" ref="AQ128" si="1211">SUM(AQ129:AQ134)</f>
        <v>0</v>
      </c>
      <c r="AR128" s="335">
        <f t="shared" ref="AR128" si="1212">SUM(AR129:AR134)</f>
        <v>0</v>
      </c>
      <c r="AS128" s="335">
        <f t="shared" ref="AS128:AU128" si="1213">SUM(AS129:AS134)</f>
        <v>790000</v>
      </c>
      <c r="AT128" s="335">
        <f t="shared" si="1213"/>
        <v>1030000</v>
      </c>
      <c r="AU128" s="335">
        <f t="shared" si="1213"/>
        <v>866918</v>
      </c>
      <c r="AV128" s="335">
        <f t="shared" ref="AV128" si="1214">SUM(AV129:AV134)</f>
        <v>0</v>
      </c>
      <c r="AW128" s="335">
        <f t="shared" ref="AW128:AX128" si="1215">SUM(AW129:AW134)</f>
        <v>0</v>
      </c>
      <c r="AX128" s="335">
        <f t="shared" si="1215"/>
        <v>0</v>
      </c>
      <c r="AY128" s="335">
        <f t="shared" ref="AY128" si="1216">SUM(AY129:AY134)</f>
        <v>0</v>
      </c>
      <c r="AZ128" s="335">
        <f t="shared" ref="AZ128" si="1217">SUM(AZ129:AZ134)</f>
        <v>0</v>
      </c>
      <c r="BA128" s="335">
        <f t="shared" ref="BA128:BE128" si="1218">SUM(BA129:BA134)</f>
        <v>0</v>
      </c>
      <c r="BB128" s="335">
        <f t="shared" ref="BB128" si="1219">SUM(BB129:BB134)</f>
        <v>0</v>
      </c>
      <c r="BC128" s="335">
        <f t="shared" ref="BC128" si="1220">SUM(BC129:BC134)</f>
        <v>0</v>
      </c>
      <c r="BD128" s="335">
        <f t="shared" ref="BD128" si="1221">SUM(BD129:BD134)</f>
        <v>0</v>
      </c>
      <c r="BE128" s="335">
        <f t="shared" si="1218"/>
        <v>0</v>
      </c>
      <c r="BF128" s="335">
        <f t="shared" ref="BF128:BI128" si="1222">SUM(BF129:BF134)</f>
        <v>0</v>
      </c>
      <c r="BG128" s="335">
        <f t="shared" ref="BG128" si="1223">SUM(BG129:BG134)</f>
        <v>0</v>
      </c>
      <c r="BH128" s="335">
        <f t="shared" ref="BH128" si="1224">SUM(BH129:BH134)</f>
        <v>0</v>
      </c>
      <c r="BI128" s="335">
        <f t="shared" si="1222"/>
        <v>0</v>
      </c>
      <c r="BJ128" s="335">
        <f t="shared" ref="BJ128" si="1225">SUM(BJ129:BJ134)</f>
        <v>0</v>
      </c>
      <c r="BK128" s="335">
        <f t="shared" ref="BK128:BN128" si="1226">SUM(BK129:BK134)</f>
        <v>0</v>
      </c>
      <c r="BL128" s="335">
        <f t="shared" ref="BL128" si="1227">SUM(BL129:BL134)</f>
        <v>0</v>
      </c>
      <c r="BM128" s="335">
        <f t="shared" si="1226"/>
        <v>0</v>
      </c>
      <c r="BN128" s="335">
        <f t="shared" si="1226"/>
        <v>0</v>
      </c>
      <c r="BO128" s="335">
        <f t="shared" ref="BO128" si="1228">SUM(BO129:BO134)</f>
        <v>0</v>
      </c>
      <c r="BP128" s="335">
        <f t="shared" ref="BP128" si="1229">SUM(BP129:BP134)</f>
        <v>0</v>
      </c>
      <c r="BQ128" s="372">
        <f t="shared" si="1126"/>
        <v>790000</v>
      </c>
      <c r="BR128" s="618">
        <f t="shared" si="1127"/>
        <v>1275000</v>
      </c>
      <c r="BS128" s="618">
        <f t="shared" ca="1" si="1128"/>
        <v>1111918</v>
      </c>
      <c r="BT128" s="618">
        <f t="shared" ca="1" si="1129"/>
        <v>245000</v>
      </c>
      <c r="BU128" s="646"/>
      <c r="BV128" s="646"/>
      <c r="BZ128" s="646"/>
    </row>
    <row r="129" spans="1:74" ht="15" hidden="1" customHeight="1" thickBot="1" x14ac:dyDescent="0.3">
      <c r="A129" s="190" t="s">
        <v>229</v>
      </c>
      <c r="B129" s="180" t="s">
        <v>230</v>
      </c>
      <c r="C129" s="336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  <c r="AA129" s="336"/>
      <c r="AB129" s="336"/>
      <c r="AC129" s="336"/>
      <c r="AD129" s="336"/>
      <c r="AE129" s="336"/>
      <c r="AF129" s="336"/>
      <c r="AG129" s="336"/>
      <c r="AH129" s="336"/>
      <c r="AI129" s="336"/>
      <c r="AJ129" s="336"/>
      <c r="AK129" s="336"/>
      <c r="AL129" s="336"/>
      <c r="AM129" s="336"/>
      <c r="AN129" s="336"/>
      <c r="AO129" s="336"/>
      <c r="AP129" s="336"/>
      <c r="AQ129" s="336"/>
      <c r="AR129" s="336"/>
      <c r="AS129" s="336"/>
      <c r="AT129" s="336"/>
      <c r="AU129" s="336"/>
      <c r="AV129" s="336"/>
      <c r="AW129" s="336"/>
      <c r="AX129" s="336"/>
      <c r="AY129" s="336"/>
      <c r="AZ129" s="336"/>
      <c r="BA129" s="336"/>
      <c r="BB129" s="336"/>
      <c r="BC129" s="336"/>
      <c r="BD129" s="336"/>
      <c r="BE129" s="336"/>
      <c r="BF129" s="336"/>
      <c r="BG129" s="336"/>
      <c r="BH129" s="336"/>
      <c r="BI129" s="336"/>
      <c r="BJ129" s="336"/>
      <c r="BK129" s="336"/>
      <c r="BL129" s="336"/>
      <c r="BM129" s="336"/>
      <c r="BN129" s="336"/>
      <c r="BO129" s="336"/>
      <c r="BP129" s="336"/>
      <c r="BQ129" s="372">
        <f t="shared" si="1126"/>
        <v>0</v>
      </c>
      <c r="BR129" s="618">
        <f t="shared" si="1127"/>
        <v>0</v>
      </c>
      <c r="BS129" s="618">
        <f t="shared" ca="1" si="1128"/>
        <v>0</v>
      </c>
      <c r="BT129" s="618">
        <f t="shared" ca="1" si="1129"/>
        <v>0</v>
      </c>
      <c r="BU129" s="646"/>
      <c r="BV129" s="646"/>
    </row>
    <row r="130" spans="1:74" ht="15" hidden="1" customHeight="1" thickBot="1" x14ac:dyDescent="0.3">
      <c r="A130" s="190" t="s">
        <v>548</v>
      </c>
      <c r="B130" s="180" t="s">
        <v>549</v>
      </c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36"/>
      <c r="AA130" s="336"/>
      <c r="AB130" s="336"/>
      <c r="AC130" s="336"/>
      <c r="AD130" s="336"/>
      <c r="AE130" s="336"/>
      <c r="AF130" s="336"/>
      <c r="AG130" s="336"/>
      <c r="AH130" s="336"/>
      <c r="AI130" s="336"/>
      <c r="AJ130" s="336"/>
      <c r="AK130" s="336"/>
      <c r="AL130" s="336"/>
      <c r="AM130" s="336"/>
      <c r="AN130" s="336"/>
      <c r="AO130" s="336"/>
      <c r="AP130" s="336"/>
      <c r="AQ130" s="336"/>
      <c r="AR130" s="336"/>
      <c r="AS130" s="336"/>
      <c r="AT130" s="336"/>
      <c r="AU130" s="336"/>
      <c r="AV130" s="336"/>
      <c r="AW130" s="336"/>
      <c r="AX130" s="336"/>
      <c r="AY130" s="336"/>
      <c r="AZ130" s="336"/>
      <c r="BA130" s="336"/>
      <c r="BB130" s="336"/>
      <c r="BC130" s="336"/>
      <c r="BD130" s="336"/>
      <c r="BE130" s="336"/>
      <c r="BF130" s="336"/>
      <c r="BG130" s="336"/>
      <c r="BH130" s="336"/>
      <c r="BI130" s="336"/>
      <c r="BJ130" s="336"/>
      <c r="BK130" s="336"/>
      <c r="BL130" s="336"/>
      <c r="BM130" s="336"/>
      <c r="BN130" s="336"/>
      <c r="BO130" s="336"/>
      <c r="BP130" s="336"/>
      <c r="BQ130" s="372">
        <f t="shared" si="1126"/>
        <v>0</v>
      </c>
      <c r="BR130" s="618">
        <f t="shared" si="1127"/>
        <v>0</v>
      </c>
      <c r="BS130" s="618">
        <f t="shared" ca="1" si="1128"/>
        <v>0</v>
      </c>
      <c r="BT130" s="618">
        <f t="shared" ca="1" si="1129"/>
        <v>0</v>
      </c>
      <c r="BU130" s="646"/>
      <c r="BV130" s="646"/>
    </row>
    <row r="131" spans="1:74" ht="15" hidden="1" customHeight="1" thickBot="1" x14ac:dyDescent="0.3">
      <c r="A131" s="190" t="s">
        <v>231</v>
      </c>
      <c r="B131" s="180" t="s">
        <v>232</v>
      </c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  <c r="AA131" s="336"/>
      <c r="AB131" s="336"/>
      <c r="AC131" s="336"/>
      <c r="AD131" s="336"/>
      <c r="AE131" s="336"/>
      <c r="AF131" s="336"/>
      <c r="AG131" s="336"/>
      <c r="AH131" s="336"/>
      <c r="AI131" s="336"/>
      <c r="AJ131" s="336"/>
      <c r="AK131" s="336"/>
      <c r="AL131" s="336"/>
      <c r="AM131" s="336"/>
      <c r="AN131" s="336"/>
      <c r="AO131" s="336"/>
      <c r="AP131" s="336"/>
      <c r="AQ131" s="336"/>
      <c r="AR131" s="336"/>
      <c r="AS131" s="336"/>
      <c r="AT131" s="336"/>
      <c r="AU131" s="336"/>
      <c r="AV131" s="336"/>
      <c r="AW131" s="336"/>
      <c r="AX131" s="336"/>
      <c r="AY131" s="336"/>
      <c r="AZ131" s="336"/>
      <c r="BA131" s="336"/>
      <c r="BB131" s="336"/>
      <c r="BC131" s="336"/>
      <c r="BD131" s="336"/>
      <c r="BE131" s="336"/>
      <c r="BF131" s="336"/>
      <c r="BG131" s="336"/>
      <c r="BH131" s="336"/>
      <c r="BI131" s="336"/>
      <c r="BJ131" s="336"/>
      <c r="BK131" s="336"/>
      <c r="BL131" s="336"/>
      <c r="BM131" s="336"/>
      <c r="BN131" s="336"/>
      <c r="BO131" s="336"/>
      <c r="BP131" s="336"/>
      <c r="BQ131" s="372">
        <f t="shared" si="1126"/>
        <v>0</v>
      </c>
      <c r="BR131" s="618">
        <f t="shared" si="1127"/>
        <v>0</v>
      </c>
      <c r="BS131" s="618">
        <f t="shared" ca="1" si="1128"/>
        <v>0</v>
      </c>
      <c r="BT131" s="618">
        <f t="shared" ca="1" si="1129"/>
        <v>0</v>
      </c>
      <c r="BU131" s="646"/>
      <c r="BV131" s="646"/>
    </row>
    <row r="132" spans="1:74" ht="15" hidden="1" customHeight="1" thickBot="1" x14ac:dyDescent="0.3">
      <c r="A132" s="190" t="s">
        <v>233</v>
      </c>
      <c r="B132" s="180" t="s">
        <v>234</v>
      </c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336"/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336"/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72">
        <f t="shared" si="1126"/>
        <v>0</v>
      </c>
      <c r="BR132" s="618">
        <f t="shared" si="1127"/>
        <v>0</v>
      </c>
      <c r="BS132" s="618">
        <f t="shared" ca="1" si="1128"/>
        <v>0</v>
      </c>
      <c r="BT132" s="618">
        <f t="shared" ca="1" si="1129"/>
        <v>0</v>
      </c>
      <c r="BU132" s="646"/>
      <c r="BV132" s="646"/>
    </row>
    <row r="133" spans="1:74" ht="15.75" thickBot="1" x14ac:dyDescent="0.3">
      <c r="A133" s="190" t="s">
        <v>235</v>
      </c>
      <c r="B133" s="180" t="s">
        <v>236</v>
      </c>
      <c r="C133" s="336"/>
      <c r="D133" s="336"/>
      <c r="E133" s="336"/>
      <c r="F133" s="336"/>
      <c r="G133" s="336"/>
      <c r="H133" s="336">
        <v>245000</v>
      </c>
      <c r="I133" s="336">
        <v>245000</v>
      </c>
      <c r="J133" s="336">
        <v>245000</v>
      </c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  <c r="AA133" s="336"/>
      <c r="AB133" s="336"/>
      <c r="AC133" s="336"/>
      <c r="AD133" s="336"/>
      <c r="AE133" s="336"/>
      <c r="AF133" s="336"/>
      <c r="AG133" s="336"/>
      <c r="AH133" s="336"/>
      <c r="AI133" s="336"/>
      <c r="AJ133" s="336"/>
      <c r="AK133" s="336"/>
      <c r="AL133" s="336"/>
      <c r="AM133" s="336"/>
      <c r="AN133" s="336"/>
      <c r="AO133" s="336"/>
      <c r="AP133" s="336"/>
      <c r="AQ133" s="336"/>
      <c r="AR133" s="336"/>
      <c r="AS133" s="336">
        <v>790000</v>
      </c>
      <c r="AT133" s="336">
        <f>790000+240000</f>
        <v>1030000</v>
      </c>
      <c r="AU133" s="336">
        <v>866918</v>
      </c>
      <c r="AV133" s="336"/>
      <c r="AW133" s="336"/>
      <c r="AX133" s="336"/>
      <c r="AY133" s="336"/>
      <c r="AZ133" s="336"/>
      <c r="BA133" s="336"/>
      <c r="BB133" s="336"/>
      <c r="BC133" s="336"/>
      <c r="BD133" s="336"/>
      <c r="BE133" s="336"/>
      <c r="BF133" s="336"/>
      <c r="BG133" s="336"/>
      <c r="BH133" s="336"/>
      <c r="BI133" s="336"/>
      <c r="BJ133" s="336"/>
      <c r="BK133" s="336"/>
      <c r="BL133" s="336"/>
      <c r="BM133" s="336"/>
      <c r="BN133" s="336"/>
      <c r="BO133" s="336"/>
      <c r="BP133" s="336"/>
      <c r="BQ133" s="372">
        <f t="shared" si="1126"/>
        <v>790000</v>
      </c>
      <c r="BR133" s="618">
        <f t="shared" si="1127"/>
        <v>1275000</v>
      </c>
      <c r="BS133" s="618">
        <f t="shared" ca="1" si="1128"/>
        <v>1111918</v>
      </c>
      <c r="BT133" s="618">
        <f t="shared" ca="1" si="1129"/>
        <v>245000</v>
      </c>
      <c r="BU133" s="646"/>
      <c r="BV133" s="646"/>
    </row>
    <row r="134" spans="1:74" ht="15.75" hidden="1" customHeight="1" thickBot="1" x14ac:dyDescent="0.3">
      <c r="A134" s="190" t="s">
        <v>237</v>
      </c>
      <c r="B134" s="180" t="s">
        <v>238</v>
      </c>
      <c r="C134" s="336">
        <f t="shared" ref="C134:G134" si="1230">SUM(C135:C136)</f>
        <v>0</v>
      </c>
      <c r="D134" s="336">
        <f t="shared" ref="D134:E134" si="1231">SUM(D135:D136)</f>
        <v>0</v>
      </c>
      <c r="E134" s="336">
        <f t="shared" si="1231"/>
        <v>0</v>
      </c>
      <c r="F134" s="336">
        <f t="shared" ref="F134" si="1232">SUM(F135:F136)</f>
        <v>0</v>
      </c>
      <c r="G134" s="336">
        <f t="shared" si="1230"/>
        <v>0</v>
      </c>
      <c r="H134" s="336">
        <f t="shared" ref="H134" si="1233">SUM(H135:H136)</f>
        <v>0</v>
      </c>
      <c r="I134" s="336">
        <f t="shared" ref="I134" si="1234">SUM(I135:I136)</f>
        <v>0</v>
      </c>
      <c r="J134" s="336">
        <f t="shared" ref="J134" si="1235">SUM(J135:J136)</f>
        <v>0</v>
      </c>
      <c r="K134" s="336">
        <f t="shared" ref="K134:L134" si="1236">SUM(K135:K136)</f>
        <v>0</v>
      </c>
      <c r="L134" s="336">
        <f t="shared" si="1236"/>
        <v>0</v>
      </c>
      <c r="M134" s="336">
        <f t="shared" ref="M134" si="1237">SUM(M135:M136)</f>
        <v>0</v>
      </c>
      <c r="N134" s="336">
        <f t="shared" ref="N134" si="1238">SUM(N135:N136)</f>
        <v>0</v>
      </c>
      <c r="O134" s="336">
        <f t="shared" ref="O134:P134" si="1239">SUM(O135:O136)</f>
        <v>0</v>
      </c>
      <c r="P134" s="336">
        <f t="shared" si="1239"/>
        <v>0</v>
      </c>
      <c r="Q134" s="336">
        <f t="shared" ref="Q134" si="1240">SUM(Q135:Q136)</f>
        <v>0</v>
      </c>
      <c r="R134" s="336">
        <f t="shared" ref="R134" si="1241">SUM(R135:R136)</f>
        <v>0</v>
      </c>
      <c r="S134" s="336">
        <f t="shared" ref="S134:T134" si="1242">SUM(S135:S136)</f>
        <v>0</v>
      </c>
      <c r="T134" s="336">
        <f t="shared" si="1242"/>
        <v>0</v>
      </c>
      <c r="U134" s="336">
        <f t="shared" ref="U134" si="1243">SUM(U135:U136)</f>
        <v>0</v>
      </c>
      <c r="V134" s="336">
        <f t="shared" ref="V134" si="1244">SUM(V135:V136)</f>
        <v>0</v>
      </c>
      <c r="W134" s="336">
        <f t="shared" ref="W134:X134" si="1245">SUM(W135:W136)</f>
        <v>0</v>
      </c>
      <c r="X134" s="336">
        <f t="shared" si="1245"/>
        <v>0</v>
      </c>
      <c r="Y134" s="336">
        <f t="shared" ref="Y134" si="1246">SUM(Y135:Y136)</f>
        <v>0</v>
      </c>
      <c r="Z134" s="336">
        <f t="shared" ref="Z134" si="1247">SUM(Z135:Z136)</f>
        <v>0</v>
      </c>
      <c r="AA134" s="336">
        <f t="shared" ref="AA134:AB134" si="1248">SUM(AA135:AA136)</f>
        <v>0</v>
      </c>
      <c r="AB134" s="336">
        <f t="shared" si="1248"/>
        <v>0</v>
      </c>
      <c r="AC134" s="336">
        <f t="shared" ref="AC134" si="1249">SUM(AC135:AC136)</f>
        <v>0</v>
      </c>
      <c r="AD134" s="336">
        <f t="shared" ref="AD134" si="1250">SUM(AD135:AD136)</f>
        <v>0</v>
      </c>
      <c r="AE134" s="336">
        <f t="shared" ref="AE134" si="1251">SUM(AE135:AE136)</f>
        <v>0</v>
      </c>
      <c r="AF134" s="336">
        <f t="shared" ref="AF134" si="1252">SUM(AF135:AF136)</f>
        <v>0</v>
      </c>
      <c r="AG134" s="336">
        <f t="shared" ref="AG134:AH134" si="1253">SUM(AG135:AG136)</f>
        <v>0</v>
      </c>
      <c r="AH134" s="336">
        <f t="shared" si="1253"/>
        <v>0</v>
      </c>
      <c r="AI134" s="336">
        <f t="shared" ref="AI134" si="1254">SUM(AI135:AI136)</f>
        <v>0</v>
      </c>
      <c r="AJ134" s="336">
        <f t="shared" ref="AJ134" si="1255">SUM(AJ135:AJ136)</f>
        <v>0</v>
      </c>
      <c r="AK134" s="336">
        <f t="shared" ref="AK134" si="1256">SUM(AK135:AK136)</f>
        <v>0</v>
      </c>
      <c r="AL134" s="336">
        <f t="shared" ref="AL134" si="1257">SUM(AL135:AL136)</f>
        <v>0</v>
      </c>
      <c r="AM134" s="336">
        <f t="shared" ref="AM134" si="1258">SUM(AM135:AM136)</f>
        <v>0</v>
      </c>
      <c r="AN134" s="336">
        <f t="shared" ref="AN134" si="1259">SUM(AN135:AN136)</f>
        <v>0</v>
      </c>
      <c r="AO134" s="336">
        <f t="shared" ref="AO134:AP134" si="1260">SUM(AO135:AO136)</f>
        <v>0</v>
      </c>
      <c r="AP134" s="336">
        <f t="shared" si="1260"/>
        <v>0</v>
      </c>
      <c r="AQ134" s="336">
        <f t="shared" ref="AQ134" si="1261">SUM(AQ135:AQ136)</f>
        <v>0</v>
      </c>
      <c r="AR134" s="336">
        <f t="shared" ref="AR134" si="1262">SUM(AR135:AR136)</f>
        <v>0</v>
      </c>
      <c r="AS134" s="336">
        <f t="shared" ref="AS134:AT134" si="1263">SUM(AS135:AS136)</f>
        <v>0</v>
      </c>
      <c r="AT134" s="336">
        <f t="shared" si="1263"/>
        <v>0</v>
      </c>
      <c r="AU134" s="336">
        <f t="shared" ref="AU134" si="1264">SUM(AU135:AU136)</f>
        <v>0</v>
      </c>
      <c r="AV134" s="336">
        <f t="shared" ref="AV134" si="1265">SUM(AV135:AV136)</f>
        <v>0</v>
      </c>
      <c r="AW134" s="336">
        <f t="shared" ref="AW134:AX134" si="1266">SUM(AW135:AW136)</f>
        <v>0</v>
      </c>
      <c r="AX134" s="336">
        <f t="shared" si="1266"/>
        <v>0</v>
      </c>
      <c r="AY134" s="336">
        <f t="shared" ref="AY134" si="1267">SUM(AY135:AY136)</f>
        <v>0</v>
      </c>
      <c r="AZ134" s="336">
        <f t="shared" ref="AZ134" si="1268">SUM(AZ135:AZ136)</f>
        <v>0</v>
      </c>
      <c r="BA134" s="336">
        <f t="shared" ref="BA134:BE134" si="1269">SUM(BA135:BA136)</f>
        <v>0</v>
      </c>
      <c r="BB134" s="336">
        <f t="shared" ref="BB134" si="1270">SUM(BB135:BB136)</f>
        <v>0</v>
      </c>
      <c r="BC134" s="336">
        <f t="shared" ref="BC134" si="1271">SUM(BC135:BC136)</f>
        <v>0</v>
      </c>
      <c r="BD134" s="336">
        <f t="shared" ref="BD134" si="1272">SUM(BD135:BD136)</f>
        <v>0</v>
      </c>
      <c r="BE134" s="336">
        <f t="shared" si="1269"/>
        <v>0</v>
      </c>
      <c r="BF134" s="336">
        <f t="shared" ref="BF134:BI134" si="1273">SUM(BF135:BF136)</f>
        <v>0</v>
      </c>
      <c r="BG134" s="336">
        <f t="shared" ref="BG134" si="1274">SUM(BG135:BG136)</f>
        <v>0</v>
      </c>
      <c r="BH134" s="336">
        <f t="shared" ref="BH134" si="1275">SUM(BH135:BH136)</f>
        <v>0</v>
      </c>
      <c r="BI134" s="336">
        <f t="shared" si="1273"/>
        <v>0</v>
      </c>
      <c r="BJ134" s="336">
        <f t="shared" ref="BJ134" si="1276">SUM(BJ135:BJ136)</f>
        <v>0</v>
      </c>
      <c r="BK134" s="336">
        <f t="shared" ref="BK134:BN134" si="1277">SUM(BK135:BK136)</f>
        <v>0</v>
      </c>
      <c r="BL134" s="336">
        <f t="shared" ref="BL134" si="1278">SUM(BL135:BL136)</f>
        <v>0</v>
      </c>
      <c r="BM134" s="336">
        <f t="shared" si="1277"/>
        <v>0</v>
      </c>
      <c r="BN134" s="336">
        <f t="shared" si="1277"/>
        <v>0</v>
      </c>
      <c r="BO134" s="336">
        <f t="shared" ref="BO134" si="1279">SUM(BO135:BO136)</f>
        <v>0</v>
      </c>
      <c r="BP134" s="336">
        <f t="shared" ref="BP134" si="1280">SUM(BP135:BP136)</f>
        <v>0</v>
      </c>
      <c r="BQ134" s="372">
        <f t="shared" si="1126"/>
        <v>0</v>
      </c>
      <c r="BR134" s="618">
        <f t="shared" si="1127"/>
        <v>0</v>
      </c>
      <c r="BS134" s="618">
        <f t="shared" ca="1" si="1128"/>
        <v>0</v>
      </c>
      <c r="BT134" s="618">
        <f t="shared" ca="1" si="1129"/>
        <v>0</v>
      </c>
      <c r="BU134" s="646"/>
      <c r="BV134" s="646"/>
    </row>
    <row r="135" spans="1:74" ht="15.75" hidden="1" customHeight="1" thickBot="1" x14ac:dyDescent="0.3">
      <c r="A135" s="190"/>
      <c r="B135" s="180" t="s">
        <v>239</v>
      </c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  <c r="Y135" s="336"/>
      <c r="Z135" s="336"/>
      <c r="AA135" s="336"/>
      <c r="AB135" s="336"/>
      <c r="AC135" s="336"/>
      <c r="AD135" s="336"/>
      <c r="AE135" s="336"/>
      <c r="AF135" s="336"/>
      <c r="AG135" s="336"/>
      <c r="AH135" s="336"/>
      <c r="AI135" s="336"/>
      <c r="AJ135" s="336"/>
      <c r="AK135" s="336"/>
      <c r="AL135" s="336"/>
      <c r="AM135" s="336"/>
      <c r="AN135" s="336"/>
      <c r="AO135" s="336"/>
      <c r="AP135" s="336"/>
      <c r="AQ135" s="336"/>
      <c r="AR135" s="336"/>
      <c r="AS135" s="336"/>
      <c r="AT135" s="336"/>
      <c r="AU135" s="336"/>
      <c r="AV135" s="336"/>
      <c r="AW135" s="336"/>
      <c r="AX135" s="336"/>
      <c r="AY135" s="336"/>
      <c r="AZ135" s="336"/>
      <c r="BA135" s="336"/>
      <c r="BB135" s="336"/>
      <c r="BC135" s="336"/>
      <c r="BD135" s="336"/>
      <c r="BE135" s="336"/>
      <c r="BF135" s="336"/>
      <c r="BG135" s="336"/>
      <c r="BH135" s="336"/>
      <c r="BI135" s="336"/>
      <c r="BJ135" s="336"/>
      <c r="BK135" s="336"/>
      <c r="BL135" s="336"/>
      <c r="BM135" s="336"/>
      <c r="BN135" s="336"/>
      <c r="BO135" s="336"/>
      <c r="BP135" s="336"/>
      <c r="BQ135" s="372">
        <f t="shared" si="1126"/>
        <v>0</v>
      </c>
      <c r="BR135" s="618">
        <f t="shared" si="1127"/>
        <v>0</v>
      </c>
      <c r="BS135" s="618">
        <f t="shared" ca="1" si="1128"/>
        <v>0</v>
      </c>
      <c r="BT135" s="618">
        <f t="shared" ca="1" si="1129"/>
        <v>0</v>
      </c>
      <c r="BU135" s="646"/>
      <c r="BV135" s="646"/>
    </row>
    <row r="136" spans="1:74" ht="15.75" hidden="1" customHeight="1" thickBot="1" x14ac:dyDescent="0.3">
      <c r="A136" s="191"/>
      <c r="B136" s="50" t="s">
        <v>240</v>
      </c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  <c r="AA136" s="337"/>
      <c r="AB136" s="337"/>
      <c r="AC136" s="337"/>
      <c r="AD136" s="337"/>
      <c r="AE136" s="337"/>
      <c r="AF136" s="337"/>
      <c r="AG136" s="337"/>
      <c r="AH136" s="337"/>
      <c r="AI136" s="337"/>
      <c r="AJ136" s="337"/>
      <c r="AK136" s="337"/>
      <c r="AL136" s="337"/>
      <c r="AM136" s="337"/>
      <c r="AN136" s="337"/>
      <c r="AO136" s="337"/>
      <c r="AP136" s="337"/>
      <c r="AQ136" s="337"/>
      <c r="AR136" s="337"/>
      <c r="AS136" s="337"/>
      <c r="AT136" s="337"/>
      <c r="AU136" s="337"/>
      <c r="AV136" s="337"/>
      <c r="AW136" s="337"/>
      <c r="AX136" s="337"/>
      <c r="AY136" s="337"/>
      <c r="AZ136" s="337"/>
      <c r="BA136" s="337"/>
      <c r="BB136" s="337"/>
      <c r="BC136" s="337"/>
      <c r="BD136" s="337"/>
      <c r="BE136" s="337"/>
      <c r="BF136" s="337"/>
      <c r="BG136" s="337"/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74">
        <f t="shared" si="1126"/>
        <v>0</v>
      </c>
      <c r="BR136" s="618">
        <f t="shared" si="1127"/>
        <v>0</v>
      </c>
      <c r="BS136" s="618">
        <f t="shared" ca="1" si="1128"/>
        <v>0</v>
      </c>
      <c r="BT136" s="618">
        <f t="shared" ca="1" si="1129"/>
        <v>0</v>
      </c>
      <c r="BU136" s="646"/>
      <c r="BV136" s="646"/>
    </row>
    <row r="137" spans="1:74" ht="15.75" thickBot="1" x14ac:dyDescent="0.3">
      <c r="A137" s="188" t="s">
        <v>241</v>
      </c>
      <c r="B137" s="198" t="s">
        <v>38</v>
      </c>
      <c r="C137" s="335">
        <v>7911895</v>
      </c>
      <c r="D137" s="335">
        <v>7911895</v>
      </c>
      <c r="E137" s="335">
        <v>7911895</v>
      </c>
      <c r="F137" s="335">
        <v>6803620</v>
      </c>
      <c r="G137" s="335">
        <v>9055118</v>
      </c>
      <c r="H137" s="335">
        <v>9055118</v>
      </c>
      <c r="I137" s="335">
        <v>9055118</v>
      </c>
      <c r="J137" s="335">
        <v>3767268</v>
      </c>
      <c r="K137" s="335">
        <v>333608919</v>
      </c>
      <c r="L137" s="335">
        <f>333608919-1475550</f>
        <v>332133369</v>
      </c>
      <c r="M137" s="335">
        <f>333608919-1475550-1000000</f>
        <v>331133369</v>
      </c>
      <c r="N137" s="335">
        <v>329466369</v>
      </c>
      <c r="O137" s="335">
        <v>37893253</v>
      </c>
      <c r="P137" s="335">
        <v>37893253</v>
      </c>
      <c r="Q137" s="335">
        <v>37893253</v>
      </c>
      <c r="R137" s="335">
        <v>34565630</v>
      </c>
      <c r="S137" s="335">
        <v>225714288</v>
      </c>
      <c r="T137" s="335">
        <v>225714288</v>
      </c>
      <c r="U137" s="335">
        <v>225714288</v>
      </c>
      <c r="V137" s="335">
        <v>12215673</v>
      </c>
      <c r="W137" s="335">
        <v>34258308</v>
      </c>
      <c r="X137" s="335">
        <f>34258308+12504660</f>
        <v>46762968</v>
      </c>
      <c r="Y137" s="335">
        <f>34258308+12504660</f>
        <v>46762968</v>
      </c>
      <c r="Z137" s="335"/>
      <c r="AA137" s="335">
        <f>635099800+41732283</f>
        <v>676832083</v>
      </c>
      <c r="AB137" s="335">
        <f>711557958+36678515</f>
        <v>748236473</v>
      </c>
      <c r="AC137" s="335">
        <f>711557958+36678515-23115416</f>
        <v>725121057</v>
      </c>
      <c r="AD137" s="335">
        <v>709102750</v>
      </c>
      <c r="AE137" s="335">
        <v>350000</v>
      </c>
      <c r="AF137" s="335"/>
      <c r="AG137" s="335">
        <v>10842520</v>
      </c>
      <c r="AH137" s="335">
        <f>10842520+2519685</f>
        <v>13362205</v>
      </c>
      <c r="AI137" s="335">
        <f>10842520+2519685+84892</f>
        <v>13447097</v>
      </c>
      <c r="AJ137" s="335">
        <f>10842520+2519685+84892</f>
        <v>13447097</v>
      </c>
      <c r="AK137" s="335"/>
      <c r="AL137" s="335"/>
      <c r="AM137" s="335"/>
      <c r="AN137" s="335"/>
      <c r="AO137" s="335"/>
      <c r="AP137" s="335">
        <v>65950</v>
      </c>
      <c r="AQ137" s="335">
        <f>65950+5584746</f>
        <v>5650696</v>
      </c>
      <c r="AR137" s="335">
        <f>65950+5584746</f>
        <v>5650696</v>
      </c>
      <c r="AS137" s="335">
        <v>5381102</v>
      </c>
      <c r="AT137" s="335">
        <v>5381102</v>
      </c>
      <c r="AU137" s="335">
        <f>5381102+1095124</f>
        <v>6476226</v>
      </c>
      <c r="AV137" s="335">
        <f>5381102+1095124</f>
        <v>6476226</v>
      </c>
      <c r="AW137" s="335">
        <v>4742835</v>
      </c>
      <c r="AX137" s="335">
        <v>4742835</v>
      </c>
      <c r="AY137" s="335">
        <f>4742835+1335945</f>
        <v>6078780</v>
      </c>
      <c r="AZ137" s="335">
        <f>4742835+1335945</f>
        <v>6078780</v>
      </c>
      <c r="BA137" s="335">
        <f>392322835+357853937</f>
        <v>750176772</v>
      </c>
      <c r="BB137" s="335">
        <f>392322835+357853937-4800000-22000000</f>
        <v>723376772</v>
      </c>
      <c r="BC137" s="335">
        <f>392322835+357853937-4800000-22000000-357853937+357400000+453543+394</f>
        <v>723376772</v>
      </c>
      <c r="BD137" s="335">
        <v>191970615</v>
      </c>
      <c r="BE137" s="335">
        <v>245498</v>
      </c>
      <c r="BF137" s="335">
        <v>245498</v>
      </c>
      <c r="BG137" s="335">
        <v>245498</v>
      </c>
      <c r="BH137" s="335"/>
      <c r="BI137" s="335"/>
      <c r="BJ137" s="335"/>
      <c r="BK137" s="335"/>
      <c r="BL137" s="335"/>
      <c r="BM137" s="335"/>
      <c r="BN137" s="335"/>
      <c r="BO137" s="335">
        <v>3505783</v>
      </c>
      <c r="BP137" s="335"/>
      <c r="BQ137" s="372">
        <f t="shared" si="1126"/>
        <v>2096662591</v>
      </c>
      <c r="BR137" s="618">
        <f t="shared" si="1127"/>
        <v>2154881726</v>
      </c>
      <c r="BS137" s="618">
        <f t="shared" ca="1" si="1128"/>
        <v>2142372800</v>
      </c>
      <c r="BT137" s="618">
        <f t="shared" ca="1" si="1129"/>
        <v>1319544724</v>
      </c>
      <c r="BU137" s="646"/>
      <c r="BV137" s="646"/>
    </row>
    <row r="138" spans="1:74" ht="15.75" thickBot="1" x14ac:dyDescent="0.3">
      <c r="A138" s="191" t="s">
        <v>242</v>
      </c>
      <c r="B138" s="192" t="s">
        <v>243</v>
      </c>
      <c r="C138" s="339">
        <v>2136212</v>
      </c>
      <c r="D138" s="339">
        <v>2136212</v>
      </c>
      <c r="E138" s="339">
        <v>2136212</v>
      </c>
      <c r="F138" s="339">
        <v>1836977</v>
      </c>
      <c r="G138" s="339">
        <v>2444882</v>
      </c>
      <c r="H138" s="339">
        <v>2444882</v>
      </c>
      <c r="I138" s="339">
        <v>2444882</v>
      </c>
      <c r="J138" s="339">
        <v>1017162</v>
      </c>
      <c r="K138" s="339"/>
      <c r="L138" s="339">
        <v>1475550</v>
      </c>
      <c r="M138" s="339">
        <v>1475550</v>
      </c>
      <c r="N138" s="339">
        <v>1475550</v>
      </c>
      <c r="O138" s="339">
        <v>10231178</v>
      </c>
      <c r="P138" s="339">
        <v>10231178</v>
      </c>
      <c r="Q138" s="339">
        <v>10231178</v>
      </c>
      <c r="R138" s="339">
        <v>9324628</v>
      </c>
      <c r="S138" s="339">
        <v>60942858</v>
      </c>
      <c r="T138" s="339">
        <v>60942858</v>
      </c>
      <c r="U138" s="339">
        <v>60942858</v>
      </c>
      <c r="V138" s="339">
        <v>3298232</v>
      </c>
      <c r="W138" s="339">
        <v>9249743</v>
      </c>
      <c r="X138" s="339"/>
      <c r="Y138" s="339"/>
      <c r="Z138" s="339"/>
      <c r="AA138" s="339"/>
      <c r="AB138" s="339">
        <f>126011703+9903199</f>
        <v>135914902</v>
      </c>
      <c r="AC138" s="339">
        <f>126011703+9903199-6241162</f>
        <v>129673740</v>
      </c>
      <c r="AD138" s="339">
        <v>123182940</v>
      </c>
      <c r="AE138" s="339">
        <v>94500</v>
      </c>
      <c r="AF138" s="339"/>
      <c r="AG138" s="339">
        <v>2927480</v>
      </c>
      <c r="AH138" s="339">
        <f>2927480+680315</f>
        <v>3607795</v>
      </c>
      <c r="AI138" s="339">
        <f>2927480+680315-62723</f>
        <v>3545072</v>
      </c>
      <c r="AJ138" s="339">
        <f>2927480+680315-62723</f>
        <v>3545072</v>
      </c>
      <c r="AK138" s="339"/>
      <c r="AL138" s="339"/>
      <c r="AM138" s="339"/>
      <c r="AN138" s="339"/>
      <c r="AO138" s="339"/>
      <c r="AP138" s="339">
        <v>17807</v>
      </c>
      <c r="AQ138" s="339">
        <f>17807+1507882</f>
        <v>1525689</v>
      </c>
      <c r="AR138" s="339">
        <f>17807+1507882</f>
        <v>1525689</v>
      </c>
      <c r="AS138" s="339">
        <v>1452898</v>
      </c>
      <c r="AT138" s="339">
        <v>1452898</v>
      </c>
      <c r="AU138" s="339">
        <f>1452898+295683</f>
        <v>1748581</v>
      </c>
      <c r="AV138" s="339">
        <f>1452898+295683</f>
        <v>1748581</v>
      </c>
      <c r="AW138" s="339">
        <v>1280565</v>
      </c>
      <c r="AX138" s="339">
        <v>1280565</v>
      </c>
      <c r="AY138" s="339">
        <f>1280565+360706</f>
        <v>1641271</v>
      </c>
      <c r="AZ138" s="339">
        <f>1280565+360706</f>
        <v>1641271</v>
      </c>
      <c r="BA138" s="339">
        <f>105927165+96620563</f>
        <v>202547728</v>
      </c>
      <c r="BB138" s="339">
        <f>105927165+96620563-1296000-5940000</f>
        <v>195311728</v>
      </c>
      <c r="BC138" s="339">
        <f>105927165+96620563-1296000-5940000-96620563+96498000+122957-394</f>
        <v>195311728</v>
      </c>
      <c r="BD138" s="339">
        <v>6069213</v>
      </c>
      <c r="BE138" s="339">
        <v>66284</v>
      </c>
      <c r="BF138" s="339">
        <v>66284</v>
      </c>
      <c r="BG138" s="339">
        <v>66284</v>
      </c>
      <c r="BH138" s="339"/>
      <c r="BI138" s="339"/>
      <c r="BJ138" s="339"/>
      <c r="BK138" s="339"/>
      <c r="BL138" s="339"/>
      <c r="BM138" s="339"/>
      <c r="BN138" s="339"/>
      <c r="BO138" s="339">
        <v>946562</v>
      </c>
      <c r="BP138" s="339"/>
      <c r="BQ138" s="382">
        <f t="shared" si="1126"/>
        <v>293279828</v>
      </c>
      <c r="BR138" s="618">
        <f t="shared" si="1127"/>
        <v>414882659</v>
      </c>
      <c r="BS138" s="618">
        <f t="shared" ca="1" si="1128"/>
        <v>411689607</v>
      </c>
      <c r="BT138" s="618">
        <f t="shared" ca="1" si="1129"/>
        <v>154665315</v>
      </c>
      <c r="BU138" s="646"/>
      <c r="BV138" s="646"/>
    </row>
    <row r="139" spans="1:74" ht="15.75" thickBot="1" x14ac:dyDescent="0.3">
      <c r="A139" s="188" t="s">
        <v>244</v>
      </c>
      <c r="B139" s="189" t="s">
        <v>39</v>
      </c>
      <c r="C139" s="384"/>
      <c r="D139" s="384"/>
      <c r="E139" s="384"/>
      <c r="F139" s="384"/>
      <c r="G139" s="376"/>
      <c r="H139" s="376"/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6"/>
      <c r="T139" s="376"/>
      <c r="U139" s="376"/>
      <c r="V139" s="376"/>
      <c r="W139" s="376">
        <v>177400000</v>
      </c>
      <c r="X139" s="376">
        <v>177400000</v>
      </c>
      <c r="Y139" s="376">
        <v>177400000</v>
      </c>
      <c r="Z139" s="376">
        <v>175197495</v>
      </c>
      <c r="AA139" s="376">
        <v>76750000</v>
      </c>
      <c r="AB139" s="376">
        <v>36850000</v>
      </c>
      <c r="AC139" s="376">
        <f>36850000+23115416</f>
        <v>59965416</v>
      </c>
      <c r="AD139" s="376">
        <f>36850000+23115416</f>
        <v>59965416</v>
      </c>
      <c r="AE139" s="376"/>
      <c r="AF139" s="376"/>
      <c r="AG139" s="376"/>
      <c r="AH139" s="376"/>
      <c r="AI139" s="376"/>
      <c r="AJ139" s="376"/>
      <c r="AK139" s="376"/>
      <c r="AL139" s="376"/>
      <c r="AM139" s="376"/>
      <c r="AN139" s="376"/>
      <c r="AO139" s="376"/>
      <c r="AP139" s="376"/>
      <c r="AQ139" s="376"/>
      <c r="AR139" s="376"/>
      <c r="AS139" s="376">
        <f>28210000+3072885</f>
        <v>31282885</v>
      </c>
      <c r="AT139" s="376">
        <f>28210000+3072885</f>
        <v>31282885</v>
      </c>
      <c r="AU139" s="376">
        <f>28210000+3072885+275000</f>
        <v>31557885</v>
      </c>
      <c r="AV139" s="376">
        <f>28210000+3072885+275000</f>
        <v>31557885</v>
      </c>
      <c r="AW139" s="376"/>
      <c r="AX139" s="376"/>
      <c r="AY139" s="376"/>
      <c r="AZ139" s="376"/>
      <c r="BA139" s="376"/>
      <c r="BB139" s="376"/>
      <c r="BC139" s="376"/>
      <c r="BD139" s="376"/>
      <c r="BE139" s="376"/>
      <c r="BF139" s="376"/>
      <c r="BG139" s="376"/>
      <c r="BH139" s="376"/>
      <c r="BI139" s="376"/>
      <c r="BJ139" s="376"/>
      <c r="BK139" s="376"/>
      <c r="BL139" s="376"/>
      <c r="BM139" s="376"/>
      <c r="BN139" s="376"/>
      <c r="BO139" s="376">
        <v>370000</v>
      </c>
      <c r="BP139" s="376">
        <v>370000</v>
      </c>
      <c r="BQ139" s="385">
        <f t="shared" si="1126"/>
        <v>285432885</v>
      </c>
      <c r="BR139" s="618">
        <f t="shared" si="1127"/>
        <v>245532885</v>
      </c>
      <c r="BS139" s="618">
        <f t="shared" ca="1" si="1128"/>
        <v>269293301</v>
      </c>
      <c r="BT139" s="618">
        <f t="shared" ca="1" si="1129"/>
        <v>267090796</v>
      </c>
      <c r="BU139" s="646"/>
      <c r="BV139" s="646"/>
    </row>
    <row r="140" spans="1:74" ht="15.75" thickBot="1" x14ac:dyDescent="0.3">
      <c r="A140" s="191" t="s">
        <v>245</v>
      </c>
      <c r="B140" s="192" t="s">
        <v>246</v>
      </c>
      <c r="C140" s="373"/>
      <c r="D140" s="373"/>
      <c r="E140" s="373"/>
      <c r="F140" s="373"/>
      <c r="G140" s="337"/>
      <c r="H140" s="337"/>
      <c r="I140" s="337"/>
      <c r="J140" s="337"/>
      <c r="K140" s="337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>
        <v>47898000</v>
      </c>
      <c r="X140" s="337"/>
      <c r="Y140" s="337"/>
      <c r="Z140" s="337"/>
      <c r="AA140" s="337">
        <v>20722500</v>
      </c>
      <c r="AB140" s="337">
        <v>9949500</v>
      </c>
      <c r="AC140" s="337">
        <f>9949500+6241162</f>
        <v>16190662</v>
      </c>
      <c r="AD140" s="337">
        <f>9949500+6241162</f>
        <v>16190662</v>
      </c>
      <c r="AE140" s="337"/>
      <c r="AF140" s="337"/>
      <c r="AG140" s="337"/>
      <c r="AH140" s="337"/>
      <c r="AI140" s="337"/>
      <c r="AJ140" s="337"/>
      <c r="AK140" s="337"/>
      <c r="AL140" s="337"/>
      <c r="AM140" s="337"/>
      <c r="AN140" s="337"/>
      <c r="AO140" s="337"/>
      <c r="AP140" s="337"/>
      <c r="AQ140" s="337"/>
      <c r="AR140" s="337"/>
      <c r="AS140" s="337">
        <f>7616700+829679</f>
        <v>8446379</v>
      </c>
      <c r="AT140" s="337">
        <f>7616700+829679</f>
        <v>8446379</v>
      </c>
      <c r="AU140" s="337">
        <f>7616700+829679+74250</f>
        <v>8520629</v>
      </c>
      <c r="AV140" s="337">
        <f>7616700+829679+74250</f>
        <v>8520629</v>
      </c>
      <c r="AW140" s="337"/>
      <c r="AX140" s="337"/>
      <c r="AY140" s="337"/>
      <c r="AZ140" s="337"/>
      <c r="BA140" s="337"/>
      <c r="BB140" s="337"/>
      <c r="BC140" s="337"/>
      <c r="BD140" s="337"/>
      <c r="BE140" s="337"/>
      <c r="BF140" s="337"/>
      <c r="BG140" s="337"/>
      <c r="BH140" s="337"/>
      <c r="BI140" s="337"/>
      <c r="BJ140" s="337"/>
      <c r="BK140" s="337"/>
      <c r="BL140" s="337"/>
      <c r="BM140" s="337"/>
      <c r="BN140" s="337"/>
      <c r="BO140" s="337">
        <v>13500</v>
      </c>
      <c r="BP140" s="337">
        <v>13500</v>
      </c>
      <c r="BQ140" s="383">
        <f t="shared" si="1126"/>
        <v>77066879</v>
      </c>
      <c r="BR140" s="618">
        <f t="shared" si="1127"/>
        <v>18395879</v>
      </c>
      <c r="BS140" s="618">
        <f t="shared" ca="1" si="1128"/>
        <v>24724791</v>
      </c>
      <c r="BT140" s="618">
        <f t="shared" ca="1" si="1129"/>
        <v>24724791</v>
      </c>
      <c r="BU140" s="646"/>
      <c r="BV140" s="646"/>
    </row>
    <row r="141" spans="1:74" ht="15.75" thickBot="1" x14ac:dyDescent="0.3">
      <c r="A141" s="195" t="s">
        <v>247</v>
      </c>
      <c r="B141" s="196" t="s">
        <v>40</v>
      </c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  <c r="AH141" s="338"/>
      <c r="AI141" s="338"/>
      <c r="AJ141" s="338"/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  <c r="BG141" s="338"/>
      <c r="BH141" s="338"/>
      <c r="BI141" s="338"/>
      <c r="BJ141" s="338"/>
      <c r="BK141" s="338"/>
      <c r="BL141" s="338"/>
      <c r="BM141" s="338"/>
      <c r="BN141" s="338"/>
      <c r="BO141" s="338"/>
      <c r="BP141" s="338"/>
      <c r="BQ141" s="382">
        <f t="shared" si="1126"/>
        <v>0</v>
      </c>
      <c r="BR141" s="618">
        <f t="shared" si="1127"/>
        <v>0</v>
      </c>
      <c r="BS141" s="618">
        <f t="shared" ca="1" si="1128"/>
        <v>0</v>
      </c>
      <c r="BT141" s="618">
        <f t="shared" ca="1" si="1129"/>
        <v>0</v>
      </c>
      <c r="BU141" s="646"/>
      <c r="BV141" s="646"/>
    </row>
    <row r="142" spans="1:74" ht="15.75" thickBot="1" x14ac:dyDescent="0.3">
      <c r="A142" s="193" t="s">
        <v>248</v>
      </c>
      <c r="B142" s="194" t="s">
        <v>249</v>
      </c>
      <c r="C142" s="334">
        <f t="shared" ref="C142:BA142" si="1281">C141+C140+C139+C138+C137+C128+C127+C111+C105+C88</f>
        <v>10914821</v>
      </c>
      <c r="D142" s="334">
        <f t="shared" ref="D142:E142" si="1282">D141+D140+D139+D138+D137+D128+D127+D111+D105+D88</f>
        <v>10914821</v>
      </c>
      <c r="E142" s="334">
        <f t="shared" si="1282"/>
        <v>10914821</v>
      </c>
      <c r="F142" s="334">
        <f t="shared" ref="F142" si="1283">F141+F140+F139+F138+F137+F128+F127+F111+F105+F88</f>
        <v>9313340</v>
      </c>
      <c r="G142" s="334">
        <f t="shared" si="1281"/>
        <v>142314736.63</v>
      </c>
      <c r="H142" s="334">
        <f t="shared" ref="H142" si="1284">H141+H140+H139+H138+H137+H128+H127+H111+H105+H88</f>
        <v>142314737</v>
      </c>
      <c r="I142" s="334">
        <f t="shared" ref="I142" si="1285">I141+I140+I139+I138+I137+I128+I127+I111+I105+I88</f>
        <v>140924986</v>
      </c>
      <c r="J142" s="334">
        <f t="shared" ref="J142" si="1286">J141+J140+J139+J138+J137+J128+J127+J111+J105+J88</f>
        <v>109508790</v>
      </c>
      <c r="K142" s="334">
        <f t="shared" si="1281"/>
        <v>422359289</v>
      </c>
      <c r="L142" s="334">
        <f t="shared" ref="L142" si="1287">L141+L140+L139+L138+L137+L128+L127+L111+L105+L88</f>
        <v>422359289</v>
      </c>
      <c r="M142" s="334">
        <f t="shared" ref="M142" si="1288">M141+M140+M139+M138+M137+M128+M127+M111+M105+M88</f>
        <v>422359289</v>
      </c>
      <c r="N142" s="334">
        <f t="shared" ref="N142" si="1289">N141+N140+N139+N138+N137+N128+N127+N111+N105+N88</f>
        <v>420490236</v>
      </c>
      <c r="O142" s="334">
        <f t="shared" si="1281"/>
        <v>49124431</v>
      </c>
      <c r="P142" s="334">
        <f t="shared" ref="P142" si="1290">P141+P140+P139+P138+P137+P128+P127+P111+P105+P88</f>
        <v>49124431</v>
      </c>
      <c r="Q142" s="334">
        <f t="shared" ref="Q142" si="1291">Q141+Q140+Q139+Q138+Q137+Q128+Q127+Q111+Q105+Q88</f>
        <v>49124431</v>
      </c>
      <c r="R142" s="334">
        <f t="shared" ref="R142" si="1292">R141+R140+R139+R138+R137+R128+R127+R111+R105+R88</f>
        <v>43897528</v>
      </c>
      <c r="S142" s="334">
        <f t="shared" si="1281"/>
        <v>366828889</v>
      </c>
      <c r="T142" s="334">
        <f t="shared" ref="T142" si="1293">T141+T140+T139+T138+T137+T128+T127+T111+T105+T88</f>
        <v>366828889</v>
      </c>
      <c r="U142" s="334">
        <f t="shared" ref="U142" si="1294">U141+U140+U139+U138+U137+U128+U127+U111+U105+U88</f>
        <v>366828889</v>
      </c>
      <c r="V142" s="334">
        <f t="shared" ref="V142" si="1295">V141+V140+V139+V138+V137+V128+V127+V111+V105+V88</f>
        <v>15513905</v>
      </c>
      <c r="W142" s="334">
        <f t="shared" si="1281"/>
        <v>284479351</v>
      </c>
      <c r="X142" s="334">
        <f t="shared" ref="X142:Y142" si="1296">X141+X140+X139+X138+X137+X128+X127+X111+X105+X88</f>
        <v>300360269</v>
      </c>
      <c r="Y142" s="334">
        <f t="shared" si="1296"/>
        <v>300360269</v>
      </c>
      <c r="Z142" s="334">
        <f t="shared" ref="Z142" si="1297">Z141+Z140+Z139+Z138+Z137+Z128+Z127+Z111+Z105+Z88</f>
        <v>214275871</v>
      </c>
      <c r="AA142" s="334">
        <f t="shared" si="1281"/>
        <v>972717355</v>
      </c>
      <c r="AB142" s="334">
        <f t="shared" ref="AB142" si="1298">AB141+AB140+AB139+AB138+AB137+AB128+AB127+AB111+AB105+AB88</f>
        <v>1019299069</v>
      </c>
      <c r="AC142" s="334">
        <f t="shared" ref="AC142" si="1299">AC141+AC140+AC139+AC138+AC137+AC128+AC127+AC111+AC105+AC88</f>
        <v>1019299069</v>
      </c>
      <c r="AD142" s="334">
        <f t="shared" ref="AD142" si="1300">AD141+AD140+AD139+AD138+AD137+AD128+AD127+AD111+AD105+AD88</f>
        <v>985939812</v>
      </c>
      <c r="AE142" s="334">
        <f t="shared" si="1281"/>
        <v>444500</v>
      </c>
      <c r="AF142" s="334">
        <f t="shared" si="1281"/>
        <v>0</v>
      </c>
      <c r="AG142" s="334">
        <f t="shared" si="1281"/>
        <v>17022700</v>
      </c>
      <c r="AH142" s="334">
        <f t="shared" ref="AH142" si="1301">AH141+AH140+AH139+AH138+AH137+AH128+AH127+AH111+AH105+AH88</f>
        <v>20222700</v>
      </c>
      <c r="AI142" s="334">
        <f t="shared" ref="AI142" si="1302">AI141+AI140+AI139+AI138+AI137+AI128+AI127+AI111+AI105+AI88</f>
        <v>20222700</v>
      </c>
      <c r="AJ142" s="334">
        <f t="shared" ref="AJ142" si="1303">AJ141+AJ140+AJ139+AJ138+AJ137+AJ128+AJ127+AJ111+AJ105+AJ88</f>
        <v>18168941</v>
      </c>
      <c r="AK142" s="334">
        <f t="shared" si="1281"/>
        <v>24231673</v>
      </c>
      <c r="AL142" s="334">
        <f t="shared" ref="AL142" si="1304">AL141+AL140+AL139+AL138+AL137+AL128+AL127+AL111+AL105+AL88</f>
        <v>24231673</v>
      </c>
      <c r="AM142" s="334">
        <f t="shared" ref="AM142" si="1305">AM141+AM140+AM139+AM138+AM137+AM128+AM127+AM111+AM105+AM88</f>
        <v>24231673</v>
      </c>
      <c r="AN142" s="334">
        <f t="shared" ref="AN142" si="1306">AN141+AN140+AN139+AN138+AN137+AN128+AN127+AN111+AN105+AN88</f>
        <v>6937655</v>
      </c>
      <c r="AO142" s="334">
        <f t="shared" si="1281"/>
        <v>41969693</v>
      </c>
      <c r="AP142" s="334">
        <f t="shared" ref="AP142" si="1307">AP141+AP140+AP139+AP138+AP137+AP128+AP127+AP111+AP105+AP88</f>
        <v>41969693</v>
      </c>
      <c r="AQ142" s="334">
        <f t="shared" ref="AQ142" si="1308">AQ141+AQ140+AQ139+AQ138+AQ137+AQ128+AQ127+AQ111+AQ105+AQ88</f>
        <v>41969693</v>
      </c>
      <c r="AR142" s="334">
        <f t="shared" ref="AR142" si="1309">AR141+AR140+AR139+AR138+AR137+AR128+AR127+AR111+AR105+AR88</f>
        <v>28234436</v>
      </c>
      <c r="AS142" s="334">
        <f t="shared" si="1281"/>
        <v>86901467</v>
      </c>
      <c r="AT142" s="334">
        <f t="shared" ref="AT142" si="1310">AT141+AT140+AT139+AT138+AT137+AT128+AT127+AT111+AT105+AT88</f>
        <v>86901467</v>
      </c>
      <c r="AU142" s="334">
        <f t="shared" ref="AU142" si="1311">AU141+AU140+AU139+AU138+AU137+AU128+AU127+AU111+AU105+AU88</f>
        <v>86901467</v>
      </c>
      <c r="AV142" s="334">
        <f t="shared" ref="AV142" si="1312">AV141+AV140+AV139+AV138+AV137+AV128+AV127+AV111+AV105+AV88</f>
        <v>79302115</v>
      </c>
      <c r="AW142" s="334">
        <f t="shared" si="1281"/>
        <v>57084303</v>
      </c>
      <c r="AX142" s="334">
        <f t="shared" ref="AX142" si="1313">AX141+AX140+AX139+AX138+AX137+AX128+AX127+AX111+AX105+AX88</f>
        <v>57084303</v>
      </c>
      <c r="AY142" s="334">
        <f t="shared" ref="AY142" si="1314">AY141+AY140+AY139+AY138+AY137+AY128+AY127+AY111+AY105+AY88</f>
        <v>57084303</v>
      </c>
      <c r="AZ142" s="334">
        <f t="shared" ref="AZ142" si="1315">AZ141+AZ140+AZ139+AZ138+AZ137+AZ128+AZ127+AZ111+AZ105+AZ88</f>
        <v>56047142</v>
      </c>
      <c r="BA142" s="334">
        <f t="shared" si="1281"/>
        <v>980664500</v>
      </c>
      <c r="BB142" s="334">
        <f t="shared" ref="BB142" si="1316">BB141+BB140+BB139+BB138+BB137+BB128+BB127+BB111+BB105+BB88</f>
        <v>952724500</v>
      </c>
      <c r="BC142" s="334">
        <f t="shared" ref="BC142" si="1317">BC141+BC140+BC139+BC138+BC137+BC128+BC127+BC111+BC105+BC88</f>
        <v>952724500</v>
      </c>
      <c r="BD142" s="334">
        <f t="shared" ref="BD142" si="1318">BD141+BD140+BD139+BD138+BD137+BD128+BD127+BD111+BD105+BD88</f>
        <v>226711312</v>
      </c>
      <c r="BE142" s="334">
        <f t="shared" ref="BE142" si="1319">BE141+BE140+BE139+BE138+BE137+BE128+BE127+BE111+BE105+BE88</f>
        <v>7411782</v>
      </c>
      <c r="BF142" s="334">
        <f t="shared" ref="BF142:BI142" si="1320">BF141+BF140+BF139+BF138+BF137+BF128+BF127+BF111+BF105+BF88</f>
        <v>7411782</v>
      </c>
      <c r="BG142" s="334">
        <f t="shared" ref="BG142" si="1321">BG141+BG140+BG139+BG138+BG137+BG128+BG127+BG111+BG105+BG88</f>
        <v>7411782</v>
      </c>
      <c r="BH142" s="334">
        <f t="shared" ref="BH142" si="1322">BH141+BH140+BH139+BH138+BH137+BH128+BH127+BH111+BH105+BH88</f>
        <v>0</v>
      </c>
      <c r="BI142" s="334">
        <f t="shared" si="1320"/>
        <v>0</v>
      </c>
      <c r="BJ142" s="334">
        <f t="shared" ref="BJ142" si="1323">BJ141+BJ140+BJ139+BJ138+BJ137+BJ128+BJ127+BJ111+BJ105+BJ88</f>
        <v>3698429</v>
      </c>
      <c r="BK142" s="334">
        <f t="shared" ref="BK142:BN142" si="1324">BK141+BK140+BK139+BK138+BK137+BK128+BK127+BK111+BK105+BK88</f>
        <v>3698429</v>
      </c>
      <c r="BL142" s="334">
        <f t="shared" ref="BL142" si="1325">BL141+BL140+BL139+BL138+BL137+BL128+BL127+BL111+BL105+BL88</f>
        <v>3698429</v>
      </c>
      <c r="BM142" s="334">
        <f t="shared" si="1324"/>
        <v>0</v>
      </c>
      <c r="BN142" s="334">
        <f t="shared" si="1324"/>
        <v>0</v>
      </c>
      <c r="BO142" s="334">
        <f t="shared" ref="BO142" si="1326">BO141+BO140+BO139+BO138+BO137+BO128+BO127+BO111+BO105+BO88</f>
        <v>4975845</v>
      </c>
      <c r="BP142" s="334">
        <f t="shared" ref="BP142" si="1327">BP141+BP140+BP139+BP138+BP137+BP128+BP127+BP111+BP105+BP88</f>
        <v>523500</v>
      </c>
      <c r="BQ142" s="379">
        <f t="shared" si="1126"/>
        <v>3464024990.6300001</v>
      </c>
      <c r="BR142" s="618">
        <f t="shared" si="1127"/>
        <v>3505446052</v>
      </c>
      <c r="BS142" s="618">
        <f t="shared" ca="1" si="1128"/>
        <v>3509032146</v>
      </c>
      <c r="BT142" s="618">
        <f t="shared" ca="1" si="1129"/>
        <v>2218563012</v>
      </c>
      <c r="BU142" s="646"/>
      <c r="BV142" s="646"/>
    </row>
    <row r="143" spans="1:74" ht="15.75" thickBot="1" x14ac:dyDescent="0.3">
      <c r="A143" s="197" t="s">
        <v>250</v>
      </c>
      <c r="B143" s="198" t="s">
        <v>251</v>
      </c>
      <c r="C143" s="335">
        <f t="shared" ref="C143:G143" si="1328">SUM(C144:C150)</f>
        <v>0</v>
      </c>
      <c r="D143" s="335">
        <f t="shared" ref="D143:E143" si="1329">SUM(D144:D150)</f>
        <v>0</v>
      </c>
      <c r="E143" s="335">
        <f t="shared" si="1329"/>
        <v>0</v>
      </c>
      <c r="F143" s="335">
        <f t="shared" ref="F143" si="1330">SUM(F144:F150)</f>
        <v>0</v>
      </c>
      <c r="G143" s="335">
        <f t="shared" si="1328"/>
        <v>13228650</v>
      </c>
      <c r="H143" s="335">
        <f t="shared" ref="H143" si="1331">SUM(H144:H150)</f>
        <v>13228650</v>
      </c>
      <c r="I143" s="335">
        <f t="shared" ref="I143" si="1332">SUM(I144:I150)</f>
        <v>13228650</v>
      </c>
      <c r="J143" s="335">
        <f t="shared" ref="J143" si="1333">SUM(J144:J150)</f>
        <v>8926650</v>
      </c>
      <c r="K143" s="335">
        <f t="shared" ref="K143:L143" si="1334">SUM(K144:K150)</f>
        <v>0</v>
      </c>
      <c r="L143" s="335">
        <f t="shared" si="1334"/>
        <v>0</v>
      </c>
      <c r="M143" s="335">
        <f t="shared" ref="M143" si="1335">SUM(M144:M150)</f>
        <v>0</v>
      </c>
      <c r="N143" s="335">
        <f t="shared" ref="N143" si="1336">SUM(N144:N150)</f>
        <v>0</v>
      </c>
      <c r="O143" s="335">
        <f t="shared" ref="O143:P143" si="1337">SUM(O144:O150)</f>
        <v>0</v>
      </c>
      <c r="P143" s="335">
        <f t="shared" si="1337"/>
        <v>0</v>
      </c>
      <c r="Q143" s="335">
        <f t="shared" ref="Q143" si="1338">SUM(Q144:Q150)</f>
        <v>0</v>
      </c>
      <c r="R143" s="335">
        <f t="shared" ref="R143" si="1339">SUM(R144:R150)</f>
        <v>0</v>
      </c>
      <c r="S143" s="335">
        <f t="shared" ref="S143:T143" si="1340">SUM(S144:S150)</f>
        <v>0</v>
      </c>
      <c r="T143" s="335">
        <f t="shared" si="1340"/>
        <v>0</v>
      </c>
      <c r="U143" s="335">
        <f t="shared" ref="U143" si="1341">SUM(U144:U150)</f>
        <v>0</v>
      </c>
      <c r="V143" s="335">
        <f t="shared" ref="V143" si="1342">SUM(V144:V150)</f>
        <v>0</v>
      </c>
      <c r="W143" s="335">
        <f t="shared" ref="W143:X143" si="1343">SUM(W144:W150)</f>
        <v>0</v>
      </c>
      <c r="X143" s="335">
        <f t="shared" si="1343"/>
        <v>0</v>
      </c>
      <c r="Y143" s="335">
        <f t="shared" ref="Y143" si="1344">SUM(Y144:Y150)</f>
        <v>0</v>
      </c>
      <c r="Z143" s="335">
        <f t="shared" ref="Z143" si="1345">SUM(Z144:Z150)</f>
        <v>0</v>
      </c>
      <c r="AA143" s="335">
        <f t="shared" ref="AA143:AB143" si="1346">SUM(AA144:AA150)</f>
        <v>0</v>
      </c>
      <c r="AB143" s="335">
        <f t="shared" si="1346"/>
        <v>0</v>
      </c>
      <c r="AC143" s="335">
        <f t="shared" ref="AC143" si="1347">SUM(AC144:AC150)</f>
        <v>0</v>
      </c>
      <c r="AD143" s="335">
        <f t="shared" ref="AD143" si="1348">SUM(AD144:AD150)</f>
        <v>0</v>
      </c>
      <c r="AE143" s="335">
        <f t="shared" ref="AE143" si="1349">SUM(AE144:AE150)</f>
        <v>0</v>
      </c>
      <c r="AF143" s="335">
        <f t="shared" ref="AF143" si="1350">SUM(AF144:AF150)</f>
        <v>0</v>
      </c>
      <c r="AG143" s="335">
        <f t="shared" ref="AG143:AH143" si="1351">SUM(AG144:AG150)</f>
        <v>0</v>
      </c>
      <c r="AH143" s="335">
        <f t="shared" si="1351"/>
        <v>0</v>
      </c>
      <c r="AI143" s="335">
        <f t="shared" ref="AI143" si="1352">SUM(AI144:AI150)</f>
        <v>0</v>
      </c>
      <c r="AJ143" s="335">
        <f t="shared" ref="AJ143" si="1353">SUM(AJ144:AJ150)</f>
        <v>0</v>
      </c>
      <c r="AK143" s="335">
        <f t="shared" ref="AK143" si="1354">SUM(AK144:AK150)</f>
        <v>0</v>
      </c>
      <c r="AL143" s="335">
        <f t="shared" ref="AL143" si="1355">SUM(AL144:AL150)</f>
        <v>0</v>
      </c>
      <c r="AM143" s="335">
        <f t="shared" ref="AM143" si="1356">SUM(AM144:AM150)</f>
        <v>0</v>
      </c>
      <c r="AN143" s="335">
        <f t="shared" ref="AN143" si="1357">SUM(AN144:AN150)</f>
        <v>0</v>
      </c>
      <c r="AO143" s="335">
        <f t="shared" ref="AO143:AP143" si="1358">SUM(AO144:AO150)</f>
        <v>0</v>
      </c>
      <c r="AP143" s="335">
        <f t="shared" si="1358"/>
        <v>0</v>
      </c>
      <c r="AQ143" s="335">
        <f t="shared" ref="AQ143" si="1359">SUM(AQ144:AQ150)</f>
        <v>0</v>
      </c>
      <c r="AR143" s="335">
        <f t="shared" ref="AR143" si="1360">SUM(AR144:AR150)</f>
        <v>4302000</v>
      </c>
      <c r="AS143" s="335">
        <f t="shared" ref="AS143:AT143" si="1361">SUM(AS144:AS150)</f>
        <v>0</v>
      </c>
      <c r="AT143" s="335">
        <f t="shared" si="1361"/>
        <v>0</v>
      </c>
      <c r="AU143" s="335">
        <f t="shared" ref="AU143" si="1362">SUM(AU144:AU150)</f>
        <v>0</v>
      </c>
      <c r="AV143" s="335">
        <f t="shared" ref="AV143" si="1363">SUM(AV144:AV150)</f>
        <v>0</v>
      </c>
      <c r="AW143" s="335">
        <f t="shared" ref="AW143:AX143" si="1364">SUM(AW144:AW150)</f>
        <v>0</v>
      </c>
      <c r="AX143" s="335">
        <f t="shared" si="1364"/>
        <v>0</v>
      </c>
      <c r="AY143" s="335">
        <f t="shared" ref="AY143" si="1365">SUM(AY144:AY150)</f>
        <v>0</v>
      </c>
      <c r="AZ143" s="335">
        <f t="shared" ref="AZ143" si="1366">SUM(AZ144:AZ150)</f>
        <v>0</v>
      </c>
      <c r="BA143" s="335">
        <f t="shared" ref="BA143:BE143" si="1367">SUM(BA144:BA150)</f>
        <v>0</v>
      </c>
      <c r="BB143" s="335">
        <f t="shared" ref="BB143" si="1368">SUM(BB144:BB150)</f>
        <v>0</v>
      </c>
      <c r="BC143" s="335">
        <f t="shared" ref="BC143" si="1369">SUM(BC144:BC150)</f>
        <v>0</v>
      </c>
      <c r="BD143" s="335">
        <f t="shared" ref="BD143" si="1370">SUM(BD144:BD150)</f>
        <v>0</v>
      </c>
      <c r="BE143" s="335">
        <f t="shared" si="1367"/>
        <v>0</v>
      </c>
      <c r="BF143" s="335">
        <f t="shared" ref="BF143:BI143" si="1371">SUM(BF144:BF150)</f>
        <v>0</v>
      </c>
      <c r="BG143" s="335">
        <f t="shared" ref="BG143" si="1372">SUM(BG144:BG150)</f>
        <v>0</v>
      </c>
      <c r="BH143" s="335">
        <f t="shared" ref="BH143" si="1373">SUM(BH144:BH150)</f>
        <v>0</v>
      </c>
      <c r="BI143" s="335">
        <f t="shared" si="1371"/>
        <v>0</v>
      </c>
      <c r="BJ143" s="335">
        <f t="shared" ref="BJ143" si="1374">SUM(BJ144:BJ150)</f>
        <v>0</v>
      </c>
      <c r="BK143" s="335">
        <f t="shared" ref="BK143:BN143" si="1375">SUM(BK144:BK150)</f>
        <v>0</v>
      </c>
      <c r="BL143" s="335">
        <f t="shared" ref="BL143" si="1376">SUM(BL144:BL150)</f>
        <v>0</v>
      </c>
      <c r="BM143" s="335">
        <f t="shared" si="1375"/>
        <v>0</v>
      </c>
      <c r="BN143" s="335">
        <f t="shared" si="1375"/>
        <v>0</v>
      </c>
      <c r="BO143" s="335">
        <f t="shared" ref="BO143" si="1377">SUM(BO144:BO150)</f>
        <v>0</v>
      </c>
      <c r="BP143" s="335">
        <f t="shared" ref="BP143" si="1378">SUM(BP144:BP150)</f>
        <v>0</v>
      </c>
      <c r="BQ143" s="372">
        <f t="shared" si="1126"/>
        <v>13228650</v>
      </c>
      <c r="BR143" s="618">
        <f t="shared" si="1127"/>
        <v>13228650</v>
      </c>
      <c r="BS143" s="618">
        <f t="shared" ca="1" si="1128"/>
        <v>13228650</v>
      </c>
      <c r="BT143" s="618">
        <f t="shared" ca="1" si="1129"/>
        <v>13228650</v>
      </c>
      <c r="BU143" s="646"/>
      <c r="BV143" s="646"/>
    </row>
    <row r="144" spans="1:74" ht="15" hidden="1" customHeight="1" thickBot="1" x14ac:dyDescent="0.3">
      <c r="A144" s="190" t="s">
        <v>252</v>
      </c>
      <c r="B144" s="180" t="s">
        <v>253</v>
      </c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  <c r="Y144" s="336"/>
      <c r="Z144" s="336"/>
      <c r="AA144" s="336"/>
      <c r="AB144" s="336"/>
      <c r="AC144" s="336"/>
      <c r="AD144" s="336"/>
      <c r="AE144" s="336"/>
      <c r="AF144" s="336"/>
      <c r="AG144" s="336"/>
      <c r="AH144" s="336"/>
      <c r="AI144" s="336"/>
      <c r="AJ144" s="336"/>
      <c r="AK144" s="336"/>
      <c r="AL144" s="336"/>
      <c r="AM144" s="336"/>
      <c r="AN144" s="336"/>
      <c r="AO144" s="336"/>
      <c r="AP144" s="336"/>
      <c r="AQ144" s="336"/>
      <c r="AR144" s="336"/>
      <c r="AS144" s="336"/>
      <c r="AT144" s="336"/>
      <c r="AU144" s="336"/>
      <c r="AV144" s="336"/>
      <c r="AW144" s="336"/>
      <c r="AX144" s="336"/>
      <c r="AY144" s="336"/>
      <c r="AZ144" s="336"/>
      <c r="BA144" s="336"/>
      <c r="BB144" s="336"/>
      <c r="BC144" s="336"/>
      <c r="BD144" s="336"/>
      <c r="BE144" s="336"/>
      <c r="BF144" s="336"/>
      <c r="BG144" s="336"/>
      <c r="BH144" s="336"/>
      <c r="BI144" s="336"/>
      <c r="BJ144" s="336"/>
      <c r="BK144" s="336"/>
      <c r="BL144" s="336"/>
      <c r="BM144" s="336"/>
      <c r="BN144" s="336"/>
      <c r="BO144" s="336"/>
      <c r="BP144" s="336"/>
      <c r="BQ144" s="372">
        <f t="shared" si="1126"/>
        <v>0</v>
      </c>
      <c r="BR144" s="618">
        <f t="shared" si="1127"/>
        <v>0</v>
      </c>
      <c r="BS144" s="618">
        <f t="shared" ca="1" si="1128"/>
        <v>0</v>
      </c>
      <c r="BT144" s="618">
        <f t="shared" ca="1" si="1129"/>
        <v>0</v>
      </c>
      <c r="BU144" s="646"/>
      <c r="BV144" s="646"/>
    </row>
    <row r="145" spans="1:74" ht="15" hidden="1" customHeight="1" thickBot="1" x14ac:dyDescent="0.3">
      <c r="A145" s="190" t="s">
        <v>254</v>
      </c>
      <c r="B145" s="180" t="s">
        <v>255</v>
      </c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36"/>
      <c r="AE145" s="336"/>
      <c r="AF145" s="336"/>
      <c r="AG145" s="336"/>
      <c r="AH145" s="336"/>
      <c r="AI145" s="336"/>
      <c r="AJ145" s="336"/>
      <c r="AK145" s="336"/>
      <c r="AL145" s="336"/>
      <c r="AM145" s="336"/>
      <c r="AN145" s="336"/>
      <c r="AO145" s="336"/>
      <c r="AP145" s="336"/>
      <c r="AQ145" s="336"/>
      <c r="AR145" s="336"/>
      <c r="AS145" s="336"/>
      <c r="AT145" s="336"/>
      <c r="AU145" s="336"/>
      <c r="AV145" s="336"/>
      <c r="AW145" s="336"/>
      <c r="AX145" s="336"/>
      <c r="AY145" s="336"/>
      <c r="AZ145" s="336"/>
      <c r="BA145" s="336"/>
      <c r="BB145" s="336"/>
      <c r="BC145" s="336"/>
      <c r="BD145" s="336"/>
      <c r="BE145" s="336"/>
      <c r="BF145" s="336"/>
      <c r="BG145" s="336"/>
      <c r="BH145" s="336"/>
      <c r="BI145" s="336"/>
      <c r="BJ145" s="336"/>
      <c r="BK145" s="336"/>
      <c r="BL145" s="336"/>
      <c r="BM145" s="336"/>
      <c r="BN145" s="336"/>
      <c r="BO145" s="336"/>
      <c r="BP145" s="336"/>
      <c r="BQ145" s="372">
        <f t="shared" si="1126"/>
        <v>0</v>
      </c>
      <c r="BR145" s="618">
        <f t="shared" si="1127"/>
        <v>0</v>
      </c>
      <c r="BS145" s="618">
        <f t="shared" ca="1" si="1128"/>
        <v>0</v>
      </c>
      <c r="BT145" s="618">
        <f t="shared" ca="1" si="1129"/>
        <v>0</v>
      </c>
      <c r="BU145" s="646"/>
      <c r="BV145" s="646"/>
    </row>
    <row r="146" spans="1:74" ht="15" hidden="1" customHeight="1" thickBot="1" x14ac:dyDescent="0.3">
      <c r="A146" s="190" t="s">
        <v>541</v>
      </c>
      <c r="B146" s="180" t="s">
        <v>542</v>
      </c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  <c r="AA146" s="336"/>
      <c r="AB146" s="336"/>
      <c r="AC146" s="336"/>
      <c r="AD146" s="336"/>
      <c r="AE146" s="336"/>
      <c r="AF146" s="336"/>
      <c r="AG146" s="336"/>
      <c r="AH146" s="336"/>
      <c r="AI146" s="336"/>
      <c r="AJ146" s="336"/>
      <c r="AK146" s="336"/>
      <c r="AL146" s="336"/>
      <c r="AM146" s="336"/>
      <c r="AN146" s="336"/>
      <c r="AO146" s="336"/>
      <c r="AP146" s="336"/>
      <c r="AQ146" s="336"/>
      <c r="AR146" s="336"/>
      <c r="AS146" s="336"/>
      <c r="AT146" s="336"/>
      <c r="AU146" s="336"/>
      <c r="AV146" s="336"/>
      <c r="AW146" s="336"/>
      <c r="AX146" s="336"/>
      <c r="AY146" s="336"/>
      <c r="AZ146" s="336"/>
      <c r="BA146" s="336"/>
      <c r="BB146" s="336"/>
      <c r="BC146" s="336"/>
      <c r="BD146" s="336"/>
      <c r="BE146" s="336"/>
      <c r="BF146" s="336"/>
      <c r="BG146" s="336"/>
      <c r="BH146" s="336"/>
      <c r="BI146" s="336"/>
      <c r="BJ146" s="336"/>
      <c r="BK146" s="336"/>
      <c r="BL146" s="336"/>
      <c r="BM146" s="336"/>
      <c r="BN146" s="336"/>
      <c r="BO146" s="336"/>
      <c r="BP146" s="336"/>
      <c r="BQ146" s="372">
        <f t="shared" si="1126"/>
        <v>0</v>
      </c>
      <c r="BR146" s="618">
        <f t="shared" si="1127"/>
        <v>0</v>
      </c>
      <c r="BS146" s="618">
        <f t="shared" ca="1" si="1128"/>
        <v>0</v>
      </c>
      <c r="BT146" s="618">
        <f t="shared" ca="1" si="1129"/>
        <v>0</v>
      </c>
      <c r="BU146" s="646"/>
      <c r="BV146" s="646"/>
    </row>
    <row r="147" spans="1:74" ht="15.75" thickBot="1" x14ac:dyDescent="0.3">
      <c r="A147" s="190" t="s">
        <v>256</v>
      </c>
      <c r="B147" s="180" t="s">
        <v>257</v>
      </c>
      <c r="C147" s="336"/>
      <c r="D147" s="336"/>
      <c r="E147" s="336"/>
      <c r="F147" s="336"/>
      <c r="G147" s="336">
        <f>4302000+8926650</f>
        <v>13228650</v>
      </c>
      <c r="H147" s="336">
        <f>4302000+8926650</f>
        <v>13228650</v>
      </c>
      <c r="I147" s="336">
        <f>4302000+8926650</f>
        <v>13228650</v>
      </c>
      <c r="J147" s="336">
        <v>8926650</v>
      </c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  <c r="AA147" s="336"/>
      <c r="AB147" s="336"/>
      <c r="AC147" s="336"/>
      <c r="AD147" s="336"/>
      <c r="AE147" s="336"/>
      <c r="AF147" s="336"/>
      <c r="AG147" s="336"/>
      <c r="AH147" s="336"/>
      <c r="AI147" s="336"/>
      <c r="AJ147" s="336"/>
      <c r="AK147" s="336"/>
      <c r="AL147" s="336"/>
      <c r="AM147" s="336"/>
      <c r="AN147" s="336"/>
      <c r="AO147" s="336"/>
      <c r="AP147" s="336"/>
      <c r="AQ147" s="336"/>
      <c r="AR147" s="336">
        <v>4302000</v>
      </c>
      <c r="AS147" s="336"/>
      <c r="AT147" s="336"/>
      <c r="AU147" s="336"/>
      <c r="AV147" s="336"/>
      <c r="AW147" s="336"/>
      <c r="AX147" s="336"/>
      <c r="AY147" s="336"/>
      <c r="AZ147" s="336"/>
      <c r="BA147" s="336"/>
      <c r="BB147" s="336"/>
      <c r="BC147" s="336"/>
      <c r="BD147" s="336"/>
      <c r="BE147" s="336"/>
      <c r="BF147" s="336"/>
      <c r="BG147" s="336"/>
      <c r="BH147" s="336"/>
      <c r="BI147" s="336"/>
      <c r="BJ147" s="336"/>
      <c r="BK147" s="336"/>
      <c r="BL147" s="336"/>
      <c r="BM147" s="336"/>
      <c r="BN147" s="336"/>
      <c r="BO147" s="336"/>
      <c r="BP147" s="336"/>
      <c r="BQ147" s="372">
        <f t="shared" si="1126"/>
        <v>13228650</v>
      </c>
      <c r="BR147" s="618">
        <f t="shared" si="1127"/>
        <v>13228650</v>
      </c>
      <c r="BS147" s="618">
        <f t="shared" ca="1" si="1128"/>
        <v>13228650</v>
      </c>
      <c r="BT147" s="618">
        <f t="shared" ca="1" si="1129"/>
        <v>13228650</v>
      </c>
      <c r="BU147" s="646"/>
      <c r="BV147" s="646"/>
    </row>
    <row r="148" spans="1:74" ht="15.75" hidden="1" customHeight="1" thickBot="1" x14ac:dyDescent="0.3">
      <c r="A148" s="190" t="s">
        <v>258</v>
      </c>
      <c r="B148" s="180" t="s">
        <v>259</v>
      </c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  <c r="Y148" s="336"/>
      <c r="Z148" s="336"/>
      <c r="AA148" s="336"/>
      <c r="AB148" s="336"/>
      <c r="AC148" s="336"/>
      <c r="AD148" s="336"/>
      <c r="AE148" s="336"/>
      <c r="AF148" s="336"/>
      <c r="AG148" s="336"/>
      <c r="AH148" s="336"/>
      <c r="AI148" s="336"/>
      <c r="AJ148" s="336"/>
      <c r="AK148" s="336"/>
      <c r="AL148" s="336"/>
      <c r="AM148" s="336"/>
      <c r="AN148" s="336"/>
      <c r="AO148" s="336"/>
      <c r="AP148" s="336"/>
      <c r="AQ148" s="336"/>
      <c r="AR148" s="336"/>
      <c r="AS148" s="336"/>
      <c r="AT148" s="336"/>
      <c r="AU148" s="336"/>
      <c r="AV148" s="336"/>
      <c r="AW148" s="336"/>
      <c r="AX148" s="336"/>
      <c r="AY148" s="336"/>
      <c r="AZ148" s="336"/>
      <c r="BA148" s="336"/>
      <c r="BB148" s="336"/>
      <c r="BC148" s="336"/>
      <c r="BD148" s="336"/>
      <c r="BE148" s="336"/>
      <c r="BF148" s="336"/>
      <c r="BG148" s="336"/>
      <c r="BH148" s="336"/>
      <c r="BI148" s="336"/>
      <c r="BJ148" s="336"/>
      <c r="BK148" s="336"/>
      <c r="BL148" s="336"/>
      <c r="BM148" s="336"/>
      <c r="BN148" s="336"/>
      <c r="BO148" s="336"/>
      <c r="BP148" s="336"/>
      <c r="BQ148" s="372">
        <f t="shared" si="1126"/>
        <v>0</v>
      </c>
      <c r="BR148" s="618">
        <f t="shared" si="1127"/>
        <v>0</v>
      </c>
      <c r="BS148" s="618">
        <f t="shared" ca="1" si="1128"/>
        <v>0</v>
      </c>
      <c r="BT148" s="618">
        <f t="shared" ca="1" si="1129"/>
        <v>0</v>
      </c>
      <c r="BU148" s="646"/>
      <c r="BV148" s="646"/>
    </row>
    <row r="149" spans="1:74" ht="15.75" hidden="1" customHeight="1" thickBot="1" x14ac:dyDescent="0.3">
      <c r="A149" s="190" t="s">
        <v>260</v>
      </c>
      <c r="B149" s="180" t="s">
        <v>261</v>
      </c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6"/>
      <c r="Z149" s="336"/>
      <c r="AA149" s="336"/>
      <c r="AB149" s="336"/>
      <c r="AC149" s="336"/>
      <c r="AD149" s="336"/>
      <c r="AE149" s="336"/>
      <c r="AF149" s="336"/>
      <c r="AG149" s="336"/>
      <c r="AH149" s="336"/>
      <c r="AI149" s="336"/>
      <c r="AJ149" s="336"/>
      <c r="AK149" s="336"/>
      <c r="AL149" s="336"/>
      <c r="AM149" s="336"/>
      <c r="AN149" s="336"/>
      <c r="AO149" s="336"/>
      <c r="AP149" s="336"/>
      <c r="AQ149" s="336"/>
      <c r="AR149" s="336"/>
      <c r="AS149" s="336"/>
      <c r="AT149" s="336"/>
      <c r="AU149" s="336"/>
      <c r="AV149" s="336"/>
      <c r="AW149" s="336"/>
      <c r="AX149" s="336"/>
      <c r="AY149" s="336"/>
      <c r="AZ149" s="336"/>
      <c r="BA149" s="336"/>
      <c r="BB149" s="336"/>
      <c r="BC149" s="336"/>
      <c r="BD149" s="336"/>
      <c r="BE149" s="336"/>
      <c r="BF149" s="336"/>
      <c r="BG149" s="336"/>
      <c r="BH149" s="336"/>
      <c r="BI149" s="336"/>
      <c r="BJ149" s="336"/>
      <c r="BK149" s="336"/>
      <c r="BL149" s="336"/>
      <c r="BM149" s="336"/>
      <c r="BN149" s="336"/>
      <c r="BO149" s="336"/>
      <c r="BP149" s="336"/>
      <c r="BQ149" s="372">
        <f t="shared" si="1126"/>
        <v>0</v>
      </c>
      <c r="BR149" s="618">
        <f t="shared" si="1127"/>
        <v>0</v>
      </c>
      <c r="BS149" s="618">
        <f t="shared" ca="1" si="1128"/>
        <v>0</v>
      </c>
      <c r="BT149" s="618">
        <f t="shared" ca="1" si="1129"/>
        <v>0</v>
      </c>
      <c r="BU149" s="646"/>
      <c r="BV149" s="646"/>
    </row>
    <row r="150" spans="1:74" ht="15.75" hidden="1" customHeight="1" thickBot="1" x14ac:dyDescent="0.3">
      <c r="A150" s="191"/>
      <c r="B150" s="192" t="s">
        <v>262</v>
      </c>
      <c r="C150" s="339"/>
      <c r="D150" s="339"/>
      <c r="E150" s="339"/>
      <c r="F150" s="339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9"/>
      <c r="AG150" s="339"/>
      <c r="AH150" s="339"/>
      <c r="AI150" s="339"/>
      <c r="AJ150" s="339"/>
      <c r="AK150" s="339"/>
      <c r="AL150" s="339"/>
      <c r="AM150" s="339"/>
      <c r="AN150" s="339"/>
      <c r="AO150" s="339"/>
      <c r="AP150" s="339"/>
      <c r="AQ150" s="339"/>
      <c r="AR150" s="339"/>
      <c r="AS150" s="339"/>
      <c r="AT150" s="339"/>
      <c r="AU150" s="339"/>
      <c r="AV150" s="339"/>
      <c r="AW150" s="339"/>
      <c r="AX150" s="339"/>
      <c r="AY150" s="339"/>
      <c r="AZ150" s="339"/>
      <c r="BA150" s="339"/>
      <c r="BB150" s="339"/>
      <c r="BC150" s="339"/>
      <c r="BD150" s="339"/>
      <c r="BE150" s="339"/>
      <c r="BF150" s="339"/>
      <c r="BG150" s="339"/>
      <c r="BH150" s="339"/>
      <c r="BI150" s="339"/>
      <c r="BJ150" s="339"/>
      <c r="BK150" s="339"/>
      <c r="BL150" s="339"/>
      <c r="BM150" s="339"/>
      <c r="BN150" s="339"/>
      <c r="BO150" s="339"/>
      <c r="BP150" s="339"/>
      <c r="BQ150" s="374">
        <f t="shared" si="1126"/>
        <v>0</v>
      </c>
      <c r="BR150" s="618">
        <f t="shared" si="1127"/>
        <v>0</v>
      </c>
      <c r="BS150" s="618">
        <f t="shared" ca="1" si="1128"/>
        <v>0</v>
      </c>
      <c r="BT150" s="618">
        <f t="shared" ca="1" si="1129"/>
        <v>0</v>
      </c>
      <c r="BU150" s="646"/>
      <c r="BV150" s="646"/>
    </row>
    <row r="151" spans="1:74" s="434" customFormat="1" ht="15.75" thickBot="1" x14ac:dyDescent="0.3">
      <c r="A151" s="193" t="s">
        <v>265</v>
      </c>
      <c r="B151" s="194" t="s">
        <v>263</v>
      </c>
      <c r="C151" s="432">
        <f t="shared" ref="C151:BA151" si="1379">C143+C142</f>
        <v>10914821</v>
      </c>
      <c r="D151" s="432">
        <f t="shared" ref="D151:E151" si="1380">D143+D142</f>
        <v>10914821</v>
      </c>
      <c r="E151" s="432">
        <f t="shared" si="1380"/>
        <v>10914821</v>
      </c>
      <c r="F151" s="432">
        <f t="shared" ref="F151" si="1381">F143+F142</f>
        <v>9313340</v>
      </c>
      <c r="G151" s="432">
        <f t="shared" si="1379"/>
        <v>155543386.63</v>
      </c>
      <c r="H151" s="432">
        <f t="shared" ref="H151" si="1382">H143+H142</f>
        <v>155543387</v>
      </c>
      <c r="I151" s="432">
        <f t="shared" ref="I151" si="1383">I143+I142</f>
        <v>154153636</v>
      </c>
      <c r="J151" s="432">
        <f t="shared" ref="J151" si="1384">J143+J142</f>
        <v>118435440</v>
      </c>
      <c r="K151" s="432">
        <f t="shared" si="1379"/>
        <v>422359289</v>
      </c>
      <c r="L151" s="432">
        <f t="shared" ref="L151" si="1385">L143+L142</f>
        <v>422359289</v>
      </c>
      <c r="M151" s="432">
        <f t="shared" ref="M151" si="1386">M143+M142</f>
        <v>422359289</v>
      </c>
      <c r="N151" s="432">
        <f t="shared" ref="N151" si="1387">N143+N142</f>
        <v>420490236</v>
      </c>
      <c r="O151" s="432">
        <f t="shared" si="1379"/>
        <v>49124431</v>
      </c>
      <c r="P151" s="432">
        <f t="shared" ref="P151" si="1388">P143+P142</f>
        <v>49124431</v>
      </c>
      <c r="Q151" s="432">
        <f t="shared" ref="Q151" si="1389">Q143+Q142</f>
        <v>49124431</v>
      </c>
      <c r="R151" s="432">
        <f t="shared" ref="R151" si="1390">R143+R142</f>
        <v>43897528</v>
      </c>
      <c r="S151" s="432">
        <f t="shared" si="1379"/>
        <v>366828889</v>
      </c>
      <c r="T151" s="432">
        <f t="shared" ref="T151" si="1391">T143+T142</f>
        <v>366828889</v>
      </c>
      <c r="U151" s="432">
        <f t="shared" ref="U151" si="1392">U143+U142</f>
        <v>366828889</v>
      </c>
      <c r="V151" s="432">
        <f t="shared" ref="V151" si="1393">V143+V142</f>
        <v>15513905</v>
      </c>
      <c r="W151" s="432">
        <f t="shared" si="1379"/>
        <v>284479351</v>
      </c>
      <c r="X151" s="432">
        <f t="shared" ref="X151:Y151" si="1394">X143+X142</f>
        <v>300360269</v>
      </c>
      <c r="Y151" s="432">
        <f t="shared" si="1394"/>
        <v>300360269</v>
      </c>
      <c r="Z151" s="432">
        <f t="shared" ref="Z151" si="1395">Z143+Z142</f>
        <v>214275871</v>
      </c>
      <c r="AA151" s="432">
        <f t="shared" si="1379"/>
        <v>972717355</v>
      </c>
      <c r="AB151" s="432">
        <f t="shared" ref="AB151" si="1396">AB143+AB142</f>
        <v>1019299069</v>
      </c>
      <c r="AC151" s="432">
        <f t="shared" ref="AC151" si="1397">AC143+AC142</f>
        <v>1019299069</v>
      </c>
      <c r="AD151" s="432">
        <f t="shared" ref="AD151" si="1398">AD143+AD142</f>
        <v>985939812</v>
      </c>
      <c r="AE151" s="432">
        <f t="shared" si="1379"/>
        <v>444500</v>
      </c>
      <c r="AF151" s="432">
        <f t="shared" si="1379"/>
        <v>0</v>
      </c>
      <c r="AG151" s="432">
        <f t="shared" si="1379"/>
        <v>17022700</v>
      </c>
      <c r="AH151" s="432">
        <f t="shared" ref="AH151" si="1399">AH143+AH142</f>
        <v>20222700</v>
      </c>
      <c r="AI151" s="432">
        <f t="shared" ref="AI151" si="1400">AI143+AI142</f>
        <v>20222700</v>
      </c>
      <c r="AJ151" s="432">
        <f t="shared" ref="AJ151" si="1401">AJ143+AJ142</f>
        <v>18168941</v>
      </c>
      <c r="AK151" s="432">
        <f t="shared" si="1379"/>
        <v>24231673</v>
      </c>
      <c r="AL151" s="432">
        <f t="shared" ref="AL151" si="1402">AL143+AL142</f>
        <v>24231673</v>
      </c>
      <c r="AM151" s="432">
        <f t="shared" ref="AM151" si="1403">AM143+AM142</f>
        <v>24231673</v>
      </c>
      <c r="AN151" s="432">
        <f t="shared" ref="AN151" si="1404">AN143+AN142</f>
        <v>6937655</v>
      </c>
      <c r="AO151" s="432">
        <f t="shared" si="1379"/>
        <v>41969693</v>
      </c>
      <c r="AP151" s="432">
        <f t="shared" ref="AP151" si="1405">AP143+AP142</f>
        <v>41969693</v>
      </c>
      <c r="AQ151" s="432">
        <f t="shared" ref="AQ151" si="1406">AQ143+AQ142</f>
        <v>41969693</v>
      </c>
      <c r="AR151" s="432">
        <f t="shared" ref="AR151" si="1407">AR143+AR142</f>
        <v>32536436</v>
      </c>
      <c r="AS151" s="432">
        <f t="shared" si="1379"/>
        <v>86901467</v>
      </c>
      <c r="AT151" s="432">
        <f t="shared" ref="AT151" si="1408">AT143+AT142</f>
        <v>86901467</v>
      </c>
      <c r="AU151" s="432">
        <f t="shared" ref="AU151" si="1409">AU143+AU142</f>
        <v>86901467</v>
      </c>
      <c r="AV151" s="432">
        <f t="shared" ref="AV151" si="1410">AV143+AV142</f>
        <v>79302115</v>
      </c>
      <c r="AW151" s="432">
        <f t="shared" si="1379"/>
        <v>57084303</v>
      </c>
      <c r="AX151" s="432">
        <f t="shared" ref="AX151" si="1411">AX143+AX142</f>
        <v>57084303</v>
      </c>
      <c r="AY151" s="432">
        <f t="shared" ref="AY151" si="1412">AY143+AY142</f>
        <v>57084303</v>
      </c>
      <c r="AZ151" s="432">
        <f t="shared" ref="AZ151" si="1413">AZ143+AZ142</f>
        <v>56047142</v>
      </c>
      <c r="BA151" s="432">
        <f t="shared" si="1379"/>
        <v>980664500</v>
      </c>
      <c r="BB151" s="432">
        <f t="shared" ref="BB151" si="1414">BB143+BB142</f>
        <v>952724500</v>
      </c>
      <c r="BC151" s="432">
        <f t="shared" ref="BC151" si="1415">BC143+BC142</f>
        <v>952724500</v>
      </c>
      <c r="BD151" s="432">
        <f t="shared" ref="BD151" si="1416">BD143+BD142</f>
        <v>226711312</v>
      </c>
      <c r="BE151" s="432">
        <f t="shared" ref="BE151" si="1417">BE143+BE142</f>
        <v>7411782</v>
      </c>
      <c r="BF151" s="432">
        <f t="shared" ref="BF151:BI151" si="1418">BF143+BF142</f>
        <v>7411782</v>
      </c>
      <c r="BG151" s="432">
        <f t="shared" ref="BG151" si="1419">BG143+BG142</f>
        <v>7411782</v>
      </c>
      <c r="BH151" s="432">
        <f t="shared" ref="BH151" si="1420">BH143+BH142</f>
        <v>0</v>
      </c>
      <c r="BI151" s="432">
        <f t="shared" si="1418"/>
        <v>0</v>
      </c>
      <c r="BJ151" s="432">
        <f t="shared" ref="BJ151" si="1421">BJ143+BJ142</f>
        <v>3698429</v>
      </c>
      <c r="BK151" s="432">
        <f t="shared" ref="BK151:BN151" si="1422">BK143+BK142</f>
        <v>3698429</v>
      </c>
      <c r="BL151" s="432">
        <f t="shared" ref="BL151" si="1423">BL143+BL142</f>
        <v>3698429</v>
      </c>
      <c r="BM151" s="432">
        <f t="shared" si="1422"/>
        <v>0</v>
      </c>
      <c r="BN151" s="432">
        <f t="shared" si="1422"/>
        <v>0</v>
      </c>
      <c r="BO151" s="432">
        <f t="shared" ref="BO151" si="1424">BO143+BO142</f>
        <v>4975845</v>
      </c>
      <c r="BP151" s="432">
        <f t="shared" ref="BP151" si="1425">BP143+BP142</f>
        <v>523500</v>
      </c>
      <c r="BQ151" s="433">
        <f t="shared" si="1126"/>
        <v>3477253640.6300001</v>
      </c>
      <c r="BR151" s="618">
        <f t="shared" si="1127"/>
        <v>3518674702</v>
      </c>
      <c r="BS151" s="618">
        <f t="shared" ca="1" si="1128"/>
        <v>3522260796</v>
      </c>
      <c r="BT151" s="618">
        <f t="shared" ca="1" si="1129"/>
        <v>2231791662</v>
      </c>
      <c r="BU151" s="646"/>
      <c r="BV151" s="646"/>
    </row>
    <row r="152" spans="1:74" x14ac:dyDescent="0.25">
      <c r="C152" s="646">
        <f t="shared" ref="C152:AW152" si="1426">C85-C151</f>
        <v>0</v>
      </c>
      <c r="D152" s="646">
        <f t="shared" ref="D152:E152" si="1427">D85-D151</f>
        <v>0</v>
      </c>
      <c r="E152" s="646">
        <f t="shared" si="1427"/>
        <v>0</v>
      </c>
      <c r="F152" s="646">
        <f t="shared" ref="F152" si="1428">F85-F151</f>
        <v>1348230</v>
      </c>
      <c r="G152" s="646">
        <f t="shared" si="1426"/>
        <v>-4195403.6299999952</v>
      </c>
      <c r="H152" s="646">
        <f t="shared" ref="H152" si="1429">H85-H151</f>
        <v>-4195404</v>
      </c>
      <c r="I152" s="646">
        <f t="shared" ref="I152" si="1430">I85-I151</f>
        <v>-4195404</v>
      </c>
      <c r="J152" s="646">
        <f t="shared" ref="J152" si="1431">J85-J151</f>
        <v>18666209</v>
      </c>
      <c r="K152" s="646">
        <f>K85-K151</f>
        <v>-27121108</v>
      </c>
      <c r="L152" s="646">
        <f>L85-L151</f>
        <v>-27121108</v>
      </c>
      <c r="M152" s="646">
        <f>M85-M151</f>
        <v>-27121108</v>
      </c>
      <c r="N152" s="646">
        <f>N85-N151</f>
        <v>-25243305</v>
      </c>
      <c r="O152" s="646">
        <f t="shared" si="1426"/>
        <v>0</v>
      </c>
      <c r="P152" s="646">
        <f t="shared" ref="P152" si="1432">P85-P151</f>
        <v>0</v>
      </c>
      <c r="Q152" s="646">
        <f t="shared" ref="Q152" si="1433">Q85-Q151</f>
        <v>0</v>
      </c>
      <c r="R152" s="646">
        <f t="shared" ref="R152" si="1434">R85-R151</f>
        <v>2883690</v>
      </c>
      <c r="S152" s="646">
        <f t="shared" si="1426"/>
        <v>0</v>
      </c>
      <c r="T152" s="646">
        <f t="shared" ref="T152" si="1435">T85-T151</f>
        <v>0</v>
      </c>
      <c r="U152" s="646">
        <f t="shared" ref="U152" si="1436">U85-U151</f>
        <v>0</v>
      </c>
      <c r="V152" s="646">
        <f t="shared" ref="V152" si="1437">V85-V151</f>
        <v>351314984</v>
      </c>
      <c r="W152" s="646">
        <f t="shared" si="1426"/>
        <v>0</v>
      </c>
      <c r="X152" s="646">
        <f t="shared" ref="X152:Y152" si="1438">X85-X151</f>
        <v>-15880918</v>
      </c>
      <c r="Y152" s="646">
        <f t="shared" si="1438"/>
        <v>-15880918</v>
      </c>
      <c r="Z152" s="646">
        <f t="shared" ref="Z152" si="1439">Z85-Z151</f>
        <v>70203480</v>
      </c>
      <c r="AA152" s="646">
        <f>AA85-AA151</f>
        <v>-53000000</v>
      </c>
      <c r="AB152" s="646">
        <f>AB85-AB151</f>
        <v>-99581714</v>
      </c>
      <c r="AC152" s="646">
        <f>AC85-AC151</f>
        <v>-99581714</v>
      </c>
      <c r="AD152" s="646">
        <f>AD85-AD151</f>
        <v>-116895457</v>
      </c>
      <c r="AE152" s="646"/>
      <c r="AF152" s="646">
        <f t="shared" si="1426"/>
        <v>0</v>
      </c>
      <c r="AG152" s="646">
        <f t="shared" si="1426"/>
        <v>0</v>
      </c>
      <c r="AH152" s="646">
        <f t="shared" ref="AH152" si="1440">AH85-AH151</f>
        <v>-3200000</v>
      </c>
      <c r="AI152" s="646">
        <f t="shared" ref="AI152" si="1441">AI85-AI151</f>
        <v>-3200000</v>
      </c>
      <c r="AJ152" s="646">
        <f t="shared" ref="AJ152" si="1442">AJ85-AJ151</f>
        <v>-4257029</v>
      </c>
      <c r="AK152" s="646">
        <f t="shared" si="1426"/>
        <v>0</v>
      </c>
      <c r="AL152" s="646">
        <f t="shared" ref="AL152" si="1443">AL85-AL151</f>
        <v>0</v>
      </c>
      <c r="AM152" s="646">
        <f t="shared" ref="AM152" si="1444">AM85-AM151</f>
        <v>0</v>
      </c>
      <c r="AN152" s="646">
        <f t="shared" ref="AN152" si="1445">AN85-AN151</f>
        <v>1812817</v>
      </c>
      <c r="AO152" s="646">
        <f t="shared" si="1426"/>
        <v>0</v>
      </c>
      <c r="AP152" s="646">
        <f t="shared" ref="AP152" si="1446">AP85-AP151</f>
        <v>0</v>
      </c>
      <c r="AQ152" s="646">
        <f t="shared" ref="AQ152" si="1447">AQ85-AQ151</f>
        <v>0</v>
      </c>
      <c r="AR152" s="646">
        <f t="shared" ref="AR152" si="1448">AR85-AR151</f>
        <v>-1508510</v>
      </c>
      <c r="AS152" s="646">
        <f t="shared" si="1426"/>
        <v>-3902564</v>
      </c>
      <c r="AT152" s="646">
        <f t="shared" ref="AT152" si="1449">AT85-AT151</f>
        <v>-3902564</v>
      </c>
      <c r="AU152" s="646">
        <f t="shared" ref="AU152" si="1450">AU85-AU151</f>
        <v>-3902564</v>
      </c>
      <c r="AV152" s="646">
        <f t="shared" ref="AV152" si="1451">AV85-AV151</f>
        <v>30268942</v>
      </c>
      <c r="AW152" s="646">
        <f t="shared" si="1426"/>
        <v>0</v>
      </c>
      <c r="AX152" s="646">
        <f t="shared" ref="AX152" si="1452">AX85-AX151</f>
        <v>0</v>
      </c>
      <c r="AY152" s="646">
        <f t="shared" ref="AY152" si="1453">AY85-AY151</f>
        <v>0</v>
      </c>
      <c r="AZ152" s="646">
        <f t="shared" ref="AZ152" si="1454">AZ85-AZ151</f>
        <v>-31611617</v>
      </c>
      <c r="BA152" s="646">
        <f>BA85-BA151</f>
        <v>-27940000</v>
      </c>
      <c r="BB152" s="646">
        <f>BB85-BB151</f>
        <v>0</v>
      </c>
      <c r="BC152" s="646">
        <f>BC85-BC151</f>
        <v>0</v>
      </c>
      <c r="BD152" s="646">
        <f>BD85-BD151</f>
        <v>725501586</v>
      </c>
      <c r="BE152" s="646">
        <f t="shared" ref="BE152:BF152" si="1455">BE85-BE151</f>
        <v>-1111767</v>
      </c>
      <c r="BF152" s="646">
        <f t="shared" si="1455"/>
        <v>-1111767</v>
      </c>
      <c r="BG152" s="646">
        <f t="shared" ref="BG152" si="1456">BG85-BG151</f>
        <v>-1111767</v>
      </c>
      <c r="BH152" s="646">
        <f t="shared" ref="BH152" si="1457">BH85-BH151</f>
        <v>0</v>
      </c>
      <c r="BI152" s="646">
        <f t="shared" ref="BI152:BJ152" si="1458">BI85-BI151</f>
        <v>0</v>
      </c>
      <c r="BJ152" s="646">
        <f t="shared" si="1458"/>
        <v>0</v>
      </c>
      <c r="BK152" s="646">
        <f t="shared" ref="BK152" si="1459">BK85-BK151</f>
        <v>0</v>
      </c>
      <c r="BL152" s="646">
        <f t="shared" ref="BL152" si="1460">BL85-BL151</f>
        <v>0</v>
      </c>
      <c r="BM152" s="646">
        <f t="shared" ref="BM152:BO152" si="1461">BM85-BM151</f>
        <v>0</v>
      </c>
      <c r="BN152" s="646">
        <f t="shared" si="1461"/>
        <v>0</v>
      </c>
      <c r="BO152" s="646">
        <f t="shared" si="1461"/>
        <v>0</v>
      </c>
      <c r="BP152" s="646">
        <f t="shared" ref="BP152" si="1462">BP85-BP151</f>
        <v>4452345</v>
      </c>
      <c r="BQ152" s="341">
        <f t="shared" si="1126"/>
        <v>-117270842.63</v>
      </c>
      <c r="BR152" s="341">
        <f ca="1">SUMIF($C$8:$BF$8,"2019 terv",D152:BF152)</f>
        <v>-154993475</v>
      </c>
      <c r="BS152" s="341">
        <f ca="1">SUMIF($C$8:$BF$8,"2019 terv",E152:BG152)</f>
        <v>-158193475</v>
      </c>
      <c r="BT152" s="341">
        <f ca="1">SUMIF($C$8:$BF$8,"2019 terv",F152:BH152)</f>
        <v>1019284020</v>
      </c>
    </row>
    <row r="153" spans="1:74" x14ac:dyDescent="0.25">
      <c r="K153" s="646"/>
      <c r="L153" s="646"/>
      <c r="M153" s="646"/>
      <c r="N153" s="646"/>
      <c r="AB153" s="646">
        <f>AB152-AA152</f>
        <v>-46581714</v>
      </c>
      <c r="AC153" s="646">
        <f>AC152-AB152</f>
        <v>0</v>
      </c>
      <c r="AD153" s="646">
        <f>AD152-AC152</f>
        <v>-17313743</v>
      </c>
      <c r="BR153" s="646"/>
      <c r="BS153" s="646"/>
      <c r="BT153" s="646"/>
    </row>
    <row r="154" spans="1:74" x14ac:dyDescent="0.25">
      <c r="K154" s="646"/>
      <c r="L154" s="646"/>
      <c r="M154" s="646"/>
      <c r="N154" s="646"/>
    </row>
    <row r="155" spans="1:74" x14ac:dyDescent="0.25">
      <c r="K155" s="646"/>
      <c r="L155" s="646"/>
      <c r="M155" s="646"/>
      <c r="N155" s="646"/>
      <c r="BR155" s="646"/>
      <c r="BS155" s="646"/>
      <c r="BT155" s="646"/>
    </row>
    <row r="156" spans="1:74" x14ac:dyDescent="0.25">
      <c r="K156" s="646"/>
      <c r="L156" s="646"/>
      <c r="M156" s="646"/>
      <c r="N156" s="646"/>
      <c r="BR156" s="646"/>
      <c r="BS156" s="646"/>
      <c r="BT156" s="646"/>
    </row>
    <row r="157" spans="1:74" x14ac:dyDescent="0.25">
      <c r="K157" s="646"/>
      <c r="L157" s="646"/>
      <c r="M157" s="646"/>
      <c r="N157" s="646"/>
      <c r="BR157" s="646"/>
      <c r="BS157" s="646"/>
      <c r="BT157" s="646"/>
    </row>
    <row r="158" spans="1:74" x14ac:dyDescent="0.25">
      <c r="K158" s="646"/>
      <c r="L158" s="646"/>
      <c r="M158" s="646"/>
      <c r="N158" s="646"/>
      <c r="BR158" s="646"/>
      <c r="BS158" s="646"/>
      <c r="BT158" s="646"/>
    </row>
    <row r="159" spans="1:74" x14ac:dyDescent="0.25">
      <c r="K159" s="646"/>
      <c r="L159" s="646"/>
      <c r="M159" s="646"/>
      <c r="N159" s="646"/>
      <c r="BR159" s="646"/>
      <c r="BS159" s="646"/>
      <c r="BT159" s="646"/>
    </row>
    <row r="160" spans="1:74" x14ac:dyDescent="0.25">
      <c r="K160" s="646"/>
      <c r="L160" s="646"/>
      <c r="M160" s="646"/>
      <c r="N160" s="646"/>
    </row>
    <row r="161" spans="11:14" x14ac:dyDescent="0.25">
      <c r="K161" s="646"/>
      <c r="L161" s="646"/>
      <c r="M161" s="646"/>
      <c r="N161" s="646"/>
    </row>
    <row r="162" spans="11:14" x14ac:dyDescent="0.25">
      <c r="K162" s="646"/>
      <c r="L162" s="646"/>
      <c r="M162" s="646"/>
      <c r="N162" s="646"/>
    </row>
    <row r="163" spans="11:14" x14ac:dyDescent="0.25">
      <c r="K163" s="646"/>
      <c r="L163" s="646"/>
      <c r="M163" s="646"/>
      <c r="N163" s="646"/>
    </row>
    <row r="164" spans="11:14" x14ac:dyDescent="0.25">
      <c r="K164" s="646"/>
      <c r="L164" s="646"/>
      <c r="M164" s="646"/>
      <c r="N164" s="646"/>
    </row>
    <row r="165" spans="11:14" x14ac:dyDescent="0.25">
      <c r="K165" s="646"/>
      <c r="L165" s="646"/>
      <c r="M165" s="646"/>
      <c r="N165" s="646"/>
    </row>
    <row r="166" spans="11:14" x14ac:dyDescent="0.25">
      <c r="K166" s="646"/>
      <c r="L166" s="646"/>
      <c r="M166" s="646"/>
      <c r="N166" s="646"/>
    </row>
    <row r="167" spans="11:14" x14ac:dyDescent="0.25">
      <c r="K167" s="646"/>
      <c r="L167" s="646"/>
      <c r="M167" s="646"/>
      <c r="N167" s="646"/>
    </row>
    <row r="168" spans="11:14" x14ac:dyDescent="0.25">
      <c r="K168" s="646"/>
      <c r="L168" s="646"/>
      <c r="M168" s="646"/>
      <c r="N168" s="646"/>
    </row>
    <row r="181" spans="11:14" x14ac:dyDescent="0.25">
      <c r="K181" s="695"/>
      <c r="L181" s="695"/>
      <c r="M181" s="695"/>
      <c r="N181" s="695"/>
    </row>
    <row r="182" spans="11:14" x14ac:dyDescent="0.25">
      <c r="K182" s="695"/>
      <c r="L182" s="695"/>
      <c r="M182" s="695"/>
      <c r="N182" s="695"/>
    </row>
    <row r="183" spans="11:14" x14ac:dyDescent="0.25">
      <c r="K183" s="695"/>
      <c r="L183" s="695"/>
      <c r="M183" s="695"/>
      <c r="N183" s="695"/>
    </row>
    <row r="184" spans="11:14" x14ac:dyDescent="0.25">
      <c r="K184" s="695"/>
      <c r="L184" s="695"/>
      <c r="M184" s="695"/>
      <c r="N184" s="695"/>
    </row>
    <row r="185" spans="11:14" x14ac:dyDescent="0.25">
      <c r="K185" s="695"/>
      <c r="L185" s="695"/>
      <c r="M185" s="695"/>
      <c r="N185" s="695"/>
    </row>
    <row r="186" spans="11:14" x14ac:dyDescent="0.25">
      <c r="K186" s="695"/>
      <c r="L186" s="695"/>
      <c r="M186" s="695"/>
      <c r="N186" s="695"/>
    </row>
    <row r="187" spans="11:14" x14ac:dyDescent="0.25">
      <c r="K187" s="695"/>
      <c r="L187" s="695"/>
      <c r="M187" s="695"/>
      <c r="N187" s="695"/>
    </row>
    <row r="188" spans="11:14" x14ac:dyDescent="0.25">
      <c r="K188" s="695"/>
      <c r="L188" s="695"/>
      <c r="M188" s="695"/>
      <c r="N188" s="695"/>
    </row>
    <row r="189" spans="11:14" x14ac:dyDescent="0.25">
      <c r="K189" s="695"/>
      <c r="L189" s="695"/>
      <c r="M189" s="695"/>
      <c r="N189" s="695"/>
    </row>
    <row r="190" spans="11:14" x14ac:dyDescent="0.25">
      <c r="K190" s="695"/>
      <c r="L190" s="695"/>
      <c r="M190" s="695"/>
      <c r="N190" s="695"/>
    </row>
    <row r="191" spans="11:14" x14ac:dyDescent="0.25">
      <c r="K191" s="695"/>
      <c r="L191" s="695"/>
      <c r="M191" s="695"/>
      <c r="N191" s="695"/>
    </row>
  </sheetData>
  <mergeCells count="32">
    <mergeCell ref="AE7:AF7"/>
    <mergeCell ref="AE6:AF6"/>
    <mergeCell ref="K7:N7"/>
    <mergeCell ref="G7:J7"/>
    <mergeCell ref="AT6:AU6"/>
    <mergeCell ref="AX6:AY6"/>
    <mergeCell ref="C7:F7"/>
    <mergeCell ref="O7:R7"/>
    <mergeCell ref="S7:V7"/>
    <mergeCell ref="W7:Z7"/>
    <mergeCell ref="AA7:AD7"/>
    <mergeCell ref="AG7:AJ7"/>
    <mergeCell ref="AK7:AN7"/>
    <mergeCell ref="AO7:AR7"/>
    <mergeCell ref="AS7:AV7"/>
    <mergeCell ref="AW7:AZ7"/>
    <mergeCell ref="X6:Y6"/>
    <mergeCell ref="AB6:AC6"/>
    <mergeCell ref="AH6:AI6"/>
    <mergeCell ref="AL6:AM6"/>
    <mergeCell ref="AP6:AQ6"/>
    <mergeCell ref="D6:E6"/>
    <mergeCell ref="H6:I6"/>
    <mergeCell ref="L6:M6"/>
    <mergeCell ref="P6:Q6"/>
    <mergeCell ref="T6:U6"/>
    <mergeCell ref="BB6:BC6"/>
    <mergeCell ref="BE7:BH7"/>
    <mergeCell ref="BI7:BL7"/>
    <mergeCell ref="BM7:BP7"/>
    <mergeCell ref="BQ7:BT7"/>
    <mergeCell ref="BA7:BD7"/>
  </mergeCells>
  <phoneticPr fontId="56" type="noConversion"/>
  <pageMargins left="0.62992125984251968" right="0.15748031496062992" top="0.27559055118110237" bottom="0.43307086614173229" header="0.31496062992125984" footer="0.31496062992125984"/>
  <pageSetup paperSize="9" scale="55" orientation="portrait" horizontalDpi="300" verticalDpi="300" r:id="rId1"/>
  <headerFooter>
    <oddFooter>&amp;R&amp;P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F986-22F7-4D62-8129-5BC168ABAD3B}">
  <dimension ref="A1:F19"/>
  <sheetViews>
    <sheetView workbookViewId="0">
      <selection activeCell="K24" sqref="K24"/>
    </sheetView>
  </sheetViews>
  <sheetFormatPr defaultRowHeight="15" x14ac:dyDescent="0.25"/>
  <cols>
    <col min="1" max="1" width="35.7109375" customWidth="1"/>
    <col min="4" max="4" width="10.7109375" bestFit="1" customWidth="1"/>
  </cols>
  <sheetData>
    <row r="1" spans="1:6" x14ac:dyDescent="0.25">
      <c r="D1" s="81" t="str">
        <f>'21 pályázatok részletes'!E1</f>
        <v xml:space="preserve"> 12 / 2020. (VI.15) sz rendelet</v>
      </c>
    </row>
    <row r="3" spans="1:6" s="179" customFormat="1" x14ac:dyDescent="0.25">
      <c r="A3" s="840"/>
      <c r="B3" s="840"/>
      <c r="C3" s="840"/>
      <c r="D3" s="840"/>
    </row>
    <row r="4" spans="1:6" s="179" customFormat="1" ht="15.75" x14ac:dyDescent="0.25">
      <c r="A4" s="1005" t="s">
        <v>391</v>
      </c>
      <c r="B4" s="1005"/>
      <c r="C4" s="1005"/>
      <c r="D4" s="1005"/>
      <c r="E4" s="1005"/>
    </row>
    <row r="5" spans="1:6" s="179" customFormat="1" ht="15.75" x14ac:dyDescent="0.25">
      <c r="A5" s="1005" t="s">
        <v>1204</v>
      </c>
      <c r="B5" s="1005"/>
      <c r="C5" s="1005"/>
      <c r="D5" s="1005"/>
      <c r="E5" s="1005"/>
    </row>
    <row r="6" spans="1:6" s="179" customFormat="1" ht="15.75" x14ac:dyDescent="0.25">
      <c r="A6" s="1005" t="s">
        <v>1205</v>
      </c>
      <c r="B6" s="1005"/>
      <c r="C6" s="1005"/>
      <c r="D6" s="1005"/>
      <c r="E6" s="1005"/>
    </row>
    <row r="7" spans="1:6" s="179" customFormat="1" ht="15.75" x14ac:dyDescent="0.25">
      <c r="A7" s="841"/>
      <c r="B7" s="841"/>
      <c r="C7" s="841"/>
      <c r="D7" s="841"/>
      <c r="E7" s="841"/>
    </row>
    <row r="8" spans="1:6" s="860" customFormat="1" ht="12.75" x14ac:dyDescent="0.2">
      <c r="A8" s="861"/>
      <c r="B8" s="861"/>
      <c r="C8" s="862" t="s">
        <v>307</v>
      </c>
      <c r="D8" s="869" t="str">
        <f>'21 pályázatok részletes'!D3</f>
        <v xml:space="preserve"> melléklet az 12/2020. (VI.15.) rendelethez</v>
      </c>
      <c r="E8" s="869"/>
      <c r="F8" s="869"/>
    </row>
    <row r="9" spans="1:6" s="179" customFormat="1" ht="15.75" x14ac:dyDescent="0.25">
      <c r="A9" s="841"/>
      <c r="B9" s="841"/>
      <c r="C9" s="841"/>
      <c r="D9" s="841"/>
      <c r="E9" s="840"/>
    </row>
    <row r="10" spans="1:6" s="179" customFormat="1" ht="15.75" x14ac:dyDescent="0.25">
      <c r="A10" s="841"/>
      <c r="B10" s="841"/>
      <c r="C10" s="841"/>
      <c r="D10" s="841"/>
      <c r="E10" s="842" t="s">
        <v>1206</v>
      </c>
    </row>
    <row r="11" spans="1:6" s="179" customFormat="1" ht="16.5" thickBot="1" x14ac:dyDescent="0.3">
      <c r="A11" s="843"/>
      <c r="B11" s="842"/>
      <c r="D11" s="842"/>
      <c r="E11" s="840"/>
    </row>
    <row r="12" spans="1:6" s="179" customFormat="1" ht="38.25" x14ac:dyDescent="0.25">
      <c r="A12" s="844" t="s">
        <v>1207</v>
      </c>
      <c r="B12" s="845" t="s">
        <v>1208</v>
      </c>
      <c r="C12" s="845" t="s">
        <v>1209</v>
      </c>
      <c r="D12" s="846" t="s">
        <v>1210</v>
      </c>
      <c r="E12" s="847" t="s">
        <v>1211</v>
      </c>
    </row>
    <row r="13" spans="1:6" s="179" customFormat="1" x14ac:dyDescent="0.25">
      <c r="A13" s="848" t="s">
        <v>876</v>
      </c>
      <c r="B13" s="849">
        <v>2132700</v>
      </c>
      <c r="C13" s="849">
        <v>2132700</v>
      </c>
      <c r="D13" s="850">
        <f>B13/B18</f>
        <v>0.9973479812436663</v>
      </c>
      <c r="E13" s="851">
        <v>0.99966999999999995</v>
      </c>
    </row>
    <row r="14" spans="1:6" s="179" customFormat="1" x14ac:dyDescent="0.25">
      <c r="A14" s="848" t="s">
        <v>1212</v>
      </c>
      <c r="B14" s="849">
        <v>2</v>
      </c>
      <c r="C14" s="849">
        <v>7</v>
      </c>
      <c r="D14" s="850">
        <f>B14/$B$16</f>
        <v>0.2</v>
      </c>
      <c r="E14" s="851" t="s">
        <v>1213</v>
      </c>
    </row>
    <row r="15" spans="1:6" s="179" customFormat="1" x14ac:dyDescent="0.25">
      <c r="A15" s="848" t="s">
        <v>1214</v>
      </c>
      <c r="B15" s="849">
        <v>5000</v>
      </c>
      <c r="C15" s="849">
        <v>5000</v>
      </c>
      <c r="D15" s="850">
        <f>B15/B18</f>
        <v>2.3382284926235907E-3</v>
      </c>
      <c r="E15" s="851">
        <v>1</v>
      </c>
    </row>
    <row r="16" spans="1:6" s="179" customFormat="1" x14ac:dyDescent="0.25">
      <c r="A16" s="852" t="s">
        <v>1215</v>
      </c>
      <c r="B16" s="853">
        <v>10</v>
      </c>
      <c r="C16" s="853">
        <v>10</v>
      </c>
      <c r="D16" s="854">
        <f>B16/$B$16</f>
        <v>1</v>
      </c>
      <c r="E16" s="855">
        <v>0.1</v>
      </c>
    </row>
    <row r="17" spans="1:5" s="179" customFormat="1" x14ac:dyDescent="0.25">
      <c r="A17" s="848" t="s">
        <v>1216</v>
      </c>
      <c r="B17" s="849">
        <v>659</v>
      </c>
      <c r="C17" s="849">
        <v>659</v>
      </c>
      <c r="D17" s="850">
        <f>B17/$B$16</f>
        <v>65.900000000000006</v>
      </c>
      <c r="E17" s="851">
        <v>4.3900000000000002E-2</v>
      </c>
    </row>
    <row r="18" spans="1:5" s="179" customFormat="1" ht="15.75" thickBot="1" x14ac:dyDescent="0.3">
      <c r="A18" s="856" t="s">
        <v>410</v>
      </c>
      <c r="B18" s="857">
        <f>SUM(B13:B17)</f>
        <v>2138371</v>
      </c>
      <c r="C18" s="857">
        <f>SUM(C13:C17)</f>
        <v>2138376</v>
      </c>
      <c r="D18" s="858"/>
      <c r="E18" s="859"/>
    </row>
    <row r="19" spans="1:5" s="179" customFormat="1" x14ac:dyDescent="0.25">
      <c r="A19" s="840"/>
      <c r="B19" s="840"/>
      <c r="C19" s="840"/>
      <c r="D19" s="840"/>
      <c r="E19" s="840"/>
    </row>
  </sheetData>
  <mergeCells count="3">
    <mergeCell ref="A4:E4"/>
    <mergeCell ref="A5:E5"/>
    <mergeCell ref="A6:E6"/>
  </mergeCells>
  <pageMargins left="0.7" right="0.35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N154"/>
  <sheetViews>
    <sheetView zoomScaleNormal="100" workbookViewId="0">
      <pane ySplit="8" topLeftCell="A123" activePane="bottomLeft" state="frozen"/>
      <selection activeCell="AB159" sqref="AB159"/>
      <selection pane="bottomLeft" activeCell="A26" sqref="A26:XFD44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1.5703125" style="44" bestFit="1" customWidth="1"/>
    <col min="4" max="4" width="9.140625" style="44"/>
    <col min="5" max="5" width="11.5703125" style="44" bestFit="1" customWidth="1"/>
    <col min="6" max="6" width="11.5703125" style="179" bestFit="1" customWidth="1"/>
    <col min="7" max="7" width="9.140625" style="179"/>
    <col min="8" max="9" width="11.5703125" style="179" bestFit="1" customWidth="1"/>
    <col min="10" max="10" width="9.140625" style="179"/>
    <col min="11" max="12" width="11.5703125" style="179" bestFit="1" customWidth="1"/>
    <col min="13" max="13" width="9.140625" style="179"/>
    <col min="14" max="14" width="11.5703125" style="179" bestFit="1" customWidth="1"/>
    <col min="15" max="16384" width="9.140625" style="44"/>
  </cols>
  <sheetData>
    <row r="1" spans="1:14" x14ac:dyDescent="0.25">
      <c r="A1" s="912" t="s">
        <v>630</v>
      </c>
      <c r="B1" s="912"/>
      <c r="C1" s="912"/>
      <c r="D1" s="912"/>
      <c r="E1" s="912"/>
      <c r="F1" s="44"/>
      <c r="G1" s="148"/>
      <c r="H1" s="44"/>
      <c r="J1" s="148"/>
      <c r="M1" s="148"/>
    </row>
    <row r="2" spans="1:14" x14ac:dyDescent="0.25">
      <c r="A2" s="912" t="s">
        <v>271</v>
      </c>
      <c r="B2" s="912"/>
      <c r="C2" s="912"/>
      <c r="D2" s="912"/>
      <c r="E2" s="912"/>
      <c r="F2" s="44"/>
      <c r="G2" s="148"/>
      <c r="H2" s="44"/>
      <c r="J2" s="148"/>
      <c r="M2" s="148"/>
    </row>
    <row r="3" spans="1:14" ht="8.25" customHeight="1" x14ac:dyDescent="0.25"/>
    <row r="4" spans="1:14" x14ac:dyDescent="0.25">
      <c r="A4" s="79" t="s">
        <v>270</v>
      </c>
      <c r="C4" s="45" t="str">
        <f>'1 címrend'!B1</f>
        <v xml:space="preserve"> 12 / 2020. (VI.15) sz rendelet</v>
      </c>
    </row>
    <row r="5" spans="1:14" x14ac:dyDescent="0.25">
      <c r="A5" s="243" t="s">
        <v>338</v>
      </c>
      <c r="B5" s="81" t="s">
        <v>339</v>
      </c>
    </row>
    <row r="6" spans="1:14" x14ac:dyDescent="0.25">
      <c r="C6" s="519" t="s">
        <v>720</v>
      </c>
      <c r="D6" s="622" t="str">
        <f>'5.0 hivatal'!F6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x14ac:dyDescent="0.25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92644</v>
      </c>
      <c r="G9" s="244">
        <f>SUM(G10,G17,G18,G20,G21,G19)</f>
        <v>0</v>
      </c>
      <c r="H9" s="245">
        <f t="shared" ref="H9:H73" si="1">SUM(F9:G9)</f>
        <v>92644</v>
      </c>
      <c r="I9" s="244">
        <f>SUM(I10,I17,I18,I20,I21,I19)</f>
        <v>141053</v>
      </c>
      <c r="J9" s="244">
        <f>SUM(J10,J17,J18,J20,J21,J19)</f>
        <v>0</v>
      </c>
      <c r="K9" s="245">
        <f t="shared" ref="K9:K73" si="2">SUM(I9:J9)</f>
        <v>141053</v>
      </c>
      <c r="L9" s="244">
        <f>SUM(L10,L17,L18,L20,L21,L19)</f>
        <v>141053</v>
      </c>
      <c r="M9" s="244">
        <f>SUM(M10,M17,M18,M20,M21,M19)</f>
        <v>0</v>
      </c>
      <c r="N9" s="245">
        <f t="shared" ref="N9:N73" si="3">SUM(L9:M9)</f>
        <v>141053</v>
      </c>
    </row>
    <row r="10" spans="1:14" x14ac:dyDescent="0.25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92644</v>
      </c>
      <c r="G10" s="246">
        <f>SUM(G11:G16)</f>
        <v>0</v>
      </c>
      <c r="H10" s="247">
        <f t="shared" si="1"/>
        <v>92644</v>
      </c>
      <c r="I10" s="246">
        <f>SUM(I11:I16)</f>
        <v>141053</v>
      </c>
      <c r="J10" s="246">
        <f>SUM(J11:J16)</f>
        <v>0</v>
      </c>
      <c r="K10" s="247">
        <f t="shared" si="2"/>
        <v>141053</v>
      </c>
      <c r="L10" s="246">
        <f>SUM(L11:L16)</f>
        <v>141053</v>
      </c>
      <c r="M10" s="246">
        <f>SUM(M11:M16)</f>
        <v>0</v>
      </c>
      <c r="N10" s="247">
        <f t="shared" si="3"/>
        <v>141053</v>
      </c>
    </row>
    <row r="11" spans="1:14" ht="15.75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>
        <v>92644</v>
      </c>
      <c r="G11" s="246"/>
      <c r="H11" s="247">
        <f t="shared" si="1"/>
        <v>92644</v>
      </c>
      <c r="I11" s="246">
        <v>141053</v>
      </c>
      <c r="J11" s="246"/>
      <c r="K11" s="247">
        <f t="shared" si="2"/>
        <v>141053</v>
      </c>
      <c r="L11" s="246">
        <v>141053</v>
      </c>
      <c r="M11" s="246"/>
      <c r="N11" s="247">
        <f t="shared" si="3"/>
        <v>141053</v>
      </c>
    </row>
    <row r="12" spans="1:14" hidden="1" x14ac:dyDescent="0.25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idden="1" x14ac:dyDescent="0.25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idden="1" x14ac:dyDescent="0.25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idden="1" x14ac:dyDescent="0.25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idden="1" x14ac:dyDescent="0.25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idden="1" x14ac:dyDescent="0.25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idden="1" x14ac:dyDescent="0.25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idden="1" x14ac:dyDescent="0.25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idden="1" x14ac:dyDescent="0.25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1800</v>
      </c>
      <c r="M25" s="244">
        <f>M26+M30+M38</f>
        <v>0</v>
      </c>
      <c r="N25" s="245">
        <f t="shared" si="3"/>
        <v>1800</v>
      </c>
    </row>
    <row r="26" spans="1:14" hidden="1" x14ac:dyDescent="0.25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idden="1" x14ac:dyDescent="0.25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idden="1" x14ac:dyDescent="0.25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idden="1" x14ac:dyDescent="0.25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idden="1" x14ac:dyDescent="0.25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idden="1" x14ac:dyDescent="0.25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idden="1" x14ac:dyDescent="0.25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idden="1" x14ac:dyDescent="0.25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idden="1" x14ac:dyDescent="0.25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idden="1" x14ac:dyDescent="0.25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idden="1" x14ac:dyDescent="0.25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idden="1" x14ac:dyDescent="0.25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idden="1" x14ac:dyDescent="0.25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1800</v>
      </c>
      <c r="M38" s="246">
        <f>SUM(M39:M44)</f>
        <v>0</v>
      </c>
      <c r="N38" s="247">
        <f t="shared" si="3"/>
        <v>1800</v>
      </c>
    </row>
    <row r="39" spans="1:14" hidden="1" x14ac:dyDescent="0.25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>
        <v>1800</v>
      </c>
      <c r="M39" s="246"/>
      <c r="N39" s="247">
        <f t="shared" si="3"/>
        <v>1800</v>
      </c>
    </row>
    <row r="40" spans="1:14" hidden="1" x14ac:dyDescent="0.25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idden="1" x14ac:dyDescent="0.25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idden="1" x14ac:dyDescent="0.25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idden="1" x14ac:dyDescent="0.25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x14ac:dyDescent="0.25">
      <c r="A45" s="52" t="s">
        <v>94</v>
      </c>
      <c r="B45" s="48" t="s">
        <v>26</v>
      </c>
      <c r="C45" s="244">
        <f>C46+C47+C48+C49+C54+C55+C56+C57+C58+C59+C60</f>
        <v>420000</v>
      </c>
      <c r="D45" s="244">
        <f>D46+D47+D48+D49+D54+D55+D56+D57+D58+D59+D60</f>
        <v>0</v>
      </c>
      <c r="E45" s="245">
        <f t="shared" si="0"/>
        <v>420000</v>
      </c>
      <c r="F45" s="244">
        <f>F46+F47+F48+F49+F54+F55+F56+F57+F58+F59+F60</f>
        <v>420000</v>
      </c>
      <c r="G45" s="244">
        <f>G46+G47+G48+G49+G54+G55+G56+G57+G58+G59+G60</f>
        <v>0</v>
      </c>
      <c r="H45" s="245">
        <f t="shared" si="1"/>
        <v>420000</v>
      </c>
      <c r="I45" s="244">
        <f>I46+I47+I48+I49+I54+I55+I56+I57+I58+I59+I60</f>
        <v>420000</v>
      </c>
      <c r="J45" s="244">
        <f>J46+J47+J48+J49+J54+J55+J56+J57+J58+J59+J60</f>
        <v>0</v>
      </c>
      <c r="K45" s="245">
        <f t="shared" si="2"/>
        <v>420000</v>
      </c>
      <c r="L45" s="244">
        <f>L46+L47+L48+L49+L54+L55+L56+L57+L58+L59+L60</f>
        <v>298215</v>
      </c>
      <c r="M45" s="244">
        <f>M46+M47+M48+M49+M54+M55+M56+M57+M58+M59+M60</f>
        <v>0</v>
      </c>
      <c r="N45" s="245">
        <f t="shared" si="3"/>
        <v>298215</v>
      </c>
    </row>
    <row r="46" spans="1:14" x14ac:dyDescent="0.25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x14ac:dyDescent="0.25">
      <c r="A47" s="53" t="s">
        <v>97</v>
      </c>
      <c r="B47" s="62" t="s">
        <v>98</v>
      </c>
      <c r="C47" s="246">
        <v>300000</v>
      </c>
      <c r="D47" s="246"/>
      <c r="E47" s="247">
        <f t="shared" si="0"/>
        <v>300000</v>
      </c>
      <c r="F47" s="246">
        <v>300000</v>
      </c>
      <c r="G47" s="246"/>
      <c r="H47" s="247">
        <f t="shared" si="1"/>
        <v>300000</v>
      </c>
      <c r="I47" s="246">
        <v>300000</v>
      </c>
      <c r="J47" s="246"/>
      <c r="K47" s="247">
        <f t="shared" si="2"/>
        <v>300000</v>
      </c>
      <c r="L47" s="246">
        <v>234000</v>
      </c>
      <c r="M47" s="246"/>
      <c r="N47" s="247">
        <f t="shared" si="3"/>
        <v>234000</v>
      </c>
    </row>
    <row r="48" spans="1:14" x14ac:dyDescent="0.25">
      <c r="A48" s="53" t="s">
        <v>99</v>
      </c>
      <c r="B48" s="62" t="s">
        <v>100</v>
      </c>
      <c r="C48" s="246">
        <v>120000</v>
      </c>
      <c r="D48" s="246"/>
      <c r="E48" s="247">
        <f t="shared" si="0"/>
        <v>120000</v>
      </c>
      <c r="F48" s="246">
        <v>120000</v>
      </c>
      <c r="G48" s="246"/>
      <c r="H48" s="247">
        <f t="shared" si="1"/>
        <v>120000</v>
      </c>
      <c r="I48" s="246">
        <v>120000</v>
      </c>
      <c r="J48" s="246"/>
      <c r="K48" s="247">
        <f t="shared" si="2"/>
        <v>120000</v>
      </c>
      <c r="L48" s="246">
        <v>63313</v>
      </c>
      <c r="M48" s="246"/>
      <c r="N48" s="247">
        <f t="shared" si="3"/>
        <v>63313</v>
      </c>
    </row>
    <row r="49" spans="1:14" hidden="1" x14ac:dyDescent="0.25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idden="1" x14ac:dyDescent="0.25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idden="1" x14ac:dyDescent="0.25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idden="1" x14ac:dyDescent="0.25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idden="1" x14ac:dyDescent="0.25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idden="1" x14ac:dyDescent="0.25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idden="1" x14ac:dyDescent="0.25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idden="1" x14ac:dyDescent="0.25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x14ac:dyDescent="0.25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>
        <v>71</v>
      </c>
      <c r="M57" s="246"/>
      <c r="N57" s="247">
        <f t="shared" si="3"/>
        <v>71</v>
      </c>
    </row>
    <row r="58" spans="1:14" x14ac:dyDescent="0.25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x14ac:dyDescent="0.25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>
        <v>831</v>
      </c>
      <c r="M60" s="248"/>
      <c r="N60" s="249">
        <f t="shared" si="3"/>
        <v>831</v>
      </c>
    </row>
    <row r="61" spans="1:14" hidden="1" x14ac:dyDescent="0.25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idden="1" x14ac:dyDescent="0.25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idden="1" x14ac:dyDescent="0.25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idden="1" x14ac:dyDescent="0.25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idden="1" x14ac:dyDescent="0.25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idden="1" x14ac:dyDescent="0.25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idden="1" x14ac:dyDescent="0.25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hidden="1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420000</v>
      </c>
      <c r="D73" s="250">
        <f>D9+D22+D25+D45+D61+D67+D70</f>
        <v>0</v>
      </c>
      <c r="E73" s="251">
        <f t="shared" si="0"/>
        <v>420000</v>
      </c>
      <c r="F73" s="250">
        <f>F9+F22+F25+F45+F61+F67+F70</f>
        <v>512644</v>
      </c>
      <c r="G73" s="250">
        <f>G9+G22+G25+G45+G61+G67+G70</f>
        <v>0</v>
      </c>
      <c r="H73" s="251">
        <f t="shared" si="1"/>
        <v>512644</v>
      </c>
      <c r="I73" s="250">
        <f>I9+I22+I25+I45+I61+I67+I70</f>
        <v>561053</v>
      </c>
      <c r="J73" s="250">
        <f>J9+J22+J25+J45+J61+J67+J70</f>
        <v>0</v>
      </c>
      <c r="K73" s="251">
        <f t="shared" si="2"/>
        <v>561053</v>
      </c>
      <c r="L73" s="250">
        <f>L9+L22+L25+L45+L61+L67+L70</f>
        <v>441068</v>
      </c>
      <c r="M73" s="250">
        <f>M9+M22+M25+M45+M61+M67+M70</f>
        <v>0</v>
      </c>
      <c r="N73" s="251">
        <f t="shared" si="3"/>
        <v>441068</v>
      </c>
    </row>
    <row r="74" spans="1:14" x14ac:dyDescent="0.25">
      <c r="A74" s="57" t="s">
        <v>143</v>
      </c>
      <c r="B74" s="68" t="s">
        <v>144</v>
      </c>
      <c r="C74" s="244">
        <f t="shared" ref="C74:M74" si="4">C75</f>
        <v>186550064</v>
      </c>
      <c r="D74" s="244">
        <f t="shared" si="4"/>
        <v>0</v>
      </c>
      <c r="E74" s="245">
        <f t="shared" ref="E74:E85" si="5">SUM(C74:D74)</f>
        <v>186550064</v>
      </c>
      <c r="F74" s="244">
        <f t="shared" si="4"/>
        <v>186914311</v>
      </c>
      <c r="G74" s="244">
        <f t="shared" si="4"/>
        <v>0</v>
      </c>
      <c r="H74" s="245">
        <f t="shared" ref="H74:H81" si="6">SUM(F74:G74)</f>
        <v>186914311</v>
      </c>
      <c r="I74" s="244">
        <f t="shared" si="4"/>
        <v>186865902</v>
      </c>
      <c r="J74" s="244">
        <f t="shared" si="4"/>
        <v>0</v>
      </c>
      <c r="K74" s="245">
        <f t="shared" ref="K74:K81" si="7">SUM(I74:J74)</f>
        <v>186865902</v>
      </c>
      <c r="L74" s="244">
        <f t="shared" si="4"/>
        <v>155980737</v>
      </c>
      <c r="M74" s="244">
        <f t="shared" si="4"/>
        <v>0</v>
      </c>
      <c r="N74" s="245">
        <f t="shared" ref="N74:N81" si="8">SUM(L74:M74)</f>
        <v>155980737</v>
      </c>
    </row>
    <row r="75" spans="1:14" x14ac:dyDescent="0.25">
      <c r="A75" s="53" t="s">
        <v>145</v>
      </c>
      <c r="B75" s="62" t="s">
        <v>146</v>
      </c>
      <c r="C75" s="246">
        <f t="shared" ref="C75:D75" si="9">SUM(C76:C77,C78,C79,C83,C82)</f>
        <v>186550064</v>
      </c>
      <c r="D75" s="246">
        <f t="shared" si="9"/>
        <v>0</v>
      </c>
      <c r="E75" s="247">
        <f t="shared" si="5"/>
        <v>186550064</v>
      </c>
      <c r="F75" s="246">
        <f t="shared" ref="F75:G75" si="10">SUM(F76:F77,F78,F79,F83,F82)</f>
        <v>186914311</v>
      </c>
      <c r="G75" s="246">
        <f t="shared" si="10"/>
        <v>0</v>
      </c>
      <c r="H75" s="247">
        <f t="shared" si="6"/>
        <v>186914311</v>
      </c>
      <c r="I75" s="246">
        <f t="shared" ref="I75:J75" si="11">SUM(I76:I77,I78,I79,I83,I82)</f>
        <v>186865902</v>
      </c>
      <c r="J75" s="246">
        <f t="shared" si="11"/>
        <v>0</v>
      </c>
      <c r="K75" s="247">
        <f t="shared" si="7"/>
        <v>186865902</v>
      </c>
      <c r="L75" s="246">
        <f t="shared" ref="L75:M75" si="12">SUM(L76:L77,L78,L79,L83,L82)</f>
        <v>155980737</v>
      </c>
      <c r="M75" s="246">
        <f t="shared" si="12"/>
        <v>0</v>
      </c>
      <c r="N75" s="247">
        <f t="shared" si="8"/>
        <v>155980737</v>
      </c>
    </row>
    <row r="76" spans="1:14" hidden="1" x14ac:dyDescent="0.25">
      <c r="A76" s="53" t="s">
        <v>147</v>
      </c>
      <c r="B76" s="62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idden="1" x14ac:dyDescent="0.25">
      <c r="A77" s="53" t="s">
        <v>149</v>
      </c>
      <c r="B77" s="62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idden="1" x14ac:dyDescent="0.25">
      <c r="A78" s="53" t="s">
        <v>151</v>
      </c>
      <c r="B78" s="62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x14ac:dyDescent="0.25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456891</v>
      </c>
      <c r="G79" s="246">
        <f>SUM(G80:G81)</f>
        <v>0</v>
      </c>
      <c r="H79" s="247">
        <f t="shared" si="6"/>
        <v>456891</v>
      </c>
      <c r="I79" s="246">
        <f>SUM(I80:I81)</f>
        <v>456891</v>
      </c>
      <c r="J79" s="246">
        <f>SUM(J80:J81)</f>
        <v>0</v>
      </c>
      <c r="K79" s="247">
        <f t="shared" si="7"/>
        <v>456891</v>
      </c>
      <c r="L79" s="246">
        <f>SUM(L80:L81)</f>
        <v>456891</v>
      </c>
      <c r="M79" s="246">
        <f>SUM(M80:M81)</f>
        <v>0</v>
      </c>
      <c r="N79" s="247">
        <f t="shared" si="8"/>
        <v>456891</v>
      </c>
    </row>
    <row r="80" spans="1:14" x14ac:dyDescent="0.25">
      <c r="A80" s="53"/>
      <c r="B80" s="62" t="s">
        <v>29</v>
      </c>
      <c r="C80" s="246"/>
      <c r="D80" s="246"/>
      <c r="E80" s="247">
        <f t="shared" si="5"/>
        <v>0</v>
      </c>
      <c r="F80" s="246">
        <v>456891</v>
      </c>
      <c r="G80" s="246"/>
      <c r="H80" s="247">
        <f t="shared" si="6"/>
        <v>456891</v>
      </c>
      <c r="I80" s="246">
        <v>456891</v>
      </c>
      <c r="J80" s="246"/>
      <c r="K80" s="247">
        <f t="shared" si="7"/>
        <v>456891</v>
      </c>
      <c r="L80" s="246">
        <v>456891</v>
      </c>
      <c r="M80" s="246"/>
      <c r="N80" s="247">
        <f t="shared" si="8"/>
        <v>456891</v>
      </c>
    </row>
    <row r="81" spans="1:14" x14ac:dyDescent="0.25">
      <c r="A81" s="53"/>
      <c r="B81" s="62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s="179" customFormat="1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x14ac:dyDescent="0.25">
      <c r="A83" s="53" t="s">
        <v>155</v>
      </c>
      <c r="B83" s="62" t="s">
        <v>156</v>
      </c>
      <c r="C83" s="246">
        <v>186550064</v>
      </c>
      <c r="D83" s="246"/>
      <c r="E83" s="247">
        <f t="shared" si="5"/>
        <v>186550064</v>
      </c>
      <c r="F83" s="246">
        <f>186550064-92644</f>
        <v>186457420</v>
      </c>
      <c r="G83" s="246"/>
      <c r="H83" s="247">
        <f t="shared" ref="H83:H85" si="13">SUM(F83:G83)</f>
        <v>186457420</v>
      </c>
      <c r="I83" s="246">
        <f>186550064-141053</f>
        <v>186409011</v>
      </c>
      <c r="J83" s="246"/>
      <c r="K83" s="247">
        <f t="shared" ref="K83:K85" si="14">SUM(I83:J83)</f>
        <v>186409011</v>
      </c>
      <c r="L83" s="246">
        <f>164450496-'5.3 pályázat'!L83</f>
        <v>155523846</v>
      </c>
      <c r="M83" s="246"/>
      <c r="N83" s="247">
        <f t="shared" ref="N83:N85" si="15">SUM(L83:M83)</f>
        <v>155523846</v>
      </c>
    </row>
    <row r="84" spans="1:14" ht="15.75" thickBot="1" x14ac:dyDescent="0.3">
      <c r="A84" s="55" t="s">
        <v>157</v>
      </c>
      <c r="B84" s="64" t="s">
        <v>158</v>
      </c>
      <c r="C84" s="248"/>
      <c r="D84" s="248"/>
      <c r="E84" s="249">
        <f t="shared" si="5"/>
        <v>0</v>
      </c>
      <c r="F84" s="248"/>
      <c r="G84" s="248"/>
      <c r="H84" s="249">
        <f t="shared" si="13"/>
        <v>0</v>
      </c>
      <c r="I84" s="248"/>
      <c r="J84" s="248"/>
      <c r="K84" s="249">
        <f t="shared" si="14"/>
        <v>0</v>
      </c>
      <c r="L84" s="248"/>
      <c r="M84" s="248"/>
      <c r="N84" s="249">
        <f t="shared" si="15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186970064</v>
      </c>
      <c r="D85" s="250">
        <f>D73+D74</f>
        <v>0</v>
      </c>
      <c r="E85" s="251">
        <f t="shared" si="5"/>
        <v>186970064</v>
      </c>
      <c r="F85" s="250">
        <f>F73+F74</f>
        <v>187426955</v>
      </c>
      <c r="G85" s="250">
        <f>G73+G74</f>
        <v>0</v>
      </c>
      <c r="H85" s="251">
        <f t="shared" si="13"/>
        <v>187426955</v>
      </c>
      <c r="I85" s="250">
        <f>I73+I74</f>
        <v>187426955</v>
      </c>
      <c r="J85" s="250">
        <f>J73+J74</f>
        <v>0</v>
      </c>
      <c r="K85" s="251">
        <f t="shared" si="14"/>
        <v>187426955</v>
      </c>
      <c r="L85" s="250">
        <f>L73+L74</f>
        <v>156421805</v>
      </c>
      <c r="M85" s="250">
        <f>M73+M74</f>
        <v>0</v>
      </c>
      <c r="N85" s="251">
        <f t="shared" si="15"/>
        <v>156421805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108745986</v>
      </c>
      <c r="D88" s="244">
        <f>D89+D101</f>
        <v>0</v>
      </c>
      <c r="E88" s="253">
        <f t="shared" ref="E88:E150" si="16">SUM(C88:D88)</f>
        <v>108745986</v>
      </c>
      <c r="F88" s="244">
        <f>F89+F101</f>
        <v>108745986</v>
      </c>
      <c r="G88" s="244">
        <f>G89+G101</f>
        <v>0</v>
      </c>
      <c r="H88" s="253">
        <f t="shared" ref="H88:H90" si="17">SUM(F88:G88)</f>
        <v>108745986</v>
      </c>
      <c r="I88" s="244">
        <f>I89+I101</f>
        <v>106752203</v>
      </c>
      <c r="J88" s="244">
        <f>J89+J101</f>
        <v>0</v>
      </c>
      <c r="K88" s="253">
        <f t="shared" ref="K88:K91" si="18">SUM(I88:J88)</f>
        <v>106752203</v>
      </c>
      <c r="L88" s="244">
        <f>L89+L101</f>
        <v>89697570</v>
      </c>
      <c r="M88" s="244">
        <f>M89+M101</f>
        <v>0</v>
      </c>
      <c r="N88" s="253">
        <f t="shared" ref="N88:N91" si="19">SUM(L88:M88)</f>
        <v>89697570</v>
      </c>
    </row>
    <row r="89" spans="1:14" x14ac:dyDescent="0.25">
      <c r="A89" s="61" t="s">
        <v>161</v>
      </c>
      <c r="B89" s="62" t="s">
        <v>162</v>
      </c>
      <c r="C89" s="246">
        <f>SUM(C90:C100)</f>
        <v>107645986</v>
      </c>
      <c r="D89" s="246">
        <f>SUM(D90:D100)</f>
        <v>0</v>
      </c>
      <c r="E89" s="247">
        <f t="shared" si="16"/>
        <v>107645986</v>
      </c>
      <c r="F89" s="246">
        <f>SUM(F90:F100)</f>
        <v>107645986</v>
      </c>
      <c r="G89" s="246">
        <f>SUM(G90:G100)</f>
        <v>0</v>
      </c>
      <c r="H89" s="247">
        <f t="shared" si="17"/>
        <v>107645986</v>
      </c>
      <c r="I89" s="246">
        <f>SUM(I90:I100)</f>
        <v>105886553</v>
      </c>
      <c r="J89" s="246">
        <f>SUM(J90:J100)</f>
        <v>0</v>
      </c>
      <c r="K89" s="247">
        <f t="shared" si="18"/>
        <v>105886553</v>
      </c>
      <c r="L89" s="246">
        <f>SUM(L90:L100)</f>
        <v>89665438</v>
      </c>
      <c r="M89" s="246">
        <f>SUM(M90:M100)</f>
        <v>0</v>
      </c>
      <c r="N89" s="247">
        <f t="shared" si="19"/>
        <v>89665438</v>
      </c>
    </row>
    <row r="90" spans="1:14" x14ac:dyDescent="0.25">
      <c r="A90" s="61" t="s">
        <v>163</v>
      </c>
      <c r="B90" s="62" t="s">
        <v>164</v>
      </c>
      <c r="C90" s="246">
        <f>87168776-7470000</f>
        <v>79698776</v>
      </c>
      <c r="D90" s="246"/>
      <c r="E90" s="247">
        <f t="shared" si="16"/>
        <v>79698776</v>
      </c>
      <c r="F90" s="246">
        <f>87168776-7470000</f>
        <v>79698776</v>
      </c>
      <c r="G90" s="246"/>
      <c r="H90" s="247">
        <f t="shared" si="17"/>
        <v>79698776</v>
      </c>
      <c r="I90" s="246">
        <f>87168776-7470000-1719491-39942</f>
        <v>77939343</v>
      </c>
      <c r="J90" s="246"/>
      <c r="K90" s="247">
        <f t="shared" si="18"/>
        <v>77939343</v>
      </c>
      <c r="L90" s="246">
        <v>72128254</v>
      </c>
      <c r="M90" s="246"/>
      <c r="N90" s="247">
        <f t="shared" si="19"/>
        <v>72128254</v>
      </c>
    </row>
    <row r="91" spans="1:14" s="179" customFormat="1" x14ac:dyDescent="0.25">
      <c r="A91" s="190" t="s">
        <v>533</v>
      </c>
      <c r="B91" s="180" t="s">
        <v>534</v>
      </c>
      <c r="C91" s="246">
        <f>3742000+500000</f>
        <v>4242000</v>
      </c>
      <c r="D91" s="246"/>
      <c r="E91" s="247"/>
      <c r="F91" s="246">
        <f>3742000+500000</f>
        <v>4242000</v>
      </c>
      <c r="G91" s="246"/>
      <c r="H91" s="247"/>
      <c r="I91" s="246">
        <f>3742000+500000</f>
        <v>4242000</v>
      </c>
      <c r="J91" s="246"/>
      <c r="K91" s="247">
        <f t="shared" si="18"/>
        <v>4242000</v>
      </c>
      <c r="L91" s="246">
        <v>1506393</v>
      </c>
      <c r="M91" s="246"/>
      <c r="N91" s="247">
        <f t="shared" si="19"/>
        <v>1506393</v>
      </c>
    </row>
    <row r="92" spans="1:14" x14ac:dyDescent="0.25">
      <c r="A92" s="61" t="s">
        <v>165</v>
      </c>
      <c r="B92" s="62" t="s">
        <v>166</v>
      </c>
      <c r="C92" s="246">
        <f>10970000+2000000</f>
        <v>12970000</v>
      </c>
      <c r="D92" s="246"/>
      <c r="E92" s="247">
        <f t="shared" si="16"/>
        <v>12970000</v>
      </c>
      <c r="F92" s="246">
        <f>10970000+2000000</f>
        <v>12970000</v>
      </c>
      <c r="G92" s="246"/>
      <c r="H92" s="247">
        <f t="shared" ref="H92:H145" si="20">SUM(F92:G92)</f>
        <v>12970000</v>
      </c>
      <c r="I92" s="246">
        <f>10970000+2000000</f>
        <v>12970000</v>
      </c>
      <c r="J92" s="246"/>
      <c r="K92" s="247">
        <f t="shared" ref="K92:K145" si="21">SUM(I92:J92)</f>
        <v>12970000</v>
      </c>
      <c r="L92" s="246">
        <v>7983650</v>
      </c>
      <c r="M92" s="246"/>
      <c r="N92" s="247">
        <f t="shared" ref="N92:N145" si="22">SUM(L92:M92)</f>
        <v>7983650</v>
      </c>
    </row>
    <row r="93" spans="1:14" x14ac:dyDescent="0.25">
      <c r="A93" s="61" t="s">
        <v>167</v>
      </c>
      <c r="B93" s="62" t="s">
        <v>168</v>
      </c>
      <c r="C93" s="246">
        <v>400000</v>
      </c>
      <c r="D93" s="246"/>
      <c r="E93" s="247">
        <f t="shared" si="16"/>
        <v>400000</v>
      </c>
      <c r="F93" s="246">
        <v>400000</v>
      </c>
      <c r="G93" s="246"/>
      <c r="H93" s="247">
        <f t="shared" si="20"/>
        <v>400000</v>
      </c>
      <c r="I93" s="246">
        <v>400000</v>
      </c>
      <c r="J93" s="246"/>
      <c r="K93" s="247">
        <f t="shared" si="21"/>
        <v>400000</v>
      </c>
      <c r="L93" s="246">
        <v>178500</v>
      </c>
      <c r="M93" s="246"/>
      <c r="N93" s="247">
        <f t="shared" si="22"/>
        <v>178500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6"/>
        <v>0</v>
      </c>
      <c r="F94" s="246"/>
      <c r="G94" s="246"/>
      <c r="H94" s="247">
        <f t="shared" si="20"/>
        <v>0</v>
      </c>
      <c r="I94" s="246"/>
      <c r="J94" s="246"/>
      <c r="K94" s="247">
        <f t="shared" si="21"/>
        <v>0</v>
      </c>
      <c r="L94" s="246"/>
      <c r="M94" s="246"/>
      <c r="N94" s="247">
        <f t="shared" si="22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6"/>
        <v>0</v>
      </c>
      <c r="F95" s="246"/>
      <c r="G95" s="246"/>
      <c r="H95" s="247">
        <f t="shared" si="20"/>
        <v>0</v>
      </c>
      <c r="I95" s="246"/>
      <c r="J95" s="246"/>
      <c r="K95" s="247">
        <f t="shared" si="21"/>
        <v>0</v>
      </c>
      <c r="L95" s="246"/>
      <c r="M95" s="246"/>
      <c r="N95" s="247">
        <f t="shared" si="22"/>
        <v>0</v>
      </c>
    </row>
    <row r="96" spans="1:14" x14ac:dyDescent="0.25">
      <c r="A96" s="61" t="s">
        <v>173</v>
      </c>
      <c r="B96" s="62" t="s">
        <v>174</v>
      </c>
      <c r="C96" s="246">
        <v>3874000</v>
      </c>
      <c r="D96" s="246"/>
      <c r="E96" s="247">
        <f t="shared" si="16"/>
        <v>3874000</v>
      </c>
      <c r="F96" s="246">
        <v>3874000</v>
      </c>
      <c r="G96" s="246"/>
      <c r="H96" s="247">
        <f t="shared" si="20"/>
        <v>3874000</v>
      </c>
      <c r="I96" s="246">
        <v>3874000</v>
      </c>
      <c r="J96" s="246"/>
      <c r="K96" s="247">
        <f t="shared" si="21"/>
        <v>3874000</v>
      </c>
      <c r="L96" s="246">
        <v>3480778</v>
      </c>
      <c r="M96" s="246"/>
      <c r="N96" s="247">
        <f t="shared" si="22"/>
        <v>3480778</v>
      </c>
    </row>
    <row r="97" spans="1:14" x14ac:dyDescent="0.25">
      <c r="A97" s="61" t="s">
        <v>175</v>
      </c>
      <c r="B97" s="62" t="s">
        <v>176</v>
      </c>
      <c r="C97" s="246">
        <v>1056210</v>
      </c>
      <c r="D97" s="246"/>
      <c r="E97" s="247">
        <f t="shared" si="16"/>
        <v>1056210</v>
      </c>
      <c r="F97" s="246">
        <v>1056210</v>
      </c>
      <c r="G97" s="246"/>
      <c r="H97" s="247">
        <f t="shared" si="20"/>
        <v>1056210</v>
      </c>
      <c r="I97" s="246">
        <v>1056210</v>
      </c>
      <c r="J97" s="246"/>
      <c r="K97" s="247">
        <f t="shared" si="21"/>
        <v>1056210</v>
      </c>
      <c r="L97" s="246">
        <v>880145</v>
      </c>
      <c r="M97" s="246"/>
      <c r="N97" s="247">
        <f t="shared" si="22"/>
        <v>880145</v>
      </c>
    </row>
    <row r="98" spans="1:14" x14ac:dyDescent="0.25">
      <c r="A98" s="61" t="s">
        <v>805</v>
      </c>
      <c r="B98" s="62" t="s">
        <v>806</v>
      </c>
      <c r="C98" s="316">
        <f>100000+200000</f>
        <v>300000</v>
      </c>
      <c r="D98" s="246"/>
      <c r="E98" s="247">
        <f t="shared" si="16"/>
        <v>300000</v>
      </c>
      <c r="F98" s="316">
        <f>100000+200000</f>
        <v>300000</v>
      </c>
      <c r="G98" s="246"/>
      <c r="H98" s="247">
        <f t="shared" si="20"/>
        <v>300000</v>
      </c>
      <c r="I98" s="316">
        <f>100000+200000</f>
        <v>300000</v>
      </c>
      <c r="J98" s="246"/>
      <c r="K98" s="247">
        <f t="shared" si="21"/>
        <v>300000</v>
      </c>
      <c r="L98" s="316"/>
      <c r="M98" s="246"/>
      <c r="N98" s="247">
        <f t="shared" si="22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6"/>
        <v>0</v>
      </c>
      <c r="F99" s="246"/>
      <c r="G99" s="246"/>
      <c r="H99" s="247">
        <f t="shared" si="20"/>
        <v>0</v>
      </c>
      <c r="I99" s="246"/>
      <c r="J99" s="246"/>
      <c r="K99" s="247">
        <f t="shared" si="21"/>
        <v>0</v>
      </c>
      <c r="L99" s="246"/>
      <c r="M99" s="246"/>
      <c r="N99" s="247">
        <f t="shared" si="22"/>
        <v>0</v>
      </c>
    </row>
    <row r="100" spans="1:14" x14ac:dyDescent="0.25">
      <c r="A100" s="61" t="s">
        <v>181</v>
      </c>
      <c r="B100" s="62" t="s">
        <v>182</v>
      </c>
      <c r="C100" s="246">
        <f>4805000+300000</f>
        <v>5105000</v>
      </c>
      <c r="D100" s="246"/>
      <c r="E100" s="247">
        <f t="shared" si="16"/>
        <v>5105000</v>
      </c>
      <c r="F100" s="246">
        <f>4805000+300000</f>
        <v>5105000</v>
      </c>
      <c r="G100" s="246"/>
      <c r="H100" s="247">
        <f t="shared" si="20"/>
        <v>5105000</v>
      </c>
      <c r="I100" s="246">
        <f>4805000+300000</f>
        <v>5105000</v>
      </c>
      <c r="J100" s="246"/>
      <c r="K100" s="247">
        <f t="shared" si="21"/>
        <v>5105000</v>
      </c>
      <c r="L100" s="246">
        <v>3507718</v>
      </c>
      <c r="M100" s="246"/>
      <c r="N100" s="247">
        <f t="shared" si="22"/>
        <v>3507718</v>
      </c>
    </row>
    <row r="101" spans="1:14" x14ac:dyDescent="0.25">
      <c r="A101" s="61" t="s">
        <v>183</v>
      </c>
      <c r="B101" s="62" t="s">
        <v>184</v>
      </c>
      <c r="C101" s="246">
        <f>SUM(C102:C104)</f>
        <v>1100000</v>
      </c>
      <c r="D101" s="246">
        <f>SUM(D102:D104)</f>
        <v>0</v>
      </c>
      <c r="E101" s="247">
        <f t="shared" si="16"/>
        <v>1100000</v>
      </c>
      <c r="F101" s="246">
        <f>SUM(F102:F104)</f>
        <v>1100000</v>
      </c>
      <c r="G101" s="246">
        <f>SUM(G102:G104)</f>
        <v>0</v>
      </c>
      <c r="H101" s="247">
        <f t="shared" si="20"/>
        <v>1100000</v>
      </c>
      <c r="I101" s="246">
        <f>SUM(I102:I104)</f>
        <v>865650</v>
      </c>
      <c r="J101" s="246">
        <f>SUM(J102:J104)</f>
        <v>0</v>
      </c>
      <c r="K101" s="247">
        <f t="shared" si="21"/>
        <v>865650</v>
      </c>
      <c r="L101" s="246">
        <f>SUM(L102:L104)</f>
        <v>32132</v>
      </c>
      <c r="M101" s="246">
        <f>SUM(M102:M104)</f>
        <v>0</v>
      </c>
      <c r="N101" s="247">
        <f t="shared" si="22"/>
        <v>32132</v>
      </c>
    </row>
    <row r="102" spans="1:14" x14ac:dyDescent="0.25">
      <c r="A102" s="61" t="s">
        <v>185</v>
      </c>
      <c r="B102" s="62" t="s">
        <v>186</v>
      </c>
      <c r="C102" s="246"/>
      <c r="D102" s="246"/>
      <c r="E102" s="247">
        <f t="shared" si="16"/>
        <v>0</v>
      </c>
      <c r="F102" s="246"/>
      <c r="G102" s="246"/>
      <c r="H102" s="247">
        <f t="shared" si="20"/>
        <v>0</v>
      </c>
      <c r="I102" s="246"/>
      <c r="J102" s="246"/>
      <c r="K102" s="247">
        <f t="shared" si="21"/>
        <v>0</v>
      </c>
      <c r="L102" s="246"/>
      <c r="M102" s="246"/>
      <c r="N102" s="247">
        <f t="shared" si="22"/>
        <v>0</v>
      </c>
    </row>
    <row r="103" spans="1:14" x14ac:dyDescent="0.25">
      <c r="A103" s="61" t="s">
        <v>187</v>
      </c>
      <c r="B103" s="62" t="s">
        <v>188</v>
      </c>
      <c r="C103" s="246">
        <v>900000</v>
      </c>
      <c r="D103" s="246"/>
      <c r="E103" s="247">
        <f t="shared" si="16"/>
        <v>900000</v>
      </c>
      <c r="F103" s="246">
        <v>900000</v>
      </c>
      <c r="G103" s="246"/>
      <c r="H103" s="247">
        <f t="shared" si="20"/>
        <v>900000</v>
      </c>
      <c r="I103" s="246">
        <f>900000-100000</f>
        <v>800000</v>
      </c>
      <c r="J103" s="246"/>
      <c r="K103" s="247">
        <f t="shared" si="21"/>
        <v>800000</v>
      </c>
      <c r="L103" s="246"/>
      <c r="M103" s="246"/>
      <c r="N103" s="247">
        <f t="shared" si="22"/>
        <v>0</v>
      </c>
    </row>
    <row r="104" spans="1:14" ht="15.75" thickBot="1" x14ac:dyDescent="0.3">
      <c r="A104" s="63" t="s">
        <v>189</v>
      </c>
      <c r="B104" s="64" t="s">
        <v>190</v>
      </c>
      <c r="C104" s="248">
        <v>200000</v>
      </c>
      <c r="D104" s="248"/>
      <c r="E104" s="249">
        <f t="shared" si="16"/>
        <v>200000</v>
      </c>
      <c r="F104" s="248">
        <v>200000</v>
      </c>
      <c r="G104" s="248"/>
      <c r="H104" s="249">
        <f t="shared" si="20"/>
        <v>200000</v>
      </c>
      <c r="I104" s="248">
        <f>200000-167000+32650</f>
        <v>65650</v>
      </c>
      <c r="J104" s="248"/>
      <c r="K104" s="249">
        <f t="shared" si="21"/>
        <v>65650</v>
      </c>
      <c r="L104" s="248">
        <v>32132</v>
      </c>
      <c r="M104" s="248"/>
      <c r="N104" s="249">
        <f t="shared" si="22"/>
        <v>32132</v>
      </c>
    </row>
    <row r="105" spans="1:14" x14ac:dyDescent="0.25">
      <c r="A105" s="60" t="s">
        <v>191</v>
      </c>
      <c r="B105" s="48" t="s">
        <v>192</v>
      </c>
      <c r="C105" s="244">
        <f>SUM(C106:C110)</f>
        <v>23955056</v>
      </c>
      <c r="D105" s="244">
        <f>SUM(D106:D110)</f>
        <v>0</v>
      </c>
      <c r="E105" s="245">
        <f t="shared" si="16"/>
        <v>23955056</v>
      </c>
      <c r="F105" s="244">
        <f>SUM(F106:F110)</f>
        <v>23955056</v>
      </c>
      <c r="G105" s="244">
        <f>SUM(G106:G110)</f>
        <v>0</v>
      </c>
      <c r="H105" s="245">
        <f t="shared" si="20"/>
        <v>23955056</v>
      </c>
      <c r="I105" s="244">
        <f>SUM(I106:I110)</f>
        <v>23310010</v>
      </c>
      <c r="J105" s="244">
        <f>SUM(J106:J110)</f>
        <v>0</v>
      </c>
      <c r="K105" s="245">
        <f t="shared" si="21"/>
        <v>23310010</v>
      </c>
      <c r="L105" s="244">
        <f>SUM(L106:L110)</f>
        <v>19248232</v>
      </c>
      <c r="M105" s="244">
        <f>SUM(M106:M110)</f>
        <v>0</v>
      </c>
      <c r="N105" s="245">
        <f t="shared" si="22"/>
        <v>19248232</v>
      </c>
    </row>
    <row r="106" spans="1:14" x14ac:dyDescent="0.25">
      <c r="A106" s="61"/>
      <c r="B106" s="62" t="s">
        <v>193</v>
      </c>
      <c r="C106" s="246">
        <f>20959726-1456650+703950</f>
        <v>20207026</v>
      </c>
      <c r="D106" s="246"/>
      <c r="E106" s="247">
        <f t="shared" si="16"/>
        <v>20207026</v>
      </c>
      <c r="F106" s="246">
        <f>20959726-1456650+703950</f>
        <v>20207026</v>
      </c>
      <c r="G106" s="246"/>
      <c r="H106" s="247">
        <f t="shared" si="20"/>
        <v>20207026</v>
      </c>
      <c r="I106" s="246">
        <f>20959726-1456650+703950-567389</f>
        <v>19639637</v>
      </c>
      <c r="J106" s="246"/>
      <c r="K106" s="247">
        <f t="shared" si="21"/>
        <v>19639637</v>
      </c>
      <c r="L106" s="246">
        <v>16440749</v>
      </c>
      <c r="M106" s="246"/>
      <c r="N106" s="247">
        <f t="shared" si="22"/>
        <v>16440749</v>
      </c>
    </row>
    <row r="107" spans="1:14" x14ac:dyDescent="0.25">
      <c r="A107" s="61"/>
      <c r="B107" s="62" t="s">
        <v>194</v>
      </c>
      <c r="C107" s="246">
        <v>2011500</v>
      </c>
      <c r="D107" s="246"/>
      <c r="E107" s="247">
        <f t="shared" si="16"/>
        <v>2011500</v>
      </c>
      <c r="F107" s="246">
        <v>2011500</v>
      </c>
      <c r="G107" s="246"/>
      <c r="H107" s="247">
        <f t="shared" si="20"/>
        <v>2011500</v>
      </c>
      <c r="I107" s="246">
        <v>2011500</v>
      </c>
      <c r="J107" s="246"/>
      <c r="K107" s="247">
        <f t="shared" si="21"/>
        <v>2011500</v>
      </c>
      <c r="L107" s="246">
        <v>1904000</v>
      </c>
      <c r="M107" s="246"/>
      <c r="N107" s="247">
        <f t="shared" si="22"/>
        <v>1904000</v>
      </c>
    </row>
    <row r="108" spans="1:14" x14ac:dyDescent="0.25">
      <c r="A108" s="63"/>
      <c r="B108" s="64" t="s">
        <v>195</v>
      </c>
      <c r="C108" s="246">
        <v>755430</v>
      </c>
      <c r="D108" s="246"/>
      <c r="E108" s="247">
        <f t="shared" si="16"/>
        <v>755430</v>
      </c>
      <c r="F108" s="246">
        <v>755430</v>
      </c>
      <c r="G108" s="246"/>
      <c r="H108" s="247">
        <f t="shared" si="20"/>
        <v>755430</v>
      </c>
      <c r="I108" s="246">
        <v>755430</v>
      </c>
      <c r="J108" s="246"/>
      <c r="K108" s="247">
        <f t="shared" si="21"/>
        <v>755430</v>
      </c>
      <c r="L108" s="246">
        <v>60791</v>
      </c>
      <c r="M108" s="246"/>
      <c r="N108" s="247">
        <f t="shared" si="22"/>
        <v>60791</v>
      </c>
    </row>
    <row r="109" spans="1:14" x14ac:dyDescent="0.25">
      <c r="A109" s="63"/>
      <c r="B109" s="64" t="s">
        <v>196</v>
      </c>
      <c r="C109" s="246">
        <v>400000</v>
      </c>
      <c r="D109" s="246"/>
      <c r="E109" s="247">
        <f t="shared" si="16"/>
        <v>400000</v>
      </c>
      <c r="F109" s="246">
        <v>400000</v>
      </c>
      <c r="G109" s="246"/>
      <c r="H109" s="247">
        <f t="shared" si="20"/>
        <v>400000</v>
      </c>
      <c r="I109" s="246">
        <f>400000-55308-58888</f>
        <v>285804</v>
      </c>
      <c r="J109" s="246"/>
      <c r="K109" s="247">
        <f t="shared" si="21"/>
        <v>285804</v>
      </c>
      <c r="L109" s="246">
        <v>225053</v>
      </c>
      <c r="M109" s="246"/>
      <c r="N109" s="247">
        <f t="shared" si="22"/>
        <v>225053</v>
      </c>
    </row>
    <row r="110" spans="1:14" ht="15.75" thickBot="1" x14ac:dyDescent="0.3">
      <c r="A110" s="63"/>
      <c r="B110" s="64" t="s">
        <v>197</v>
      </c>
      <c r="C110" s="248">
        <v>581100</v>
      </c>
      <c r="D110" s="248"/>
      <c r="E110" s="249">
        <f t="shared" si="16"/>
        <v>581100</v>
      </c>
      <c r="F110" s="248">
        <v>581100</v>
      </c>
      <c r="G110" s="248"/>
      <c r="H110" s="249">
        <f t="shared" si="20"/>
        <v>581100</v>
      </c>
      <c r="I110" s="248">
        <f>581100+36539</f>
        <v>617639</v>
      </c>
      <c r="J110" s="248"/>
      <c r="K110" s="249">
        <f t="shared" si="21"/>
        <v>617639</v>
      </c>
      <c r="L110" s="248">
        <v>617639</v>
      </c>
      <c r="M110" s="248"/>
      <c r="N110" s="249">
        <f t="shared" si="22"/>
        <v>617639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23211000</v>
      </c>
      <c r="D111" s="244">
        <f>SUM(D112:D113,D114,D123,D122)</f>
        <v>0</v>
      </c>
      <c r="E111" s="245">
        <f t="shared" si="16"/>
        <v>23211000</v>
      </c>
      <c r="F111" s="244">
        <f>SUM(F112:F113,F114,F123,F122)</f>
        <v>23667891</v>
      </c>
      <c r="G111" s="244">
        <f>SUM(G112:G113,G114,G123,G122)</f>
        <v>0</v>
      </c>
      <c r="H111" s="245">
        <f t="shared" si="20"/>
        <v>23667891</v>
      </c>
      <c r="I111" s="244">
        <f>SUM(I112:I113,I114,I123,I122)</f>
        <v>23513519</v>
      </c>
      <c r="J111" s="244">
        <f>SUM(J112:J113,J114,J123,J122)</f>
        <v>0</v>
      </c>
      <c r="K111" s="245">
        <f t="shared" si="21"/>
        <v>23513519</v>
      </c>
      <c r="L111" s="244">
        <f>SUM(L112:L113,L114,L123,L122)</f>
        <v>18194440</v>
      </c>
      <c r="M111" s="244">
        <f>SUM(M112:M113,M114,M123,M122)</f>
        <v>0</v>
      </c>
      <c r="N111" s="245">
        <f t="shared" si="22"/>
        <v>18194440</v>
      </c>
    </row>
    <row r="112" spans="1:14" x14ac:dyDescent="0.25">
      <c r="A112" s="61" t="s">
        <v>199</v>
      </c>
      <c r="B112" s="62" t="s">
        <v>200</v>
      </c>
      <c r="C112" s="246">
        <v>2800000</v>
      </c>
      <c r="D112" s="246"/>
      <c r="E112" s="247">
        <f t="shared" si="16"/>
        <v>2800000</v>
      </c>
      <c r="F112" s="246">
        <f>2800000-100000</f>
        <v>2700000</v>
      </c>
      <c r="G112" s="246"/>
      <c r="H112" s="247">
        <f t="shared" si="20"/>
        <v>2700000</v>
      </c>
      <c r="I112" s="246">
        <f>2800000-100000-5394-49347</f>
        <v>2645259</v>
      </c>
      <c r="J112" s="246"/>
      <c r="K112" s="247">
        <f t="shared" si="21"/>
        <v>2645259</v>
      </c>
      <c r="L112" s="246">
        <v>2215222</v>
      </c>
      <c r="M112" s="246"/>
      <c r="N112" s="247">
        <f t="shared" si="22"/>
        <v>2215222</v>
      </c>
    </row>
    <row r="113" spans="1:14" x14ac:dyDescent="0.25">
      <c r="A113" s="61" t="s">
        <v>201</v>
      </c>
      <c r="B113" s="62" t="s">
        <v>202</v>
      </c>
      <c r="C113" s="246">
        <v>4000000</v>
      </c>
      <c r="D113" s="246"/>
      <c r="E113" s="247">
        <f t="shared" si="16"/>
        <v>4000000</v>
      </c>
      <c r="F113" s="246">
        <v>4000000</v>
      </c>
      <c r="G113" s="246"/>
      <c r="H113" s="247">
        <f t="shared" si="20"/>
        <v>4000000</v>
      </c>
      <c r="I113" s="246">
        <v>4000000</v>
      </c>
      <c r="J113" s="246"/>
      <c r="K113" s="247">
        <f t="shared" si="21"/>
        <v>4000000</v>
      </c>
      <c r="L113" s="246">
        <v>2115142</v>
      </c>
      <c r="M113" s="246"/>
      <c r="N113" s="247">
        <f t="shared" si="22"/>
        <v>2115142</v>
      </c>
    </row>
    <row r="114" spans="1:14" x14ac:dyDescent="0.25">
      <c r="A114" s="61" t="s">
        <v>203</v>
      </c>
      <c r="B114" s="62" t="s">
        <v>204</v>
      </c>
      <c r="C114" s="246">
        <f>SUM(C115:C121)</f>
        <v>12500000</v>
      </c>
      <c r="D114" s="246">
        <f>SUM(D115:D121)</f>
        <v>0</v>
      </c>
      <c r="E114" s="247">
        <f t="shared" si="16"/>
        <v>12500000</v>
      </c>
      <c r="F114" s="246">
        <f>SUM(F115:F121)</f>
        <v>12956891</v>
      </c>
      <c r="G114" s="246">
        <f>SUM(G115:G121)</f>
        <v>0</v>
      </c>
      <c r="H114" s="247">
        <f t="shared" si="20"/>
        <v>12956891</v>
      </c>
      <c r="I114" s="246">
        <f>SUM(I115:I121)</f>
        <v>12857260</v>
      </c>
      <c r="J114" s="246">
        <f>SUM(J115:J121)</f>
        <v>0</v>
      </c>
      <c r="K114" s="247">
        <f t="shared" si="21"/>
        <v>12857260</v>
      </c>
      <c r="L114" s="246">
        <f>SUM(L115:L121)</f>
        <v>11469483</v>
      </c>
      <c r="M114" s="246">
        <f>SUM(M115:M121)</f>
        <v>0</v>
      </c>
      <c r="N114" s="247">
        <f t="shared" si="22"/>
        <v>11469483</v>
      </c>
    </row>
    <row r="115" spans="1:14" x14ac:dyDescent="0.25">
      <c r="A115" s="61" t="s">
        <v>205</v>
      </c>
      <c r="B115" s="62" t="s">
        <v>206</v>
      </c>
      <c r="C115" s="316">
        <v>2900000</v>
      </c>
      <c r="D115" s="246"/>
      <c r="E115" s="247">
        <f t="shared" si="16"/>
        <v>2900000</v>
      </c>
      <c r="F115" s="316">
        <f>2900000+456891</f>
        <v>3356891</v>
      </c>
      <c r="G115" s="246"/>
      <c r="H115" s="247">
        <f t="shared" si="20"/>
        <v>3356891</v>
      </c>
      <c r="I115" s="316">
        <f>2900000+456891+70975</f>
        <v>3427866</v>
      </c>
      <c r="J115" s="246"/>
      <c r="K115" s="247">
        <f t="shared" si="21"/>
        <v>3427866</v>
      </c>
      <c r="L115" s="316">
        <v>3036050</v>
      </c>
      <c r="M115" s="246"/>
      <c r="N115" s="247">
        <f t="shared" si="22"/>
        <v>3036050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6"/>
        <v>0</v>
      </c>
      <c r="F116" s="246"/>
      <c r="G116" s="246"/>
      <c r="H116" s="247">
        <f t="shared" si="20"/>
        <v>0</v>
      </c>
      <c r="I116" s="246"/>
      <c r="J116" s="246"/>
      <c r="K116" s="247">
        <f t="shared" si="21"/>
        <v>0</v>
      </c>
      <c r="L116" s="246"/>
      <c r="M116" s="246"/>
      <c r="N116" s="247">
        <f t="shared" si="22"/>
        <v>0</v>
      </c>
    </row>
    <row r="117" spans="1:14" x14ac:dyDescent="0.25">
      <c r="A117" s="61" t="s">
        <v>209</v>
      </c>
      <c r="B117" s="62" t="s">
        <v>210</v>
      </c>
      <c r="C117" s="246">
        <v>20000</v>
      </c>
      <c r="D117" s="246"/>
      <c r="E117" s="247">
        <f t="shared" si="16"/>
        <v>20000</v>
      </c>
      <c r="F117" s="246">
        <v>20000</v>
      </c>
      <c r="G117" s="246"/>
      <c r="H117" s="247">
        <f t="shared" si="20"/>
        <v>20000</v>
      </c>
      <c r="I117" s="246">
        <f>20000+12394</f>
        <v>32394</v>
      </c>
      <c r="J117" s="246"/>
      <c r="K117" s="247">
        <f t="shared" si="21"/>
        <v>32394</v>
      </c>
      <c r="L117" s="246">
        <v>31890</v>
      </c>
      <c r="M117" s="246"/>
      <c r="N117" s="247">
        <f t="shared" si="22"/>
        <v>31890</v>
      </c>
    </row>
    <row r="118" spans="1:14" x14ac:dyDescent="0.25">
      <c r="A118" s="61" t="s">
        <v>211</v>
      </c>
      <c r="B118" s="62" t="s">
        <v>212</v>
      </c>
      <c r="C118" s="246">
        <v>230000</v>
      </c>
      <c r="D118" s="246"/>
      <c r="E118" s="247">
        <f t="shared" si="16"/>
        <v>230000</v>
      </c>
      <c r="F118" s="246">
        <v>230000</v>
      </c>
      <c r="G118" s="246"/>
      <c r="H118" s="247">
        <f t="shared" si="20"/>
        <v>230000</v>
      </c>
      <c r="I118" s="246">
        <v>230000</v>
      </c>
      <c r="J118" s="246"/>
      <c r="K118" s="247">
        <f t="shared" si="21"/>
        <v>230000</v>
      </c>
      <c r="L118" s="246">
        <v>83720</v>
      </c>
      <c r="M118" s="246"/>
      <c r="N118" s="247">
        <f t="shared" si="22"/>
        <v>83720</v>
      </c>
    </row>
    <row r="119" spans="1:14" x14ac:dyDescent="0.25">
      <c r="A119" s="61" t="s">
        <v>213</v>
      </c>
      <c r="B119" s="62" t="s">
        <v>214</v>
      </c>
      <c r="C119" s="246">
        <v>50000</v>
      </c>
      <c r="D119" s="246"/>
      <c r="E119" s="247">
        <f t="shared" si="16"/>
        <v>50000</v>
      </c>
      <c r="F119" s="246">
        <v>50000</v>
      </c>
      <c r="G119" s="246"/>
      <c r="H119" s="247">
        <f t="shared" si="20"/>
        <v>50000</v>
      </c>
      <c r="I119" s="246">
        <f>50000+5000</f>
        <v>55000</v>
      </c>
      <c r="J119" s="246"/>
      <c r="K119" s="247">
        <f t="shared" si="21"/>
        <v>55000</v>
      </c>
      <c r="L119" s="246">
        <v>54333</v>
      </c>
      <c r="M119" s="246"/>
      <c r="N119" s="247">
        <f t="shared" si="22"/>
        <v>54333</v>
      </c>
    </row>
    <row r="120" spans="1:14" x14ac:dyDescent="0.25">
      <c r="A120" s="61" t="s">
        <v>215</v>
      </c>
      <c r="B120" s="62" t="s">
        <v>216</v>
      </c>
      <c r="C120" s="246">
        <v>3300000</v>
      </c>
      <c r="D120" s="246"/>
      <c r="E120" s="247">
        <f t="shared" si="16"/>
        <v>3300000</v>
      </c>
      <c r="F120" s="246">
        <v>3300000</v>
      </c>
      <c r="G120" s="246"/>
      <c r="H120" s="247">
        <f t="shared" si="20"/>
        <v>3300000</v>
      </c>
      <c r="I120" s="246">
        <f>3300000+424692</f>
        <v>3724692</v>
      </c>
      <c r="J120" s="246"/>
      <c r="K120" s="247">
        <f t="shared" si="21"/>
        <v>3724692</v>
      </c>
      <c r="L120" s="246">
        <v>3424692</v>
      </c>
      <c r="M120" s="246"/>
      <c r="N120" s="247">
        <f t="shared" si="22"/>
        <v>3424692</v>
      </c>
    </row>
    <row r="121" spans="1:14" x14ac:dyDescent="0.25">
      <c r="A121" s="61" t="s">
        <v>217</v>
      </c>
      <c r="B121" s="62" t="s">
        <v>218</v>
      </c>
      <c r="C121" s="246">
        <v>6000000</v>
      </c>
      <c r="D121" s="246"/>
      <c r="E121" s="247">
        <f t="shared" si="16"/>
        <v>6000000</v>
      </c>
      <c r="F121" s="246">
        <v>6000000</v>
      </c>
      <c r="G121" s="246"/>
      <c r="H121" s="247">
        <f t="shared" si="20"/>
        <v>6000000</v>
      </c>
      <c r="I121" s="246">
        <f>6000000-687692+75000</f>
        <v>5387308</v>
      </c>
      <c r="J121" s="246"/>
      <c r="K121" s="247">
        <f t="shared" si="21"/>
        <v>5387308</v>
      </c>
      <c r="L121" s="246">
        <v>4838798</v>
      </c>
      <c r="M121" s="246"/>
      <c r="N121" s="247">
        <f t="shared" si="22"/>
        <v>4838798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6"/>
        <v>0</v>
      </c>
      <c r="F122" s="246">
        <v>100000</v>
      </c>
      <c r="G122" s="246"/>
      <c r="H122" s="247">
        <f t="shared" si="20"/>
        <v>100000</v>
      </c>
      <c r="I122" s="246">
        <v>100000</v>
      </c>
      <c r="J122" s="246"/>
      <c r="K122" s="247">
        <f t="shared" si="21"/>
        <v>100000</v>
      </c>
      <c r="L122" s="246">
        <v>82475</v>
      </c>
      <c r="M122" s="246"/>
      <c r="N122" s="247">
        <f t="shared" si="22"/>
        <v>82475</v>
      </c>
    </row>
    <row r="123" spans="1:14" x14ac:dyDescent="0.25">
      <c r="A123" s="61" t="s">
        <v>221</v>
      </c>
      <c r="B123" s="62" t="s">
        <v>222</v>
      </c>
      <c r="C123" s="246">
        <f>SUM(C124:C126)</f>
        <v>3911000.0000000005</v>
      </c>
      <c r="D123" s="246">
        <f>SUM(D124:D126)</f>
        <v>0</v>
      </c>
      <c r="E123" s="247">
        <f t="shared" si="16"/>
        <v>3911000.0000000005</v>
      </c>
      <c r="F123" s="246">
        <f>SUM(F124:F126)</f>
        <v>3911000.0000000005</v>
      </c>
      <c r="G123" s="246">
        <f>SUM(G124:G126)</f>
        <v>0</v>
      </c>
      <c r="H123" s="247">
        <f t="shared" si="20"/>
        <v>3911000.0000000005</v>
      </c>
      <c r="I123" s="246">
        <f>SUM(I124:I126)</f>
        <v>3911000.0000000005</v>
      </c>
      <c r="J123" s="246">
        <f>SUM(J124:J126)</f>
        <v>0</v>
      </c>
      <c r="K123" s="247">
        <f t="shared" si="21"/>
        <v>3911000.0000000005</v>
      </c>
      <c r="L123" s="246">
        <f>SUM(L124:L126)</f>
        <v>2312118</v>
      </c>
      <c r="M123" s="246">
        <f>SUM(M124:M126)</f>
        <v>0</v>
      </c>
      <c r="N123" s="247">
        <f t="shared" si="22"/>
        <v>2312118</v>
      </c>
    </row>
    <row r="124" spans="1:14" x14ac:dyDescent="0.25">
      <c r="A124" s="61"/>
      <c r="B124" s="62" t="s">
        <v>223</v>
      </c>
      <c r="C124" s="246">
        <f>(19300000-5000000)*0.27</f>
        <v>3861000.0000000005</v>
      </c>
      <c r="D124" s="246"/>
      <c r="E124" s="247">
        <f t="shared" si="16"/>
        <v>3861000.0000000005</v>
      </c>
      <c r="F124" s="246">
        <f>(19300000-5000000)*0.27</f>
        <v>3861000.0000000005</v>
      </c>
      <c r="G124" s="246"/>
      <c r="H124" s="247">
        <f t="shared" si="20"/>
        <v>3861000.0000000005</v>
      </c>
      <c r="I124" s="246">
        <f>(19300000-5000000)*0.27</f>
        <v>3861000.0000000005</v>
      </c>
      <c r="J124" s="246"/>
      <c r="K124" s="247">
        <f t="shared" si="21"/>
        <v>3861000.0000000005</v>
      </c>
      <c r="L124" s="246">
        <v>2297984</v>
      </c>
      <c r="M124" s="246"/>
      <c r="N124" s="247">
        <f t="shared" si="22"/>
        <v>2297984</v>
      </c>
    </row>
    <row r="125" spans="1:14" x14ac:dyDescent="0.25">
      <c r="A125" s="63"/>
      <c r="B125" s="64" t="s">
        <v>224</v>
      </c>
      <c r="C125" s="246"/>
      <c r="D125" s="246"/>
      <c r="E125" s="247">
        <f t="shared" si="16"/>
        <v>0</v>
      </c>
      <c r="F125" s="246"/>
      <c r="G125" s="246"/>
      <c r="H125" s="247">
        <f t="shared" si="20"/>
        <v>0</v>
      </c>
      <c r="I125" s="246"/>
      <c r="J125" s="246"/>
      <c r="K125" s="247">
        <f t="shared" si="21"/>
        <v>0</v>
      </c>
      <c r="L125" s="246"/>
      <c r="M125" s="246"/>
      <c r="N125" s="247">
        <f t="shared" si="22"/>
        <v>0</v>
      </c>
    </row>
    <row r="126" spans="1:14" ht="15.75" thickBot="1" x14ac:dyDescent="0.3">
      <c r="A126" s="63" t="s">
        <v>225</v>
      </c>
      <c r="B126" s="64" t="s">
        <v>226</v>
      </c>
      <c r="C126" s="248">
        <v>50000</v>
      </c>
      <c r="D126" s="248"/>
      <c r="E126" s="249">
        <f t="shared" si="16"/>
        <v>50000</v>
      </c>
      <c r="F126" s="248">
        <v>50000</v>
      </c>
      <c r="G126" s="248"/>
      <c r="H126" s="249">
        <f t="shared" si="20"/>
        <v>50000</v>
      </c>
      <c r="I126" s="248">
        <v>50000</v>
      </c>
      <c r="J126" s="248"/>
      <c r="K126" s="249">
        <f t="shared" si="21"/>
        <v>50000</v>
      </c>
      <c r="L126" s="248">
        <v>14134</v>
      </c>
      <c r="M126" s="248"/>
      <c r="N126" s="249">
        <f t="shared" si="22"/>
        <v>14134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6"/>
        <v>0</v>
      </c>
      <c r="F127" s="250"/>
      <c r="G127" s="250"/>
      <c r="H127" s="251">
        <f t="shared" si="20"/>
        <v>0</v>
      </c>
      <c r="I127" s="250"/>
      <c r="J127" s="250"/>
      <c r="K127" s="251">
        <f t="shared" si="21"/>
        <v>0</v>
      </c>
      <c r="L127" s="250"/>
      <c r="M127" s="250"/>
      <c r="N127" s="251">
        <f t="shared" si="22"/>
        <v>0</v>
      </c>
    </row>
    <row r="128" spans="1:14" ht="15.75" hidden="1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6"/>
        <v>0</v>
      </c>
      <c r="F128" s="244">
        <f>SUM(F129:F134)</f>
        <v>0</v>
      </c>
      <c r="G128" s="244">
        <f>SUM(G129:G134)</f>
        <v>0</v>
      </c>
      <c r="H128" s="245">
        <f t="shared" si="20"/>
        <v>0</v>
      </c>
      <c r="I128" s="244">
        <f>SUM(I129:I134)</f>
        <v>0</v>
      </c>
      <c r="J128" s="244">
        <f>SUM(J129:J134)</f>
        <v>0</v>
      </c>
      <c r="K128" s="245">
        <f t="shared" si="21"/>
        <v>0</v>
      </c>
      <c r="L128" s="244">
        <f>SUM(L129:L134)</f>
        <v>0</v>
      </c>
      <c r="M128" s="244">
        <f>SUM(M129:M134)</f>
        <v>0</v>
      </c>
      <c r="N128" s="245">
        <f t="shared" si="22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6"/>
        <v>0</v>
      </c>
      <c r="F129" s="246"/>
      <c r="G129" s="246"/>
      <c r="H129" s="247">
        <f t="shared" si="20"/>
        <v>0</v>
      </c>
      <c r="I129" s="246"/>
      <c r="J129" s="246"/>
      <c r="K129" s="247">
        <f t="shared" si="21"/>
        <v>0</v>
      </c>
      <c r="L129" s="246"/>
      <c r="M129" s="246"/>
      <c r="N129" s="247">
        <f t="shared" si="2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6"/>
        <v>0</v>
      </c>
      <c r="F130" s="246"/>
      <c r="G130" s="246"/>
      <c r="H130" s="247">
        <f t="shared" si="20"/>
        <v>0</v>
      </c>
      <c r="I130" s="246"/>
      <c r="J130" s="246"/>
      <c r="K130" s="247">
        <f t="shared" si="21"/>
        <v>0</v>
      </c>
      <c r="L130" s="246"/>
      <c r="M130" s="246"/>
      <c r="N130" s="247">
        <f t="shared" si="22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6"/>
        <v>0</v>
      </c>
      <c r="F131" s="246"/>
      <c r="G131" s="246"/>
      <c r="H131" s="247">
        <f t="shared" si="20"/>
        <v>0</v>
      </c>
      <c r="I131" s="246"/>
      <c r="J131" s="246"/>
      <c r="K131" s="247">
        <f t="shared" si="21"/>
        <v>0</v>
      </c>
      <c r="L131" s="246"/>
      <c r="M131" s="246"/>
      <c r="N131" s="247">
        <f t="shared" si="22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6"/>
        <v>0</v>
      </c>
      <c r="F132" s="246"/>
      <c r="G132" s="246"/>
      <c r="H132" s="247">
        <f t="shared" si="20"/>
        <v>0</v>
      </c>
      <c r="I132" s="246"/>
      <c r="J132" s="246"/>
      <c r="K132" s="247">
        <f t="shared" si="21"/>
        <v>0</v>
      </c>
      <c r="L132" s="246"/>
      <c r="M132" s="246"/>
      <c r="N132" s="247">
        <f t="shared" si="22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6"/>
        <v>0</v>
      </c>
      <c r="F133" s="246"/>
      <c r="G133" s="246"/>
      <c r="H133" s="247">
        <f t="shared" si="20"/>
        <v>0</v>
      </c>
      <c r="I133" s="246"/>
      <c r="J133" s="246"/>
      <c r="K133" s="247">
        <f t="shared" si="21"/>
        <v>0</v>
      </c>
      <c r="L133" s="246"/>
      <c r="M133" s="246"/>
      <c r="N133" s="247">
        <f t="shared" si="22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6"/>
        <v>0</v>
      </c>
      <c r="F134" s="246">
        <f>SUM(F135:F136)</f>
        <v>0</v>
      </c>
      <c r="G134" s="246">
        <f>SUM(G135:G136)</f>
        <v>0</v>
      </c>
      <c r="H134" s="247">
        <f t="shared" si="20"/>
        <v>0</v>
      </c>
      <c r="I134" s="246">
        <f>SUM(I135:I136)</f>
        <v>0</v>
      </c>
      <c r="J134" s="246">
        <f>SUM(J135:J136)</f>
        <v>0</v>
      </c>
      <c r="K134" s="247">
        <f t="shared" si="21"/>
        <v>0</v>
      </c>
      <c r="L134" s="246">
        <f>SUM(L135:L136)</f>
        <v>0</v>
      </c>
      <c r="M134" s="246">
        <f>SUM(M135:M136)</f>
        <v>0</v>
      </c>
      <c r="N134" s="247">
        <f t="shared" si="22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6"/>
        <v>0</v>
      </c>
      <c r="F135" s="246"/>
      <c r="G135" s="246"/>
      <c r="H135" s="247">
        <f t="shared" si="20"/>
        <v>0</v>
      </c>
      <c r="I135" s="246"/>
      <c r="J135" s="246"/>
      <c r="K135" s="247">
        <f t="shared" si="21"/>
        <v>0</v>
      </c>
      <c r="L135" s="246"/>
      <c r="M135" s="246"/>
      <c r="N135" s="247">
        <f t="shared" si="22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6"/>
        <v>0</v>
      </c>
      <c r="F136" s="248"/>
      <c r="G136" s="248"/>
      <c r="H136" s="249">
        <f t="shared" si="20"/>
        <v>0</v>
      </c>
      <c r="I136" s="248"/>
      <c r="J136" s="248"/>
      <c r="K136" s="249">
        <f t="shared" si="21"/>
        <v>0</v>
      </c>
      <c r="L136" s="248"/>
      <c r="M136" s="248"/>
      <c r="N136" s="249">
        <f t="shared" si="22"/>
        <v>0</v>
      </c>
    </row>
    <row r="137" spans="1:14" x14ac:dyDescent="0.25">
      <c r="A137" s="60" t="s">
        <v>241</v>
      </c>
      <c r="B137" s="48" t="s">
        <v>38</v>
      </c>
      <c r="C137" s="244">
        <v>6299212</v>
      </c>
      <c r="D137" s="244"/>
      <c r="E137" s="245">
        <f t="shared" si="16"/>
        <v>6299212</v>
      </c>
      <c r="F137" s="244">
        <v>6299212</v>
      </c>
      <c r="G137" s="244"/>
      <c r="H137" s="245">
        <f t="shared" si="20"/>
        <v>6299212</v>
      </c>
      <c r="I137" s="244">
        <v>6299212</v>
      </c>
      <c r="J137" s="244"/>
      <c r="K137" s="245">
        <f t="shared" si="21"/>
        <v>6299212</v>
      </c>
      <c r="L137" s="244">
        <f>540593+3865434</f>
        <v>4406027</v>
      </c>
      <c r="M137" s="244"/>
      <c r="N137" s="245">
        <f t="shared" si="22"/>
        <v>4406027</v>
      </c>
    </row>
    <row r="138" spans="1:14" ht="15.75" thickBot="1" x14ac:dyDescent="0.3">
      <c r="A138" s="63" t="s">
        <v>242</v>
      </c>
      <c r="B138" s="64" t="s">
        <v>243</v>
      </c>
      <c r="C138" s="248">
        <v>1700788</v>
      </c>
      <c r="D138" s="248"/>
      <c r="E138" s="249">
        <f t="shared" si="16"/>
        <v>1700788</v>
      </c>
      <c r="F138" s="248">
        <v>1700788</v>
      </c>
      <c r="G138" s="248"/>
      <c r="H138" s="249">
        <f t="shared" si="20"/>
        <v>1700788</v>
      </c>
      <c r="I138" s="248">
        <v>1700788</v>
      </c>
      <c r="J138" s="248"/>
      <c r="K138" s="249">
        <f t="shared" si="21"/>
        <v>1700788</v>
      </c>
      <c r="L138" s="248">
        <v>942146</v>
      </c>
      <c r="M138" s="248"/>
      <c r="N138" s="249">
        <f t="shared" si="22"/>
        <v>942146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6"/>
        <v>0</v>
      </c>
      <c r="F139" s="244"/>
      <c r="G139" s="244"/>
      <c r="H139" s="245">
        <f t="shared" si="20"/>
        <v>0</v>
      </c>
      <c r="I139" s="244"/>
      <c r="J139" s="244"/>
      <c r="K139" s="245">
        <f t="shared" si="21"/>
        <v>0</v>
      </c>
      <c r="L139" s="244"/>
      <c r="M139" s="244"/>
      <c r="N139" s="245">
        <f t="shared" si="22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6"/>
        <v>0</v>
      </c>
      <c r="F140" s="248"/>
      <c r="G140" s="248"/>
      <c r="H140" s="249">
        <f t="shared" si="20"/>
        <v>0</v>
      </c>
      <c r="I140" s="248"/>
      <c r="J140" s="248"/>
      <c r="K140" s="249">
        <f t="shared" si="21"/>
        <v>0</v>
      </c>
      <c r="L140" s="248"/>
      <c r="M140" s="248"/>
      <c r="N140" s="249">
        <f t="shared" si="22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6"/>
        <v>0</v>
      </c>
      <c r="F141" s="254"/>
      <c r="G141" s="254"/>
      <c r="H141" s="255">
        <f t="shared" si="20"/>
        <v>0</v>
      </c>
      <c r="I141" s="254"/>
      <c r="J141" s="254"/>
      <c r="K141" s="255">
        <f t="shared" si="21"/>
        <v>0</v>
      </c>
      <c r="L141" s="254"/>
      <c r="M141" s="254"/>
      <c r="N141" s="255">
        <f t="shared" si="22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163912042</v>
      </c>
      <c r="D142" s="250">
        <f>D141+D140+D139+D138+D137+D128+D127+D111+D105+D88</f>
        <v>0</v>
      </c>
      <c r="E142" s="251">
        <f t="shared" si="16"/>
        <v>163912042</v>
      </c>
      <c r="F142" s="250">
        <f>F141+F140+F139+F138+F137+F128+F127+F111+F105+F88</f>
        <v>164368933</v>
      </c>
      <c r="G142" s="250">
        <f>G141+G140+G139+G138+G137+G128+G127+G111+G105+G88</f>
        <v>0</v>
      </c>
      <c r="H142" s="251">
        <f t="shared" si="20"/>
        <v>164368933</v>
      </c>
      <c r="I142" s="250">
        <f>I141+I140+I139+I138+I137+I128+I127+I111+I105+I88</f>
        <v>161575732</v>
      </c>
      <c r="J142" s="250">
        <f>J141+J140+J139+J138+J137+J128+J127+J111+J105+J88</f>
        <v>0</v>
      </c>
      <c r="K142" s="251">
        <f t="shared" si="21"/>
        <v>161575732</v>
      </c>
      <c r="L142" s="250">
        <f>L141+L140+L139+L138+L137+L128+L127+L111+L105+L88</f>
        <v>132488415</v>
      </c>
      <c r="M142" s="250">
        <f>M141+M140+M139+M138+M137+M128+M127+M111+M105+M88</f>
        <v>0</v>
      </c>
      <c r="N142" s="251">
        <f t="shared" si="22"/>
        <v>132488415</v>
      </c>
    </row>
    <row r="143" spans="1:14" ht="15.75" hidden="1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6"/>
        <v>0</v>
      </c>
      <c r="F143" s="244">
        <f>SUM(F144:F150)</f>
        <v>0</v>
      </c>
      <c r="G143" s="244">
        <f>SUM(G144:G150)</f>
        <v>0</v>
      </c>
      <c r="H143" s="245">
        <f t="shared" si="20"/>
        <v>0</v>
      </c>
      <c r="I143" s="244">
        <f>SUM(I144:I150)</f>
        <v>0</v>
      </c>
      <c r="J143" s="244">
        <f>SUM(J144:J150)</f>
        <v>0</v>
      </c>
      <c r="K143" s="245">
        <f t="shared" si="21"/>
        <v>0</v>
      </c>
      <c r="L143" s="244">
        <f>SUM(L144:L150)</f>
        <v>0</v>
      </c>
      <c r="M143" s="244">
        <f>SUM(M144:M150)</f>
        <v>0</v>
      </c>
      <c r="N143" s="245">
        <f t="shared" si="22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6"/>
        <v>0</v>
      </c>
      <c r="F144" s="246"/>
      <c r="G144" s="246"/>
      <c r="H144" s="247">
        <f t="shared" si="20"/>
        <v>0</v>
      </c>
      <c r="I144" s="246"/>
      <c r="J144" s="246"/>
      <c r="K144" s="247">
        <f t="shared" si="21"/>
        <v>0</v>
      </c>
      <c r="L144" s="246"/>
      <c r="M144" s="246"/>
      <c r="N144" s="247">
        <f t="shared" si="22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6"/>
        <v>0</v>
      </c>
      <c r="F145" s="246"/>
      <c r="G145" s="246"/>
      <c r="H145" s="247">
        <f t="shared" si="20"/>
        <v>0</v>
      </c>
      <c r="I145" s="246"/>
      <c r="J145" s="246"/>
      <c r="K145" s="247">
        <f t="shared" si="21"/>
        <v>0</v>
      </c>
      <c r="L145" s="246"/>
      <c r="M145" s="246"/>
      <c r="N145" s="247">
        <f t="shared" si="22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6"/>
        <v>0</v>
      </c>
      <c r="F147" s="246"/>
      <c r="G147" s="246"/>
      <c r="H147" s="247">
        <f t="shared" ref="H147:H150" si="23">SUM(F147:G147)</f>
        <v>0</v>
      </c>
      <c r="I147" s="246"/>
      <c r="J147" s="246"/>
      <c r="K147" s="247">
        <f t="shared" ref="K147:K150" si="24">SUM(I147:J147)</f>
        <v>0</v>
      </c>
      <c r="L147" s="246"/>
      <c r="M147" s="246"/>
      <c r="N147" s="247">
        <f t="shared" ref="N147:N150" si="25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6"/>
        <v>0</v>
      </c>
      <c r="F148" s="246"/>
      <c r="G148" s="246"/>
      <c r="H148" s="247">
        <f t="shared" si="23"/>
        <v>0</v>
      </c>
      <c r="I148" s="246"/>
      <c r="J148" s="246"/>
      <c r="K148" s="247">
        <f t="shared" si="24"/>
        <v>0</v>
      </c>
      <c r="L148" s="246"/>
      <c r="M148" s="246"/>
      <c r="N148" s="247">
        <f t="shared" si="25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6"/>
        <v>0</v>
      </c>
      <c r="F149" s="246"/>
      <c r="G149" s="246"/>
      <c r="H149" s="247">
        <f t="shared" si="23"/>
        <v>0</v>
      </c>
      <c r="I149" s="246"/>
      <c r="J149" s="246"/>
      <c r="K149" s="247">
        <f t="shared" si="24"/>
        <v>0</v>
      </c>
      <c r="L149" s="246"/>
      <c r="M149" s="246"/>
      <c r="N149" s="247">
        <f t="shared" si="25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6"/>
        <v>0</v>
      </c>
      <c r="F150" s="256"/>
      <c r="G150" s="248"/>
      <c r="H150" s="249">
        <f t="shared" si="23"/>
        <v>0</v>
      </c>
      <c r="I150" s="256"/>
      <c r="J150" s="248"/>
      <c r="K150" s="249">
        <f t="shared" si="24"/>
        <v>0</v>
      </c>
      <c r="L150" s="256"/>
      <c r="M150" s="248"/>
      <c r="N150" s="249">
        <f t="shared" si="25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163912042</v>
      </c>
      <c r="D151" s="257">
        <f>D143+D142</f>
        <v>0</v>
      </c>
      <c r="E151" s="258">
        <f>SUM(C151:D151)</f>
        <v>163912042</v>
      </c>
      <c r="F151" s="250">
        <f>F143+F142</f>
        <v>164368933</v>
      </c>
      <c r="G151" s="257">
        <f>G143+G142</f>
        <v>0</v>
      </c>
      <c r="H151" s="258">
        <f>SUM(F151:G151)</f>
        <v>164368933</v>
      </c>
      <c r="I151" s="250">
        <f>I143+I142</f>
        <v>161575732</v>
      </c>
      <c r="J151" s="257">
        <f>J143+J142</f>
        <v>0</v>
      </c>
      <c r="K151" s="258">
        <f>SUM(I151:J151)</f>
        <v>161575732</v>
      </c>
      <c r="L151" s="250">
        <f>L143+L142</f>
        <v>132488415</v>
      </c>
      <c r="M151" s="257">
        <f>M143+M142</f>
        <v>0</v>
      </c>
      <c r="N151" s="258">
        <f>SUM(L151:M151)</f>
        <v>132488415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6">E85-E151</f>
        <v>23058022</v>
      </c>
      <c r="F153" s="148"/>
      <c r="G153" s="148"/>
      <c r="H153" s="148">
        <f>H85-H151</f>
        <v>23058022</v>
      </c>
      <c r="I153" s="148"/>
      <c r="J153" s="148"/>
      <c r="K153" s="148">
        <f>K85-K151</f>
        <v>25851223</v>
      </c>
      <c r="L153" s="148"/>
      <c r="M153" s="148"/>
      <c r="N153" s="148">
        <f>N85-N151</f>
        <v>23933390</v>
      </c>
    </row>
    <row r="154" spans="1:14" x14ac:dyDescent="0.25">
      <c r="H154" s="148"/>
      <c r="K154" s="148"/>
      <c r="N154" s="148"/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49" fitToHeight="0" orientation="portrait" horizontalDpi="300" verticalDpi="300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N153"/>
  <sheetViews>
    <sheetView zoomScaleNormal="100" workbookViewId="0">
      <pane ySplit="8" topLeftCell="A151" activePane="bottomLeft" state="frozen"/>
      <selection activeCell="AB159" sqref="AB159"/>
      <selection pane="bottomLeft" activeCell="D7" sqref="D7"/>
    </sheetView>
  </sheetViews>
  <sheetFormatPr defaultRowHeight="15" x14ac:dyDescent="0.25"/>
  <cols>
    <col min="1" max="1" width="9.140625" style="44"/>
    <col min="2" max="2" width="59.140625" style="44" bestFit="1" customWidth="1"/>
    <col min="3" max="3" width="12.85546875" style="44" customWidth="1"/>
    <col min="4" max="4" width="9.140625" style="44"/>
    <col min="5" max="5" width="12.5703125" style="44" customWidth="1"/>
    <col min="6" max="6" width="12.85546875" style="179" customWidth="1"/>
    <col min="7" max="7" width="9.140625" style="179"/>
    <col min="8" max="8" width="12.5703125" style="179" customWidth="1"/>
    <col min="9" max="9" width="12.85546875" style="179" customWidth="1"/>
    <col min="10" max="10" width="9.140625" style="179"/>
    <col min="11" max="11" width="12.5703125" style="179" customWidth="1"/>
    <col min="12" max="12" width="12.85546875" style="179" customWidth="1"/>
    <col min="13" max="13" width="9.140625" style="179"/>
    <col min="14" max="14" width="12.5703125" style="179" customWidth="1"/>
    <col min="15" max="16384" width="9.140625" style="44"/>
  </cols>
  <sheetData>
    <row r="1" spans="1:14" s="179" customFormat="1" x14ac:dyDescent="0.25">
      <c r="A1" s="912" t="s">
        <v>631</v>
      </c>
      <c r="B1" s="912"/>
      <c r="C1" s="912"/>
      <c r="D1" s="912"/>
      <c r="E1" s="912"/>
    </row>
    <row r="2" spans="1:14" s="179" customFormat="1" x14ac:dyDescent="0.25">
      <c r="A2" s="912" t="s">
        <v>271</v>
      </c>
      <c r="B2" s="912"/>
      <c r="C2" s="912"/>
      <c r="D2" s="912"/>
      <c r="E2" s="912"/>
    </row>
    <row r="3" spans="1:14" ht="7.5" customHeight="1" x14ac:dyDescent="0.25">
      <c r="A3" s="80"/>
      <c r="B3" s="80"/>
      <c r="C3" s="80"/>
      <c r="D3" s="80"/>
      <c r="E3" s="80"/>
      <c r="F3" s="615"/>
      <c r="G3" s="615"/>
      <c r="H3" s="615"/>
      <c r="I3" s="638"/>
      <c r="J3" s="638"/>
      <c r="K3" s="638"/>
      <c r="L3" s="704"/>
      <c r="M3" s="704"/>
      <c r="N3" s="704"/>
    </row>
    <row r="4" spans="1:14" x14ac:dyDescent="0.25">
      <c r="A4" s="79" t="s">
        <v>270</v>
      </c>
      <c r="B4" s="80"/>
      <c r="C4" s="45" t="str">
        <f>'1 címrend'!B1</f>
        <v xml:space="preserve"> 12 / 2020. (VI.15) sz rendelet</v>
      </c>
      <c r="D4" s="80"/>
      <c r="E4" s="80"/>
      <c r="F4" s="615"/>
      <c r="G4" s="615"/>
      <c r="H4" s="615"/>
      <c r="I4" s="638"/>
      <c r="J4" s="638"/>
      <c r="K4" s="638"/>
      <c r="L4" s="704"/>
      <c r="M4" s="704"/>
      <c r="N4" s="704"/>
    </row>
    <row r="5" spans="1:14" x14ac:dyDescent="0.25">
      <c r="A5" s="392" t="s">
        <v>628</v>
      </c>
      <c r="B5" s="393" t="s">
        <v>629</v>
      </c>
      <c r="C5" s="80"/>
      <c r="D5" s="80"/>
      <c r="E5" s="80"/>
      <c r="F5" s="615"/>
      <c r="G5" s="615"/>
      <c r="H5" s="615"/>
      <c r="I5" s="638"/>
      <c r="J5" s="638"/>
      <c r="K5" s="638"/>
      <c r="L5" s="704"/>
      <c r="M5" s="704"/>
      <c r="N5" s="704"/>
    </row>
    <row r="6" spans="1:14" x14ac:dyDescent="0.25">
      <c r="C6" s="519" t="s">
        <v>721</v>
      </c>
      <c r="D6" s="828" t="str">
        <f>'5.1 igazgatás cofog'!D6</f>
        <v xml:space="preserve"> melléklet az 12/2020. (VI.15.) rendelethez</v>
      </c>
      <c r="E6" s="368"/>
      <c r="F6" s="614"/>
      <c r="G6" s="614"/>
      <c r="H6" s="614"/>
      <c r="I6" s="637"/>
      <c r="J6" s="637"/>
      <c r="K6" s="637"/>
      <c r="L6" s="698"/>
      <c r="M6" s="698"/>
      <c r="N6" s="698"/>
    </row>
    <row r="7" spans="1:14" ht="16.5" customHeight="1" thickBot="1" x14ac:dyDescent="0.3"/>
    <row r="8" spans="1:14" ht="32.25" thickBot="1" x14ac:dyDescent="0.3">
      <c r="A8" s="46" t="s">
        <v>42</v>
      </c>
      <c r="B8" s="71" t="s">
        <v>23</v>
      </c>
      <c r="C8" s="46" t="s">
        <v>32</v>
      </c>
      <c r="D8" s="51" t="s">
        <v>33</v>
      </c>
      <c r="E8" s="21" t="s">
        <v>21</v>
      </c>
      <c r="F8" s="181" t="s">
        <v>32</v>
      </c>
      <c r="G8" s="200" t="s">
        <v>33</v>
      </c>
      <c r="H8" s="199" t="s">
        <v>825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52" t="s">
        <v>43</v>
      </c>
      <c r="B9" s="48" t="s">
        <v>44</v>
      </c>
      <c r="C9" s="244">
        <f>SUM(C10,C17,C18,C20,C21,C19)</f>
        <v>0</v>
      </c>
      <c r="D9" s="244">
        <f>SUM(D10,D17,D18,D20,D21,D19)</f>
        <v>0</v>
      </c>
      <c r="E9" s="245">
        <f t="shared" ref="E9:E73" si="0">SUM(C9:D9)</f>
        <v>0</v>
      </c>
      <c r="F9" s="244">
        <f>SUM(F10,F17,F18,F20,F21,F19)</f>
        <v>0</v>
      </c>
      <c r="G9" s="244">
        <f>SUM(G10,G17,G18,G20,G21,G19)</f>
        <v>0</v>
      </c>
      <c r="H9" s="245">
        <f t="shared" ref="H9:H73" si="1">SUM(F9:G9)</f>
        <v>0</v>
      </c>
      <c r="I9" s="244">
        <f>SUM(I10,I17,I18,I20,I21,I19)</f>
        <v>0</v>
      </c>
      <c r="J9" s="244">
        <f>SUM(J10,J17,J18,J20,J21,J19)</f>
        <v>0</v>
      </c>
      <c r="K9" s="245">
        <f t="shared" ref="K9:K73" si="2">SUM(I9:J9)</f>
        <v>0</v>
      </c>
      <c r="L9" s="244">
        <f>SUM(L10,L17,L18,L20,L21,L19)</f>
        <v>0</v>
      </c>
      <c r="M9" s="244">
        <f>SUM(M10,M17,M18,M20,M21,M19)</f>
        <v>0</v>
      </c>
      <c r="N9" s="245">
        <f t="shared" ref="N9:N73" si="3">SUM(L9:M9)</f>
        <v>0</v>
      </c>
    </row>
    <row r="10" spans="1:14" ht="15.75" hidden="1" thickBot="1" x14ac:dyDescent="0.3">
      <c r="A10" s="53" t="s">
        <v>45</v>
      </c>
      <c r="B10" s="62" t="s">
        <v>46</v>
      </c>
      <c r="C10" s="246">
        <f>SUM(C11:C16)</f>
        <v>0</v>
      </c>
      <c r="D10" s="246">
        <f>SUM(D11:D16)</f>
        <v>0</v>
      </c>
      <c r="E10" s="247">
        <f t="shared" si="0"/>
        <v>0</v>
      </c>
      <c r="F10" s="246">
        <f>SUM(F11:F16)</f>
        <v>0</v>
      </c>
      <c r="G10" s="246">
        <f>SUM(G11:G16)</f>
        <v>0</v>
      </c>
      <c r="H10" s="247">
        <f t="shared" si="1"/>
        <v>0</v>
      </c>
      <c r="I10" s="246">
        <f>SUM(I11:I16)</f>
        <v>0</v>
      </c>
      <c r="J10" s="246">
        <f>SUM(J11:J16)</f>
        <v>0</v>
      </c>
      <c r="K10" s="247">
        <f t="shared" si="2"/>
        <v>0</v>
      </c>
      <c r="L10" s="246">
        <f>SUM(L11:L16)</f>
        <v>0</v>
      </c>
      <c r="M10" s="246">
        <f>SUM(M11:M16)</f>
        <v>0</v>
      </c>
      <c r="N10" s="247">
        <f t="shared" si="3"/>
        <v>0</v>
      </c>
    </row>
    <row r="11" spans="1:14" ht="15.75" hidden="1" thickBot="1" x14ac:dyDescent="0.3">
      <c r="A11" s="53" t="s">
        <v>47</v>
      </c>
      <c r="B11" s="62" t="s">
        <v>48</v>
      </c>
      <c r="C11" s="246"/>
      <c r="D11" s="246"/>
      <c r="E11" s="247">
        <f t="shared" si="0"/>
        <v>0</v>
      </c>
      <c r="F11" s="246"/>
      <c r="G11" s="246"/>
      <c r="H11" s="247">
        <f t="shared" si="1"/>
        <v>0</v>
      </c>
      <c r="I11" s="246"/>
      <c r="J11" s="246"/>
      <c r="K11" s="247">
        <f t="shared" si="2"/>
        <v>0</v>
      </c>
      <c r="L11" s="246"/>
      <c r="M11" s="246"/>
      <c r="N11" s="247">
        <f t="shared" si="3"/>
        <v>0</v>
      </c>
    </row>
    <row r="12" spans="1:14" ht="15.75" hidden="1" thickBot="1" x14ac:dyDescent="0.3">
      <c r="A12" s="53" t="s">
        <v>49</v>
      </c>
      <c r="B12" s="62" t="s">
        <v>50</v>
      </c>
      <c r="C12" s="246"/>
      <c r="D12" s="246"/>
      <c r="E12" s="247">
        <f t="shared" si="0"/>
        <v>0</v>
      </c>
      <c r="F12" s="246"/>
      <c r="G12" s="246"/>
      <c r="H12" s="247">
        <f t="shared" si="1"/>
        <v>0</v>
      </c>
      <c r="I12" s="246"/>
      <c r="J12" s="246"/>
      <c r="K12" s="247">
        <f t="shared" si="2"/>
        <v>0</v>
      </c>
      <c r="L12" s="246"/>
      <c r="M12" s="246"/>
      <c r="N12" s="247">
        <f t="shared" si="3"/>
        <v>0</v>
      </c>
    </row>
    <row r="13" spans="1:14" ht="15.75" hidden="1" thickBot="1" x14ac:dyDescent="0.3">
      <c r="A13" s="53" t="s">
        <v>51</v>
      </c>
      <c r="B13" s="62" t="s">
        <v>52</v>
      </c>
      <c r="C13" s="246"/>
      <c r="D13" s="246"/>
      <c r="E13" s="247">
        <f t="shared" si="0"/>
        <v>0</v>
      </c>
      <c r="F13" s="246"/>
      <c r="G13" s="246"/>
      <c r="H13" s="247">
        <f t="shared" si="1"/>
        <v>0</v>
      </c>
      <c r="I13" s="246"/>
      <c r="J13" s="246"/>
      <c r="K13" s="247">
        <f t="shared" si="2"/>
        <v>0</v>
      </c>
      <c r="L13" s="246"/>
      <c r="M13" s="246"/>
      <c r="N13" s="247">
        <f t="shared" si="3"/>
        <v>0</v>
      </c>
    </row>
    <row r="14" spans="1:14" ht="15.75" hidden="1" thickBot="1" x14ac:dyDescent="0.3">
      <c r="A14" s="53" t="s">
        <v>53</v>
      </c>
      <c r="B14" s="62" t="s">
        <v>54</v>
      </c>
      <c r="C14" s="246"/>
      <c r="D14" s="246"/>
      <c r="E14" s="247">
        <f t="shared" si="0"/>
        <v>0</v>
      </c>
      <c r="F14" s="246"/>
      <c r="G14" s="246"/>
      <c r="H14" s="247">
        <f t="shared" si="1"/>
        <v>0</v>
      </c>
      <c r="I14" s="246"/>
      <c r="J14" s="246"/>
      <c r="K14" s="247">
        <f t="shared" si="2"/>
        <v>0</v>
      </c>
      <c r="L14" s="246"/>
      <c r="M14" s="246"/>
      <c r="N14" s="247">
        <f t="shared" si="3"/>
        <v>0</v>
      </c>
    </row>
    <row r="15" spans="1:14" ht="15.75" hidden="1" thickBot="1" x14ac:dyDescent="0.3">
      <c r="A15" s="53" t="s">
        <v>55</v>
      </c>
      <c r="B15" s="62" t="s">
        <v>56</v>
      </c>
      <c r="C15" s="246"/>
      <c r="D15" s="246"/>
      <c r="E15" s="247">
        <f t="shared" si="0"/>
        <v>0</v>
      </c>
      <c r="F15" s="246"/>
      <c r="G15" s="246"/>
      <c r="H15" s="247">
        <f t="shared" si="1"/>
        <v>0</v>
      </c>
      <c r="I15" s="246"/>
      <c r="J15" s="246"/>
      <c r="K15" s="247">
        <f t="shared" si="2"/>
        <v>0</v>
      </c>
      <c r="L15" s="246"/>
      <c r="M15" s="246"/>
      <c r="N15" s="247">
        <f t="shared" si="3"/>
        <v>0</v>
      </c>
    </row>
    <row r="16" spans="1:14" ht="15.75" hidden="1" thickBot="1" x14ac:dyDescent="0.3">
      <c r="A16" s="53" t="s">
        <v>57</v>
      </c>
      <c r="B16" s="62" t="s">
        <v>58</v>
      </c>
      <c r="C16" s="246"/>
      <c r="D16" s="246"/>
      <c r="E16" s="247">
        <f t="shared" si="0"/>
        <v>0</v>
      </c>
      <c r="F16" s="246"/>
      <c r="G16" s="246"/>
      <c r="H16" s="247">
        <f t="shared" si="1"/>
        <v>0</v>
      </c>
      <c r="I16" s="246"/>
      <c r="J16" s="246"/>
      <c r="K16" s="247">
        <f t="shared" si="2"/>
        <v>0</v>
      </c>
      <c r="L16" s="246"/>
      <c r="M16" s="246"/>
      <c r="N16" s="247">
        <f t="shared" si="3"/>
        <v>0</v>
      </c>
    </row>
    <row r="17" spans="1:14" ht="15.75" hidden="1" thickBot="1" x14ac:dyDescent="0.3">
      <c r="A17" s="53" t="s">
        <v>59</v>
      </c>
      <c r="B17" s="62" t="s">
        <v>60</v>
      </c>
      <c r="C17" s="246"/>
      <c r="D17" s="246"/>
      <c r="E17" s="247">
        <f t="shared" si="0"/>
        <v>0</v>
      </c>
      <c r="F17" s="246"/>
      <c r="G17" s="246"/>
      <c r="H17" s="247">
        <f t="shared" si="1"/>
        <v>0</v>
      </c>
      <c r="I17" s="246"/>
      <c r="J17" s="246"/>
      <c r="K17" s="247">
        <f t="shared" si="2"/>
        <v>0</v>
      </c>
      <c r="L17" s="246"/>
      <c r="M17" s="246"/>
      <c r="N17" s="247">
        <f t="shared" si="3"/>
        <v>0</v>
      </c>
    </row>
    <row r="18" spans="1:14" ht="15.75" hidden="1" thickBot="1" x14ac:dyDescent="0.3">
      <c r="A18" s="53" t="s">
        <v>61</v>
      </c>
      <c r="B18" s="62" t="s">
        <v>62</v>
      </c>
      <c r="C18" s="246"/>
      <c r="D18" s="246"/>
      <c r="E18" s="247">
        <f t="shared" si="0"/>
        <v>0</v>
      </c>
      <c r="F18" s="246"/>
      <c r="G18" s="246"/>
      <c r="H18" s="247">
        <f t="shared" si="1"/>
        <v>0</v>
      </c>
      <c r="I18" s="246"/>
      <c r="J18" s="246"/>
      <c r="K18" s="247">
        <f t="shared" si="2"/>
        <v>0</v>
      </c>
      <c r="L18" s="246"/>
      <c r="M18" s="246"/>
      <c r="N18" s="247">
        <f t="shared" si="3"/>
        <v>0</v>
      </c>
    </row>
    <row r="19" spans="1:14" ht="15.75" hidden="1" thickBot="1" x14ac:dyDescent="0.3">
      <c r="A19" s="55" t="s">
        <v>266</v>
      </c>
      <c r="B19" s="64" t="s">
        <v>267</v>
      </c>
      <c r="C19" s="246"/>
      <c r="D19" s="246"/>
      <c r="E19" s="247">
        <f t="shared" si="0"/>
        <v>0</v>
      </c>
      <c r="F19" s="246"/>
      <c r="G19" s="246"/>
      <c r="H19" s="247">
        <f t="shared" si="1"/>
        <v>0</v>
      </c>
      <c r="I19" s="246"/>
      <c r="J19" s="246"/>
      <c r="K19" s="247">
        <f t="shared" si="2"/>
        <v>0</v>
      </c>
      <c r="L19" s="246"/>
      <c r="M19" s="246"/>
      <c r="N19" s="247">
        <f t="shared" si="3"/>
        <v>0</v>
      </c>
    </row>
    <row r="20" spans="1:14" ht="15.75" hidden="1" thickBot="1" x14ac:dyDescent="0.3">
      <c r="A20" s="55" t="s">
        <v>63</v>
      </c>
      <c r="B20" s="64" t="s">
        <v>64</v>
      </c>
      <c r="C20" s="246"/>
      <c r="D20" s="246"/>
      <c r="E20" s="247">
        <f t="shared" si="0"/>
        <v>0</v>
      </c>
      <c r="F20" s="246"/>
      <c r="G20" s="246"/>
      <c r="H20" s="247">
        <f t="shared" si="1"/>
        <v>0</v>
      </c>
      <c r="I20" s="246"/>
      <c r="J20" s="246"/>
      <c r="K20" s="247">
        <f t="shared" si="2"/>
        <v>0</v>
      </c>
      <c r="L20" s="246"/>
      <c r="M20" s="246"/>
      <c r="N20" s="247">
        <f t="shared" si="3"/>
        <v>0</v>
      </c>
    </row>
    <row r="21" spans="1:14" ht="15.75" hidden="1" thickBot="1" x14ac:dyDescent="0.3">
      <c r="A21" s="55" t="s">
        <v>65</v>
      </c>
      <c r="B21" s="64" t="s">
        <v>66</v>
      </c>
      <c r="C21" s="248"/>
      <c r="D21" s="248"/>
      <c r="E21" s="249">
        <f t="shared" si="0"/>
        <v>0</v>
      </c>
      <c r="F21" s="248"/>
      <c r="G21" s="248"/>
      <c r="H21" s="249">
        <f t="shared" si="1"/>
        <v>0</v>
      </c>
      <c r="I21" s="248"/>
      <c r="J21" s="248"/>
      <c r="K21" s="249">
        <f t="shared" si="2"/>
        <v>0</v>
      </c>
      <c r="L21" s="248"/>
      <c r="M21" s="248"/>
      <c r="N21" s="249">
        <f t="shared" si="3"/>
        <v>0</v>
      </c>
    </row>
    <row r="22" spans="1:14" x14ac:dyDescent="0.25">
      <c r="A22" s="75" t="s">
        <v>67</v>
      </c>
      <c r="B22" s="49" t="s">
        <v>27</v>
      </c>
      <c r="C22" s="244">
        <f>SUM(C23:C24)</f>
        <v>0</v>
      </c>
      <c r="D22" s="244">
        <f>SUM(D23:D24)</f>
        <v>0</v>
      </c>
      <c r="E22" s="245">
        <f t="shared" si="0"/>
        <v>0</v>
      </c>
      <c r="F22" s="244">
        <f>SUM(F23:F24)</f>
        <v>0</v>
      </c>
      <c r="G22" s="244">
        <f>SUM(G23:G24)</f>
        <v>0</v>
      </c>
      <c r="H22" s="245">
        <f t="shared" si="1"/>
        <v>0</v>
      </c>
      <c r="I22" s="244">
        <f>SUM(I23:I24)</f>
        <v>0</v>
      </c>
      <c r="J22" s="244">
        <f>SUM(J23:J24)</f>
        <v>0</v>
      </c>
      <c r="K22" s="245">
        <f t="shared" si="2"/>
        <v>0</v>
      </c>
      <c r="L22" s="244">
        <f>SUM(L23:L24)</f>
        <v>0</v>
      </c>
      <c r="M22" s="244">
        <f>SUM(M23:M24)</f>
        <v>0</v>
      </c>
      <c r="N22" s="245">
        <f t="shared" si="3"/>
        <v>0</v>
      </c>
    </row>
    <row r="23" spans="1:14" hidden="1" x14ac:dyDescent="0.25">
      <c r="A23" s="76"/>
      <c r="B23" s="54" t="s">
        <v>268</v>
      </c>
      <c r="C23" s="246"/>
      <c r="D23" s="246"/>
      <c r="E23" s="247">
        <f t="shared" si="0"/>
        <v>0</v>
      </c>
      <c r="F23" s="246"/>
      <c r="G23" s="246"/>
      <c r="H23" s="247">
        <f t="shared" si="1"/>
        <v>0</v>
      </c>
      <c r="I23" s="246"/>
      <c r="J23" s="246"/>
      <c r="K23" s="247">
        <f t="shared" si="2"/>
        <v>0</v>
      </c>
      <c r="L23" s="246"/>
      <c r="M23" s="246"/>
      <c r="N23" s="247">
        <f t="shared" si="3"/>
        <v>0</v>
      </c>
    </row>
    <row r="24" spans="1:14" ht="15.75" hidden="1" thickBot="1" x14ac:dyDescent="0.3">
      <c r="A24" s="77"/>
      <c r="B24" s="74" t="s">
        <v>269</v>
      </c>
      <c r="C24" s="248"/>
      <c r="D24" s="248"/>
      <c r="E24" s="249">
        <f t="shared" si="0"/>
        <v>0</v>
      </c>
      <c r="F24" s="248"/>
      <c r="G24" s="248"/>
      <c r="H24" s="249">
        <f t="shared" si="1"/>
        <v>0</v>
      </c>
      <c r="I24" s="248"/>
      <c r="J24" s="248"/>
      <c r="K24" s="249">
        <f t="shared" si="2"/>
        <v>0</v>
      </c>
      <c r="L24" s="248"/>
      <c r="M24" s="248"/>
      <c r="N24" s="249">
        <f t="shared" si="3"/>
        <v>0</v>
      </c>
    </row>
    <row r="25" spans="1:14" ht="15.75" thickBot="1" x14ac:dyDescent="0.3">
      <c r="A25" s="57" t="s">
        <v>68</v>
      </c>
      <c r="B25" s="68" t="s">
        <v>25</v>
      </c>
      <c r="C25" s="244">
        <f>C26+C30+C38</f>
        <v>0</v>
      </c>
      <c r="D25" s="244">
        <f>D26+D30+D38</f>
        <v>0</v>
      </c>
      <c r="E25" s="245">
        <f t="shared" si="0"/>
        <v>0</v>
      </c>
      <c r="F25" s="244">
        <f>F26+F30+F38</f>
        <v>0</v>
      </c>
      <c r="G25" s="244">
        <f>G26+G30+G38</f>
        <v>0</v>
      </c>
      <c r="H25" s="245">
        <f t="shared" si="1"/>
        <v>0</v>
      </c>
      <c r="I25" s="244">
        <f>I26+I30+I38</f>
        <v>0</v>
      </c>
      <c r="J25" s="244">
        <f>J26+J30+J38</f>
        <v>0</v>
      </c>
      <c r="K25" s="245">
        <f t="shared" si="2"/>
        <v>0</v>
      </c>
      <c r="L25" s="244">
        <f>L26+L30+L38</f>
        <v>0</v>
      </c>
      <c r="M25" s="244">
        <f>M26+M30+M38</f>
        <v>0</v>
      </c>
      <c r="N25" s="245">
        <f t="shared" si="3"/>
        <v>0</v>
      </c>
    </row>
    <row r="26" spans="1:14" ht="15.75" hidden="1" thickBot="1" x14ac:dyDescent="0.3">
      <c r="A26" s="53" t="s">
        <v>69</v>
      </c>
      <c r="B26" s="62" t="s">
        <v>70</v>
      </c>
      <c r="C26" s="246">
        <f>SUM(C27:C29)</f>
        <v>0</v>
      </c>
      <c r="D26" s="246">
        <f>SUM(D27:D29)</f>
        <v>0</v>
      </c>
      <c r="E26" s="247">
        <f t="shared" si="0"/>
        <v>0</v>
      </c>
      <c r="F26" s="246">
        <f>SUM(F27:F29)</f>
        <v>0</v>
      </c>
      <c r="G26" s="246">
        <f>SUM(G27:G29)</f>
        <v>0</v>
      </c>
      <c r="H26" s="247">
        <f t="shared" si="1"/>
        <v>0</v>
      </c>
      <c r="I26" s="246">
        <f>SUM(I27:I29)</f>
        <v>0</v>
      </c>
      <c r="J26" s="246">
        <f>SUM(J27:J29)</f>
        <v>0</v>
      </c>
      <c r="K26" s="247">
        <f t="shared" si="2"/>
        <v>0</v>
      </c>
      <c r="L26" s="246">
        <f>SUM(L27:L29)</f>
        <v>0</v>
      </c>
      <c r="M26" s="246">
        <f>SUM(M27:M29)</f>
        <v>0</v>
      </c>
      <c r="N26" s="247">
        <f t="shared" si="3"/>
        <v>0</v>
      </c>
    </row>
    <row r="27" spans="1:14" ht="15.75" hidden="1" thickBot="1" x14ac:dyDescent="0.3">
      <c r="A27" s="53"/>
      <c r="B27" s="62" t="s">
        <v>71</v>
      </c>
      <c r="C27" s="246"/>
      <c r="D27" s="246"/>
      <c r="E27" s="247">
        <f t="shared" si="0"/>
        <v>0</v>
      </c>
      <c r="F27" s="246"/>
      <c r="G27" s="246"/>
      <c r="H27" s="247">
        <f t="shared" si="1"/>
        <v>0</v>
      </c>
      <c r="I27" s="246"/>
      <c r="J27" s="246"/>
      <c r="K27" s="247">
        <f t="shared" si="2"/>
        <v>0</v>
      </c>
      <c r="L27" s="246"/>
      <c r="M27" s="246"/>
      <c r="N27" s="247">
        <f t="shared" si="3"/>
        <v>0</v>
      </c>
    </row>
    <row r="28" spans="1:14" ht="15.75" hidden="1" thickBot="1" x14ac:dyDescent="0.3">
      <c r="A28" s="53"/>
      <c r="B28" s="62" t="s">
        <v>72</v>
      </c>
      <c r="C28" s="246"/>
      <c r="D28" s="246"/>
      <c r="E28" s="247">
        <f t="shared" si="0"/>
        <v>0</v>
      </c>
      <c r="F28" s="246"/>
      <c r="G28" s="246"/>
      <c r="H28" s="247">
        <f t="shared" si="1"/>
        <v>0</v>
      </c>
      <c r="I28" s="246"/>
      <c r="J28" s="246"/>
      <c r="K28" s="247">
        <f t="shared" si="2"/>
        <v>0</v>
      </c>
      <c r="L28" s="246"/>
      <c r="M28" s="246"/>
      <c r="N28" s="247">
        <f t="shared" si="3"/>
        <v>0</v>
      </c>
    </row>
    <row r="29" spans="1:14" ht="15.75" hidden="1" thickBot="1" x14ac:dyDescent="0.3">
      <c r="A29" s="53"/>
      <c r="B29" s="62" t="s">
        <v>73</v>
      </c>
      <c r="C29" s="246"/>
      <c r="D29" s="246"/>
      <c r="E29" s="247">
        <f t="shared" si="0"/>
        <v>0</v>
      </c>
      <c r="F29" s="246"/>
      <c r="G29" s="246"/>
      <c r="H29" s="247">
        <f t="shared" si="1"/>
        <v>0</v>
      </c>
      <c r="I29" s="246"/>
      <c r="J29" s="246"/>
      <c r="K29" s="247">
        <f t="shared" si="2"/>
        <v>0</v>
      </c>
      <c r="L29" s="246"/>
      <c r="M29" s="246"/>
      <c r="N29" s="247">
        <f t="shared" si="3"/>
        <v>0</v>
      </c>
    </row>
    <row r="30" spans="1:14" ht="15.75" hidden="1" thickBot="1" x14ac:dyDescent="0.3">
      <c r="A30" s="53" t="s">
        <v>74</v>
      </c>
      <c r="B30" s="62" t="s">
        <v>75</v>
      </c>
      <c r="C30" s="246">
        <f>C31+C33+C34</f>
        <v>0</v>
      </c>
      <c r="D30" s="246">
        <f>D31+D33+D34</f>
        <v>0</v>
      </c>
      <c r="E30" s="247">
        <f t="shared" si="0"/>
        <v>0</v>
      </c>
      <c r="F30" s="246">
        <f>F31+F33+F34</f>
        <v>0</v>
      </c>
      <c r="G30" s="246">
        <f>G31+G33+G34</f>
        <v>0</v>
      </c>
      <c r="H30" s="247">
        <f t="shared" si="1"/>
        <v>0</v>
      </c>
      <c r="I30" s="246">
        <f>I31+I33+I34</f>
        <v>0</v>
      </c>
      <c r="J30" s="246">
        <f>J31+J33+J34</f>
        <v>0</v>
      </c>
      <c r="K30" s="247">
        <f t="shared" si="2"/>
        <v>0</v>
      </c>
      <c r="L30" s="246">
        <f>L31+L33+L34</f>
        <v>0</v>
      </c>
      <c r="M30" s="246">
        <f>M31+M33+M34</f>
        <v>0</v>
      </c>
      <c r="N30" s="247">
        <f t="shared" si="3"/>
        <v>0</v>
      </c>
    </row>
    <row r="31" spans="1:14" ht="15.75" hidden="1" thickBot="1" x14ac:dyDescent="0.3">
      <c r="A31" s="53" t="s">
        <v>76</v>
      </c>
      <c r="B31" s="62" t="s">
        <v>77</v>
      </c>
      <c r="C31" s="246">
        <f>C32</f>
        <v>0</v>
      </c>
      <c r="D31" s="246">
        <f>D32</f>
        <v>0</v>
      </c>
      <c r="E31" s="247">
        <f t="shared" si="0"/>
        <v>0</v>
      </c>
      <c r="F31" s="246">
        <f>F32</f>
        <v>0</v>
      </c>
      <c r="G31" s="246">
        <f>G32</f>
        <v>0</v>
      </c>
      <c r="H31" s="247">
        <f t="shared" si="1"/>
        <v>0</v>
      </c>
      <c r="I31" s="246">
        <f>I32</f>
        <v>0</v>
      </c>
      <c r="J31" s="246">
        <f>J32</f>
        <v>0</v>
      </c>
      <c r="K31" s="247">
        <f t="shared" si="2"/>
        <v>0</v>
      </c>
      <c r="L31" s="246">
        <f>L32</f>
        <v>0</v>
      </c>
      <c r="M31" s="246">
        <f>M32</f>
        <v>0</v>
      </c>
      <c r="N31" s="247">
        <f t="shared" si="3"/>
        <v>0</v>
      </c>
    </row>
    <row r="32" spans="1:14" ht="15.75" hidden="1" thickBot="1" x14ac:dyDescent="0.3">
      <c r="A32" s="53"/>
      <c r="B32" s="62" t="s">
        <v>78</v>
      </c>
      <c r="C32" s="246"/>
      <c r="D32" s="246"/>
      <c r="E32" s="247">
        <f t="shared" si="0"/>
        <v>0</v>
      </c>
      <c r="F32" s="246"/>
      <c r="G32" s="246"/>
      <c r="H32" s="247">
        <f t="shared" si="1"/>
        <v>0</v>
      </c>
      <c r="I32" s="246"/>
      <c r="J32" s="246"/>
      <c r="K32" s="247">
        <f t="shared" si="2"/>
        <v>0</v>
      </c>
      <c r="L32" s="246"/>
      <c r="M32" s="246"/>
      <c r="N32" s="247">
        <f t="shared" si="3"/>
        <v>0</v>
      </c>
    </row>
    <row r="33" spans="1:14" ht="15.75" hidden="1" thickBot="1" x14ac:dyDescent="0.3">
      <c r="A33" s="53" t="s">
        <v>79</v>
      </c>
      <c r="B33" s="62" t="s">
        <v>80</v>
      </c>
      <c r="C33" s="246"/>
      <c r="D33" s="246"/>
      <c r="E33" s="247">
        <f t="shared" si="0"/>
        <v>0</v>
      </c>
      <c r="F33" s="246"/>
      <c r="G33" s="246"/>
      <c r="H33" s="247">
        <f t="shared" si="1"/>
        <v>0</v>
      </c>
      <c r="I33" s="246"/>
      <c r="J33" s="246"/>
      <c r="K33" s="247">
        <f t="shared" si="2"/>
        <v>0</v>
      </c>
      <c r="L33" s="246"/>
      <c r="M33" s="246"/>
      <c r="N33" s="247">
        <f t="shared" si="3"/>
        <v>0</v>
      </c>
    </row>
    <row r="34" spans="1:14" ht="15.75" hidden="1" thickBot="1" x14ac:dyDescent="0.3">
      <c r="A34" s="53" t="s">
        <v>81</v>
      </c>
      <c r="B34" s="62" t="s">
        <v>82</v>
      </c>
      <c r="C34" s="246">
        <f>SUM(C35:C37)</f>
        <v>0</v>
      </c>
      <c r="D34" s="246">
        <f>SUM(D35:D37)</f>
        <v>0</v>
      </c>
      <c r="E34" s="247">
        <f t="shared" si="0"/>
        <v>0</v>
      </c>
      <c r="F34" s="246">
        <f>SUM(F35:F37)</f>
        <v>0</v>
      </c>
      <c r="G34" s="246">
        <f>SUM(G35:G37)</f>
        <v>0</v>
      </c>
      <c r="H34" s="247">
        <f t="shared" si="1"/>
        <v>0</v>
      </c>
      <c r="I34" s="246">
        <f>SUM(I35:I37)</f>
        <v>0</v>
      </c>
      <c r="J34" s="246">
        <f>SUM(J35:J37)</f>
        <v>0</v>
      </c>
      <c r="K34" s="247">
        <f t="shared" si="2"/>
        <v>0</v>
      </c>
      <c r="L34" s="246">
        <f>SUM(L35:L37)</f>
        <v>0</v>
      </c>
      <c r="M34" s="246">
        <f>SUM(M35:M37)</f>
        <v>0</v>
      </c>
      <c r="N34" s="247">
        <f t="shared" si="3"/>
        <v>0</v>
      </c>
    </row>
    <row r="35" spans="1:14" ht="15.75" hidden="1" thickBot="1" x14ac:dyDescent="0.3">
      <c r="A35" s="53"/>
      <c r="B35" s="62" t="s">
        <v>83</v>
      </c>
      <c r="C35" s="246"/>
      <c r="D35" s="246"/>
      <c r="E35" s="247">
        <f t="shared" si="0"/>
        <v>0</v>
      </c>
      <c r="F35" s="246"/>
      <c r="G35" s="246"/>
      <c r="H35" s="247">
        <f t="shared" si="1"/>
        <v>0</v>
      </c>
      <c r="I35" s="246"/>
      <c r="J35" s="246"/>
      <c r="K35" s="247">
        <f t="shared" si="2"/>
        <v>0</v>
      </c>
      <c r="L35" s="246"/>
      <c r="M35" s="246"/>
      <c r="N35" s="247">
        <f t="shared" si="3"/>
        <v>0</v>
      </c>
    </row>
    <row r="36" spans="1:14" ht="15.75" hidden="1" thickBot="1" x14ac:dyDescent="0.3">
      <c r="A36" s="53"/>
      <c r="B36" s="62" t="s">
        <v>84</v>
      </c>
      <c r="C36" s="246"/>
      <c r="D36" s="246"/>
      <c r="E36" s="247">
        <f t="shared" si="0"/>
        <v>0</v>
      </c>
      <c r="F36" s="246"/>
      <c r="G36" s="246"/>
      <c r="H36" s="247">
        <f t="shared" si="1"/>
        <v>0</v>
      </c>
      <c r="I36" s="246"/>
      <c r="J36" s="246"/>
      <c r="K36" s="247">
        <f t="shared" si="2"/>
        <v>0</v>
      </c>
      <c r="L36" s="246"/>
      <c r="M36" s="246"/>
      <c r="N36" s="247">
        <f t="shared" si="3"/>
        <v>0</v>
      </c>
    </row>
    <row r="37" spans="1:14" ht="15.75" hidden="1" thickBot="1" x14ac:dyDescent="0.3">
      <c r="A37" s="53"/>
      <c r="B37" s="62" t="s">
        <v>85</v>
      </c>
      <c r="C37" s="246"/>
      <c r="D37" s="246"/>
      <c r="E37" s="247">
        <f t="shared" si="0"/>
        <v>0</v>
      </c>
      <c r="F37" s="246"/>
      <c r="G37" s="246"/>
      <c r="H37" s="247">
        <f t="shared" si="1"/>
        <v>0</v>
      </c>
      <c r="I37" s="246"/>
      <c r="J37" s="246"/>
      <c r="K37" s="247">
        <f t="shared" si="2"/>
        <v>0</v>
      </c>
      <c r="L37" s="246"/>
      <c r="M37" s="246"/>
      <c r="N37" s="247">
        <f t="shared" si="3"/>
        <v>0</v>
      </c>
    </row>
    <row r="38" spans="1:14" ht="15.75" hidden="1" thickBot="1" x14ac:dyDescent="0.3">
      <c r="A38" s="53" t="s">
        <v>86</v>
      </c>
      <c r="B38" s="62" t="s">
        <v>87</v>
      </c>
      <c r="C38" s="246">
        <f>SUM(C39:C44)</f>
        <v>0</v>
      </c>
      <c r="D38" s="246">
        <f>SUM(D39:D44)</f>
        <v>0</v>
      </c>
      <c r="E38" s="247">
        <f t="shared" si="0"/>
        <v>0</v>
      </c>
      <c r="F38" s="246">
        <f>SUM(F39:F44)</f>
        <v>0</v>
      </c>
      <c r="G38" s="246">
        <f>SUM(G39:G44)</f>
        <v>0</v>
      </c>
      <c r="H38" s="247">
        <f t="shared" si="1"/>
        <v>0</v>
      </c>
      <c r="I38" s="246">
        <f>SUM(I39:I44)</f>
        <v>0</v>
      </c>
      <c r="J38" s="246">
        <f>SUM(J39:J44)</f>
        <v>0</v>
      </c>
      <c r="K38" s="247">
        <f t="shared" si="2"/>
        <v>0</v>
      </c>
      <c r="L38" s="246">
        <f>SUM(L39:L44)</f>
        <v>0</v>
      </c>
      <c r="M38" s="246">
        <f>SUM(M39:M44)</f>
        <v>0</v>
      </c>
      <c r="N38" s="247">
        <f t="shared" si="3"/>
        <v>0</v>
      </c>
    </row>
    <row r="39" spans="1:14" ht="15.75" hidden="1" thickBot="1" x14ac:dyDescent="0.3">
      <c r="A39" s="53"/>
      <c r="B39" s="62" t="s">
        <v>88</v>
      </c>
      <c r="C39" s="246"/>
      <c r="D39" s="246"/>
      <c r="E39" s="247">
        <f t="shared" si="0"/>
        <v>0</v>
      </c>
      <c r="F39" s="246"/>
      <c r="G39" s="246"/>
      <c r="H39" s="247">
        <f t="shared" si="1"/>
        <v>0</v>
      </c>
      <c r="I39" s="246"/>
      <c r="J39" s="246"/>
      <c r="K39" s="247">
        <f t="shared" si="2"/>
        <v>0</v>
      </c>
      <c r="L39" s="246"/>
      <c r="M39" s="246"/>
      <c r="N39" s="247">
        <f t="shared" si="3"/>
        <v>0</v>
      </c>
    </row>
    <row r="40" spans="1:14" ht="15.75" hidden="1" thickBot="1" x14ac:dyDescent="0.3">
      <c r="A40" s="53"/>
      <c r="B40" s="62" t="s">
        <v>89</v>
      </c>
      <c r="C40" s="246"/>
      <c r="D40" s="246"/>
      <c r="E40" s="247">
        <f t="shared" si="0"/>
        <v>0</v>
      </c>
      <c r="F40" s="246"/>
      <c r="G40" s="246"/>
      <c r="H40" s="247">
        <f t="shared" si="1"/>
        <v>0</v>
      </c>
      <c r="I40" s="246"/>
      <c r="J40" s="246"/>
      <c r="K40" s="247">
        <f t="shared" si="2"/>
        <v>0</v>
      </c>
      <c r="L40" s="246"/>
      <c r="M40" s="246"/>
      <c r="N40" s="247">
        <f t="shared" si="3"/>
        <v>0</v>
      </c>
    </row>
    <row r="41" spans="1:14" ht="15.75" hidden="1" thickBot="1" x14ac:dyDescent="0.3">
      <c r="A41" s="53"/>
      <c r="B41" s="62" t="s">
        <v>90</v>
      </c>
      <c r="C41" s="246"/>
      <c r="D41" s="246"/>
      <c r="E41" s="247">
        <f t="shared" si="0"/>
        <v>0</v>
      </c>
      <c r="F41" s="246"/>
      <c r="G41" s="246"/>
      <c r="H41" s="247">
        <f t="shared" si="1"/>
        <v>0</v>
      </c>
      <c r="I41" s="246"/>
      <c r="J41" s="246"/>
      <c r="K41" s="247">
        <f t="shared" si="2"/>
        <v>0</v>
      </c>
      <c r="L41" s="246"/>
      <c r="M41" s="246"/>
      <c r="N41" s="247">
        <f t="shared" si="3"/>
        <v>0</v>
      </c>
    </row>
    <row r="42" spans="1:14" ht="15.75" hidden="1" thickBot="1" x14ac:dyDescent="0.3">
      <c r="A42" s="53"/>
      <c r="B42" s="62" t="s">
        <v>91</v>
      </c>
      <c r="C42" s="246"/>
      <c r="D42" s="246"/>
      <c r="E42" s="247">
        <f t="shared" si="0"/>
        <v>0</v>
      </c>
      <c r="F42" s="246"/>
      <c r="G42" s="246"/>
      <c r="H42" s="247">
        <f t="shared" si="1"/>
        <v>0</v>
      </c>
      <c r="I42" s="246"/>
      <c r="J42" s="246"/>
      <c r="K42" s="247">
        <f t="shared" si="2"/>
        <v>0</v>
      </c>
      <c r="L42" s="246"/>
      <c r="M42" s="246"/>
      <c r="N42" s="247">
        <f t="shared" si="3"/>
        <v>0</v>
      </c>
    </row>
    <row r="43" spans="1:14" ht="15.75" hidden="1" thickBot="1" x14ac:dyDescent="0.3">
      <c r="A43" s="53"/>
      <c r="B43" s="62" t="s">
        <v>92</v>
      </c>
      <c r="C43" s="246"/>
      <c r="D43" s="246"/>
      <c r="E43" s="247">
        <f t="shared" si="0"/>
        <v>0</v>
      </c>
      <c r="F43" s="246"/>
      <c r="G43" s="246"/>
      <c r="H43" s="247">
        <f t="shared" si="1"/>
        <v>0</v>
      </c>
      <c r="I43" s="246"/>
      <c r="J43" s="246"/>
      <c r="K43" s="247">
        <f t="shared" si="2"/>
        <v>0</v>
      </c>
      <c r="L43" s="246"/>
      <c r="M43" s="246"/>
      <c r="N43" s="247">
        <f t="shared" si="3"/>
        <v>0</v>
      </c>
    </row>
    <row r="44" spans="1:14" ht="15.75" hidden="1" thickBot="1" x14ac:dyDescent="0.3">
      <c r="A44" s="55"/>
      <c r="B44" s="64" t="s">
        <v>93</v>
      </c>
      <c r="C44" s="248"/>
      <c r="D44" s="248"/>
      <c r="E44" s="249">
        <f t="shared" si="0"/>
        <v>0</v>
      </c>
      <c r="F44" s="248"/>
      <c r="G44" s="248"/>
      <c r="H44" s="249">
        <f t="shared" si="1"/>
        <v>0</v>
      </c>
      <c r="I44" s="248"/>
      <c r="J44" s="248"/>
      <c r="K44" s="249">
        <f t="shared" si="2"/>
        <v>0</v>
      </c>
      <c r="L44" s="248"/>
      <c r="M44" s="248"/>
      <c r="N44" s="249">
        <f t="shared" si="3"/>
        <v>0</v>
      </c>
    </row>
    <row r="45" spans="1:14" ht="15.75" thickBot="1" x14ac:dyDescent="0.3">
      <c r="A45" s="52" t="s">
        <v>94</v>
      </c>
      <c r="B45" s="48" t="s">
        <v>26</v>
      </c>
      <c r="C45" s="244">
        <f>C46+C47+C48+C49+C54+C55+C56+C57+C58+C59+C60</f>
        <v>0</v>
      </c>
      <c r="D45" s="244">
        <f>D46+D47+D48+D49+D54+D55+D56+D57+D58+D59+D60</f>
        <v>0</v>
      </c>
      <c r="E45" s="245">
        <f t="shared" si="0"/>
        <v>0</v>
      </c>
      <c r="F45" s="244">
        <f>F46+F47+F48+F49+F54+F55+F56+F57+F58+F59+F60</f>
        <v>0</v>
      </c>
      <c r="G45" s="244">
        <f>G46+G47+G48+G49+G54+G55+G56+G57+G58+G59+G60</f>
        <v>0</v>
      </c>
      <c r="H45" s="245">
        <f t="shared" si="1"/>
        <v>0</v>
      </c>
      <c r="I45" s="244">
        <f>I46+I47+I48+I49+I54+I55+I56+I57+I58+I59+I60</f>
        <v>0</v>
      </c>
      <c r="J45" s="244">
        <f>J46+J47+J48+J49+J54+J55+J56+J57+J58+J59+J60</f>
        <v>0</v>
      </c>
      <c r="K45" s="245">
        <f t="shared" si="2"/>
        <v>0</v>
      </c>
      <c r="L45" s="244">
        <f>L46+L47+L48+L49+L54+L55+L56+L57+L58+L59+L60</f>
        <v>0</v>
      </c>
      <c r="M45" s="244">
        <f>M46+M47+M48+M49+M54+M55+M56+M57+M58+M59+M60</f>
        <v>0</v>
      </c>
      <c r="N45" s="245">
        <f t="shared" si="3"/>
        <v>0</v>
      </c>
    </row>
    <row r="46" spans="1:14" ht="15.75" hidden="1" thickBot="1" x14ac:dyDescent="0.3">
      <c r="A46" s="53" t="s">
        <v>95</v>
      </c>
      <c r="B46" s="62" t="s">
        <v>96</v>
      </c>
      <c r="C46" s="246"/>
      <c r="D46" s="246"/>
      <c r="E46" s="247">
        <f t="shared" si="0"/>
        <v>0</v>
      </c>
      <c r="F46" s="246"/>
      <c r="G46" s="246"/>
      <c r="H46" s="247">
        <f t="shared" si="1"/>
        <v>0</v>
      </c>
      <c r="I46" s="246"/>
      <c r="J46" s="246"/>
      <c r="K46" s="247">
        <f t="shared" si="2"/>
        <v>0</v>
      </c>
      <c r="L46" s="246"/>
      <c r="M46" s="246"/>
      <c r="N46" s="247">
        <f t="shared" si="3"/>
        <v>0</v>
      </c>
    </row>
    <row r="47" spans="1:14" ht="15.75" hidden="1" thickBot="1" x14ac:dyDescent="0.3">
      <c r="A47" s="53" t="s">
        <v>97</v>
      </c>
      <c r="B47" s="62" t="s">
        <v>98</v>
      </c>
      <c r="C47" s="246"/>
      <c r="D47" s="246"/>
      <c r="E47" s="247">
        <f t="shared" si="0"/>
        <v>0</v>
      </c>
      <c r="F47" s="246"/>
      <c r="G47" s="246"/>
      <c r="H47" s="247">
        <f t="shared" si="1"/>
        <v>0</v>
      </c>
      <c r="I47" s="246"/>
      <c r="J47" s="246"/>
      <c r="K47" s="247">
        <f t="shared" si="2"/>
        <v>0</v>
      </c>
      <c r="L47" s="246"/>
      <c r="M47" s="246"/>
      <c r="N47" s="247">
        <f t="shared" si="3"/>
        <v>0</v>
      </c>
    </row>
    <row r="48" spans="1:14" ht="15.75" hidden="1" thickBot="1" x14ac:dyDescent="0.3">
      <c r="A48" s="53" t="s">
        <v>99</v>
      </c>
      <c r="B48" s="62" t="s">
        <v>100</v>
      </c>
      <c r="C48" s="246"/>
      <c r="D48" s="246"/>
      <c r="E48" s="247">
        <f t="shared" si="0"/>
        <v>0</v>
      </c>
      <c r="F48" s="246"/>
      <c r="G48" s="246"/>
      <c r="H48" s="247">
        <f t="shared" si="1"/>
        <v>0</v>
      </c>
      <c r="I48" s="246"/>
      <c r="J48" s="246"/>
      <c r="K48" s="247">
        <f t="shared" si="2"/>
        <v>0</v>
      </c>
      <c r="L48" s="246"/>
      <c r="M48" s="246"/>
      <c r="N48" s="247">
        <f t="shared" si="3"/>
        <v>0</v>
      </c>
    </row>
    <row r="49" spans="1:14" ht="15.75" hidden="1" thickBot="1" x14ac:dyDescent="0.3">
      <c r="A49" s="53" t="s">
        <v>101</v>
      </c>
      <c r="B49" s="62" t="s">
        <v>102</v>
      </c>
      <c r="C49" s="246">
        <f>SUM(C50:C53)</f>
        <v>0</v>
      </c>
      <c r="D49" s="246">
        <f>SUM(D50:D53)</f>
        <v>0</v>
      </c>
      <c r="E49" s="247">
        <f t="shared" si="0"/>
        <v>0</v>
      </c>
      <c r="F49" s="246">
        <f>SUM(F50:F53)</f>
        <v>0</v>
      </c>
      <c r="G49" s="246">
        <f>SUM(G50:G53)</f>
        <v>0</v>
      </c>
      <c r="H49" s="247">
        <f t="shared" si="1"/>
        <v>0</v>
      </c>
      <c r="I49" s="246">
        <f>SUM(I50:I53)</f>
        <v>0</v>
      </c>
      <c r="J49" s="246">
        <f>SUM(J50:J53)</f>
        <v>0</v>
      </c>
      <c r="K49" s="247">
        <f t="shared" si="2"/>
        <v>0</v>
      </c>
      <c r="L49" s="246">
        <f>SUM(L50:L53)</f>
        <v>0</v>
      </c>
      <c r="M49" s="246">
        <f>SUM(M50:M53)</f>
        <v>0</v>
      </c>
      <c r="N49" s="247">
        <f t="shared" si="3"/>
        <v>0</v>
      </c>
    </row>
    <row r="50" spans="1:14" ht="15.75" hidden="1" thickBot="1" x14ac:dyDescent="0.3">
      <c r="A50" s="53"/>
      <c r="B50" s="62" t="s">
        <v>103</v>
      </c>
      <c r="C50" s="246"/>
      <c r="D50" s="246"/>
      <c r="E50" s="247">
        <f t="shared" si="0"/>
        <v>0</v>
      </c>
      <c r="F50" s="246"/>
      <c r="G50" s="246"/>
      <c r="H50" s="247">
        <f t="shared" si="1"/>
        <v>0</v>
      </c>
      <c r="I50" s="246"/>
      <c r="J50" s="246"/>
      <c r="K50" s="247">
        <f t="shared" si="2"/>
        <v>0</v>
      </c>
      <c r="L50" s="246"/>
      <c r="M50" s="246"/>
      <c r="N50" s="247">
        <f t="shared" si="3"/>
        <v>0</v>
      </c>
    </row>
    <row r="51" spans="1:14" ht="15.75" hidden="1" thickBot="1" x14ac:dyDescent="0.3">
      <c r="A51" s="53"/>
      <c r="B51" s="62" t="s">
        <v>104</v>
      </c>
      <c r="C51" s="246"/>
      <c r="D51" s="246"/>
      <c r="E51" s="247">
        <f t="shared" si="0"/>
        <v>0</v>
      </c>
      <c r="F51" s="246"/>
      <c r="G51" s="246"/>
      <c r="H51" s="247">
        <f t="shared" si="1"/>
        <v>0</v>
      </c>
      <c r="I51" s="246"/>
      <c r="J51" s="246"/>
      <c r="K51" s="247">
        <f t="shared" si="2"/>
        <v>0</v>
      </c>
      <c r="L51" s="246"/>
      <c r="M51" s="246"/>
      <c r="N51" s="247">
        <f t="shared" si="3"/>
        <v>0</v>
      </c>
    </row>
    <row r="52" spans="1:14" ht="15.75" hidden="1" thickBot="1" x14ac:dyDescent="0.3">
      <c r="A52" s="53"/>
      <c r="B52" s="62" t="s">
        <v>105</v>
      </c>
      <c r="C52" s="246"/>
      <c r="D52" s="246"/>
      <c r="E52" s="247">
        <f t="shared" si="0"/>
        <v>0</v>
      </c>
      <c r="F52" s="246"/>
      <c r="G52" s="246"/>
      <c r="H52" s="247">
        <f t="shared" si="1"/>
        <v>0</v>
      </c>
      <c r="I52" s="246"/>
      <c r="J52" s="246"/>
      <c r="K52" s="247">
        <f t="shared" si="2"/>
        <v>0</v>
      </c>
      <c r="L52" s="246"/>
      <c r="M52" s="246"/>
      <c r="N52" s="247">
        <f t="shared" si="3"/>
        <v>0</v>
      </c>
    </row>
    <row r="53" spans="1:14" ht="15.75" hidden="1" thickBot="1" x14ac:dyDescent="0.3">
      <c r="A53" s="53"/>
      <c r="B53" s="62" t="s">
        <v>106</v>
      </c>
      <c r="C53" s="246"/>
      <c r="D53" s="246"/>
      <c r="E53" s="247">
        <f t="shared" si="0"/>
        <v>0</v>
      </c>
      <c r="F53" s="246"/>
      <c r="G53" s="246"/>
      <c r="H53" s="247">
        <f t="shared" si="1"/>
        <v>0</v>
      </c>
      <c r="I53" s="246"/>
      <c r="J53" s="246"/>
      <c r="K53" s="247">
        <f t="shared" si="2"/>
        <v>0</v>
      </c>
      <c r="L53" s="246"/>
      <c r="M53" s="246"/>
      <c r="N53" s="247">
        <f t="shared" si="3"/>
        <v>0</v>
      </c>
    </row>
    <row r="54" spans="1:14" ht="15.75" hidden="1" thickBot="1" x14ac:dyDescent="0.3">
      <c r="A54" s="53" t="s">
        <v>107</v>
      </c>
      <c r="B54" s="62" t="s">
        <v>108</v>
      </c>
      <c r="C54" s="246"/>
      <c r="D54" s="246"/>
      <c r="E54" s="247">
        <f t="shared" si="0"/>
        <v>0</v>
      </c>
      <c r="F54" s="246"/>
      <c r="G54" s="246"/>
      <c r="H54" s="247">
        <f t="shared" si="1"/>
        <v>0</v>
      </c>
      <c r="I54" s="246"/>
      <c r="J54" s="246"/>
      <c r="K54" s="247">
        <f t="shared" si="2"/>
        <v>0</v>
      </c>
      <c r="L54" s="246"/>
      <c r="M54" s="246"/>
      <c r="N54" s="247">
        <f t="shared" si="3"/>
        <v>0</v>
      </c>
    </row>
    <row r="55" spans="1:14" ht="15.75" hidden="1" thickBot="1" x14ac:dyDescent="0.3">
      <c r="A55" s="53" t="s">
        <v>109</v>
      </c>
      <c r="B55" s="62" t="s">
        <v>110</v>
      </c>
      <c r="C55" s="246"/>
      <c r="D55" s="246"/>
      <c r="E55" s="247">
        <f t="shared" si="0"/>
        <v>0</v>
      </c>
      <c r="F55" s="246"/>
      <c r="G55" s="246"/>
      <c r="H55" s="247">
        <f t="shared" si="1"/>
        <v>0</v>
      </c>
      <c r="I55" s="246"/>
      <c r="J55" s="246"/>
      <c r="K55" s="247">
        <f t="shared" si="2"/>
        <v>0</v>
      </c>
      <c r="L55" s="246"/>
      <c r="M55" s="246"/>
      <c r="N55" s="247">
        <f t="shared" si="3"/>
        <v>0</v>
      </c>
    </row>
    <row r="56" spans="1:14" ht="15.75" hidden="1" thickBot="1" x14ac:dyDescent="0.3">
      <c r="A56" s="53" t="s">
        <v>111</v>
      </c>
      <c r="B56" s="62" t="s">
        <v>112</v>
      </c>
      <c r="C56" s="246"/>
      <c r="D56" s="246"/>
      <c r="E56" s="247">
        <f t="shared" si="0"/>
        <v>0</v>
      </c>
      <c r="F56" s="246"/>
      <c r="G56" s="246"/>
      <c r="H56" s="247">
        <f t="shared" si="1"/>
        <v>0</v>
      </c>
      <c r="I56" s="246"/>
      <c r="J56" s="246"/>
      <c r="K56" s="247">
        <f t="shared" si="2"/>
        <v>0</v>
      </c>
      <c r="L56" s="246"/>
      <c r="M56" s="246"/>
      <c r="N56" s="247">
        <f t="shared" si="3"/>
        <v>0</v>
      </c>
    </row>
    <row r="57" spans="1:14" ht="15.75" hidden="1" thickBot="1" x14ac:dyDescent="0.3">
      <c r="A57" s="53" t="s">
        <v>113</v>
      </c>
      <c r="B57" s="62" t="s">
        <v>114</v>
      </c>
      <c r="C57" s="246"/>
      <c r="D57" s="246"/>
      <c r="E57" s="247">
        <f t="shared" si="0"/>
        <v>0</v>
      </c>
      <c r="F57" s="246"/>
      <c r="G57" s="246"/>
      <c r="H57" s="247">
        <f t="shared" si="1"/>
        <v>0</v>
      </c>
      <c r="I57" s="246"/>
      <c r="J57" s="246"/>
      <c r="K57" s="247">
        <f t="shared" si="2"/>
        <v>0</v>
      </c>
      <c r="L57" s="246"/>
      <c r="M57" s="246"/>
      <c r="N57" s="247">
        <f t="shared" si="3"/>
        <v>0</v>
      </c>
    </row>
    <row r="58" spans="1:14" ht="15.75" hidden="1" thickBot="1" x14ac:dyDescent="0.3">
      <c r="A58" s="53" t="s">
        <v>115</v>
      </c>
      <c r="B58" s="62" t="s">
        <v>116</v>
      </c>
      <c r="C58" s="246"/>
      <c r="D58" s="246"/>
      <c r="E58" s="247">
        <f t="shared" si="0"/>
        <v>0</v>
      </c>
      <c r="F58" s="246"/>
      <c r="G58" s="246"/>
      <c r="H58" s="247">
        <f t="shared" si="1"/>
        <v>0</v>
      </c>
      <c r="I58" s="246"/>
      <c r="J58" s="246"/>
      <c r="K58" s="247">
        <f t="shared" si="2"/>
        <v>0</v>
      </c>
      <c r="L58" s="246"/>
      <c r="M58" s="246"/>
      <c r="N58" s="247">
        <f t="shared" si="3"/>
        <v>0</v>
      </c>
    </row>
    <row r="59" spans="1:14" ht="15.75" hidden="1" thickBot="1" x14ac:dyDescent="0.3">
      <c r="A59" s="53" t="s">
        <v>117</v>
      </c>
      <c r="B59" s="62" t="s">
        <v>118</v>
      </c>
      <c r="C59" s="246"/>
      <c r="D59" s="246"/>
      <c r="E59" s="247">
        <f t="shared" si="0"/>
        <v>0</v>
      </c>
      <c r="F59" s="246"/>
      <c r="G59" s="246"/>
      <c r="H59" s="247">
        <f t="shared" si="1"/>
        <v>0</v>
      </c>
      <c r="I59" s="246"/>
      <c r="J59" s="246"/>
      <c r="K59" s="247">
        <f t="shared" si="2"/>
        <v>0</v>
      </c>
      <c r="L59" s="246"/>
      <c r="M59" s="246"/>
      <c r="N59" s="247">
        <f t="shared" si="3"/>
        <v>0</v>
      </c>
    </row>
    <row r="60" spans="1:14" ht="15.75" hidden="1" thickBot="1" x14ac:dyDescent="0.3">
      <c r="A60" s="55" t="s">
        <v>119</v>
      </c>
      <c r="B60" s="64" t="s">
        <v>120</v>
      </c>
      <c r="C60" s="248"/>
      <c r="D60" s="248"/>
      <c r="E60" s="249">
        <f t="shared" si="0"/>
        <v>0</v>
      </c>
      <c r="F60" s="248"/>
      <c r="G60" s="248"/>
      <c r="H60" s="249">
        <f t="shared" si="1"/>
        <v>0</v>
      </c>
      <c r="I60" s="248"/>
      <c r="J60" s="248"/>
      <c r="K60" s="249">
        <f t="shared" si="2"/>
        <v>0</v>
      </c>
      <c r="L60" s="248"/>
      <c r="M60" s="248"/>
      <c r="N60" s="249">
        <f t="shared" si="3"/>
        <v>0</v>
      </c>
    </row>
    <row r="61" spans="1:14" ht="15.75" thickBot="1" x14ac:dyDescent="0.3">
      <c r="A61" s="52" t="s">
        <v>121</v>
      </c>
      <c r="B61" s="48" t="s">
        <v>28</v>
      </c>
      <c r="C61" s="244">
        <f>SUM(C62:C66)</f>
        <v>0</v>
      </c>
      <c r="D61" s="244">
        <f>SUM(D62:D66)</f>
        <v>0</v>
      </c>
      <c r="E61" s="245">
        <f t="shared" si="0"/>
        <v>0</v>
      </c>
      <c r="F61" s="244">
        <f>SUM(F62:F66)</f>
        <v>0</v>
      </c>
      <c r="G61" s="244">
        <f>SUM(G62:G66)</f>
        <v>0</v>
      </c>
      <c r="H61" s="245">
        <f t="shared" si="1"/>
        <v>0</v>
      </c>
      <c r="I61" s="244">
        <f>SUM(I62:I66)</f>
        <v>0</v>
      </c>
      <c r="J61" s="244">
        <f>SUM(J62:J66)</f>
        <v>0</v>
      </c>
      <c r="K61" s="245">
        <f t="shared" si="2"/>
        <v>0</v>
      </c>
      <c r="L61" s="244">
        <f>SUM(L62:L66)</f>
        <v>0</v>
      </c>
      <c r="M61" s="244">
        <f>SUM(M62:M66)</f>
        <v>0</v>
      </c>
      <c r="N61" s="245">
        <f t="shared" si="3"/>
        <v>0</v>
      </c>
    </row>
    <row r="62" spans="1:14" ht="15.75" hidden="1" thickBot="1" x14ac:dyDescent="0.3">
      <c r="A62" s="53" t="s">
        <v>122</v>
      </c>
      <c r="B62" s="62" t="s">
        <v>123</v>
      </c>
      <c r="C62" s="246"/>
      <c r="D62" s="246"/>
      <c r="E62" s="247">
        <f t="shared" si="0"/>
        <v>0</v>
      </c>
      <c r="F62" s="246"/>
      <c r="G62" s="246"/>
      <c r="H62" s="247">
        <f t="shared" si="1"/>
        <v>0</v>
      </c>
      <c r="I62" s="246"/>
      <c r="J62" s="246"/>
      <c r="K62" s="247">
        <f t="shared" si="2"/>
        <v>0</v>
      </c>
      <c r="L62" s="246"/>
      <c r="M62" s="246"/>
      <c r="N62" s="247">
        <f t="shared" si="3"/>
        <v>0</v>
      </c>
    </row>
    <row r="63" spans="1:14" ht="15.75" hidden="1" thickBot="1" x14ac:dyDescent="0.3">
      <c r="A63" s="53" t="s">
        <v>124</v>
      </c>
      <c r="B63" s="62" t="s">
        <v>125</v>
      </c>
      <c r="C63" s="246"/>
      <c r="D63" s="246"/>
      <c r="E63" s="247">
        <f t="shared" si="0"/>
        <v>0</v>
      </c>
      <c r="F63" s="246"/>
      <c r="G63" s="246"/>
      <c r="H63" s="247">
        <f t="shared" si="1"/>
        <v>0</v>
      </c>
      <c r="I63" s="246"/>
      <c r="J63" s="246"/>
      <c r="K63" s="247">
        <f t="shared" si="2"/>
        <v>0</v>
      </c>
      <c r="L63" s="246"/>
      <c r="M63" s="246"/>
      <c r="N63" s="247">
        <f t="shared" si="3"/>
        <v>0</v>
      </c>
    </row>
    <row r="64" spans="1:14" ht="15.75" hidden="1" thickBot="1" x14ac:dyDescent="0.3">
      <c r="A64" s="53" t="s">
        <v>126</v>
      </c>
      <c r="B64" s="62" t="s">
        <v>127</v>
      </c>
      <c r="C64" s="246"/>
      <c r="D64" s="246"/>
      <c r="E64" s="247">
        <f t="shared" si="0"/>
        <v>0</v>
      </c>
      <c r="F64" s="246"/>
      <c r="G64" s="246"/>
      <c r="H64" s="247">
        <f t="shared" si="1"/>
        <v>0</v>
      </c>
      <c r="I64" s="246"/>
      <c r="J64" s="246"/>
      <c r="K64" s="247">
        <f t="shared" si="2"/>
        <v>0</v>
      </c>
      <c r="L64" s="246"/>
      <c r="M64" s="246"/>
      <c r="N64" s="247">
        <f t="shared" si="3"/>
        <v>0</v>
      </c>
    </row>
    <row r="65" spans="1:14" ht="15.75" hidden="1" thickBot="1" x14ac:dyDescent="0.3">
      <c r="A65" s="53" t="s">
        <v>128</v>
      </c>
      <c r="B65" s="62" t="s">
        <v>129</v>
      </c>
      <c r="C65" s="246"/>
      <c r="D65" s="246"/>
      <c r="E65" s="247">
        <f t="shared" si="0"/>
        <v>0</v>
      </c>
      <c r="F65" s="246"/>
      <c r="G65" s="246"/>
      <c r="H65" s="247">
        <f t="shared" si="1"/>
        <v>0</v>
      </c>
      <c r="I65" s="246"/>
      <c r="J65" s="246"/>
      <c r="K65" s="247">
        <f t="shared" si="2"/>
        <v>0</v>
      </c>
      <c r="L65" s="246"/>
      <c r="M65" s="246"/>
      <c r="N65" s="247">
        <f t="shared" si="3"/>
        <v>0</v>
      </c>
    </row>
    <row r="66" spans="1:14" ht="15.75" hidden="1" thickBot="1" x14ac:dyDescent="0.3">
      <c r="A66" s="55" t="s">
        <v>130</v>
      </c>
      <c r="B66" s="64" t="s">
        <v>131</v>
      </c>
      <c r="C66" s="248"/>
      <c r="D66" s="248"/>
      <c r="E66" s="249">
        <f t="shared" si="0"/>
        <v>0</v>
      </c>
      <c r="F66" s="248"/>
      <c r="G66" s="248"/>
      <c r="H66" s="249">
        <f t="shared" si="1"/>
        <v>0</v>
      </c>
      <c r="I66" s="248"/>
      <c r="J66" s="248"/>
      <c r="K66" s="249">
        <f t="shared" si="2"/>
        <v>0</v>
      </c>
      <c r="L66" s="248"/>
      <c r="M66" s="248"/>
      <c r="N66" s="249">
        <f t="shared" si="3"/>
        <v>0</v>
      </c>
    </row>
    <row r="67" spans="1:14" ht="15.75" thickBot="1" x14ac:dyDescent="0.3">
      <c r="A67" s="52" t="s">
        <v>132</v>
      </c>
      <c r="B67" s="48" t="s">
        <v>133</v>
      </c>
      <c r="C67" s="244">
        <f>SUM(C68:C69)</f>
        <v>0</v>
      </c>
      <c r="D67" s="244">
        <f>SUM(D68:D69)</f>
        <v>0</v>
      </c>
      <c r="E67" s="245">
        <f t="shared" si="0"/>
        <v>0</v>
      </c>
      <c r="F67" s="244">
        <f>SUM(F68:F69)</f>
        <v>0</v>
      </c>
      <c r="G67" s="244">
        <f>SUM(G68:G69)</f>
        <v>0</v>
      </c>
      <c r="H67" s="245">
        <f t="shared" si="1"/>
        <v>0</v>
      </c>
      <c r="I67" s="244">
        <f>SUM(I68:I69)</f>
        <v>0</v>
      </c>
      <c r="J67" s="244">
        <f>SUM(J68:J69)</f>
        <v>0</v>
      </c>
      <c r="K67" s="245">
        <f t="shared" si="2"/>
        <v>0</v>
      </c>
      <c r="L67" s="244">
        <f>SUM(L68:L69)</f>
        <v>0</v>
      </c>
      <c r="M67" s="244">
        <f>SUM(M68:M69)</f>
        <v>0</v>
      </c>
      <c r="N67" s="245">
        <f t="shared" si="3"/>
        <v>0</v>
      </c>
    </row>
    <row r="68" spans="1:14" ht="15.75" hidden="1" thickBot="1" x14ac:dyDescent="0.3">
      <c r="A68" s="53" t="s">
        <v>134</v>
      </c>
      <c r="B68" s="62" t="s">
        <v>135</v>
      </c>
      <c r="C68" s="246"/>
      <c r="D68" s="246"/>
      <c r="E68" s="247">
        <f t="shared" si="0"/>
        <v>0</v>
      </c>
      <c r="F68" s="246"/>
      <c r="G68" s="246"/>
      <c r="H68" s="247">
        <f t="shared" si="1"/>
        <v>0</v>
      </c>
      <c r="I68" s="246"/>
      <c r="J68" s="246"/>
      <c r="K68" s="247">
        <f t="shared" si="2"/>
        <v>0</v>
      </c>
      <c r="L68" s="246"/>
      <c r="M68" s="246"/>
      <c r="N68" s="247">
        <f t="shared" si="3"/>
        <v>0</v>
      </c>
    </row>
    <row r="69" spans="1:14" ht="15.75" hidden="1" thickBot="1" x14ac:dyDescent="0.3">
      <c r="A69" s="55" t="s">
        <v>136</v>
      </c>
      <c r="B69" s="64" t="s">
        <v>137</v>
      </c>
      <c r="C69" s="248"/>
      <c r="D69" s="248"/>
      <c r="E69" s="249">
        <f t="shared" si="0"/>
        <v>0</v>
      </c>
      <c r="F69" s="248"/>
      <c r="G69" s="248"/>
      <c r="H69" s="249">
        <f t="shared" si="1"/>
        <v>0</v>
      </c>
      <c r="I69" s="248"/>
      <c r="J69" s="248"/>
      <c r="K69" s="249">
        <f t="shared" si="2"/>
        <v>0</v>
      </c>
      <c r="L69" s="248"/>
      <c r="M69" s="248"/>
      <c r="N69" s="249">
        <f t="shared" si="3"/>
        <v>0</v>
      </c>
    </row>
    <row r="70" spans="1:14" x14ac:dyDescent="0.25">
      <c r="A70" s="52" t="s">
        <v>138</v>
      </c>
      <c r="B70" s="48" t="s">
        <v>139</v>
      </c>
      <c r="C70" s="244">
        <f>C71</f>
        <v>0</v>
      </c>
      <c r="D70" s="244">
        <f>D71</f>
        <v>0</v>
      </c>
      <c r="E70" s="245">
        <f t="shared" si="0"/>
        <v>0</v>
      </c>
      <c r="F70" s="244">
        <f>F71</f>
        <v>0</v>
      </c>
      <c r="G70" s="244">
        <f>G71</f>
        <v>0</v>
      </c>
      <c r="H70" s="245">
        <f t="shared" si="1"/>
        <v>0</v>
      </c>
      <c r="I70" s="244">
        <f>I71</f>
        <v>0</v>
      </c>
      <c r="J70" s="244">
        <f>J71</f>
        <v>0</v>
      </c>
      <c r="K70" s="245">
        <f t="shared" si="2"/>
        <v>0</v>
      </c>
      <c r="L70" s="244">
        <f>L71</f>
        <v>0</v>
      </c>
      <c r="M70" s="244">
        <f>M71</f>
        <v>0</v>
      </c>
      <c r="N70" s="245">
        <f t="shared" si="3"/>
        <v>0</v>
      </c>
    </row>
    <row r="71" spans="1:14" ht="15.75" hidden="1" thickBot="1" x14ac:dyDescent="0.3">
      <c r="A71" s="55"/>
      <c r="B71" s="64" t="s">
        <v>140</v>
      </c>
      <c r="C71" s="248"/>
      <c r="D71" s="248"/>
      <c r="E71" s="249">
        <f t="shared" si="0"/>
        <v>0</v>
      </c>
      <c r="F71" s="248"/>
      <c r="G71" s="248"/>
      <c r="H71" s="249">
        <f t="shared" si="1"/>
        <v>0</v>
      </c>
      <c r="I71" s="248"/>
      <c r="J71" s="248"/>
      <c r="K71" s="249">
        <f t="shared" si="2"/>
        <v>0</v>
      </c>
      <c r="L71" s="248"/>
      <c r="M71" s="248"/>
      <c r="N71" s="249">
        <f t="shared" si="3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1"/>
        <v>0</v>
      </c>
      <c r="I72" s="254"/>
      <c r="J72" s="254"/>
      <c r="K72" s="249">
        <f t="shared" si="2"/>
        <v>0</v>
      </c>
      <c r="L72" s="254"/>
      <c r="M72" s="254"/>
      <c r="N72" s="249">
        <f t="shared" si="3"/>
        <v>0</v>
      </c>
    </row>
    <row r="73" spans="1:14" ht="15.75" thickBot="1" x14ac:dyDescent="0.3">
      <c r="A73" s="56" t="s">
        <v>141</v>
      </c>
      <c r="B73" s="47" t="s">
        <v>142</v>
      </c>
      <c r="C73" s="250">
        <f>C9+C22+C25+C45+C61+C67+C70</f>
        <v>0</v>
      </c>
      <c r="D73" s="250">
        <f>D9+D22+D25+D45+D61+D67+D70</f>
        <v>0</v>
      </c>
      <c r="E73" s="251">
        <f t="shared" si="0"/>
        <v>0</v>
      </c>
      <c r="F73" s="250">
        <f>F9+F22+F25+F45+F61+F67+F70</f>
        <v>0</v>
      </c>
      <c r="G73" s="250">
        <f>G9+G22+G25+G45+G61+G67+G70</f>
        <v>0</v>
      </c>
      <c r="H73" s="251">
        <f t="shared" si="1"/>
        <v>0</v>
      </c>
      <c r="I73" s="250">
        <f>I9+I22+I25+I45+I61+I67+I70</f>
        <v>0</v>
      </c>
      <c r="J73" s="250">
        <f>J9+J22+J25+J45+J61+J67+J70</f>
        <v>0</v>
      </c>
      <c r="K73" s="251">
        <f t="shared" si="2"/>
        <v>0</v>
      </c>
      <c r="L73" s="250">
        <f>L9+L22+L25+L45+L61+L67+L70</f>
        <v>0</v>
      </c>
      <c r="M73" s="250">
        <f>M9+M22+M25+M45+M61+M67+M70</f>
        <v>0</v>
      </c>
      <c r="N73" s="251">
        <f t="shared" si="3"/>
        <v>0</v>
      </c>
    </row>
    <row r="74" spans="1:14" ht="15.75" thickBot="1" x14ac:dyDescent="0.3">
      <c r="A74" s="57" t="s">
        <v>143</v>
      </c>
      <c r="B74" s="68" t="s">
        <v>144</v>
      </c>
      <c r="C74" s="244">
        <f t="shared" ref="C74:M74" si="4">C75</f>
        <v>0</v>
      </c>
      <c r="D74" s="244">
        <f t="shared" si="4"/>
        <v>0</v>
      </c>
      <c r="E74" s="245">
        <f t="shared" ref="E74:E85" si="5">SUM(C74:D74)</f>
        <v>0</v>
      </c>
      <c r="F74" s="244">
        <f t="shared" si="4"/>
        <v>0</v>
      </c>
      <c r="G74" s="244">
        <f t="shared" si="4"/>
        <v>0</v>
      </c>
      <c r="H74" s="245">
        <f t="shared" ref="H74:H81" si="6">SUM(F74:G74)</f>
        <v>0</v>
      </c>
      <c r="I74" s="244">
        <f t="shared" si="4"/>
        <v>0</v>
      </c>
      <c r="J74" s="244">
        <f t="shared" si="4"/>
        <v>0</v>
      </c>
      <c r="K74" s="245">
        <f t="shared" ref="K74:K81" si="7">SUM(I74:J74)</f>
        <v>0</v>
      </c>
      <c r="L74" s="244">
        <f t="shared" si="4"/>
        <v>0</v>
      </c>
      <c r="M74" s="244">
        <f t="shared" si="4"/>
        <v>0</v>
      </c>
      <c r="N74" s="245">
        <f t="shared" ref="N74:N81" si="8">SUM(L74:M74)</f>
        <v>0</v>
      </c>
    </row>
    <row r="75" spans="1:14" ht="15.75" hidden="1" thickBot="1" x14ac:dyDescent="0.3">
      <c r="A75" s="53" t="s">
        <v>145</v>
      </c>
      <c r="B75" s="62" t="s">
        <v>146</v>
      </c>
      <c r="C75" s="246">
        <f t="shared" ref="C75:D75" si="9">SUM(C76:C77,C78,C79,C83,C82)</f>
        <v>0</v>
      </c>
      <c r="D75" s="246">
        <f t="shared" si="9"/>
        <v>0</v>
      </c>
      <c r="E75" s="247">
        <f t="shared" si="5"/>
        <v>0</v>
      </c>
      <c r="F75" s="246">
        <f t="shared" ref="F75:G75" si="10">SUM(F76:F77,F78,F79,F83,F82)</f>
        <v>0</v>
      </c>
      <c r="G75" s="246">
        <f t="shared" si="10"/>
        <v>0</v>
      </c>
      <c r="H75" s="247">
        <f t="shared" si="6"/>
        <v>0</v>
      </c>
      <c r="I75" s="246">
        <f t="shared" ref="I75:J75" si="11">SUM(I76:I77,I78,I79,I83,I82)</f>
        <v>0</v>
      </c>
      <c r="J75" s="246">
        <f t="shared" si="11"/>
        <v>0</v>
      </c>
      <c r="K75" s="247">
        <f t="shared" si="7"/>
        <v>0</v>
      </c>
      <c r="L75" s="246">
        <f t="shared" ref="L75:M75" si="12">SUM(L76:L77,L78,L79,L83,L82)</f>
        <v>0</v>
      </c>
      <c r="M75" s="246">
        <f t="shared" si="12"/>
        <v>0</v>
      </c>
      <c r="N75" s="247">
        <f t="shared" si="8"/>
        <v>0</v>
      </c>
    </row>
    <row r="76" spans="1:14" ht="15.75" hidden="1" thickBot="1" x14ac:dyDescent="0.3">
      <c r="A76" s="53" t="s">
        <v>147</v>
      </c>
      <c r="B76" s="62" t="s">
        <v>148</v>
      </c>
      <c r="C76" s="246"/>
      <c r="D76" s="246"/>
      <c r="E76" s="247">
        <f t="shared" si="5"/>
        <v>0</v>
      </c>
      <c r="F76" s="246"/>
      <c r="G76" s="246"/>
      <c r="H76" s="247">
        <f t="shared" si="6"/>
        <v>0</v>
      </c>
      <c r="I76" s="246"/>
      <c r="J76" s="246"/>
      <c r="K76" s="247">
        <f t="shared" si="7"/>
        <v>0</v>
      </c>
      <c r="L76" s="246"/>
      <c r="M76" s="246"/>
      <c r="N76" s="247">
        <f t="shared" si="8"/>
        <v>0</v>
      </c>
    </row>
    <row r="77" spans="1:14" ht="15.75" hidden="1" thickBot="1" x14ac:dyDescent="0.3">
      <c r="A77" s="53" t="s">
        <v>149</v>
      </c>
      <c r="B77" s="62" t="s">
        <v>150</v>
      </c>
      <c r="C77" s="246"/>
      <c r="D77" s="246"/>
      <c r="E77" s="247">
        <f t="shared" si="5"/>
        <v>0</v>
      </c>
      <c r="F77" s="246"/>
      <c r="G77" s="246"/>
      <c r="H77" s="247">
        <f t="shared" si="6"/>
        <v>0</v>
      </c>
      <c r="I77" s="246"/>
      <c r="J77" s="246"/>
      <c r="K77" s="247">
        <f t="shared" si="7"/>
        <v>0</v>
      </c>
      <c r="L77" s="246"/>
      <c r="M77" s="246"/>
      <c r="N77" s="247">
        <f t="shared" si="8"/>
        <v>0</v>
      </c>
    </row>
    <row r="78" spans="1:14" ht="15.75" hidden="1" thickBot="1" x14ac:dyDescent="0.3">
      <c r="A78" s="53" t="s">
        <v>151</v>
      </c>
      <c r="B78" s="62" t="s">
        <v>152</v>
      </c>
      <c r="C78" s="246"/>
      <c r="D78" s="246"/>
      <c r="E78" s="247">
        <f t="shared" si="5"/>
        <v>0</v>
      </c>
      <c r="F78" s="246"/>
      <c r="G78" s="246"/>
      <c r="H78" s="247">
        <f t="shared" si="6"/>
        <v>0</v>
      </c>
      <c r="I78" s="246"/>
      <c r="J78" s="246"/>
      <c r="K78" s="247">
        <f t="shared" si="7"/>
        <v>0</v>
      </c>
      <c r="L78" s="246"/>
      <c r="M78" s="246"/>
      <c r="N78" s="247">
        <f t="shared" si="8"/>
        <v>0</v>
      </c>
    </row>
    <row r="79" spans="1:14" ht="15.75" hidden="1" thickBot="1" x14ac:dyDescent="0.3">
      <c r="A79" s="53" t="s">
        <v>153</v>
      </c>
      <c r="B79" s="62" t="s">
        <v>154</v>
      </c>
      <c r="C79" s="246">
        <f>SUM(C80:C81)</f>
        <v>0</v>
      </c>
      <c r="D79" s="246">
        <f>SUM(D80:D81)</f>
        <v>0</v>
      </c>
      <c r="E79" s="247">
        <f t="shared" si="5"/>
        <v>0</v>
      </c>
      <c r="F79" s="246">
        <f>SUM(F80:F81)</f>
        <v>0</v>
      </c>
      <c r="G79" s="246">
        <f>SUM(G80:G81)</f>
        <v>0</v>
      </c>
      <c r="H79" s="247">
        <f t="shared" si="6"/>
        <v>0</v>
      </c>
      <c r="I79" s="246">
        <f>SUM(I80:I81)</f>
        <v>0</v>
      </c>
      <c r="J79" s="246">
        <f>SUM(J80:J81)</f>
        <v>0</v>
      </c>
      <c r="K79" s="247">
        <f t="shared" si="7"/>
        <v>0</v>
      </c>
      <c r="L79" s="246">
        <f>SUM(L80:L81)</f>
        <v>0</v>
      </c>
      <c r="M79" s="246">
        <f>SUM(M80:M81)</f>
        <v>0</v>
      </c>
      <c r="N79" s="247">
        <f t="shared" si="8"/>
        <v>0</v>
      </c>
    </row>
    <row r="80" spans="1:14" ht="15.75" hidden="1" thickBot="1" x14ac:dyDescent="0.3">
      <c r="A80" s="53"/>
      <c r="B80" s="62" t="s">
        <v>29</v>
      </c>
      <c r="C80" s="246"/>
      <c r="D80" s="246"/>
      <c r="E80" s="247">
        <f t="shared" si="5"/>
        <v>0</v>
      </c>
      <c r="F80" s="246"/>
      <c r="G80" s="246"/>
      <c r="H80" s="247">
        <f t="shared" si="6"/>
        <v>0</v>
      </c>
      <c r="I80" s="246"/>
      <c r="J80" s="246"/>
      <c r="K80" s="247">
        <f t="shared" si="7"/>
        <v>0</v>
      </c>
      <c r="L80" s="246"/>
      <c r="M80" s="246"/>
      <c r="N80" s="247">
        <f t="shared" si="8"/>
        <v>0</v>
      </c>
    </row>
    <row r="81" spans="1:14" ht="15.75" hidden="1" thickBot="1" x14ac:dyDescent="0.3">
      <c r="A81" s="53"/>
      <c r="B81" s="62" t="s">
        <v>30</v>
      </c>
      <c r="C81" s="246"/>
      <c r="D81" s="246"/>
      <c r="E81" s="247">
        <f t="shared" si="5"/>
        <v>0</v>
      </c>
      <c r="F81" s="246"/>
      <c r="G81" s="246"/>
      <c r="H81" s="247">
        <f t="shared" si="6"/>
        <v>0</v>
      </c>
      <c r="I81" s="246"/>
      <c r="J81" s="246"/>
      <c r="K81" s="247">
        <f t="shared" si="7"/>
        <v>0</v>
      </c>
      <c r="L81" s="246"/>
      <c r="M81" s="246"/>
      <c r="N81" s="247">
        <f t="shared" si="8"/>
        <v>0</v>
      </c>
    </row>
    <row r="82" spans="1:14" s="179" customFormat="1" ht="15.75" hidden="1" thickBot="1" x14ac:dyDescent="0.3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hidden="1" thickBot="1" x14ac:dyDescent="0.3">
      <c r="A83" s="53" t="s">
        <v>155</v>
      </c>
      <c r="B83" s="62" t="s">
        <v>156</v>
      </c>
      <c r="C83" s="246"/>
      <c r="D83" s="246"/>
      <c r="E83" s="247">
        <f t="shared" si="5"/>
        <v>0</v>
      </c>
      <c r="F83" s="246"/>
      <c r="G83" s="246"/>
      <c r="H83" s="247">
        <f t="shared" ref="H83:H85" si="13">SUM(F83:G83)</f>
        <v>0</v>
      </c>
      <c r="I83" s="246"/>
      <c r="J83" s="246"/>
      <c r="K83" s="247">
        <f t="shared" ref="K83:K85" si="14">SUM(I83:J83)</f>
        <v>0</v>
      </c>
      <c r="L83" s="246"/>
      <c r="M83" s="246"/>
      <c r="N83" s="247">
        <f t="shared" ref="N83:N85" si="15">SUM(L83:M83)</f>
        <v>0</v>
      </c>
    </row>
    <row r="84" spans="1:14" ht="15.75" hidden="1" thickBot="1" x14ac:dyDescent="0.3">
      <c r="A84" s="55" t="s">
        <v>157</v>
      </c>
      <c r="B84" s="64" t="s">
        <v>158</v>
      </c>
      <c r="C84" s="248"/>
      <c r="D84" s="248"/>
      <c r="E84" s="249">
        <f t="shared" si="5"/>
        <v>0</v>
      </c>
      <c r="F84" s="248"/>
      <c r="G84" s="248"/>
      <c r="H84" s="249">
        <f t="shared" si="13"/>
        <v>0</v>
      </c>
      <c r="I84" s="248"/>
      <c r="J84" s="248"/>
      <c r="K84" s="249">
        <f t="shared" si="14"/>
        <v>0</v>
      </c>
      <c r="L84" s="248"/>
      <c r="M84" s="248"/>
      <c r="N84" s="249">
        <f t="shared" si="15"/>
        <v>0</v>
      </c>
    </row>
    <row r="85" spans="1:14" ht="15.75" thickBot="1" x14ac:dyDescent="0.3">
      <c r="A85" s="56" t="s">
        <v>264</v>
      </c>
      <c r="B85" s="47" t="s">
        <v>159</v>
      </c>
      <c r="C85" s="250">
        <f>C73+C74</f>
        <v>0</v>
      </c>
      <c r="D85" s="250">
        <f>D73+D74</f>
        <v>0</v>
      </c>
      <c r="E85" s="251">
        <f t="shared" si="5"/>
        <v>0</v>
      </c>
      <c r="F85" s="250">
        <f>F73+F74</f>
        <v>0</v>
      </c>
      <c r="G85" s="250">
        <f>G73+G74</f>
        <v>0</v>
      </c>
      <c r="H85" s="251">
        <f t="shared" si="13"/>
        <v>0</v>
      </c>
      <c r="I85" s="250">
        <f>I73+I74</f>
        <v>0</v>
      </c>
      <c r="J85" s="250">
        <f>J73+J74</f>
        <v>0</v>
      </c>
      <c r="K85" s="251">
        <f t="shared" si="14"/>
        <v>0</v>
      </c>
      <c r="L85" s="250">
        <f>L73+L74</f>
        <v>0</v>
      </c>
      <c r="M85" s="250">
        <f>M73+M74</f>
        <v>0</v>
      </c>
      <c r="N85" s="251">
        <f t="shared" si="15"/>
        <v>0</v>
      </c>
    </row>
    <row r="86" spans="1:14" x14ac:dyDescent="0.25">
      <c r="A86" s="58"/>
      <c r="B86" s="59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5.75" thickBot="1" x14ac:dyDescent="0.3">
      <c r="A87" s="72"/>
      <c r="B87" s="73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</row>
    <row r="88" spans="1:14" x14ac:dyDescent="0.25">
      <c r="A88" s="60" t="s">
        <v>160</v>
      </c>
      <c r="B88" s="48" t="s">
        <v>34</v>
      </c>
      <c r="C88" s="244">
        <f>C89+C101</f>
        <v>19187445</v>
      </c>
      <c r="D88" s="244">
        <f>D89+D101</f>
        <v>0</v>
      </c>
      <c r="E88" s="253">
        <f>SUM(C88:D88)</f>
        <v>19187445</v>
      </c>
      <c r="F88" s="244">
        <f>F89+F101</f>
        <v>19187445</v>
      </c>
      <c r="G88" s="244">
        <f>G89+G101</f>
        <v>0</v>
      </c>
      <c r="H88" s="253">
        <f>SUM(F88:G88)</f>
        <v>19187445</v>
      </c>
      <c r="I88" s="244">
        <f>I89+I101</f>
        <v>19187445</v>
      </c>
      <c r="J88" s="244">
        <f>J89+J101</f>
        <v>0</v>
      </c>
      <c r="K88" s="253">
        <f>SUM(I88:J88)</f>
        <v>19187445</v>
      </c>
      <c r="L88" s="244">
        <f>L89+L101</f>
        <v>18923216</v>
      </c>
      <c r="M88" s="244">
        <f>M89+M101</f>
        <v>0</v>
      </c>
      <c r="N88" s="253">
        <f>SUM(L88:M88)</f>
        <v>18923216</v>
      </c>
    </row>
    <row r="89" spans="1:14" x14ac:dyDescent="0.25">
      <c r="A89" s="61" t="s">
        <v>161</v>
      </c>
      <c r="B89" s="62" t="s">
        <v>162</v>
      </c>
      <c r="C89" s="246">
        <f>SUM(C90:C100)</f>
        <v>19187445</v>
      </c>
      <c r="D89" s="246">
        <f>SUM(D90:D100)</f>
        <v>0</v>
      </c>
      <c r="E89" s="247">
        <f t="shared" ref="E89:E150" si="16">SUM(C89:D89)</f>
        <v>19187445</v>
      </c>
      <c r="F89" s="246">
        <f>SUM(F90:F100)</f>
        <v>19187445</v>
      </c>
      <c r="G89" s="246">
        <f>SUM(G90:G100)</f>
        <v>0</v>
      </c>
      <c r="H89" s="247">
        <f t="shared" ref="H89:H90" si="17">SUM(F89:G89)</f>
        <v>19187445</v>
      </c>
      <c r="I89" s="246">
        <f>SUM(I90:I100)</f>
        <v>19187445</v>
      </c>
      <c r="J89" s="246">
        <f>SUM(J90:J100)</f>
        <v>0</v>
      </c>
      <c r="K89" s="247">
        <f t="shared" ref="K89:K91" si="18">SUM(I89:J89)</f>
        <v>19187445</v>
      </c>
      <c r="L89" s="246">
        <f>SUM(L90:L100)</f>
        <v>18923216</v>
      </c>
      <c r="M89" s="246">
        <f>SUM(M90:M100)</f>
        <v>0</v>
      </c>
      <c r="N89" s="247">
        <f t="shared" ref="N89:N91" si="19">SUM(L89:M89)</f>
        <v>18923216</v>
      </c>
    </row>
    <row r="90" spans="1:14" x14ac:dyDescent="0.25">
      <c r="A90" s="61" t="s">
        <v>163</v>
      </c>
      <c r="B90" s="62" t="s">
        <v>164</v>
      </c>
      <c r="C90" s="246">
        <v>15653445</v>
      </c>
      <c r="D90" s="246"/>
      <c r="E90" s="247">
        <f t="shared" si="16"/>
        <v>15653445</v>
      </c>
      <c r="F90" s="246">
        <v>15653445</v>
      </c>
      <c r="G90" s="246"/>
      <c r="H90" s="247">
        <f t="shared" si="17"/>
        <v>15653445</v>
      </c>
      <c r="I90" s="246">
        <v>15653445</v>
      </c>
      <c r="J90" s="246"/>
      <c r="K90" s="247">
        <f t="shared" si="18"/>
        <v>15653445</v>
      </c>
      <c r="L90" s="246">
        <v>15286772</v>
      </c>
      <c r="M90" s="246"/>
      <c r="N90" s="247">
        <f t="shared" si="19"/>
        <v>15286772</v>
      </c>
    </row>
    <row r="91" spans="1:14" s="179" customFormat="1" x14ac:dyDescent="0.25">
      <c r="A91" s="190" t="s">
        <v>533</v>
      </c>
      <c r="B91" s="180" t="s">
        <v>534</v>
      </c>
      <c r="C91" s="246">
        <f>750000+574000</f>
        <v>1324000</v>
      </c>
      <c r="D91" s="246"/>
      <c r="E91" s="247"/>
      <c r="F91" s="246">
        <f>750000+574000</f>
        <v>1324000</v>
      </c>
      <c r="G91" s="246"/>
      <c r="H91" s="247"/>
      <c r="I91" s="246">
        <f>750000+574000</f>
        <v>1324000</v>
      </c>
      <c r="J91" s="246"/>
      <c r="K91" s="247">
        <f t="shared" si="18"/>
        <v>1324000</v>
      </c>
      <c r="L91" s="246">
        <v>2115291</v>
      </c>
      <c r="M91" s="246"/>
      <c r="N91" s="247">
        <f t="shared" si="19"/>
        <v>2115291</v>
      </c>
    </row>
    <row r="92" spans="1:14" x14ac:dyDescent="0.25">
      <c r="A92" s="61" t="s">
        <v>165</v>
      </c>
      <c r="B92" s="62" t="s">
        <v>166</v>
      </c>
      <c r="C92" s="246">
        <v>1000000</v>
      </c>
      <c r="D92" s="246"/>
      <c r="E92" s="247">
        <f t="shared" si="16"/>
        <v>1000000</v>
      </c>
      <c r="F92" s="246">
        <v>1000000</v>
      </c>
      <c r="G92" s="246"/>
      <c r="H92" s="247">
        <f t="shared" ref="H92:H145" si="20">SUM(F92:G92)</f>
        <v>1000000</v>
      </c>
      <c r="I92" s="246">
        <v>1000000</v>
      </c>
      <c r="J92" s="246"/>
      <c r="K92" s="247">
        <f t="shared" ref="K92:K145" si="21">SUM(I92:J92)</f>
        <v>1000000</v>
      </c>
      <c r="L92" s="246"/>
      <c r="M92" s="246"/>
      <c r="N92" s="247">
        <f t="shared" ref="N92:N145" si="22">SUM(L92:M92)</f>
        <v>0</v>
      </c>
    </row>
    <row r="93" spans="1:14" x14ac:dyDescent="0.25">
      <c r="A93" s="61" t="s">
        <v>167</v>
      </c>
      <c r="B93" s="62" t="s">
        <v>168</v>
      </c>
      <c r="C93" s="246"/>
      <c r="D93" s="246"/>
      <c r="E93" s="247">
        <f t="shared" si="16"/>
        <v>0</v>
      </c>
      <c r="F93" s="246"/>
      <c r="G93" s="246"/>
      <c r="H93" s="247">
        <f t="shared" si="20"/>
        <v>0</v>
      </c>
      <c r="I93" s="246"/>
      <c r="J93" s="246"/>
      <c r="K93" s="247">
        <f t="shared" si="21"/>
        <v>0</v>
      </c>
      <c r="L93" s="246"/>
      <c r="M93" s="246"/>
      <c r="N93" s="247">
        <f t="shared" si="22"/>
        <v>0</v>
      </c>
    </row>
    <row r="94" spans="1:14" x14ac:dyDescent="0.25">
      <c r="A94" s="61" t="s">
        <v>169</v>
      </c>
      <c r="B94" s="62" t="s">
        <v>170</v>
      </c>
      <c r="C94" s="246"/>
      <c r="D94" s="246"/>
      <c r="E94" s="247">
        <f t="shared" si="16"/>
        <v>0</v>
      </c>
      <c r="F94" s="246"/>
      <c r="G94" s="246"/>
      <c r="H94" s="247">
        <f t="shared" si="20"/>
        <v>0</v>
      </c>
      <c r="I94" s="246"/>
      <c r="J94" s="246"/>
      <c r="K94" s="247">
        <f t="shared" si="21"/>
        <v>0</v>
      </c>
      <c r="L94" s="246"/>
      <c r="M94" s="246"/>
      <c r="N94" s="247">
        <f t="shared" si="22"/>
        <v>0</v>
      </c>
    </row>
    <row r="95" spans="1:14" x14ac:dyDescent="0.25">
      <c r="A95" s="61" t="s">
        <v>171</v>
      </c>
      <c r="B95" s="62" t="s">
        <v>172</v>
      </c>
      <c r="C95" s="246"/>
      <c r="D95" s="246"/>
      <c r="E95" s="247">
        <f t="shared" si="16"/>
        <v>0</v>
      </c>
      <c r="F95" s="246"/>
      <c r="G95" s="246"/>
      <c r="H95" s="247">
        <f t="shared" si="20"/>
        <v>0</v>
      </c>
      <c r="I95" s="246"/>
      <c r="J95" s="246"/>
      <c r="K95" s="247">
        <f t="shared" si="21"/>
        <v>0</v>
      </c>
      <c r="L95" s="246"/>
      <c r="M95" s="246"/>
      <c r="N95" s="247">
        <f t="shared" si="22"/>
        <v>0</v>
      </c>
    </row>
    <row r="96" spans="1:14" x14ac:dyDescent="0.25">
      <c r="A96" s="61" t="s">
        <v>173</v>
      </c>
      <c r="B96" s="62" t="s">
        <v>174</v>
      </c>
      <c r="C96" s="246">
        <v>745000</v>
      </c>
      <c r="D96" s="246"/>
      <c r="E96" s="247">
        <f t="shared" si="16"/>
        <v>745000</v>
      </c>
      <c r="F96" s="246">
        <v>745000</v>
      </c>
      <c r="G96" s="246"/>
      <c r="H96" s="247">
        <f t="shared" si="20"/>
        <v>745000</v>
      </c>
      <c r="I96" s="246">
        <v>745000</v>
      </c>
      <c r="J96" s="246"/>
      <c r="K96" s="247">
        <f t="shared" si="21"/>
        <v>745000</v>
      </c>
      <c r="L96" s="246">
        <v>748791</v>
      </c>
      <c r="M96" s="246"/>
      <c r="N96" s="247">
        <f t="shared" si="22"/>
        <v>748791</v>
      </c>
    </row>
    <row r="97" spans="1:14" x14ac:dyDescent="0.25">
      <c r="A97" s="61" t="s">
        <v>175</v>
      </c>
      <c r="B97" s="62" t="s">
        <v>176</v>
      </c>
      <c r="C97" s="246">
        <v>465000</v>
      </c>
      <c r="D97" s="246"/>
      <c r="E97" s="247">
        <f t="shared" si="16"/>
        <v>465000</v>
      </c>
      <c r="F97" s="246">
        <v>465000</v>
      </c>
      <c r="G97" s="246"/>
      <c r="H97" s="247">
        <f t="shared" si="20"/>
        <v>465000</v>
      </c>
      <c r="I97" s="246">
        <v>465000</v>
      </c>
      <c r="J97" s="246"/>
      <c r="K97" s="247">
        <f t="shared" si="21"/>
        <v>465000</v>
      </c>
      <c r="L97" s="246">
        <v>386525</v>
      </c>
      <c r="M97" s="246"/>
      <c r="N97" s="247">
        <f t="shared" si="22"/>
        <v>386525</v>
      </c>
    </row>
    <row r="98" spans="1:14" x14ac:dyDescent="0.25">
      <c r="A98" s="61" t="s">
        <v>177</v>
      </c>
      <c r="B98" s="62" t="s">
        <v>178</v>
      </c>
      <c r="C98" s="246"/>
      <c r="D98" s="246"/>
      <c r="E98" s="247">
        <f t="shared" si="16"/>
        <v>0</v>
      </c>
      <c r="F98" s="246"/>
      <c r="G98" s="246"/>
      <c r="H98" s="247">
        <f t="shared" si="20"/>
        <v>0</v>
      </c>
      <c r="I98" s="246"/>
      <c r="J98" s="246"/>
      <c r="K98" s="247">
        <f t="shared" si="21"/>
        <v>0</v>
      </c>
      <c r="L98" s="246"/>
      <c r="M98" s="246"/>
      <c r="N98" s="247">
        <f t="shared" si="22"/>
        <v>0</v>
      </c>
    </row>
    <row r="99" spans="1:14" x14ac:dyDescent="0.25">
      <c r="A99" s="61" t="s">
        <v>179</v>
      </c>
      <c r="B99" s="62" t="s">
        <v>180</v>
      </c>
      <c r="C99" s="246"/>
      <c r="D99" s="246"/>
      <c r="E99" s="247">
        <f t="shared" si="16"/>
        <v>0</v>
      </c>
      <c r="F99" s="246"/>
      <c r="G99" s="246"/>
      <c r="H99" s="247">
        <f t="shared" si="20"/>
        <v>0</v>
      </c>
      <c r="I99" s="246"/>
      <c r="J99" s="246"/>
      <c r="K99" s="247">
        <f t="shared" si="21"/>
        <v>0</v>
      </c>
      <c r="L99" s="246"/>
      <c r="M99" s="246"/>
      <c r="N99" s="247">
        <f t="shared" si="22"/>
        <v>0</v>
      </c>
    </row>
    <row r="100" spans="1:14" x14ac:dyDescent="0.25">
      <c r="A100" s="61" t="s">
        <v>181</v>
      </c>
      <c r="B100" s="62" t="s">
        <v>182</v>
      </c>
      <c r="C100" s="246"/>
      <c r="D100" s="246"/>
      <c r="E100" s="247">
        <f t="shared" si="16"/>
        <v>0</v>
      </c>
      <c r="F100" s="246"/>
      <c r="G100" s="246"/>
      <c r="H100" s="247">
        <f t="shared" si="20"/>
        <v>0</v>
      </c>
      <c r="I100" s="246"/>
      <c r="J100" s="246"/>
      <c r="K100" s="247">
        <f t="shared" si="21"/>
        <v>0</v>
      </c>
      <c r="L100" s="246">
        <v>385837</v>
      </c>
      <c r="M100" s="246"/>
      <c r="N100" s="247">
        <f t="shared" si="22"/>
        <v>385837</v>
      </c>
    </row>
    <row r="101" spans="1:14" ht="15.75" thickBot="1" x14ac:dyDescent="0.3">
      <c r="A101" s="61" t="s">
        <v>183</v>
      </c>
      <c r="B101" s="62" t="s">
        <v>184</v>
      </c>
      <c r="C101" s="246">
        <f>SUM(C102:C104)</f>
        <v>0</v>
      </c>
      <c r="D101" s="246">
        <f>SUM(D102:D104)</f>
        <v>0</v>
      </c>
      <c r="E101" s="247">
        <f t="shared" si="16"/>
        <v>0</v>
      </c>
      <c r="F101" s="246">
        <f>SUM(F102:F104)</f>
        <v>0</v>
      </c>
      <c r="G101" s="246">
        <f>SUM(G102:G104)</f>
        <v>0</v>
      </c>
      <c r="H101" s="247">
        <f t="shared" si="20"/>
        <v>0</v>
      </c>
      <c r="I101" s="246">
        <f>SUM(I102:I104)</f>
        <v>0</v>
      </c>
      <c r="J101" s="246">
        <f>SUM(J102:J104)</f>
        <v>0</v>
      </c>
      <c r="K101" s="247">
        <f t="shared" si="21"/>
        <v>0</v>
      </c>
      <c r="L101" s="246">
        <f>SUM(L102:L104)</f>
        <v>0</v>
      </c>
      <c r="M101" s="246">
        <f>SUM(M102:M104)</f>
        <v>0</v>
      </c>
      <c r="N101" s="247">
        <f t="shared" si="22"/>
        <v>0</v>
      </c>
    </row>
    <row r="102" spans="1:14" ht="15.75" hidden="1" thickBot="1" x14ac:dyDescent="0.3">
      <c r="A102" s="61" t="s">
        <v>185</v>
      </c>
      <c r="B102" s="62" t="s">
        <v>186</v>
      </c>
      <c r="C102" s="246"/>
      <c r="D102" s="246"/>
      <c r="E102" s="247">
        <f t="shared" si="16"/>
        <v>0</v>
      </c>
      <c r="F102" s="246"/>
      <c r="G102" s="246"/>
      <c r="H102" s="247">
        <f t="shared" si="20"/>
        <v>0</v>
      </c>
      <c r="I102" s="246"/>
      <c r="J102" s="246"/>
      <c r="K102" s="247">
        <f t="shared" si="21"/>
        <v>0</v>
      </c>
      <c r="L102" s="246"/>
      <c r="M102" s="246"/>
      <c r="N102" s="247">
        <f t="shared" si="22"/>
        <v>0</v>
      </c>
    </row>
    <row r="103" spans="1:14" ht="15.75" hidden="1" thickBot="1" x14ac:dyDescent="0.3">
      <c r="A103" s="61" t="s">
        <v>187</v>
      </c>
      <c r="B103" s="62" t="s">
        <v>188</v>
      </c>
      <c r="C103" s="246"/>
      <c r="D103" s="246"/>
      <c r="E103" s="247">
        <f t="shared" si="16"/>
        <v>0</v>
      </c>
      <c r="F103" s="246"/>
      <c r="G103" s="246"/>
      <c r="H103" s="247">
        <f t="shared" si="20"/>
        <v>0</v>
      </c>
      <c r="I103" s="246"/>
      <c r="J103" s="246"/>
      <c r="K103" s="247">
        <f t="shared" si="21"/>
        <v>0</v>
      </c>
      <c r="L103" s="246"/>
      <c r="M103" s="246"/>
      <c r="N103" s="247">
        <f t="shared" si="22"/>
        <v>0</v>
      </c>
    </row>
    <row r="104" spans="1:14" ht="15.75" hidden="1" thickBot="1" x14ac:dyDescent="0.3">
      <c r="A104" s="63" t="s">
        <v>189</v>
      </c>
      <c r="B104" s="64" t="s">
        <v>190</v>
      </c>
      <c r="C104" s="248"/>
      <c r="D104" s="248"/>
      <c r="E104" s="249">
        <f t="shared" si="16"/>
        <v>0</v>
      </c>
      <c r="F104" s="248"/>
      <c r="G104" s="248"/>
      <c r="H104" s="249">
        <f t="shared" si="20"/>
        <v>0</v>
      </c>
      <c r="I104" s="248"/>
      <c r="J104" s="248"/>
      <c r="K104" s="249">
        <f t="shared" si="21"/>
        <v>0</v>
      </c>
      <c r="L104" s="248"/>
      <c r="M104" s="248"/>
      <c r="N104" s="249">
        <f t="shared" si="22"/>
        <v>0</v>
      </c>
    </row>
    <row r="105" spans="1:14" x14ac:dyDescent="0.25">
      <c r="A105" s="60" t="s">
        <v>191</v>
      </c>
      <c r="B105" s="48" t="s">
        <v>192</v>
      </c>
      <c r="C105" s="244">
        <f>SUM(C106:C110)</f>
        <v>3762627</v>
      </c>
      <c r="D105" s="244">
        <f>SUM(D106:D110)</f>
        <v>0</v>
      </c>
      <c r="E105" s="245">
        <f t="shared" si="16"/>
        <v>3762627</v>
      </c>
      <c r="F105" s="244">
        <f>SUM(F106:F110)</f>
        <v>3762627</v>
      </c>
      <c r="G105" s="244">
        <f>SUM(G106:G110)</f>
        <v>0</v>
      </c>
      <c r="H105" s="245">
        <f t="shared" si="20"/>
        <v>3762627</v>
      </c>
      <c r="I105" s="244">
        <f>SUM(I106:I110)</f>
        <v>3781396</v>
      </c>
      <c r="J105" s="244">
        <f>SUM(J106:J110)</f>
        <v>0</v>
      </c>
      <c r="K105" s="245">
        <f t="shared" si="21"/>
        <v>3781396</v>
      </c>
      <c r="L105" s="244">
        <f>SUM(L106:L110)</f>
        <v>3572392</v>
      </c>
      <c r="M105" s="244">
        <f>SUM(M106:M110)</f>
        <v>0</v>
      </c>
      <c r="N105" s="245">
        <f t="shared" si="22"/>
        <v>3572392</v>
      </c>
    </row>
    <row r="106" spans="1:14" x14ac:dyDescent="0.25">
      <c r="A106" s="61"/>
      <c r="B106" s="62" t="s">
        <v>193</v>
      </c>
      <c r="C106" s="246">
        <f>3198672+195000+111930</f>
        <v>3505602</v>
      </c>
      <c r="D106" s="246"/>
      <c r="E106" s="247">
        <f t="shared" si="16"/>
        <v>3505602</v>
      </c>
      <c r="F106" s="246">
        <f>3198672+195000+111930</f>
        <v>3505602</v>
      </c>
      <c r="G106" s="246"/>
      <c r="H106" s="247">
        <f t="shared" si="20"/>
        <v>3505602</v>
      </c>
      <c r="I106" s="246">
        <f>3198672+195000+111930</f>
        <v>3505602</v>
      </c>
      <c r="J106" s="246"/>
      <c r="K106" s="247">
        <f t="shared" si="21"/>
        <v>3505602</v>
      </c>
      <c r="L106" s="246">
        <v>3430368</v>
      </c>
      <c r="M106" s="246"/>
      <c r="N106" s="247">
        <f t="shared" si="22"/>
        <v>3430368</v>
      </c>
    </row>
    <row r="107" spans="1:14" x14ac:dyDescent="0.25">
      <c r="A107" s="61"/>
      <c r="B107" s="62" t="s">
        <v>194</v>
      </c>
      <c r="C107" s="246"/>
      <c r="D107" s="246"/>
      <c r="E107" s="247">
        <f t="shared" si="16"/>
        <v>0</v>
      </c>
      <c r="F107" s="246"/>
      <c r="G107" s="246"/>
      <c r="H107" s="247">
        <f t="shared" si="20"/>
        <v>0</v>
      </c>
      <c r="I107" s="246"/>
      <c r="J107" s="246"/>
      <c r="K107" s="247">
        <f t="shared" si="21"/>
        <v>0</v>
      </c>
      <c r="L107" s="246"/>
      <c r="M107" s="246"/>
      <c r="N107" s="247">
        <f t="shared" si="22"/>
        <v>0</v>
      </c>
    </row>
    <row r="108" spans="1:14" x14ac:dyDescent="0.25">
      <c r="A108" s="63"/>
      <c r="B108" s="64" t="s">
        <v>195</v>
      </c>
      <c r="C108" s="246">
        <v>145275</v>
      </c>
      <c r="D108" s="246"/>
      <c r="E108" s="247">
        <f t="shared" si="16"/>
        <v>145275</v>
      </c>
      <c r="F108" s="246">
        <v>145275</v>
      </c>
      <c r="G108" s="246"/>
      <c r="H108" s="247">
        <f t="shared" si="20"/>
        <v>145275</v>
      </c>
      <c r="I108" s="246">
        <v>145275</v>
      </c>
      <c r="J108" s="246"/>
      <c r="K108" s="247">
        <f t="shared" si="21"/>
        <v>145275</v>
      </c>
      <c r="L108" s="246">
        <v>11505</v>
      </c>
      <c r="M108" s="246"/>
      <c r="N108" s="247">
        <f t="shared" si="22"/>
        <v>11505</v>
      </c>
    </row>
    <row r="109" spans="1:14" x14ac:dyDescent="0.25">
      <c r="A109" s="63"/>
      <c r="B109" s="64" t="s">
        <v>196</v>
      </c>
      <c r="C109" s="246"/>
      <c r="D109" s="246"/>
      <c r="E109" s="247">
        <f t="shared" si="16"/>
        <v>0</v>
      </c>
      <c r="F109" s="246"/>
      <c r="G109" s="246"/>
      <c r="H109" s="247">
        <f t="shared" si="20"/>
        <v>0</v>
      </c>
      <c r="I109" s="246"/>
      <c r="J109" s="246"/>
      <c r="K109" s="247">
        <f t="shared" si="21"/>
        <v>0</v>
      </c>
      <c r="L109" s="246"/>
      <c r="M109" s="246"/>
      <c r="N109" s="247">
        <f t="shared" si="22"/>
        <v>0</v>
      </c>
    </row>
    <row r="110" spans="1:14" ht="15.75" thickBot="1" x14ac:dyDescent="0.3">
      <c r="A110" s="63"/>
      <c r="B110" s="64" t="s">
        <v>197</v>
      </c>
      <c r="C110" s="248">
        <v>111750</v>
      </c>
      <c r="D110" s="248"/>
      <c r="E110" s="249">
        <f t="shared" si="16"/>
        <v>111750</v>
      </c>
      <c r="F110" s="248">
        <v>111750</v>
      </c>
      <c r="G110" s="248"/>
      <c r="H110" s="249">
        <f t="shared" si="20"/>
        <v>111750</v>
      </c>
      <c r="I110" s="248">
        <f>111750+18769</f>
        <v>130519</v>
      </c>
      <c r="J110" s="248"/>
      <c r="K110" s="249">
        <f t="shared" si="21"/>
        <v>130519</v>
      </c>
      <c r="L110" s="248">
        <f>111750+18769</f>
        <v>130519</v>
      </c>
      <c r="M110" s="248"/>
      <c r="N110" s="249">
        <f t="shared" si="22"/>
        <v>130519</v>
      </c>
    </row>
    <row r="111" spans="1:14" x14ac:dyDescent="0.25">
      <c r="A111" s="60" t="s">
        <v>198</v>
      </c>
      <c r="B111" s="48" t="s">
        <v>35</v>
      </c>
      <c r="C111" s="244">
        <f>SUM(C112:C113,C114,C123,C122)</f>
        <v>107950</v>
      </c>
      <c r="D111" s="244">
        <f>SUM(D112:D113,D114,D123,D122)</f>
        <v>0</v>
      </c>
      <c r="E111" s="245">
        <f t="shared" si="16"/>
        <v>107950</v>
      </c>
      <c r="F111" s="244">
        <f>SUM(F112:F113,F114,F123,F122)</f>
        <v>107950</v>
      </c>
      <c r="G111" s="244">
        <f>SUM(G112:G113,G114,G123,G122)</f>
        <v>0</v>
      </c>
      <c r="H111" s="245">
        <f t="shared" si="20"/>
        <v>107950</v>
      </c>
      <c r="I111" s="244">
        <f>SUM(I112:I113,I114,I123,I122)</f>
        <v>151950</v>
      </c>
      <c r="J111" s="244">
        <f>SUM(J112:J113,J114,J123,J122)</f>
        <v>0</v>
      </c>
      <c r="K111" s="245">
        <f t="shared" si="21"/>
        <v>151950</v>
      </c>
      <c r="L111" s="244">
        <f>SUM(L112:L113,L114,L123,L122)</f>
        <v>465381</v>
      </c>
      <c r="M111" s="244">
        <f>SUM(M112:M113,M114,M123,M122)</f>
        <v>0</v>
      </c>
      <c r="N111" s="245">
        <f t="shared" si="22"/>
        <v>465381</v>
      </c>
    </row>
    <row r="112" spans="1:14" x14ac:dyDescent="0.25">
      <c r="A112" s="61" t="s">
        <v>199</v>
      </c>
      <c r="B112" s="62" t="s">
        <v>200</v>
      </c>
      <c r="C112" s="246">
        <v>85000</v>
      </c>
      <c r="D112" s="246"/>
      <c r="E112" s="247">
        <f t="shared" si="16"/>
        <v>85000</v>
      </c>
      <c r="F112" s="246">
        <v>85000</v>
      </c>
      <c r="G112" s="246"/>
      <c r="H112" s="247">
        <f t="shared" si="20"/>
        <v>85000</v>
      </c>
      <c r="I112" s="246">
        <v>85000</v>
      </c>
      <c r="J112" s="246"/>
      <c r="K112" s="247">
        <f t="shared" si="21"/>
        <v>85000</v>
      </c>
      <c r="L112" s="246">
        <f>59477+7500</f>
        <v>66977</v>
      </c>
      <c r="M112" s="246"/>
      <c r="N112" s="247">
        <f t="shared" si="22"/>
        <v>66977</v>
      </c>
    </row>
    <row r="113" spans="1:14" x14ac:dyDescent="0.25">
      <c r="A113" s="61" t="s">
        <v>201</v>
      </c>
      <c r="B113" s="62" t="s">
        <v>202</v>
      </c>
      <c r="C113" s="246"/>
      <c r="D113" s="246"/>
      <c r="E113" s="247">
        <f t="shared" si="16"/>
        <v>0</v>
      </c>
      <c r="F113" s="246"/>
      <c r="G113" s="246"/>
      <c r="H113" s="247">
        <f t="shared" si="20"/>
        <v>0</v>
      </c>
      <c r="I113" s="246"/>
      <c r="J113" s="246"/>
      <c r="K113" s="247">
        <f t="shared" si="21"/>
        <v>0</v>
      </c>
      <c r="L113" s="246">
        <v>233000</v>
      </c>
      <c r="M113" s="246"/>
      <c r="N113" s="247">
        <f t="shared" si="22"/>
        <v>233000</v>
      </c>
    </row>
    <row r="114" spans="1:14" x14ac:dyDescent="0.25">
      <c r="A114" s="61" t="s">
        <v>203</v>
      </c>
      <c r="B114" s="62" t="s">
        <v>204</v>
      </c>
      <c r="C114" s="246">
        <f>SUM(C115:C121)</f>
        <v>0</v>
      </c>
      <c r="D114" s="246">
        <f>SUM(D115:D121)</f>
        <v>0</v>
      </c>
      <c r="E114" s="247">
        <f t="shared" si="16"/>
        <v>0</v>
      </c>
      <c r="F114" s="246">
        <f>SUM(F115:F121)</f>
        <v>0</v>
      </c>
      <c r="G114" s="246">
        <f>SUM(G115:G121)</f>
        <v>0</v>
      </c>
      <c r="H114" s="247">
        <f t="shared" si="20"/>
        <v>0</v>
      </c>
      <c r="I114" s="246">
        <f>SUM(I115:I121)</f>
        <v>44000</v>
      </c>
      <c r="J114" s="246">
        <f>SUM(J115:J121)</f>
        <v>0</v>
      </c>
      <c r="K114" s="247">
        <f t="shared" si="21"/>
        <v>44000</v>
      </c>
      <c r="L114" s="246">
        <f>SUM(L115:L121)</f>
        <v>55810</v>
      </c>
      <c r="M114" s="246">
        <f>SUM(M115:M121)</f>
        <v>0</v>
      </c>
      <c r="N114" s="247">
        <f t="shared" si="22"/>
        <v>55810</v>
      </c>
    </row>
    <row r="115" spans="1:14" x14ac:dyDescent="0.25">
      <c r="A115" s="61" t="s">
        <v>205</v>
      </c>
      <c r="B115" s="62" t="s">
        <v>206</v>
      </c>
      <c r="C115" s="246"/>
      <c r="D115" s="246"/>
      <c r="E115" s="247">
        <f t="shared" si="16"/>
        <v>0</v>
      </c>
      <c r="F115" s="246"/>
      <c r="G115" s="246"/>
      <c r="H115" s="247">
        <f t="shared" si="20"/>
        <v>0</v>
      </c>
      <c r="I115" s="246"/>
      <c r="J115" s="246"/>
      <c r="K115" s="247">
        <f t="shared" si="21"/>
        <v>0</v>
      </c>
      <c r="L115" s="246"/>
      <c r="M115" s="246"/>
      <c r="N115" s="247">
        <f t="shared" si="22"/>
        <v>0</v>
      </c>
    </row>
    <row r="116" spans="1:14" x14ac:dyDescent="0.25">
      <c r="A116" s="61" t="s">
        <v>207</v>
      </c>
      <c r="B116" s="62" t="s">
        <v>208</v>
      </c>
      <c r="C116" s="246"/>
      <c r="D116" s="246"/>
      <c r="E116" s="247">
        <f t="shared" si="16"/>
        <v>0</v>
      </c>
      <c r="F116" s="246"/>
      <c r="G116" s="246"/>
      <c r="H116" s="247">
        <f t="shared" si="20"/>
        <v>0</v>
      </c>
      <c r="I116" s="246"/>
      <c r="J116" s="246"/>
      <c r="K116" s="247">
        <f t="shared" si="21"/>
        <v>0</v>
      </c>
      <c r="L116" s="246"/>
      <c r="M116" s="246"/>
      <c r="N116" s="247">
        <f t="shared" si="22"/>
        <v>0</v>
      </c>
    </row>
    <row r="117" spans="1:14" x14ac:dyDescent="0.25">
      <c r="A117" s="61" t="s">
        <v>209</v>
      </c>
      <c r="B117" s="62" t="s">
        <v>210</v>
      </c>
      <c r="C117" s="246"/>
      <c r="D117" s="246"/>
      <c r="E117" s="247">
        <f t="shared" si="16"/>
        <v>0</v>
      </c>
      <c r="F117" s="246"/>
      <c r="G117" s="246"/>
      <c r="H117" s="247">
        <f t="shared" si="20"/>
        <v>0</v>
      </c>
      <c r="I117" s="246"/>
      <c r="J117" s="246"/>
      <c r="K117" s="247">
        <f t="shared" si="21"/>
        <v>0</v>
      </c>
      <c r="L117" s="246"/>
      <c r="M117" s="246"/>
      <c r="N117" s="247">
        <f t="shared" si="22"/>
        <v>0</v>
      </c>
    </row>
    <row r="118" spans="1:14" x14ac:dyDescent="0.25">
      <c r="A118" s="61" t="s">
        <v>211</v>
      </c>
      <c r="B118" s="62" t="s">
        <v>212</v>
      </c>
      <c r="C118" s="246"/>
      <c r="D118" s="246"/>
      <c r="E118" s="247">
        <f t="shared" si="16"/>
        <v>0</v>
      </c>
      <c r="F118" s="246"/>
      <c r="G118" s="246"/>
      <c r="H118" s="247">
        <f t="shared" si="20"/>
        <v>0</v>
      </c>
      <c r="I118" s="246"/>
      <c r="J118" s="246"/>
      <c r="K118" s="247">
        <f t="shared" si="21"/>
        <v>0</v>
      </c>
      <c r="L118" s="246"/>
      <c r="M118" s="246"/>
      <c r="N118" s="247">
        <f t="shared" si="22"/>
        <v>0</v>
      </c>
    </row>
    <row r="119" spans="1:14" x14ac:dyDescent="0.25">
      <c r="A119" s="61" t="s">
        <v>213</v>
      </c>
      <c r="B119" s="62" t="s">
        <v>214</v>
      </c>
      <c r="C119" s="246"/>
      <c r="D119" s="246"/>
      <c r="E119" s="247">
        <f t="shared" si="16"/>
        <v>0</v>
      </c>
      <c r="F119" s="246"/>
      <c r="G119" s="246"/>
      <c r="H119" s="247">
        <f t="shared" si="20"/>
        <v>0</v>
      </c>
      <c r="I119" s="246"/>
      <c r="J119" s="246"/>
      <c r="K119" s="247">
        <f t="shared" si="21"/>
        <v>0</v>
      </c>
      <c r="L119" s="246"/>
      <c r="M119" s="246"/>
      <c r="N119" s="247">
        <f t="shared" si="22"/>
        <v>0</v>
      </c>
    </row>
    <row r="120" spans="1:14" x14ac:dyDescent="0.25">
      <c r="A120" s="61" t="s">
        <v>215</v>
      </c>
      <c r="B120" s="62" t="s">
        <v>216</v>
      </c>
      <c r="C120" s="246"/>
      <c r="D120" s="246"/>
      <c r="E120" s="247">
        <f t="shared" si="16"/>
        <v>0</v>
      </c>
      <c r="F120" s="246"/>
      <c r="G120" s="246"/>
      <c r="H120" s="247">
        <f t="shared" si="20"/>
        <v>0</v>
      </c>
      <c r="I120" s="246">
        <v>44000</v>
      </c>
      <c r="J120" s="246"/>
      <c r="K120" s="247">
        <f t="shared" si="21"/>
        <v>44000</v>
      </c>
      <c r="L120" s="246">
        <v>44000</v>
      </c>
      <c r="M120" s="246"/>
      <c r="N120" s="247">
        <f t="shared" si="22"/>
        <v>44000</v>
      </c>
    </row>
    <row r="121" spans="1:14" x14ac:dyDescent="0.25">
      <c r="A121" s="61" t="s">
        <v>217</v>
      </c>
      <c r="B121" s="62" t="s">
        <v>218</v>
      </c>
      <c r="C121" s="246"/>
      <c r="D121" s="246"/>
      <c r="E121" s="247">
        <f t="shared" si="16"/>
        <v>0</v>
      </c>
      <c r="F121" s="246"/>
      <c r="G121" s="246"/>
      <c r="H121" s="247">
        <f t="shared" si="20"/>
        <v>0</v>
      </c>
      <c r="I121" s="246"/>
      <c r="J121" s="246"/>
      <c r="K121" s="247">
        <f t="shared" si="21"/>
        <v>0</v>
      </c>
      <c r="L121" s="246">
        <v>11810</v>
      </c>
      <c r="M121" s="246"/>
      <c r="N121" s="247">
        <f t="shared" si="22"/>
        <v>11810</v>
      </c>
    </row>
    <row r="122" spans="1:14" x14ac:dyDescent="0.25">
      <c r="A122" s="61" t="s">
        <v>219</v>
      </c>
      <c r="B122" s="62" t="s">
        <v>220</v>
      </c>
      <c r="C122" s="246"/>
      <c r="D122" s="246"/>
      <c r="E122" s="247">
        <f t="shared" si="16"/>
        <v>0</v>
      </c>
      <c r="F122" s="246"/>
      <c r="G122" s="246"/>
      <c r="H122" s="247">
        <f t="shared" si="20"/>
        <v>0</v>
      </c>
      <c r="I122" s="246"/>
      <c r="J122" s="246"/>
      <c r="K122" s="247">
        <f t="shared" si="21"/>
        <v>0</v>
      </c>
      <c r="L122" s="246">
        <v>15555</v>
      </c>
      <c r="M122" s="246"/>
      <c r="N122" s="247">
        <f t="shared" si="22"/>
        <v>15555</v>
      </c>
    </row>
    <row r="123" spans="1:14" x14ac:dyDescent="0.25">
      <c r="A123" s="61" t="s">
        <v>221</v>
      </c>
      <c r="B123" s="62" t="s">
        <v>222</v>
      </c>
      <c r="C123" s="246">
        <f>SUM(C124:C126)</f>
        <v>22950</v>
      </c>
      <c r="D123" s="246">
        <f>SUM(D124:D126)</f>
        <v>0</v>
      </c>
      <c r="E123" s="247">
        <f t="shared" si="16"/>
        <v>22950</v>
      </c>
      <c r="F123" s="246">
        <f>SUM(F124:F126)</f>
        <v>22950</v>
      </c>
      <c r="G123" s="246">
        <f>SUM(G124:G126)</f>
        <v>0</v>
      </c>
      <c r="H123" s="247">
        <f t="shared" si="20"/>
        <v>22950</v>
      </c>
      <c r="I123" s="246">
        <f>SUM(I124:I126)</f>
        <v>22950</v>
      </c>
      <c r="J123" s="246">
        <f>SUM(J124:J126)</f>
        <v>0</v>
      </c>
      <c r="K123" s="247">
        <f t="shared" si="21"/>
        <v>22950</v>
      </c>
      <c r="L123" s="246">
        <f>SUM(L124:L126)</f>
        <v>94039</v>
      </c>
      <c r="M123" s="246">
        <f>SUM(M124:M126)</f>
        <v>0</v>
      </c>
      <c r="N123" s="247">
        <f t="shared" si="22"/>
        <v>94039</v>
      </c>
    </row>
    <row r="124" spans="1:14" ht="15.75" thickBot="1" x14ac:dyDescent="0.3">
      <c r="A124" s="61"/>
      <c r="B124" s="62" t="s">
        <v>223</v>
      </c>
      <c r="C124" s="246">
        <f>85000*0.27</f>
        <v>22950</v>
      </c>
      <c r="D124" s="246"/>
      <c r="E124" s="247">
        <f t="shared" si="16"/>
        <v>22950</v>
      </c>
      <c r="F124" s="246">
        <f>85000*0.27</f>
        <v>22950</v>
      </c>
      <c r="G124" s="246"/>
      <c r="H124" s="247">
        <f t="shared" si="20"/>
        <v>22950</v>
      </c>
      <c r="I124" s="246">
        <f>85000*0.27</f>
        <v>22950</v>
      </c>
      <c r="J124" s="246"/>
      <c r="K124" s="247">
        <f t="shared" si="21"/>
        <v>22950</v>
      </c>
      <c r="L124" s="246">
        <v>94039</v>
      </c>
      <c r="M124" s="246"/>
      <c r="N124" s="247">
        <f t="shared" si="22"/>
        <v>94039</v>
      </c>
    </row>
    <row r="125" spans="1:14" ht="15.75" hidden="1" thickBot="1" x14ac:dyDescent="0.3">
      <c r="A125" s="63"/>
      <c r="B125" s="64" t="s">
        <v>224</v>
      </c>
      <c r="C125" s="246"/>
      <c r="D125" s="246"/>
      <c r="E125" s="247">
        <f t="shared" si="16"/>
        <v>0</v>
      </c>
      <c r="F125" s="246"/>
      <c r="G125" s="246"/>
      <c r="H125" s="247">
        <f t="shared" si="20"/>
        <v>0</v>
      </c>
      <c r="I125" s="246"/>
      <c r="J125" s="246"/>
      <c r="K125" s="247">
        <f t="shared" si="21"/>
        <v>0</v>
      </c>
      <c r="L125" s="246"/>
      <c r="M125" s="246"/>
      <c r="N125" s="247">
        <f t="shared" si="22"/>
        <v>0</v>
      </c>
    </row>
    <row r="126" spans="1:14" ht="15.75" hidden="1" thickBot="1" x14ac:dyDescent="0.3">
      <c r="A126" s="63" t="s">
        <v>225</v>
      </c>
      <c r="B126" s="64" t="s">
        <v>226</v>
      </c>
      <c r="C126" s="248"/>
      <c r="D126" s="248"/>
      <c r="E126" s="249">
        <f t="shared" si="16"/>
        <v>0</v>
      </c>
      <c r="F126" s="248"/>
      <c r="G126" s="248"/>
      <c r="H126" s="249">
        <f t="shared" si="20"/>
        <v>0</v>
      </c>
      <c r="I126" s="248"/>
      <c r="J126" s="248"/>
      <c r="K126" s="249">
        <f t="shared" si="21"/>
        <v>0</v>
      </c>
      <c r="L126" s="248"/>
      <c r="M126" s="248"/>
      <c r="N126" s="249">
        <f t="shared" si="22"/>
        <v>0</v>
      </c>
    </row>
    <row r="127" spans="1:14" ht="15.75" thickBot="1" x14ac:dyDescent="0.3">
      <c r="A127" s="65" t="s">
        <v>227</v>
      </c>
      <c r="B127" s="47" t="s">
        <v>36</v>
      </c>
      <c r="C127" s="250"/>
      <c r="D127" s="250"/>
      <c r="E127" s="251">
        <f t="shared" si="16"/>
        <v>0</v>
      </c>
      <c r="F127" s="250"/>
      <c r="G127" s="250"/>
      <c r="H127" s="251">
        <f t="shared" si="20"/>
        <v>0</v>
      </c>
      <c r="I127" s="250"/>
      <c r="J127" s="250"/>
      <c r="K127" s="251">
        <f t="shared" si="21"/>
        <v>0</v>
      </c>
      <c r="L127" s="250"/>
      <c r="M127" s="250"/>
      <c r="N127" s="251">
        <f t="shared" si="22"/>
        <v>0</v>
      </c>
    </row>
    <row r="128" spans="1:14" ht="15.75" thickBot="1" x14ac:dyDescent="0.3">
      <c r="A128" s="60" t="s">
        <v>228</v>
      </c>
      <c r="B128" s="48" t="s">
        <v>37</v>
      </c>
      <c r="C128" s="244">
        <f>SUM(C129:C134)</f>
        <v>0</v>
      </c>
      <c r="D128" s="244">
        <f>SUM(D129:D134)</f>
        <v>0</v>
      </c>
      <c r="E128" s="245">
        <f t="shared" si="16"/>
        <v>0</v>
      </c>
      <c r="F128" s="244">
        <f>SUM(F129:F134)</f>
        <v>0</v>
      </c>
      <c r="G128" s="244">
        <f>SUM(G129:G134)</f>
        <v>0</v>
      </c>
      <c r="H128" s="245">
        <f t="shared" si="20"/>
        <v>0</v>
      </c>
      <c r="I128" s="244">
        <f>SUM(I129:I134)</f>
        <v>0</v>
      </c>
      <c r="J128" s="244">
        <f>SUM(J129:J134)</f>
        <v>0</v>
      </c>
      <c r="K128" s="245">
        <f t="shared" si="21"/>
        <v>0</v>
      </c>
      <c r="L128" s="244">
        <f>SUM(L129:L134)</f>
        <v>0</v>
      </c>
      <c r="M128" s="244">
        <f>SUM(M129:M134)</f>
        <v>0</v>
      </c>
      <c r="N128" s="245">
        <f t="shared" si="22"/>
        <v>0</v>
      </c>
    </row>
    <row r="129" spans="1:14" ht="15.75" hidden="1" thickBot="1" x14ac:dyDescent="0.3">
      <c r="A129" s="61" t="s">
        <v>229</v>
      </c>
      <c r="B129" s="62" t="s">
        <v>230</v>
      </c>
      <c r="C129" s="246"/>
      <c r="D129" s="246"/>
      <c r="E129" s="247">
        <f t="shared" si="16"/>
        <v>0</v>
      </c>
      <c r="F129" s="246"/>
      <c r="G129" s="246"/>
      <c r="H129" s="247">
        <f t="shared" si="20"/>
        <v>0</v>
      </c>
      <c r="I129" s="246"/>
      <c r="J129" s="246"/>
      <c r="K129" s="247">
        <f t="shared" si="21"/>
        <v>0</v>
      </c>
      <c r="L129" s="246"/>
      <c r="M129" s="246"/>
      <c r="N129" s="247">
        <f t="shared" si="2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16"/>
        <v>0</v>
      </c>
      <c r="F130" s="246"/>
      <c r="G130" s="246"/>
      <c r="H130" s="247">
        <f t="shared" si="20"/>
        <v>0</v>
      </c>
      <c r="I130" s="246"/>
      <c r="J130" s="246"/>
      <c r="K130" s="247">
        <f t="shared" si="21"/>
        <v>0</v>
      </c>
      <c r="L130" s="246"/>
      <c r="M130" s="246"/>
      <c r="N130" s="247">
        <f t="shared" si="22"/>
        <v>0</v>
      </c>
    </row>
    <row r="131" spans="1:14" ht="15.75" hidden="1" thickBot="1" x14ac:dyDescent="0.3">
      <c r="A131" s="61" t="s">
        <v>231</v>
      </c>
      <c r="B131" s="62" t="s">
        <v>232</v>
      </c>
      <c r="C131" s="246"/>
      <c r="D131" s="246"/>
      <c r="E131" s="247">
        <f t="shared" si="16"/>
        <v>0</v>
      </c>
      <c r="F131" s="246"/>
      <c r="G131" s="246"/>
      <c r="H131" s="247">
        <f t="shared" si="20"/>
        <v>0</v>
      </c>
      <c r="I131" s="246"/>
      <c r="J131" s="246"/>
      <c r="K131" s="247">
        <f t="shared" si="21"/>
        <v>0</v>
      </c>
      <c r="L131" s="246"/>
      <c r="M131" s="246"/>
      <c r="N131" s="247">
        <f t="shared" si="22"/>
        <v>0</v>
      </c>
    </row>
    <row r="132" spans="1:14" ht="15.75" hidden="1" thickBot="1" x14ac:dyDescent="0.3">
      <c r="A132" s="61" t="s">
        <v>233</v>
      </c>
      <c r="B132" s="62" t="s">
        <v>234</v>
      </c>
      <c r="C132" s="246"/>
      <c r="D132" s="246"/>
      <c r="E132" s="247">
        <f t="shared" si="16"/>
        <v>0</v>
      </c>
      <c r="F132" s="246"/>
      <c r="G132" s="246"/>
      <c r="H132" s="247">
        <f t="shared" si="20"/>
        <v>0</v>
      </c>
      <c r="I132" s="246"/>
      <c r="J132" s="246"/>
      <c r="K132" s="247">
        <f t="shared" si="21"/>
        <v>0</v>
      </c>
      <c r="L132" s="246"/>
      <c r="M132" s="246"/>
      <c r="N132" s="247">
        <f t="shared" si="22"/>
        <v>0</v>
      </c>
    </row>
    <row r="133" spans="1:14" ht="15.75" hidden="1" thickBot="1" x14ac:dyDescent="0.3">
      <c r="A133" s="61" t="s">
        <v>235</v>
      </c>
      <c r="B133" s="62" t="s">
        <v>236</v>
      </c>
      <c r="C133" s="246"/>
      <c r="D133" s="246"/>
      <c r="E133" s="247">
        <f t="shared" si="16"/>
        <v>0</v>
      </c>
      <c r="F133" s="246"/>
      <c r="G133" s="246"/>
      <c r="H133" s="247">
        <f t="shared" si="20"/>
        <v>0</v>
      </c>
      <c r="I133" s="246"/>
      <c r="J133" s="246"/>
      <c r="K133" s="247">
        <f t="shared" si="21"/>
        <v>0</v>
      </c>
      <c r="L133" s="246"/>
      <c r="M133" s="246"/>
      <c r="N133" s="247">
        <f t="shared" si="22"/>
        <v>0</v>
      </c>
    </row>
    <row r="134" spans="1:14" ht="15.75" hidden="1" thickBot="1" x14ac:dyDescent="0.3">
      <c r="A134" s="61" t="s">
        <v>237</v>
      </c>
      <c r="B134" s="62" t="s">
        <v>238</v>
      </c>
      <c r="C134" s="246">
        <f>SUM(C135:C136)</f>
        <v>0</v>
      </c>
      <c r="D134" s="246">
        <f>SUM(D135:D136)</f>
        <v>0</v>
      </c>
      <c r="E134" s="247">
        <f t="shared" si="16"/>
        <v>0</v>
      </c>
      <c r="F134" s="246">
        <f>SUM(F135:F136)</f>
        <v>0</v>
      </c>
      <c r="G134" s="246">
        <f>SUM(G135:G136)</f>
        <v>0</v>
      </c>
      <c r="H134" s="247">
        <f t="shared" si="20"/>
        <v>0</v>
      </c>
      <c r="I134" s="246">
        <f>SUM(I135:I136)</f>
        <v>0</v>
      </c>
      <c r="J134" s="246">
        <f>SUM(J135:J136)</f>
        <v>0</v>
      </c>
      <c r="K134" s="247">
        <f t="shared" si="21"/>
        <v>0</v>
      </c>
      <c r="L134" s="246">
        <f>SUM(L135:L136)</f>
        <v>0</v>
      </c>
      <c r="M134" s="246">
        <f>SUM(M135:M136)</f>
        <v>0</v>
      </c>
      <c r="N134" s="247">
        <f t="shared" si="22"/>
        <v>0</v>
      </c>
    </row>
    <row r="135" spans="1:14" ht="15.75" hidden="1" thickBot="1" x14ac:dyDescent="0.3">
      <c r="A135" s="61"/>
      <c r="B135" s="62" t="s">
        <v>239</v>
      </c>
      <c r="C135" s="246"/>
      <c r="D135" s="246"/>
      <c r="E135" s="247">
        <f t="shared" si="16"/>
        <v>0</v>
      </c>
      <c r="F135" s="246"/>
      <c r="G135" s="246"/>
      <c r="H135" s="247">
        <f t="shared" si="20"/>
        <v>0</v>
      </c>
      <c r="I135" s="246"/>
      <c r="J135" s="246"/>
      <c r="K135" s="247">
        <f t="shared" si="21"/>
        <v>0</v>
      </c>
      <c r="L135" s="246"/>
      <c r="M135" s="246"/>
      <c r="N135" s="247">
        <f t="shared" si="22"/>
        <v>0</v>
      </c>
    </row>
    <row r="136" spans="1:14" ht="15.75" hidden="1" thickBot="1" x14ac:dyDescent="0.3">
      <c r="A136" s="63"/>
      <c r="B136" s="64" t="s">
        <v>240</v>
      </c>
      <c r="C136" s="248"/>
      <c r="D136" s="248"/>
      <c r="E136" s="249">
        <f t="shared" si="16"/>
        <v>0</v>
      </c>
      <c r="F136" s="248"/>
      <c r="G136" s="248"/>
      <c r="H136" s="249">
        <f t="shared" si="20"/>
        <v>0</v>
      </c>
      <c r="I136" s="248"/>
      <c r="J136" s="248"/>
      <c r="K136" s="249">
        <f t="shared" si="21"/>
        <v>0</v>
      </c>
      <c r="L136" s="248"/>
      <c r="M136" s="248"/>
      <c r="N136" s="249">
        <f t="shared" si="22"/>
        <v>0</v>
      </c>
    </row>
    <row r="137" spans="1:14" x14ac:dyDescent="0.25">
      <c r="A137" s="60" t="s">
        <v>241</v>
      </c>
      <c r="B137" s="48" t="s">
        <v>38</v>
      </c>
      <c r="C137" s="244"/>
      <c r="D137" s="244"/>
      <c r="E137" s="245">
        <f t="shared" si="16"/>
        <v>0</v>
      </c>
      <c r="F137" s="244"/>
      <c r="G137" s="244"/>
      <c r="H137" s="245">
        <f t="shared" si="20"/>
        <v>0</v>
      </c>
      <c r="I137" s="244"/>
      <c r="J137" s="244"/>
      <c r="K137" s="245">
        <f t="shared" si="21"/>
        <v>0</v>
      </c>
      <c r="L137" s="244"/>
      <c r="M137" s="244"/>
      <c r="N137" s="245">
        <f t="shared" si="22"/>
        <v>0</v>
      </c>
    </row>
    <row r="138" spans="1:14" ht="15.75" thickBot="1" x14ac:dyDescent="0.3">
      <c r="A138" s="63" t="s">
        <v>242</v>
      </c>
      <c r="B138" s="64" t="s">
        <v>243</v>
      </c>
      <c r="C138" s="248"/>
      <c r="D138" s="248"/>
      <c r="E138" s="249">
        <f t="shared" si="16"/>
        <v>0</v>
      </c>
      <c r="F138" s="248"/>
      <c r="G138" s="248"/>
      <c r="H138" s="249">
        <f t="shared" si="20"/>
        <v>0</v>
      </c>
      <c r="I138" s="248"/>
      <c r="J138" s="248"/>
      <c r="K138" s="249">
        <f t="shared" si="21"/>
        <v>0</v>
      </c>
      <c r="L138" s="248"/>
      <c r="M138" s="248"/>
      <c r="N138" s="249">
        <f t="shared" si="22"/>
        <v>0</v>
      </c>
    </row>
    <row r="139" spans="1:14" x14ac:dyDescent="0.25">
      <c r="A139" s="60" t="s">
        <v>244</v>
      </c>
      <c r="B139" s="48" t="s">
        <v>39</v>
      </c>
      <c r="C139" s="244"/>
      <c r="D139" s="244"/>
      <c r="E139" s="245">
        <f t="shared" si="16"/>
        <v>0</v>
      </c>
      <c r="F139" s="244"/>
      <c r="G139" s="244"/>
      <c r="H139" s="245">
        <f t="shared" si="20"/>
        <v>0</v>
      </c>
      <c r="I139" s="244"/>
      <c r="J139" s="244"/>
      <c r="K139" s="245">
        <f t="shared" si="21"/>
        <v>0</v>
      </c>
      <c r="L139" s="244"/>
      <c r="M139" s="244"/>
      <c r="N139" s="245">
        <f t="shared" si="22"/>
        <v>0</v>
      </c>
    </row>
    <row r="140" spans="1:14" ht="15.75" thickBot="1" x14ac:dyDescent="0.3">
      <c r="A140" s="63" t="s">
        <v>245</v>
      </c>
      <c r="B140" s="64" t="s">
        <v>246</v>
      </c>
      <c r="C140" s="248"/>
      <c r="D140" s="248"/>
      <c r="E140" s="249">
        <f t="shared" si="16"/>
        <v>0</v>
      </c>
      <c r="F140" s="248"/>
      <c r="G140" s="248"/>
      <c r="H140" s="249">
        <f t="shared" si="20"/>
        <v>0</v>
      </c>
      <c r="I140" s="248"/>
      <c r="J140" s="248"/>
      <c r="K140" s="249">
        <f t="shared" si="21"/>
        <v>0</v>
      </c>
      <c r="L140" s="248"/>
      <c r="M140" s="248"/>
      <c r="N140" s="249">
        <f t="shared" si="22"/>
        <v>0</v>
      </c>
    </row>
    <row r="141" spans="1:14" ht="15.75" thickBot="1" x14ac:dyDescent="0.3">
      <c r="A141" s="66" t="s">
        <v>247</v>
      </c>
      <c r="B141" s="49" t="s">
        <v>40</v>
      </c>
      <c r="C141" s="254"/>
      <c r="D141" s="254"/>
      <c r="E141" s="255">
        <f t="shared" si="16"/>
        <v>0</v>
      </c>
      <c r="F141" s="254"/>
      <c r="G141" s="254"/>
      <c r="H141" s="255">
        <f t="shared" si="20"/>
        <v>0</v>
      </c>
      <c r="I141" s="254"/>
      <c r="J141" s="254"/>
      <c r="K141" s="255">
        <f t="shared" si="21"/>
        <v>0</v>
      </c>
      <c r="L141" s="254"/>
      <c r="M141" s="254"/>
      <c r="N141" s="255">
        <f t="shared" si="22"/>
        <v>0</v>
      </c>
    </row>
    <row r="142" spans="1:14" ht="15.75" thickBot="1" x14ac:dyDescent="0.3">
      <c r="A142" s="65" t="s">
        <v>248</v>
      </c>
      <c r="B142" s="47" t="s">
        <v>249</v>
      </c>
      <c r="C142" s="250">
        <f>C141+C140+C139+C138+C137+C128+C127+C111+C105+C88</f>
        <v>23058022</v>
      </c>
      <c r="D142" s="250">
        <f>D141+D140+D139+D138+D137+D128+D127+D111+D105+D88</f>
        <v>0</v>
      </c>
      <c r="E142" s="251">
        <f t="shared" si="16"/>
        <v>23058022</v>
      </c>
      <c r="F142" s="250">
        <f>F141+F140+F139+F138+F137+F128+F127+F111+F105+F88</f>
        <v>23058022</v>
      </c>
      <c r="G142" s="250">
        <f>G141+G140+G139+G138+G137+G128+G127+G111+G105+G88</f>
        <v>0</v>
      </c>
      <c r="H142" s="251">
        <f t="shared" si="20"/>
        <v>23058022</v>
      </c>
      <c r="I142" s="250">
        <f>I141+I140+I139+I138+I137+I128+I127+I111+I105+I88</f>
        <v>23120791</v>
      </c>
      <c r="J142" s="250">
        <f>J141+J140+J139+J138+J137+J128+J127+J111+J105+J88</f>
        <v>0</v>
      </c>
      <c r="K142" s="251">
        <f t="shared" si="21"/>
        <v>23120791</v>
      </c>
      <c r="L142" s="250">
        <f>L141+L140+L139+L138+L137+L128+L127+L111+L105+L88</f>
        <v>22960989</v>
      </c>
      <c r="M142" s="250">
        <f>M141+M140+M139+M138+M137+M128+M127+M111+M105+M88</f>
        <v>0</v>
      </c>
      <c r="N142" s="251">
        <f t="shared" si="22"/>
        <v>22960989</v>
      </c>
    </row>
    <row r="143" spans="1:14" ht="15.75" thickBot="1" x14ac:dyDescent="0.3">
      <c r="A143" s="67" t="s">
        <v>250</v>
      </c>
      <c r="B143" s="68" t="s">
        <v>251</v>
      </c>
      <c r="C143" s="244">
        <f>SUM(C144:C150)</f>
        <v>0</v>
      </c>
      <c r="D143" s="244">
        <f>SUM(D144:D150)</f>
        <v>0</v>
      </c>
      <c r="E143" s="245">
        <f t="shared" si="16"/>
        <v>0</v>
      </c>
      <c r="F143" s="244">
        <f>SUM(F144:F150)</f>
        <v>0</v>
      </c>
      <c r="G143" s="244">
        <f>SUM(G144:G150)</f>
        <v>0</v>
      </c>
      <c r="H143" s="245">
        <f t="shared" si="20"/>
        <v>0</v>
      </c>
      <c r="I143" s="244">
        <f>SUM(I144:I150)</f>
        <v>0</v>
      </c>
      <c r="J143" s="244">
        <f>SUM(J144:J150)</f>
        <v>0</v>
      </c>
      <c r="K143" s="245">
        <f t="shared" si="21"/>
        <v>0</v>
      </c>
      <c r="L143" s="244">
        <f>SUM(L144:L150)</f>
        <v>0</v>
      </c>
      <c r="M143" s="244">
        <f>SUM(M144:M150)</f>
        <v>0</v>
      </c>
      <c r="N143" s="245">
        <f t="shared" si="22"/>
        <v>0</v>
      </c>
    </row>
    <row r="144" spans="1:14" ht="15.75" hidden="1" thickBot="1" x14ac:dyDescent="0.3">
      <c r="A144" s="61" t="s">
        <v>252</v>
      </c>
      <c r="B144" s="62" t="s">
        <v>253</v>
      </c>
      <c r="C144" s="246"/>
      <c r="D144" s="246"/>
      <c r="E144" s="247">
        <f t="shared" si="16"/>
        <v>0</v>
      </c>
      <c r="F144" s="246"/>
      <c r="G144" s="246"/>
      <c r="H144" s="247">
        <f t="shared" si="20"/>
        <v>0</v>
      </c>
      <c r="I144" s="246"/>
      <c r="J144" s="246"/>
      <c r="K144" s="247">
        <f t="shared" si="21"/>
        <v>0</v>
      </c>
      <c r="L144" s="246"/>
      <c r="M144" s="246"/>
      <c r="N144" s="247">
        <f t="shared" si="22"/>
        <v>0</v>
      </c>
    </row>
    <row r="145" spans="1:14" ht="15.75" hidden="1" thickBot="1" x14ac:dyDescent="0.3">
      <c r="A145" s="61" t="s">
        <v>254</v>
      </c>
      <c r="B145" s="62" t="s">
        <v>255</v>
      </c>
      <c r="C145" s="246"/>
      <c r="D145" s="246"/>
      <c r="E145" s="247">
        <f t="shared" si="16"/>
        <v>0</v>
      </c>
      <c r="F145" s="246"/>
      <c r="G145" s="246"/>
      <c r="H145" s="247">
        <f t="shared" si="20"/>
        <v>0</v>
      </c>
      <c r="I145" s="246"/>
      <c r="J145" s="246"/>
      <c r="K145" s="247">
        <f t="shared" si="21"/>
        <v>0</v>
      </c>
      <c r="L145" s="246"/>
      <c r="M145" s="246"/>
      <c r="N145" s="247">
        <f t="shared" si="22"/>
        <v>0</v>
      </c>
    </row>
    <row r="146" spans="1:14" s="179" customFormat="1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61" t="s">
        <v>256</v>
      </c>
      <c r="B147" s="62" t="s">
        <v>257</v>
      </c>
      <c r="C147" s="246"/>
      <c r="D147" s="246"/>
      <c r="E147" s="247">
        <f t="shared" si="16"/>
        <v>0</v>
      </c>
      <c r="F147" s="246"/>
      <c r="G147" s="246"/>
      <c r="H147" s="247">
        <f t="shared" ref="H147:H150" si="23">SUM(F147:G147)</f>
        <v>0</v>
      </c>
      <c r="I147" s="246"/>
      <c r="J147" s="246"/>
      <c r="K147" s="247">
        <f t="shared" ref="K147:K150" si="24">SUM(I147:J147)</f>
        <v>0</v>
      </c>
      <c r="L147" s="246"/>
      <c r="M147" s="246"/>
      <c r="N147" s="247">
        <f t="shared" ref="N147:N150" si="25">SUM(L147:M147)</f>
        <v>0</v>
      </c>
    </row>
    <row r="148" spans="1:14" ht="15.75" hidden="1" thickBot="1" x14ac:dyDescent="0.3">
      <c r="A148" s="61" t="s">
        <v>258</v>
      </c>
      <c r="B148" s="62" t="s">
        <v>259</v>
      </c>
      <c r="C148" s="246"/>
      <c r="D148" s="246"/>
      <c r="E148" s="247">
        <f t="shared" si="16"/>
        <v>0</v>
      </c>
      <c r="F148" s="246"/>
      <c r="G148" s="246"/>
      <c r="H148" s="247">
        <f t="shared" si="23"/>
        <v>0</v>
      </c>
      <c r="I148" s="246"/>
      <c r="J148" s="246"/>
      <c r="K148" s="247">
        <f t="shared" si="24"/>
        <v>0</v>
      </c>
      <c r="L148" s="246"/>
      <c r="M148" s="246"/>
      <c r="N148" s="247">
        <f t="shared" si="25"/>
        <v>0</v>
      </c>
    </row>
    <row r="149" spans="1:14" ht="15.75" hidden="1" thickBot="1" x14ac:dyDescent="0.3">
      <c r="A149" s="61" t="s">
        <v>260</v>
      </c>
      <c r="B149" s="62" t="s">
        <v>261</v>
      </c>
      <c r="C149" s="246"/>
      <c r="D149" s="246"/>
      <c r="E149" s="247">
        <f t="shared" si="16"/>
        <v>0</v>
      </c>
      <c r="F149" s="246"/>
      <c r="G149" s="246"/>
      <c r="H149" s="247">
        <f t="shared" si="23"/>
        <v>0</v>
      </c>
      <c r="I149" s="246"/>
      <c r="J149" s="246"/>
      <c r="K149" s="247">
        <f t="shared" si="24"/>
        <v>0</v>
      </c>
      <c r="L149" s="246"/>
      <c r="M149" s="246"/>
      <c r="N149" s="247">
        <f t="shared" si="25"/>
        <v>0</v>
      </c>
    </row>
    <row r="150" spans="1:14" ht="15.75" hidden="1" thickBot="1" x14ac:dyDescent="0.3">
      <c r="A150" s="63"/>
      <c r="B150" s="64" t="s">
        <v>262</v>
      </c>
      <c r="C150" s="256"/>
      <c r="D150" s="248"/>
      <c r="E150" s="249">
        <f t="shared" si="16"/>
        <v>0</v>
      </c>
      <c r="F150" s="256"/>
      <c r="G150" s="248"/>
      <c r="H150" s="249">
        <f t="shared" si="23"/>
        <v>0</v>
      </c>
      <c r="I150" s="256"/>
      <c r="J150" s="248"/>
      <c r="K150" s="249">
        <f t="shared" si="24"/>
        <v>0</v>
      </c>
      <c r="L150" s="256"/>
      <c r="M150" s="248"/>
      <c r="N150" s="249">
        <f t="shared" si="25"/>
        <v>0</v>
      </c>
    </row>
    <row r="151" spans="1:14" ht="15.75" thickBot="1" x14ac:dyDescent="0.3">
      <c r="A151" s="65" t="s">
        <v>265</v>
      </c>
      <c r="B151" s="47" t="s">
        <v>263</v>
      </c>
      <c r="C151" s="250">
        <f>C143+C142</f>
        <v>23058022</v>
      </c>
      <c r="D151" s="257">
        <f>D143+D142</f>
        <v>0</v>
      </c>
      <c r="E151" s="258">
        <f>SUM(C151:D151)</f>
        <v>23058022</v>
      </c>
      <c r="F151" s="250">
        <f>F143+F142</f>
        <v>23058022</v>
      </c>
      <c r="G151" s="257">
        <f>G143+G142</f>
        <v>0</v>
      </c>
      <c r="H151" s="258">
        <f>SUM(F151:G151)</f>
        <v>23058022</v>
      </c>
      <c r="I151" s="250">
        <f>I143+I142</f>
        <v>23120791</v>
      </c>
      <c r="J151" s="257">
        <f>J143+J142</f>
        <v>0</v>
      </c>
      <c r="K151" s="258">
        <f>SUM(I151:J151)</f>
        <v>23120791</v>
      </c>
      <c r="L151" s="250">
        <f>L143+L142</f>
        <v>22960989</v>
      </c>
      <c r="M151" s="257">
        <f>M143+M142</f>
        <v>0</v>
      </c>
      <c r="N151" s="258">
        <f>SUM(L151:M151)</f>
        <v>22960989</v>
      </c>
    </row>
    <row r="152" spans="1:14" x14ac:dyDescent="0.25">
      <c r="D152" s="78"/>
      <c r="E152" s="78"/>
      <c r="G152" s="78"/>
      <c r="H152" s="78"/>
      <c r="J152" s="78"/>
      <c r="K152" s="78"/>
      <c r="M152" s="78"/>
      <c r="N152" s="78"/>
    </row>
    <row r="153" spans="1:14" x14ac:dyDescent="0.25">
      <c r="C153" s="148"/>
      <c r="D153" s="148"/>
      <c r="E153" s="148">
        <f t="shared" ref="E153" si="26">E85-E151</f>
        <v>-23058022</v>
      </c>
      <c r="F153" s="148"/>
      <c r="G153" s="148"/>
      <c r="H153" s="148">
        <f t="shared" ref="H153" si="27">H85-H151</f>
        <v>-23058022</v>
      </c>
      <c r="I153" s="148"/>
      <c r="J153" s="148"/>
      <c r="K153" s="148">
        <f t="shared" ref="K153" si="28">K85-K151</f>
        <v>-23120791</v>
      </c>
      <c r="L153" s="148"/>
      <c r="M153" s="148"/>
      <c r="N153" s="148">
        <f t="shared" ref="N153" si="29">N85-N151</f>
        <v>-22960989</v>
      </c>
    </row>
  </sheetData>
  <mergeCells count="2">
    <mergeCell ref="A1:E1"/>
    <mergeCell ref="A2:E2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47" fitToHeight="0" orientation="portrait" horizontalDpi="300" verticalDpi="30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N153"/>
  <sheetViews>
    <sheetView zoomScaleNormal="100" workbookViewId="0">
      <selection activeCell="J91" sqref="J91"/>
    </sheetView>
  </sheetViews>
  <sheetFormatPr defaultRowHeight="15" x14ac:dyDescent="0.25"/>
  <cols>
    <col min="1" max="1" width="9.140625" style="179"/>
    <col min="2" max="2" width="59.140625" style="179" bestFit="1" customWidth="1"/>
    <col min="3" max="3" width="10.85546875" customWidth="1"/>
    <col min="5" max="5" width="11.5703125" style="179" customWidth="1"/>
    <col min="6" max="6" width="10.85546875" style="179" customWidth="1"/>
    <col min="7" max="7" width="9.140625" style="179"/>
    <col min="8" max="8" width="11.5703125" style="179" customWidth="1"/>
    <col min="9" max="9" width="10.85546875" style="179" customWidth="1"/>
    <col min="10" max="10" width="9.140625" style="179"/>
    <col min="11" max="11" width="11.5703125" style="179" customWidth="1"/>
    <col min="12" max="12" width="10.85546875" style="179" customWidth="1"/>
    <col min="13" max="13" width="9.140625" style="179"/>
    <col min="14" max="14" width="11.5703125" style="179" customWidth="1"/>
  </cols>
  <sheetData>
    <row r="1" spans="1:14" s="179" customFormat="1" x14ac:dyDescent="0.25">
      <c r="A1" s="912" t="s">
        <v>631</v>
      </c>
      <c r="B1" s="912"/>
      <c r="C1" s="912"/>
      <c r="D1" s="912"/>
      <c r="E1" s="912"/>
    </row>
    <row r="2" spans="1:14" s="179" customFormat="1" x14ac:dyDescent="0.25">
      <c r="A2" s="912" t="s">
        <v>271</v>
      </c>
      <c r="B2" s="912"/>
      <c r="C2" s="912"/>
      <c r="D2" s="912"/>
      <c r="E2" s="912"/>
    </row>
    <row r="3" spans="1:14" x14ac:dyDescent="0.25">
      <c r="E3" s="364"/>
      <c r="H3" s="615"/>
      <c r="K3" s="638"/>
      <c r="N3" s="704"/>
    </row>
    <row r="4" spans="1:14" x14ac:dyDescent="0.25">
      <c r="A4" s="79" t="s">
        <v>270</v>
      </c>
      <c r="C4" s="45" t="str">
        <f>'1 címrend'!B1</f>
        <v xml:space="preserve"> 12 / 2020. (VI.15) sz rendelet</v>
      </c>
      <c r="E4" s="364"/>
      <c r="H4" s="615"/>
      <c r="K4" s="638"/>
      <c r="N4" s="704"/>
    </row>
    <row r="5" spans="1:14" x14ac:dyDescent="0.25">
      <c r="A5" s="243" t="s">
        <v>338</v>
      </c>
      <c r="B5" s="81" t="s">
        <v>339</v>
      </c>
      <c r="E5" s="364"/>
      <c r="H5" s="615"/>
      <c r="K5" s="638"/>
      <c r="N5" s="704"/>
    </row>
    <row r="6" spans="1:14" x14ac:dyDescent="0.25">
      <c r="B6" s="147" t="s">
        <v>922</v>
      </c>
      <c r="C6" s="519" t="s">
        <v>722</v>
      </c>
      <c r="D6" s="622" t="str">
        <f>'5.2 adó cofog'!D6</f>
        <v xml:space="preserve"> melléklet az 12/2020. (VI.15.) rendelethez</v>
      </c>
      <c r="E6" s="45"/>
      <c r="F6" s="45"/>
      <c r="G6" s="45"/>
      <c r="H6" s="45"/>
      <c r="I6" s="883"/>
      <c r="J6" s="883"/>
      <c r="K6" s="883"/>
      <c r="L6" s="883"/>
      <c r="M6" s="883"/>
      <c r="N6" s="883"/>
    </row>
    <row r="7" spans="1:14" ht="15.75" thickBot="1" x14ac:dyDescent="0.3"/>
    <row r="8" spans="1:14" ht="32.25" thickBot="1" x14ac:dyDescent="0.3">
      <c r="A8" s="181" t="s">
        <v>42</v>
      </c>
      <c r="B8" s="182" t="s">
        <v>23</v>
      </c>
      <c r="C8" s="181" t="s">
        <v>32</v>
      </c>
      <c r="D8" s="200" t="s">
        <v>33</v>
      </c>
      <c r="E8" s="199" t="s">
        <v>21</v>
      </c>
      <c r="F8" s="181" t="s">
        <v>32</v>
      </c>
      <c r="G8" s="200" t="s">
        <v>33</v>
      </c>
      <c r="H8" s="199" t="s">
        <v>826</v>
      </c>
      <c r="I8" s="181" t="s">
        <v>32</v>
      </c>
      <c r="J8" s="200" t="s">
        <v>33</v>
      </c>
      <c r="K8" s="199" t="s">
        <v>864</v>
      </c>
      <c r="L8" s="181" t="s">
        <v>32</v>
      </c>
      <c r="M8" s="200" t="s">
        <v>33</v>
      </c>
      <c r="N8" s="199" t="s">
        <v>908</v>
      </c>
    </row>
    <row r="9" spans="1:14" ht="15.75" thickBot="1" x14ac:dyDescent="0.3">
      <c r="A9" s="183" t="s">
        <v>43</v>
      </c>
      <c r="B9" s="189" t="s">
        <v>44</v>
      </c>
      <c r="C9" s="244">
        <f t="shared" ref="C9:D9" si="0">SUM(C10,C17,C18,C20,C21,C19)</f>
        <v>0</v>
      </c>
      <c r="D9" s="244">
        <f t="shared" si="0"/>
        <v>0</v>
      </c>
      <c r="E9" s="245">
        <f t="shared" ref="E9:E73" si="1">SUM(C9:D9)</f>
        <v>0</v>
      </c>
      <c r="F9" s="244">
        <f t="shared" ref="F9:G9" si="2">SUM(F10,F17,F18,F20,F21,F19)</f>
        <v>0</v>
      </c>
      <c r="G9" s="244">
        <f t="shared" si="2"/>
        <v>0</v>
      </c>
      <c r="H9" s="245">
        <f t="shared" ref="H9:H73" si="3">SUM(F9:G9)</f>
        <v>0</v>
      </c>
      <c r="I9" s="244">
        <f t="shared" ref="I9:J9" si="4">SUM(I10,I17,I18,I20,I21,I19)</f>
        <v>0</v>
      </c>
      <c r="J9" s="244">
        <f t="shared" si="4"/>
        <v>0</v>
      </c>
      <c r="K9" s="245">
        <f t="shared" ref="K9:K73" si="5">SUM(I9:J9)</f>
        <v>0</v>
      </c>
      <c r="L9" s="244">
        <f t="shared" ref="L9:M9" si="6">SUM(L10,L17,L18,L20,L21,L19)</f>
        <v>0</v>
      </c>
      <c r="M9" s="244">
        <f t="shared" si="6"/>
        <v>0</v>
      </c>
      <c r="N9" s="245">
        <f t="shared" ref="N9:N73" si="7">SUM(L9:M9)</f>
        <v>0</v>
      </c>
    </row>
    <row r="10" spans="1:14" ht="15.75" hidden="1" thickBot="1" x14ac:dyDescent="0.3">
      <c r="A10" s="184" t="s">
        <v>45</v>
      </c>
      <c r="B10" s="180" t="s">
        <v>46</v>
      </c>
      <c r="C10" s="246">
        <f t="shared" ref="C10:D10" si="8">SUM(C11:C16)</f>
        <v>0</v>
      </c>
      <c r="D10" s="246">
        <f t="shared" si="8"/>
        <v>0</v>
      </c>
      <c r="E10" s="247">
        <f t="shared" si="1"/>
        <v>0</v>
      </c>
      <c r="F10" s="246">
        <f t="shared" ref="F10:G10" si="9">SUM(F11:F16)</f>
        <v>0</v>
      </c>
      <c r="G10" s="246">
        <f t="shared" si="9"/>
        <v>0</v>
      </c>
      <c r="H10" s="247">
        <f t="shared" si="3"/>
        <v>0</v>
      </c>
      <c r="I10" s="246">
        <f t="shared" ref="I10:J10" si="10">SUM(I11:I16)</f>
        <v>0</v>
      </c>
      <c r="J10" s="246">
        <f t="shared" si="10"/>
        <v>0</v>
      </c>
      <c r="K10" s="247">
        <f t="shared" si="5"/>
        <v>0</v>
      </c>
      <c r="L10" s="246">
        <f t="shared" ref="L10:M10" si="11">SUM(L11:L16)</f>
        <v>0</v>
      </c>
      <c r="M10" s="246">
        <f t="shared" si="11"/>
        <v>0</v>
      </c>
      <c r="N10" s="247">
        <f t="shared" si="7"/>
        <v>0</v>
      </c>
    </row>
    <row r="11" spans="1:14" ht="15.75" hidden="1" thickBot="1" x14ac:dyDescent="0.3">
      <c r="A11" s="184" t="s">
        <v>47</v>
      </c>
      <c r="B11" s="180" t="s">
        <v>48</v>
      </c>
      <c r="C11" s="246"/>
      <c r="D11" s="246"/>
      <c r="E11" s="247">
        <f t="shared" si="1"/>
        <v>0</v>
      </c>
      <c r="F11" s="246"/>
      <c r="G11" s="246"/>
      <c r="H11" s="247">
        <f t="shared" si="3"/>
        <v>0</v>
      </c>
      <c r="I11" s="246"/>
      <c r="J11" s="246"/>
      <c r="K11" s="247">
        <f t="shared" si="5"/>
        <v>0</v>
      </c>
      <c r="L11" s="246"/>
      <c r="M11" s="246"/>
      <c r="N11" s="247">
        <f t="shared" si="7"/>
        <v>0</v>
      </c>
    </row>
    <row r="12" spans="1:14" ht="15.75" hidden="1" thickBot="1" x14ac:dyDescent="0.3">
      <c r="A12" s="184" t="s">
        <v>49</v>
      </c>
      <c r="B12" s="180" t="s">
        <v>50</v>
      </c>
      <c r="C12" s="246"/>
      <c r="D12" s="246"/>
      <c r="E12" s="247">
        <f t="shared" si="1"/>
        <v>0</v>
      </c>
      <c r="F12" s="246"/>
      <c r="G12" s="246"/>
      <c r="H12" s="247">
        <f t="shared" si="3"/>
        <v>0</v>
      </c>
      <c r="I12" s="246"/>
      <c r="J12" s="246"/>
      <c r="K12" s="247">
        <f t="shared" si="5"/>
        <v>0</v>
      </c>
      <c r="L12" s="246"/>
      <c r="M12" s="246"/>
      <c r="N12" s="247">
        <f t="shared" si="7"/>
        <v>0</v>
      </c>
    </row>
    <row r="13" spans="1:14" ht="15.75" hidden="1" thickBot="1" x14ac:dyDescent="0.3">
      <c r="A13" s="184" t="s">
        <v>51</v>
      </c>
      <c r="B13" s="180" t="s">
        <v>52</v>
      </c>
      <c r="C13" s="246"/>
      <c r="D13" s="246"/>
      <c r="E13" s="247">
        <f t="shared" si="1"/>
        <v>0</v>
      </c>
      <c r="F13" s="246"/>
      <c r="G13" s="246"/>
      <c r="H13" s="247">
        <f t="shared" si="3"/>
        <v>0</v>
      </c>
      <c r="I13" s="246"/>
      <c r="J13" s="246"/>
      <c r="K13" s="247">
        <f t="shared" si="5"/>
        <v>0</v>
      </c>
      <c r="L13" s="246"/>
      <c r="M13" s="246"/>
      <c r="N13" s="247">
        <f t="shared" si="7"/>
        <v>0</v>
      </c>
    </row>
    <row r="14" spans="1:14" ht="15.75" hidden="1" thickBot="1" x14ac:dyDescent="0.3">
      <c r="A14" s="184" t="s">
        <v>53</v>
      </c>
      <c r="B14" s="180" t="s">
        <v>54</v>
      </c>
      <c r="C14" s="246"/>
      <c r="D14" s="246"/>
      <c r="E14" s="247">
        <f t="shared" si="1"/>
        <v>0</v>
      </c>
      <c r="F14" s="246"/>
      <c r="G14" s="246"/>
      <c r="H14" s="247">
        <f t="shared" si="3"/>
        <v>0</v>
      </c>
      <c r="I14" s="246"/>
      <c r="J14" s="246"/>
      <c r="K14" s="247">
        <f t="shared" si="5"/>
        <v>0</v>
      </c>
      <c r="L14" s="246"/>
      <c r="M14" s="246"/>
      <c r="N14" s="247">
        <f t="shared" si="7"/>
        <v>0</v>
      </c>
    </row>
    <row r="15" spans="1:14" ht="15.75" hidden="1" thickBot="1" x14ac:dyDescent="0.3">
      <c r="A15" s="184" t="s">
        <v>55</v>
      </c>
      <c r="B15" s="180" t="s">
        <v>56</v>
      </c>
      <c r="C15" s="246"/>
      <c r="D15" s="246"/>
      <c r="E15" s="247">
        <f t="shared" si="1"/>
        <v>0</v>
      </c>
      <c r="F15" s="246"/>
      <c r="G15" s="246"/>
      <c r="H15" s="247">
        <f t="shared" si="3"/>
        <v>0</v>
      </c>
      <c r="I15" s="246"/>
      <c r="J15" s="246"/>
      <c r="K15" s="247">
        <f t="shared" si="5"/>
        <v>0</v>
      </c>
      <c r="L15" s="246"/>
      <c r="M15" s="246"/>
      <c r="N15" s="247">
        <f t="shared" si="7"/>
        <v>0</v>
      </c>
    </row>
    <row r="16" spans="1:14" ht="15.75" hidden="1" thickBot="1" x14ac:dyDescent="0.3">
      <c r="A16" s="184" t="s">
        <v>57</v>
      </c>
      <c r="B16" s="180" t="s">
        <v>58</v>
      </c>
      <c r="C16" s="246"/>
      <c r="D16" s="246"/>
      <c r="E16" s="247">
        <f t="shared" si="1"/>
        <v>0</v>
      </c>
      <c r="F16" s="246"/>
      <c r="G16" s="246"/>
      <c r="H16" s="247">
        <f t="shared" si="3"/>
        <v>0</v>
      </c>
      <c r="I16" s="246"/>
      <c r="J16" s="246"/>
      <c r="K16" s="247">
        <f t="shared" si="5"/>
        <v>0</v>
      </c>
      <c r="L16" s="246"/>
      <c r="M16" s="246"/>
      <c r="N16" s="247">
        <f t="shared" si="7"/>
        <v>0</v>
      </c>
    </row>
    <row r="17" spans="1:14" ht="15.75" hidden="1" thickBot="1" x14ac:dyDescent="0.3">
      <c r="A17" s="184" t="s">
        <v>59</v>
      </c>
      <c r="B17" s="180" t="s">
        <v>60</v>
      </c>
      <c r="C17" s="246"/>
      <c r="D17" s="246"/>
      <c r="E17" s="247">
        <f t="shared" si="1"/>
        <v>0</v>
      </c>
      <c r="F17" s="246"/>
      <c r="G17" s="246"/>
      <c r="H17" s="247">
        <f t="shared" si="3"/>
        <v>0</v>
      </c>
      <c r="I17" s="246"/>
      <c r="J17" s="246"/>
      <c r="K17" s="247">
        <f t="shared" si="5"/>
        <v>0</v>
      </c>
      <c r="L17" s="246"/>
      <c r="M17" s="246"/>
      <c r="N17" s="247">
        <f t="shared" si="7"/>
        <v>0</v>
      </c>
    </row>
    <row r="18" spans="1:14" ht="15.75" hidden="1" thickBot="1" x14ac:dyDescent="0.3">
      <c r="A18" s="184" t="s">
        <v>61</v>
      </c>
      <c r="B18" s="180" t="s">
        <v>62</v>
      </c>
      <c r="C18" s="246"/>
      <c r="D18" s="246"/>
      <c r="E18" s="247">
        <f t="shared" si="1"/>
        <v>0</v>
      </c>
      <c r="F18" s="246"/>
      <c r="G18" s="246"/>
      <c r="H18" s="247">
        <f t="shared" si="3"/>
        <v>0</v>
      </c>
      <c r="I18" s="246"/>
      <c r="J18" s="246"/>
      <c r="K18" s="247">
        <f t="shared" si="5"/>
        <v>0</v>
      </c>
      <c r="L18" s="246"/>
      <c r="M18" s="246"/>
      <c r="N18" s="247">
        <f t="shared" si="7"/>
        <v>0</v>
      </c>
    </row>
    <row r="19" spans="1:14" ht="15.75" hidden="1" thickBot="1" x14ac:dyDescent="0.3">
      <c r="A19" s="185" t="s">
        <v>266</v>
      </c>
      <c r="B19" s="192" t="s">
        <v>267</v>
      </c>
      <c r="C19" s="246"/>
      <c r="D19" s="246"/>
      <c r="E19" s="247">
        <f t="shared" si="1"/>
        <v>0</v>
      </c>
      <c r="F19" s="246"/>
      <c r="G19" s="246"/>
      <c r="H19" s="247">
        <f t="shared" si="3"/>
        <v>0</v>
      </c>
      <c r="I19" s="246"/>
      <c r="J19" s="246"/>
      <c r="K19" s="247">
        <f t="shared" si="5"/>
        <v>0</v>
      </c>
      <c r="L19" s="246"/>
      <c r="M19" s="246"/>
      <c r="N19" s="247">
        <f t="shared" si="7"/>
        <v>0</v>
      </c>
    </row>
    <row r="20" spans="1:14" ht="15.75" hidden="1" thickBot="1" x14ac:dyDescent="0.3">
      <c r="A20" s="185" t="s">
        <v>63</v>
      </c>
      <c r="B20" s="192" t="s">
        <v>64</v>
      </c>
      <c r="C20" s="246"/>
      <c r="D20" s="246"/>
      <c r="E20" s="247">
        <f t="shared" si="1"/>
        <v>0</v>
      </c>
      <c r="F20" s="246"/>
      <c r="G20" s="246"/>
      <c r="H20" s="247">
        <f t="shared" si="3"/>
        <v>0</v>
      </c>
      <c r="I20" s="246"/>
      <c r="J20" s="246"/>
      <c r="K20" s="247">
        <f t="shared" si="5"/>
        <v>0</v>
      </c>
      <c r="L20" s="246"/>
      <c r="M20" s="246"/>
      <c r="N20" s="247">
        <f t="shared" si="7"/>
        <v>0</v>
      </c>
    </row>
    <row r="21" spans="1:14" ht="15.75" hidden="1" thickBot="1" x14ac:dyDescent="0.3">
      <c r="A21" s="185" t="s">
        <v>65</v>
      </c>
      <c r="B21" s="192" t="s">
        <v>66</v>
      </c>
      <c r="C21" s="248"/>
      <c r="D21" s="248"/>
      <c r="E21" s="249">
        <f t="shared" si="1"/>
        <v>0</v>
      </c>
      <c r="F21" s="248"/>
      <c r="G21" s="248"/>
      <c r="H21" s="249">
        <f t="shared" si="3"/>
        <v>0</v>
      </c>
      <c r="I21" s="248"/>
      <c r="J21" s="248"/>
      <c r="K21" s="249">
        <f t="shared" si="5"/>
        <v>0</v>
      </c>
      <c r="L21" s="248"/>
      <c r="M21" s="248"/>
      <c r="N21" s="249">
        <f t="shared" si="7"/>
        <v>0</v>
      </c>
    </row>
    <row r="22" spans="1:14" x14ac:dyDescent="0.25">
      <c r="A22" s="75" t="s">
        <v>67</v>
      </c>
      <c r="B22" s="196" t="s">
        <v>27</v>
      </c>
      <c r="C22" s="244">
        <f t="shared" ref="C22:D22" si="12">SUM(C23:C24)</f>
        <v>0</v>
      </c>
      <c r="D22" s="244">
        <f t="shared" si="12"/>
        <v>0</v>
      </c>
      <c r="E22" s="245">
        <f t="shared" si="1"/>
        <v>0</v>
      </c>
      <c r="F22" s="244">
        <f t="shared" ref="F22:G22" si="13">SUM(F23:F24)</f>
        <v>0</v>
      </c>
      <c r="G22" s="244">
        <f t="shared" si="13"/>
        <v>0</v>
      </c>
      <c r="H22" s="245">
        <f t="shared" si="3"/>
        <v>0</v>
      </c>
      <c r="I22" s="244">
        <f t="shared" ref="I22:J22" si="14">SUM(I23:I24)</f>
        <v>0</v>
      </c>
      <c r="J22" s="244">
        <f t="shared" si="14"/>
        <v>0</v>
      </c>
      <c r="K22" s="245">
        <f t="shared" si="5"/>
        <v>0</v>
      </c>
      <c r="L22" s="244">
        <f t="shared" ref="L22:M22" si="15">SUM(L23:L24)</f>
        <v>0</v>
      </c>
      <c r="M22" s="244">
        <f t="shared" si="15"/>
        <v>0</v>
      </c>
      <c r="N22" s="245">
        <f t="shared" si="7"/>
        <v>0</v>
      </c>
    </row>
    <row r="23" spans="1:14" hidden="1" x14ac:dyDescent="0.25">
      <c r="A23" s="76"/>
      <c r="B23" s="201" t="s">
        <v>268</v>
      </c>
      <c r="C23" s="246"/>
      <c r="D23" s="246"/>
      <c r="E23" s="247">
        <f t="shared" si="1"/>
        <v>0</v>
      </c>
      <c r="F23" s="246"/>
      <c r="G23" s="246"/>
      <c r="H23" s="247">
        <f t="shared" si="3"/>
        <v>0</v>
      </c>
      <c r="I23" s="246"/>
      <c r="J23" s="246"/>
      <c r="K23" s="247">
        <f t="shared" si="5"/>
        <v>0</v>
      </c>
      <c r="L23" s="246"/>
      <c r="M23" s="246"/>
      <c r="N23" s="247">
        <f t="shared" si="7"/>
        <v>0</v>
      </c>
    </row>
    <row r="24" spans="1:14" ht="15.75" hidden="1" thickBot="1" x14ac:dyDescent="0.3">
      <c r="A24" s="77"/>
      <c r="B24" s="206" t="s">
        <v>269</v>
      </c>
      <c r="C24" s="248"/>
      <c r="D24" s="248"/>
      <c r="E24" s="249">
        <f t="shared" si="1"/>
        <v>0</v>
      </c>
      <c r="F24" s="248"/>
      <c r="G24" s="248"/>
      <c r="H24" s="249">
        <f t="shared" si="3"/>
        <v>0</v>
      </c>
      <c r="I24" s="248"/>
      <c r="J24" s="248"/>
      <c r="K24" s="249">
        <f t="shared" si="5"/>
        <v>0</v>
      </c>
      <c r="L24" s="248"/>
      <c r="M24" s="248"/>
      <c r="N24" s="249">
        <f t="shared" si="7"/>
        <v>0</v>
      </c>
    </row>
    <row r="25" spans="1:14" ht="15.75" thickBot="1" x14ac:dyDescent="0.3">
      <c r="A25" s="187" t="s">
        <v>68</v>
      </c>
      <c r="B25" s="198" t="s">
        <v>25</v>
      </c>
      <c r="C25" s="244">
        <f t="shared" ref="C25:D25" si="16">C26+C30+C38</f>
        <v>0</v>
      </c>
      <c r="D25" s="244">
        <f t="shared" si="16"/>
        <v>0</v>
      </c>
      <c r="E25" s="245">
        <f t="shared" si="1"/>
        <v>0</v>
      </c>
      <c r="F25" s="244">
        <f t="shared" ref="F25:G25" si="17">F26+F30+F38</f>
        <v>0</v>
      </c>
      <c r="G25" s="244">
        <f t="shared" si="17"/>
        <v>0</v>
      </c>
      <c r="H25" s="245">
        <f t="shared" si="3"/>
        <v>0</v>
      </c>
      <c r="I25" s="244">
        <f t="shared" ref="I25:J25" si="18">I26+I30+I38</f>
        <v>0</v>
      </c>
      <c r="J25" s="244">
        <f t="shared" si="18"/>
        <v>0</v>
      </c>
      <c r="K25" s="245">
        <f t="shared" si="5"/>
        <v>0</v>
      </c>
      <c r="L25" s="244">
        <f t="shared" ref="L25:M25" si="19">L26+L30+L38</f>
        <v>0</v>
      </c>
      <c r="M25" s="244">
        <f t="shared" si="19"/>
        <v>0</v>
      </c>
      <c r="N25" s="245">
        <f t="shared" si="7"/>
        <v>0</v>
      </c>
    </row>
    <row r="26" spans="1:14" ht="15.75" hidden="1" thickBot="1" x14ac:dyDescent="0.3">
      <c r="A26" s="184" t="s">
        <v>69</v>
      </c>
      <c r="B26" s="180" t="s">
        <v>70</v>
      </c>
      <c r="C26" s="246">
        <f t="shared" ref="C26:D26" si="20">SUM(C27:C29)</f>
        <v>0</v>
      </c>
      <c r="D26" s="246">
        <f t="shared" si="20"/>
        <v>0</v>
      </c>
      <c r="E26" s="247">
        <f t="shared" si="1"/>
        <v>0</v>
      </c>
      <c r="F26" s="246">
        <f t="shared" ref="F26:G26" si="21">SUM(F27:F29)</f>
        <v>0</v>
      </c>
      <c r="G26" s="246">
        <f t="shared" si="21"/>
        <v>0</v>
      </c>
      <c r="H26" s="247">
        <f t="shared" si="3"/>
        <v>0</v>
      </c>
      <c r="I26" s="246">
        <f t="shared" ref="I26:J26" si="22">SUM(I27:I29)</f>
        <v>0</v>
      </c>
      <c r="J26" s="246">
        <f t="shared" si="22"/>
        <v>0</v>
      </c>
      <c r="K26" s="247">
        <f t="shared" si="5"/>
        <v>0</v>
      </c>
      <c r="L26" s="246">
        <f t="shared" ref="L26:M26" si="23">SUM(L27:L29)</f>
        <v>0</v>
      </c>
      <c r="M26" s="246">
        <f t="shared" si="23"/>
        <v>0</v>
      </c>
      <c r="N26" s="247">
        <f t="shared" si="7"/>
        <v>0</v>
      </c>
    </row>
    <row r="27" spans="1:14" ht="15.75" hidden="1" thickBot="1" x14ac:dyDescent="0.3">
      <c r="A27" s="184"/>
      <c r="B27" s="180" t="s">
        <v>71</v>
      </c>
      <c r="C27" s="246"/>
      <c r="D27" s="246"/>
      <c r="E27" s="247">
        <f t="shared" si="1"/>
        <v>0</v>
      </c>
      <c r="F27" s="246"/>
      <c r="G27" s="246"/>
      <c r="H27" s="247">
        <f t="shared" si="3"/>
        <v>0</v>
      </c>
      <c r="I27" s="246"/>
      <c r="J27" s="246"/>
      <c r="K27" s="247">
        <f t="shared" si="5"/>
        <v>0</v>
      </c>
      <c r="L27" s="246"/>
      <c r="M27" s="246"/>
      <c r="N27" s="247">
        <f t="shared" si="7"/>
        <v>0</v>
      </c>
    </row>
    <row r="28" spans="1:14" ht="15.75" hidden="1" thickBot="1" x14ac:dyDescent="0.3">
      <c r="A28" s="184"/>
      <c r="B28" s="180" t="s">
        <v>72</v>
      </c>
      <c r="C28" s="246"/>
      <c r="D28" s="246"/>
      <c r="E28" s="247">
        <f t="shared" si="1"/>
        <v>0</v>
      </c>
      <c r="F28" s="246"/>
      <c r="G28" s="246"/>
      <c r="H28" s="247">
        <f t="shared" si="3"/>
        <v>0</v>
      </c>
      <c r="I28" s="246"/>
      <c r="J28" s="246"/>
      <c r="K28" s="247">
        <f t="shared" si="5"/>
        <v>0</v>
      </c>
      <c r="L28" s="246"/>
      <c r="M28" s="246"/>
      <c r="N28" s="247">
        <f t="shared" si="7"/>
        <v>0</v>
      </c>
    </row>
    <row r="29" spans="1:14" ht="15.75" hidden="1" thickBot="1" x14ac:dyDescent="0.3">
      <c r="A29" s="184"/>
      <c r="B29" s="180" t="s">
        <v>73</v>
      </c>
      <c r="C29" s="246"/>
      <c r="D29" s="246"/>
      <c r="E29" s="247">
        <f t="shared" si="1"/>
        <v>0</v>
      </c>
      <c r="F29" s="246"/>
      <c r="G29" s="246"/>
      <c r="H29" s="247">
        <f t="shared" si="3"/>
        <v>0</v>
      </c>
      <c r="I29" s="246"/>
      <c r="J29" s="246"/>
      <c r="K29" s="247">
        <f t="shared" si="5"/>
        <v>0</v>
      </c>
      <c r="L29" s="246"/>
      <c r="M29" s="246"/>
      <c r="N29" s="247">
        <f t="shared" si="7"/>
        <v>0</v>
      </c>
    </row>
    <row r="30" spans="1:14" ht="15.75" hidden="1" thickBot="1" x14ac:dyDescent="0.3">
      <c r="A30" s="184" t="s">
        <v>74</v>
      </c>
      <c r="B30" s="180" t="s">
        <v>75</v>
      </c>
      <c r="C30" s="246">
        <f t="shared" ref="C30:D30" si="24">C31+C33+C34</f>
        <v>0</v>
      </c>
      <c r="D30" s="246">
        <f t="shared" si="24"/>
        <v>0</v>
      </c>
      <c r="E30" s="247">
        <f t="shared" si="1"/>
        <v>0</v>
      </c>
      <c r="F30" s="246">
        <f t="shared" ref="F30:G30" si="25">F31+F33+F34</f>
        <v>0</v>
      </c>
      <c r="G30" s="246">
        <f t="shared" si="25"/>
        <v>0</v>
      </c>
      <c r="H30" s="247">
        <f t="shared" si="3"/>
        <v>0</v>
      </c>
      <c r="I30" s="246">
        <f t="shared" ref="I30:J30" si="26">I31+I33+I34</f>
        <v>0</v>
      </c>
      <c r="J30" s="246">
        <f t="shared" si="26"/>
        <v>0</v>
      </c>
      <c r="K30" s="247">
        <f t="shared" si="5"/>
        <v>0</v>
      </c>
      <c r="L30" s="246">
        <f t="shared" ref="L30:M30" si="27">L31+L33+L34</f>
        <v>0</v>
      </c>
      <c r="M30" s="246">
        <f t="shared" si="27"/>
        <v>0</v>
      </c>
      <c r="N30" s="247">
        <f t="shared" si="7"/>
        <v>0</v>
      </c>
    </row>
    <row r="31" spans="1:14" ht="15.75" hidden="1" thickBot="1" x14ac:dyDescent="0.3">
      <c r="A31" s="184" t="s">
        <v>76</v>
      </c>
      <c r="B31" s="180" t="s">
        <v>77</v>
      </c>
      <c r="C31" s="246">
        <f t="shared" ref="C31:M31" si="28">C32</f>
        <v>0</v>
      </c>
      <c r="D31" s="246">
        <f t="shared" si="28"/>
        <v>0</v>
      </c>
      <c r="E31" s="247">
        <f t="shared" si="1"/>
        <v>0</v>
      </c>
      <c r="F31" s="246">
        <f t="shared" si="28"/>
        <v>0</v>
      </c>
      <c r="G31" s="246">
        <f t="shared" si="28"/>
        <v>0</v>
      </c>
      <c r="H31" s="247">
        <f t="shared" si="3"/>
        <v>0</v>
      </c>
      <c r="I31" s="246">
        <f t="shared" si="28"/>
        <v>0</v>
      </c>
      <c r="J31" s="246">
        <f t="shared" si="28"/>
        <v>0</v>
      </c>
      <c r="K31" s="247">
        <f t="shared" si="5"/>
        <v>0</v>
      </c>
      <c r="L31" s="246">
        <f t="shared" si="28"/>
        <v>0</v>
      </c>
      <c r="M31" s="246">
        <f t="shared" si="28"/>
        <v>0</v>
      </c>
      <c r="N31" s="247">
        <f t="shared" si="7"/>
        <v>0</v>
      </c>
    </row>
    <row r="32" spans="1:14" ht="15.75" hidden="1" thickBot="1" x14ac:dyDescent="0.3">
      <c r="A32" s="184"/>
      <c r="B32" s="180" t="s">
        <v>78</v>
      </c>
      <c r="C32" s="246"/>
      <c r="D32" s="246"/>
      <c r="E32" s="247">
        <f t="shared" si="1"/>
        <v>0</v>
      </c>
      <c r="F32" s="246"/>
      <c r="G32" s="246"/>
      <c r="H32" s="247">
        <f t="shared" si="3"/>
        <v>0</v>
      </c>
      <c r="I32" s="246"/>
      <c r="J32" s="246"/>
      <c r="K32" s="247">
        <f t="shared" si="5"/>
        <v>0</v>
      </c>
      <c r="L32" s="246"/>
      <c r="M32" s="246"/>
      <c r="N32" s="247">
        <f t="shared" si="7"/>
        <v>0</v>
      </c>
    </row>
    <row r="33" spans="1:14" ht="15.75" hidden="1" thickBot="1" x14ac:dyDescent="0.3">
      <c r="A33" s="184" t="s">
        <v>79</v>
      </c>
      <c r="B33" s="180" t="s">
        <v>80</v>
      </c>
      <c r="C33" s="246"/>
      <c r="D33" s="246"/>
      <c r="E33" s="247">
        <f t="shared" si="1"/>
        <v>0</v>
      </c>
      <c r="F33" s="246"/>
      <c r="G33" s="246"/>
      <c r="H33" s="247">
        <f t="shared" si="3"/>
        <v>0</v>
      </c>
      <c r="I33" s="246"/>
      <c r="J33" s="246"/>
      <c r="K33" s="247">
        <f t="shared" si="5"/>
        <v>0</v>
      </c>
      <c r="L33" s="246"/>
      <c r="M33" s="246"/>
      <c r="N33" s="247">
        <f t="shared" si="7"/>
        <v>0</v>
      </c>
    </row>
    <row r="34" spans="1:14" ht="15.75" hidden="1" thickBot="1" x14ac:dyDescent="0.3">
      <c r="A34" s="184" t="s">
        <v>81</v>
      </c>
      <c r="B34" s="180" t="s">
        <v>82</v>
      </c>
      <c r="C34" s="246">
        <f t="shared" ref="C34:D34" si="29">SUM(C35:C37)</f>
        <v>0</v>
      </c>
      <c r="D34" s="246">
        <f t="shared" si="29"/>
        <v>0</v>
      </c>
      <c r="E34" s="247">
        <f t="shared" si="1"/>
        <v>0</v>
      </c>
      <c r="F34" s="246">
        <f t="shared" ref="F34:G34" si="30">SUM(F35:F37)</f>
        <v>0</v>
      </c>
      <c r="G34" s="246">
        <f t="shared" si="30"/>
        <v>0</v>
      </c>
      <c r="H34" s="247">
        <f t="shared" si="3"/>
        <v>0</v>
      </c>
      <c r="I34" s="246">
        <f t="shared" ref="I34:J34" si="31">SUM(I35:I37)</f>
        <v>0</v>
      </c>
      <c r="J34" s="246">
        <f t="shared" si="31"/>
        <v>0</v>
      </c>
      <c r="K34" s="247">
        <f t="shared" si="5"/>
        <v>0</v>
      </c>
      <c r="L34" s="246">
        <f t="shared" ref="L34:M34" si="32">SUM(L35:L37)</f>
        <v>0</v>
      </c>
      <c r="M34" s="246">
        <f t="shared" si="32"/>
        <v>0</v>
      </c>
      <c r="N34" s="247">
        <f t="shared" si="7"/>
        <v>0</v>
      </c>
    </row>
    <row r="35" spans="1:14" ht="15.75" hidden="1" thickBot="1" x14ac:dyDescent="0.3">
      <c r="A35" s="184"/>
      <c r="B35" s="180" t="s">
        <v>83</v>
      </c>
      <c r="C35" s="246"/>
      <c r="D35" s="246"/>
      <c r="E35" s="247">
        <f t="shared" si="1"/>
        <v>0</v>
      </c>
      <c r="F35" s="246"/>
      <c r="G35" s="246"/>
      <c r="H35" s="247">
        <f t="shared" si="3"/>
        <v>0</v>
      </c>
      <c r="I35" s="246"/>
      <c r="J35" s="246"/>
      <c r="K35" s="247">
        <f t="shared" si="5"/>
        <v>0</v>
      </c>
      <c r="L35" s="246"/>
      <c r="M35" s="246"/>
      <c r="N35" s="247">
        <f t="shared" si="7"/>
        <v>0</v>
      </c>
    </row>
    <row r="36" spans="1:14" ht="15.75" hidden="1" thickBot="1" x14ac:dyDescent="0.3">
      <c r="A36" s="184"/>
      <c r="B36" s="180" t="s">
        <v>84</v>
      </c>
      <c r="C36" s="246"/>
      <c r="D36" s="246"/>
      <c r="E36" s="247">
        <f t="shared" si="1"/>
        <v>0</v>
      </c>
      <c r="F36" s="246"/>
      <c r="G36" s="246"/>
      <c r="H36" s="247">
        <f t="shared" si="3"/>
        <v>0</v>
      </c>
      <c r="I36" s="246"/>
      <c r="J36" s="246"/>
      <c r="K36" s="247">
        <f t="shared" si="5"/>
        <v>0</v>
      </c>
      <c r="L36" s="246"/>
      <c r="M36" s="246"/>
      <c r="N36" s="247">
        <f t="shared" si="7"/>
        <v>0</v>
      </c>
    </row>
    <row r="37" spans="1:14" ht="15.75" hidden="1" thickBot="1" x14ac:dyDescent="0.3">
      <c r="A37" s="184"/>
      <c r="B37" s="180" t="s">
        <v>85</v>
      </c>
      <c r="C37" s="246"/>
      <c r="D37" s="246"/>
      <c r="E37" s="247">
        <f t="shared" si="1"/>
        <v>0</v>
      </c>
      <c r="F37" s="246"/>
      <c r="G37" s="246"/>
      <c r="H37" s="247">
        <f t="shared" si="3"/>
        <v>0</v>
      </c>
      <c r="I37" s="246"/>
      <c r="J37" s="246"/>
      <c r="K37" s="247">
        <f t="shared" si="5"/>
        <v>0</v>
      </c>
      <c r="L37" s="246"/>
      <c r="M37" s="246"/>
      <c r="N37" s="247">
        <f t="shared" si="7"/>
        <v>0</v>
      </c>
    </row>
    <row r="38" spans="1:14" ht="15.75" hidden="1" thickBot="1" x14ac:dyDescent="0.3">
      <c r="A38" s="184" t="s">
        <v>86</v>
      </c>
      <c r="B38" s="180" t="s">
        <v>87</v>
      </c>
      <c r="C38" s="246">
        <f t="shared" ref="C38:D38" si="33">SUM(C39:C44)</f>
        <v>0</v>
      </c>
      <c r="D38" s="246">
        <f t="shared" si="33"/>
        <v>0</v>
      </c>
      <c r="E38" s="247">
        <f t="shared" si="1"/>
        <v>0</v>
      </c>
      <c r="F38" s="246">
        <f t="shared" ref="F38:G38" si="34">SUM(F39:F44)</f>
        <v>0</v>
      </c>
      <c r="G38" s="246">
        <f t="shared" si="34"/>
        <v>0</v>
      </c>
      <c r="H38" s="247">
        <f t="shared" si="3"/>
        <v>0</v>
      </c>
      <c r="I38" s="246">
        <f t="shared" ref="I38:J38" si="35">SUM(I39:I44)</f>
        <v>0</v>
      </c>
      <c r="J38" s="246">
        <f t="shared" si="35"/>
        <v>0</v>
      </c>
      <c r="K38" s="247">
        <f t="shared" si="5"/>
        <v>0</v>
      </c>
      <c r="L38" s="246">
        <f t="shared" ref="L38:M38" si="36">SUM(L39:L44)</f>
        <v>0</v>
      </c>
      <c r="M38" s="246">
        <f t="shared" si="36"/>
        <v>0</v>
      </c>
      <c r="N38" s="247">
        <f t="shared" si="7"/>
        <v>0</v>
      </c>
    </row>
    <row r="39" spans="1:14" ht="15.75" hidden="1" thickBot="1" x14ac:dyDescent="0.3">
      <c r="A39" s="184"/>
      <c r="B39" s="180" t="s">
        <v>88</v>
      </c>
      <c r="C39" s="246"/>
      <c r="D39" s="246"/>
      <c r="E39" s="247">
        <f t="shared" si="1"/>
        <v>0</v>
      </c>
      <c r="F39" s="246"/>
      <c r="G39" s="246"/>
      <c r="H39" s="247">
        <f t="shared" si="3"/>
        <v>0</v>
      </c>
      <c r="I39" s="246"/>
      <c r="J39" s="246"/>
      <c r="K39" s="247">
        <f t="shared" si="5"/>
        <v>0</v>
      </c>
      <c r="L39" s="246"/>
      <c r="M39" s="246"/>
      <c r="N39" s="247">
        <f t="shared" si="7"/>
        <v>0</v>
      </c>
    </row>
    <row r="40" spans="1:14" ht="15.75" hidden="1" thickBot="1" x14ac:dyDescent="0.3">
      <c r="A40" s="184"/>
      <c r="B40" s="180" t="s">
        <v>89</v>
      </c>
      <c r="C40" s="246"/>
      <c r="D40" s="246"/>
      <c r="E40" s="247">
        <f t="shared" si="1"/>
        <v>0</v>
      </c>
      <c r="F40" s="246"/>
      <c r="G40" s="246"/>
      <c r="H40" s="247">
        <f t="shared" si="3"/>
        <v>0</v>
      </c>
      <c r="I40" s="246"/>
      <c r="J40" s="246"/>
      <c r="K40" s="247">
        <f t="shared" si="5"/>
        <v>0</v>
      </c>
      <c r="L40" s="246"/>
      <c r="M40" s="246"/>
      <c r="N40" s="247">
        <f t="shared" si="7"/>
        <v>0</v>
      </c>
    </row>
    <row r="41" spans="1:14" ht="15.75" hidden="1" thickBot="1" x14ac:dyDescent="0.3">
      <c r="A41" s="184"/>
      <c r="B41" s="180" t="s">
        <v>90</v>
      </c>
      <c r="C41" s="246"/>
      <c r="D41" s="246"/>
      <c r="E41" s="247">
        <f t="shared" si="1"/>
        <v>0</v>
      </c>
      <c r="F41" s="246"/>
      <c r="G41" s="246"/>
      <c r="H41" s="247">
        <f t="shared" si="3"/>
        <v>0</v>
      </c>
      <c r="I41" s="246"/>
      <c r="J41" s="246"/>
      <c r="K41" s="247">
        <f t="shared" si="5"/>
        <v>0</v>
      </c>
      <c r="L41" s="246"/>
      <c r="M41" s="246"/>
      <c r="N41" s="247">
        <f t="shared" si="7"/>
        <v>0</v>
      </c>
    </row>
    <row r="42" spans="1:14" ht="15.75" hidden="1" thickBot="1" x14ac:dyDescent="0.3">
      <c r="A42" s="184"/>
      <c r="B42" s="180" t="s">
        <v>91</v>
      </c>
      <c r="C42" s="246"/>
      <c r="D42" s="246"/>
      <c r="E42" s="247">
        <f t="shared" si="1"/>
        <v>0</v>
      </c>
      <c r="F42" s="246"/>
      <c r="G42" s="246"/>
      <c r="H42" s="247">
        <f t="shared" si="3"/>
        <v>0</v>
      </c>
      <c r="I42" s="246"/>
      <c r="J42" s="246"/>
      <c r="K42" s="247">
        <f t="shared" si="5"/>
        <v>0</v>
      </c>
      <c r="L42" s="246"/>
      <c r="M42" s="246"/>
      <c r="N42" s="247">
        <f t="shared" si="7"/>
        <v>0</v>
      </c>
    </row>
    <row r="43" spans="1:14" ht="15.75" hidden="1" thickBot="1" x14ac:dyDescent="0.3">
      <c r="A43" s="184"/>
      <c r="B43" s="180" t="s">
        <v>92</v>
      </c>
      <c r="C43" s="246"/>
      <c r="D43" s="246"/>
      <c r="E43" s="247">
        <f t="shared" si="1"/>
        <v>0</v>
      </c>
      <c r="F43" s="246"/>
      <c r="G43" s="246"/>
      <c r="H43" s="247">
        <f t="shared" si="3"/>
        <v>0</v>
      </c>
      <c r="I43" s="246"/>
      <c r="J43" s="246"/>
      <c r="K43" s="247">
        <f t="shared" si="5"/>
        <v>0</v>
      </c>
      <c r="L43" s="246"/>
      <c r="M43" s="246"/>
      <c r="N43" s="247">
        <f t="shared" si="7"/>
        <v>0</v>
      </c>
    </row>
    <row r="44" spans="1:14" ht="15.75" hidden="1" thickBot="1" x14ac:dyDescent="0.3">
      <c r="A44" s="185"/>
      <c r="B44" s="192" t="s">
        <v>93</v>
      </c>
      <c r="C44" s="248"/>
      <c r="D44" s="248"/>
      <c r="E44" s="249">
        <f t="shared" si="1"/>
        <v>0</v>
      </c>
      <c r="F44" s="248"/>
      <c r="G44" s="248"/>
      <c r="H44" s="249">
        <f t="shared" si="3"/>
        <v>0</v>
      </c>
      <c r="I44" s="248"/>
      <c r="J44" s="248"/>
      <c r="K44" s="249">
        <f t="shared" si="5"/>
        <v>0</v>
      </c>
      <c r="L44" s="248"/>
      <c r="M44" s="248"/>
      <c r="N44" s="249">
        <f t="shared" si="7"/>
        <v>0</v>
      </c>
    </row>
    <row r="45" spans="1:14" ht="15.75" thickBot="1" x14ac:dyDescent="0.3">
      <c r="A45" s="183" t="s">
        <v>94</v>
      </c>
      <c r="B45" s="189" t="s">
        <v>26</v>
      </c>
      <c r="C45" s="244">
        <f t="shared" ref="C45:D45" si="37">C46+C47+C48+C49+C54+C55+C56+C57+C58+C59+C60</f>
        <v>0</v>
      </c>
      <c r="D45" s="244">
        <f t="shared" si="37"/>
        <v>0</v>
      </c>
      <c r="E45" s="245">
        <f t="shared" si="1"/>
        <v>0</v>
      </c>
      <c r="F45" s="244">
        <f t="shared" ref="F45:G45" si="38">F46+F47+F48+F49+F54+F55+F56+F57+F58+F59+F60</f>
        <v>0</v>
      </c>
      <c r="G45" s="244">
        <f t="shared" si="38"/>
        <v>0</v>
      </c>
      <c r="H45" s="245">
        <f t="shared" si="3"/>
        <v>0</v>
      </c>
      <c r="I45" s="244">
        <f t="shared" ref="I45:J45" si="39">I46+I47+I48+I49+I54+I55+I56+I57+I58+I59+I60</f>
        <v>0</v>
      </c>
      <c r="J45" s="244">
        <f t="shared" si="39"/>
        <v>0</v>
      </c>
      <c r="K45" s="245">
        <f t="shared" si="5"/>
        <v>0</v>
      </c>
      <c r="L45" s="244">
        <f t="shared" ref="L45:M45" si="40">L46+L47+L48+L49+L54+L55+L56+L57+L58+L59+L60</f>
        <v>0</v>
      </c>
      <c r="M45" s="244">
        <f t="shared" si="40"/>
        <v>0</v>
      </c>
      <c r="N45" s="245">
        <f t="shared" si="7"/>
        <v>0</v>
      </c>
    </row>
    <row r="46" spans="1:14" ht="15.75" hidden="1" thickBot="1" x14ac:dyDescent="0.3">
      <c r="A46" s="184" t="s">
        <v>95</v>
      </c>
      <c r="B46" s="180" t="s">
        <v>96</v>
      </c>
      <c r="C46" s="246"/>
      <c r="D46" s="246"/>
      <c r="E46" s="247">
        <f t="shared" si="1"/>
        <v>0</v>
      </c>
      <c r="F46" s="246"/>
      <c r="G46" s="246"/>
      <c r="H46" s="247">
        <f t="shared" si="3"/>
        <v>0</v>
      </c>
      <c r="I46" s="246"/>
      <c r="J46" s="246"/>
      <c r="K46" s="247">
        <f t="shared" si="5"/>
        <v>0</v>
      </c>
      <c r="L46" s="246"/>
      <c r="M46" s="246"/>
      <c r="N46" s="247">
        <f t="shared" si="7"/>
        <v>0</v>
      </c>
    </row>
    <row r="47" spans="1:14" ht="15.75" hidden="1" thickBot="1" x14ac:dyDescent="0.3">
      <c r="A47" s="184" t="s">
        <v>97</v>
      </c>
      <c r="B47" s="180" t="s">
        <v>98</v>
      </c>
      <c r="C47" s="246"/>
      <c r="D47" s="246"/>
      <c r="E47" s="247">
        <f t="shared" si="1"/>
        <v>0</v>
      </c>
      <c r="F47" s="246"/>
      <c r="G47" s="246"/>
      <c r="H47" s="247">
        <f t="shared" si="3"/>
        <v>0</v>
      </c>
      <c r="I47" s="246"/>
      <c r="J47" s="246"/>
      <c r="K47" s="247">
        <f t="shared" si="5"/>
        <v>0</v>
      </c>
      <c r="L47" s="246"/>
      <c r="M47" s="246"/>
      <c r="N47" s="247">
        <f t="shared" si="7"/>
        <v>0</v>
      </c>
    </row>
    <row r="48" spans="1:14" ht="15.75" hidden="1" thickBot="1" x14ac:dyDescent="0.3">
      <c r="A48" s="184" t="s">
        <v>99</v>
      </c>
      <c r="B48" s="180" t="s">
        <v>100</v>
      </c>
      <c r="C48" s="246"/>
      <c r="D48" s="246"/>
      <c r="E48" s="247">
        <f t="shared" si="1"/>
        <v>0</v>
      </c>
      <c r="F48" s="246"/>
      <c r="G48" s="246"/>
      <c r="H48" s="247">
        <f t="shared" si="3"/>
        <v>0</v>
      </c>
      <c r="I48" s="246"/>
      <c r="J48" s="246"/>
      <c r="K48" s="247">
        <f t="shared" si="5"/>
        <v>0</v>
      </c>
      <c r="L48" s="246"/>
      <c r="M48" s="246"/>
      <c r="N48" s="247">
        <f t="shared" si="7"/>
        <v>0</v>
      </c>
    </row>
    <row r="49" spans="1:14" ht="15.75" hidden="1" thickBot="1" x14ac:dyDescent="0.3">
      <c r="A49" s="184" t="s">
        <v>101</v>
      </c>
      <c r="B49" s="180" t="s">
        <v>102</v>
      </c>
      <c r="C49" s="246">
        <f t="shared" ref="C49:D49" si="41">SUM(C50:C53)</f>
        <v>0</v>
      </c>
      <c r="D49" s="246">
        <f t="shared" si="41"/>
        <v>0</v>
      </c>
      <c r="E49" s="247">
        <f t="shared" si="1"/>
        <v>0</v>
      </c>
      <c r="F49" s="246">
        <f t="shared" ref="F49:G49" si="42">SUM(F50:F53)</f>
        <v>0</v>
      </c>
      <c r="G49" s="246">
        <f t="shared" si="42"/>
        <v>0</v>
      </c>
      <c r="H49" s="247">
        <f t="shared" si="3"/>
        <v>0</v>
      </c>
      <c r="I49" s="246">
        <f t="shared" ref="I49:J49" si="43">SUM(I50:I53)</f>
        <v>0</v>
      </c>
      <c r="J49" s="246">
        <f t="shared" si="43"/>
        <v>0</v>
      </c>
      <c r="K49" s="247">
        <f t="shared" si="5"/>
        <v>0</v>
      </c>
      <c r="L49" s="246">
        <f t="shared" ref="L49:M49" si="44">SUM(L50:L53)</f>
        <v>0</v>
      </c>
      <c r="M49" s="246">
        <f t="shared" si="44"/>
        <v>0</v>
      </c>
      <c r="N49" s="247">
        <f t="shared" si="7"/>
        <v>0</v>
      </c>
    </row>
    <row r="50" spans="1:14" ht="15.75" hidden="1" thickBot="1" x14ac:dyDescent="0.3">
      <c r="A50" s="184"/>
      <c r="B50" s="180" t="s">
        <v>103</v>
      </c>
      <c r="C50" s="246"/>
      <c r="D50" s="246"/>
      <c r="E50" s="247">
        <f t="shared" si="1"/>
        <v>0</v>
      </c>
      <c r="F50" s="246"/>
      <c r="G50" s="246"/>
      <c r="H50" s="247">
        <f t="shared" si="3"/>
        <v>0</v>
      </c>
      <c r="I50" s="246"/>
      <c r="J50" s="246"/>
      <c r="K50" s="247">
        <f t="shared" si="5"/>
        <v>0</v>
      </c>
      <c r="L50" s="246"/>
      <c r="M50" s="246"/>
      <c r="N50" s="247">
        <f t="shared" si="7"/>
        <v>0</v>
      </c>
    </row>
    <row r="51" spans="1:14" ht="15.75" hidden="1" thickBot="1" x14ac:dyDescent="0.3">
      <c r="A51" s="184"/>
      <c r="B51" s="180" t="s">
        <v>104</v>
      </c>
      <c r="C51" s="246"/>
      <c r="D51" s="246"/>
      <c r="E51" s="247">
        <f t="shared" si="1"/>
        <v>0</v>
      </c>
      <c r="F51" s="246"/>
      <c r="G51" s="246"/>
      <c r="H51" s="247">
        <f t="shared" si="3"/>
        <v>0</v>
      </c>
      <c r="I51" s="246"/>
      <c r="J51" s="246"/>
      <c r="K51" s="247">
        <f t="shared" si="5"/>
        <v>0</v>
      </c>
      <c r="L51" s="246"/>
      <c r="M51" s="246"/>
      <c r="N51" s="247">
        <f t="shared" si="7"/>
        <v>0</v>
      </c>
    </row>
    <row r="52" spans="1:14" ht="15.75" hidden="1" thickBot="1" x14ac:dyDescent="0.3">
      <c r="A52" s="184"/>
      <c r="B52" s="180" t="s">
        <v>105</v>
      </c>
      <c r="C52" s="246"/>
      <c r="D52" s="246"/>
      <c r="E52" s="247">
        <f t="shared" si="1"/>
        <v>0</v>
      </c>
      <c r="F52" s="246"/>
      <c r="G52" s="246"/>
      <c r="H52" s="247">
        <f t="shared" si="3"/>
        <v>0</v>
      </c>
      <c r="I52" s="246"/>
      <c r="J52" s="246"/>
      <c r="K52" s="247">
        <f t="shared" si="5"/>
        <v>0</v>
      </c>
      <c r="L52" s="246"/>
      <c r="M52" s="246"/>
      <c r="N52" s="247">
        <f t="shared" si="7"/>
        <v>0</v>
      </c>
    </row>
    <row r="53" spans="1:14" ht="15.75" hidden="1" thickBot="1" x14ac:dyDescent="0.3">
      <c r="A53" s="184"/>
      <c r="B53" s="180" t="s">
        <v>106</v>
      </c>
      <c r="C53" s="246"/>
      <c r="D53" s="246"/>
      <c r="E53" s="247">
        <f t="shared" si="1"/>
        <v>0</v>
      </c>
      <c r="F53" s="246"/>
      <c r="G53" s="246"/>
      <c r="H53" s="247">
        <f t="shared" si="3"/>
        <v>0</v>
      </c>
      <c r="I53" s="246"/>
      <c r="J53" s="246"/>
      <c r="K53" s="247">
        <f t="shared" si="5"/>
        <v>0</v>
      </c>
      <c r="L53" s="246"/>
      <c r="M53" s="246"/>
      <c r="N53" s="247">
        <f t="shared" si="7"/>
        <v>0</v>
      </c>
    </row>
    <row r="54" spans="1:14" ht="15.75" hidden="1" thickBot="1" x14ac:dyDescent="0.3">
      <c r="A54" s="184" t="s">
        <v>107</v>
      </c>
      <c r="B54" s="180" t="s">
        <v>108</v>
      </c>
      <c r="C54" s="246"/>
      <c r="D54" s="246"/>
      <c r="E54" s="247">
        <f t="shared" si="1"/>
        <v>0</v>
      </c>
      <c r="F54" s="246"/>
      <c r="G54" s="246"/>
      <c r="H54" s="247">
        <f t="shared" si="3"/>
        <v>0</v>
      </c>
      <c r="I54" s="246"/>
      <c r="J54" s="246"/>
      <c r="K54" s="247">
        <f t="shared" si="5"/>
        <v>0</v>
      </c>
      <c r="L54" s="246"/>
      <c r="M54" s="246"/>
      <c r="N54" s="247">
        <f t="shared" si="7"/>
        <v>0</v>
      </c>
    </row>
    <row r="55" spans="1:14" ht="15.75" hidden="1" thickBot="1" x14ac:dyDescent="0.3">
      <c r="A55" s="184" t="s">
        <v>109</v>
      </c>
      <c r="B55" s="180" t="s">
        <v>110</v>
      </c>
      <c r="C55" s="246"/>
      <c r="D55" s="246"/>
      <c r="E55" s="247">
        <f t="shared" si="1"/>
        <v>0</v>
      </c>
      <c r="F55" s="246"/>
      <c r="G55" s="246"/>
      <c r="H55" s="247">
        <f t="shared" si="3"/>
        <v>0</v>
      </c>
      <c r="I55" s="246"/>
      <c r="J55" s="246"/>
      <c r="K55" s="247">
        <f t="shared" si="5"/>
        <v>0</v>
      </c>
      <c r="L55" s="246"/>
      <c r="M55" s="246"/>
      <c r="N55" s="247">
        <f t="shared" si="7"/>
        <v>0</v>
      </c>
    </row>
    <row r="56" spans="1:14" ht="15.75" hidden="1" thickBot="1" x14ac:dyDescent="0.3">
      <c r="A56" s="184" t="s">
        <v>111</v>
      </c>
      <c r="B56" s="180" t="s">
        <v>112</v>
      </c>
      <c r="C56" s="246"/>
      <c r="D56" s="246"/>
      <c r="E56" s="247">
        <f t="shared" si="1"/>
        <v>0</v>
      </c>
      <c r="F56" s="246"/>
      <c r="G56" s="246"/>
      <c r="H56" s="247">
        <f t="shared" si="3"/>
        <v>0</v>
      </c>
      <c r="I56" s="246"/>
      <c r="J56" s="246"/>
      <c r="K56" s="247">
        <f t="shared" si="5"/>
        <v>0</v>
      </c>
      <c r="L56" s="246"/>
      <c r="M56" s="246"/>
      <c r="N56" s="247">
        <f t="shared" si="7"/>
        <v>0</v>
      </c>
    </row>
    <row r="57" spans="1:14" ht="15.75" hidden="1" thickBot="1" x14ac:dyDescent="0.3">
      <c r="A57" s="184" t="s">
        <v>113</v>
      </c>
      <c r="B57" s="180" t="s">
        <v>114</v>
      </c>
      <c r="C57" s="246"/>
      <c r="D57" s="246"/>
      <c r="E57" s="247">
        <f t="shared" si="1"/>
        <v>0</v>
      </c>
      <c r="F57" s="246"/>
      <c r="G57" s="246"/>
      <c r="H57" s="247">
        <f t="shared" si="3"/>
        <v>0</v>
      </c>
      <c r="I57" s="246"/>
      <c r="J57" s="246"/>
      <c r="K57" s="247">
        <f t="shared" si="5"/>
        <v>0</v>
      </c>
      <c r="L57" s="246"/>
      <c r="M57" s="246"/>
      <c r="N57" s="247">
        <f t="shared" si="7"/>
        <v>0</v>
      </c>
    </row>
    <row r="58" spans="1:14" ht="15.75" hidden="1" thickBot="1" x14ac:dyDescent="0.3">
      <c r="A58" s="184" t="s">
        <v>115</v>
      </c>
      <c r="B58" s="180" t="s">
        <v>116</v>
      </c>
      <c r="C58" s="246"/>
      <c r="D58" s="246"/>
      <c r="E58" s="247">
        <f t="shared" si="1"/>
        <v>0</v>
      </c>
      <c r="F58" s="246"/>
      <c r="G58" s="246"/>
      <c r="H58" s="247">
        <f t="shared" si="3"/>
        <v>0</v>
      </c>
      <c r="I58" s="246"/>
      <c r="J58" s="246"/>
      <c r="K58" s="247">
        <f t="shared" si="5"/>
        <v>0</v>
      </c>
      <c r="L58" s="246"/>
      <c r="M58" s="246"/>
      <c r="N58" s="247">
        <f t="shared" si="7"/>
        <v>0</v>
      </c>
    </row>
    <row r="59" spans="1:14" ht="15.75" hidden="1" thickBot="1" x14ac:dyDescent="0.3">
      <c r="A59" s="184" t="s">
        <v>117</v>
      </c>
      <c r="B59" s="180" t="s">
        <v>118</v>
      </c>
      <c r="C59" s="246"/>
      <c r="D59" s="246"/>
      <c r="E59" s="247">
        <f t="shared" si="1"/>
        <v>0</v>
      </c>
      <c r="F59" s="246"/>
      <c r="G59" s="246"/>
      <c r="H59" s="247">
        <f t="shared" si="3"/>
        <v>0</v>
      </c>
      <c r="I59" s="246"/>
      <c r="J59" s="246"/>
      <c r="K59" s="247">
        <f t="shared" si="5"/>
        <v>0</v>
      </c>
      <c r="L59" s="246"/>
      <c r="M59" s="246"/>
      <c r="N59" s="247">
        <f t="shared" si="7"/>
        <v>0</v>
      </c>
    </row>
    <row r="60" spans="1:14" ht="15.75" hidden="1" thickBot="1" x14ac:dyDescent="0.3">
      <c r="A60" s="185" t="s">
        <v>119</v>
      </c>
      <c r="B60" s="192" t="s">
        <v>120</v>
      </c>
      <c r="C60" s="248"/>
      <c r="D60" s="248"/>
      <c r="E60" s="249">
        <f t="shared" si="1"/>
        <v>0</v>
      </c>
      <c r="F60" s="248"/>
      <c r="G60" s="248"/>
      <c r="H60" s="249">
        <f t="shared" si="3"/>
        <v>0</v>
      </c>
      <c r="I60" s="248"/>
      <c r="J60" s="248"/>
      <c r="K60" s="249">
        <f t="shared" si="5"/>
        <v>0</v>
      </c>
      <c r="L60" s="248"/>
      <c r="M60" s="248"/>
      <c r="N60" s="249">
        <f t="shared" si="7"/>
        <v>0</v>
      </c>
    </row>
    <row r="61" spans="1:14" ht="15.75" thickBot="1" x14ac:dyDescent="0.3">
      <c r="A61" s="183" t="s">
        <v>121</v>
      </c>
      <c r="B61" s="189" t="s">
        <v>28</v>
      </c>
      <c r="C61" s="244">
        <f t="shared" ref="C61:D61" si="45">SUM(C62:C66)</f>
        <v>0</v>
      </c>
      <c r="D61" s="244">
        <f t="shared" si="45"/>
        <v>0</v>
      </c>
      <c r="E61" s="245">
        <f t="shared" si="1"/>
        <v>0</v>
      </c>
      <c r="F61" s="244">
        <f t="shared" ref="F61:G61" si="46">SUM(F62:F66)</f>
        <v>0</v>
      </c>
      <c r="G61" s="244">
        <f t="shared" si="46"/>
        <v>0</v>
      </c>
      <c r="H61" s="245">
        <f t="shared" si="3"/>
        <v>0</v>
      </c>
      <c r="I61" s="244">
        <f t="shared" ref="I61:J61" si="47">SUM(I62:I66)</f>
        <v>0</v>
      </c>
      <c r="J61" s="244">
        <f t="shared" si="47"/>
        <v>0</v>
      </c>
      <c r="K61" s="245">
        <f t="shared" si="5"/>
        <v>0</v>
      </c>
      <c r="L61" s="244">
        <f t="shared" ref="L61:M61" si="48">SUM(L62:L66)</f>
        <v>0</v>
      </c>
      <c r="M61" s="244">
        <f t="shared" si="48"/>
        <v>0</v>
      </c>
      <c r="N61" s="245">
        <f t="shared" si="7"/>
        <v>0</v>
      </c>
    </row>
    <row r="62" spans="1:14" ht="15.75" hidden="1" thickBot="1" x14ac:dyDescent="0.3">
      <c r="A62" s="184" t="s">
        <v>122</v>
      </c>
      <c r="B62" s="180" t="s">
        <v>123</v>
      </c>
      <c r="C62" s="246"/>
      <c r="D62" s="246"/>
      <c r="E62" s="247">
        <f t="shared" si="1"/>
        <v>0</v>
      </c>
      <c r="F62" s="246"/>
      <c r="G62" s="246"/>
      <c r="H62" s="247">
        <f t="shared" si="3"/>
        <v>0</v>
      </c>
      <c r="I62" s="246"/>
      <c r="J62" s="246"/>
      <c r="K62" s="247">
        <f t="shared" si="5"/>
        <v>0</v>
      </c>
      <c r="L62" s="246"/>
      <c r="M62" s="246"/>
      <c r="N62" s="247">
        <f t="shared" si="7"/>
        <v>0</v>
      </c>
    </row>
    <row r="63" spans="1:14" ht="15.75" hidden="1" thickBot="1" x14ac:dyDescent="0.3">
      <c r="A63" s="184" t="s">
        <v>124</v>
      </c>
      <c r="B63" s="180" t="s">
        <v>125</v>
      </c>
      <c r="C63" s="246"/>
      <c r="D63" s="246"/>
      <c r="E63" s="247">
        <f t="shared" si="1"/>
        <v>0</v>
      </c>
      <c r="F63" s="246"/>
      <c r="G63" s="246"/>
      <c r="H63" s="247">
        <f t="shared" si="3"/>
        <v>0</v>
      </c>
      <c r="I63" s="246"/>
      <c r="J63" s="246"/>
      <c r="K63" s="247">
        <f t="shared" si="5"/>
        <v>0</v>
      </c>
      <c r="L63" s="246"/>
      <c r="M63" s="246"/>
      <c r="N63" s="247">
        <f t="shared" si="7"/>
        <v>0</v>
      </c>
    </row>
    <row r="64" spans="1:14" ht="15.75" hidden="1" thickBot="1" x14ac:dyDescent="0.3">
      <c r="A64" s="184" t="s">
        <v>126</v>
      </c>
      <c r="B64" s="180" t="s">
        <v>127</v>
      </c>
      <c r="C64" s="246"/>
      <c r="D64" s="246"/>
      <c r="E64" s="247">
        <f t="shared" si="1"/>
        <v>0</v>
      </c>
      <c r="F64" s="246"/>
      <c r="G64" s="246"/>
      <c r="H64" s="247">
        <f t="shared" si="3"/>
        <v>0</v>
      </c>
      <c r="I64" s="246"/>
      <c r="J64" s="246"/>
      <c r="K64" s="247">
        <f t="shared" si="5"/>
        <v>0</v>
      </c>
      <c r="L64" s="246"/>
      <c r="M64" s="246"/>
      <c r="N64" s="247">
        <f t="shared" si="7"/>
        <v>0</v>
      </c>
    </row>
    <row r="65" spans="1:14" ht="15.75" hidden="1" thickBot="1" x14ac:dyDescent="0.3">
      <c r="A65" s="184" t="s">
        <v>128</v>
      </c>
      <c r="B65" s="180" t="s">
        <v>129</v>
      </c>
      <c r="C65" s="246"/>
      <c r="D65" s="246"/>
      <c r="E65" s="247">
        <f t="shared" si="1"/>
        <v>0</v>
      </c>
      <c r="F65" s="246"/>
      <c r="G65" s="246"/>
      <c r="H65" s="247">
        <f t="shared" si="3"/>
        <v>0</v>
      </c>
      <c r="I65" s="246"/>
      <c r="J65" s="246"/>
      <c r="K65" s="247">
        <f t="shared" si="5"/>
        <v>0</v>
      </c>
      <c r="L65" s="246"/>
      <c r="M65" s="246"/>
      <c r="N65" s="247">
        <f t="shared" si="7"/>
        <v>0</v>
      </c>
    </row>
    <row r="66" spans="1:14" ht="15.75" hidden="1" thickBot="1" x14ac:dyDescent="0.3">
      <c r="A66" s="185" t="s">
        <v>130</v>
      </c>
      <c r="B66" s="192" t="s">
        <v>131</v>
      </c>
      <c r="C66" s="248"/>
      <c r="D66" s="248"/>
      <c r="E66" s="249">
        <f t="shared" si="1"/>
        <v>0</v>
      </c>
      <c r="F66" s="248"/>
      <c r="G66" s="248"/>
      <c r="H66" s="249">
        <f t="shared" si="3"/>
        <v>0</v>
      </c>
      <c r="I66" s="248"/>
      <c r="J66" s="248"/>
      <c r="K66" s="249">
        <f t="shared" si="5"/>
        <v>0</v>
      </c>
      <c r="L66" s="248"/>
      <c r="M66" s="248"/>
      <c r="N66" s="249">
        <f t="shared" si="7"/>
        <v>0</v>
      </c>
    </row>
    <row r="67" spans="1:14" ht="15.75" thickBot="1" x14ac:dyDescent="0.3">
      <c r="A67" s="183" t="s">
        <v>132</v>
      </c>
      <c r="B67" s="189" t="s">
        <v>133</v>
      </c>
      <c r="C67" s="244">
        <f t="shared" ref="C67:D67" si="49">SUM(C68:C69)</f>
        <v>0</v>
      </c>
      <c r="D67" s="244">
        <f t="shared" si="49"/>
        <v>0</v>
      </c>
      <c r="E67" s="245">
        <f t="shared" si="1"/>
        <v>0</v>
      </c>
      <c r="F67" s="244">
        <f t="shared" ref="F67:G67" si="50">SUM(F68:F69)</f>
        <v>0</v>
      </c>
      <c r="G67" s="244">
        <f t="shared" si="50"/>
        <v>0</v>
      </c>
      <c r="H67" s="245">
        <f t="shared" si="3"/>
        <v>0</v>
      </c>
      <c r="I67" s="244">
        <f t="shared" ref="I67:J67" si="51">SUM(I68:I69)</f>
        <v>0</v>
      </c>
      <c r="J67" s="244">
        <f t="shared" si="51"/>
        <v>0</v>
      </c>
      <c r="K67" s="245">
        <f t="shared" si="5"/>
        <v>0</v>
      </c>
      <c r="L67" s="244">
        <f t="shared" ref="L67:M67" si="52">SUM(L68:L69)</f>
        <v>0</v>
      </c>
      <c r="M67" s="244">
        <f t="shared" si="52"/>
        <v>0</v>
      </c>
      <c r="N67" s="245">
        <f t="shared" si="7"/>
        <v>0</v>
      </c>
    </row>
    <row r="68" spans="1:14" ht="15.75" hidden="1" thickBot="1" x14ac:dyDescent="0.3">
      <c r="A68" s="184" t="s">
        <v>134</v>
      </c>
      <c r="B68" s="180" t="s">
        <v>135</v>
      </c>
      <c r="C68" s="246"/>
      <c r="D68" s="246"/>
      <c r="E68" s="247">
        <f t="shared" si="1"/>
        <v>0</v>
      </c>
      <c r="F68" s="246"/>
      <c r="G68" s="246"/>
      <c r="H68" s="247">
        <f t="shared" si="3"/>
        <v>0</v>
      </c>
      <c r="I68" s="246"/>
      <c r="J68" s="246"/>
      <c r="K68" s="247">
        <f t="shared" si="5"/>
        <v>0</v>
      </c>
      <c r="L68" s="246"/>
      <c r="M68" s="246"/>
      <c r="N68" s="247">
        <f t="shared" si="7"/>
        <v>0</v>
      </c>
    </row>
    <row r="69" spans="1:14" ht="15.75" hidden="1" thickBot="1" x14ac:dyDescent="0.3">
      <c r="A69" s="185" t="s">
        <v>136</v>
      </c>
      <c r="B69" s="192" t="s">
        <v>137</v>
      </c>
      <c r="C69" s="248"/>
      <c r="D69" s="248"/>
      <c r="E69" s="249">
        <f t="shared" si="1"/>
        <v>0</v>
      </c>
      <c r="F69" s="248"/>
      <c r="G69" s="248"/>
      <c r="H69" s="249">
        <f t="shared" si="3"/>
        <v>0</v>
      </c>
      <c r="I69" s="248"/>
      <c r="J69" s="248"/>
      <c r="K69" s="249">
        <f t="shared" si="5"/>
        <v>0</v>
      </c>
      <c r="L69" s="248"/>
      <c r="M69" s="248"/>
      <c r="N69" s="249">
        <f t="shared" si="7"/>
        <v>0</v>
      </c>
    </row>
    <row r="70" spans="1:14" x14ac:dyDescent="0.25">
      <c r="A70" s="183" t="s">
        <v>138</v>
      </c>
      <c r="B70" s="189" t="s">
        <v>139</v>
      </c>
      <c r="C70" s="244">
        <f t="shared" ref="C70:M70" si="53">C71</f>
        <v>0</v>
      </c>
      <c r="D70" s="244">
        <f t="shared" si="53"/>
        <v>0</v>
      </c>
      <c r="E70" s="245">
        <f t="shared" si="1"/>
        <v>0</v>
      </c>
      <c r="F70" s="244">
        <f t="shared" si="53"/>
        <v>0</v>
      </c>
      <c r="G70" s="244">
        <f t="shared" si="53"/>
        <v>0</v>
      </c>
      <c r="H70" s="245">
        <f t="shared" si="3"/>
        <v>0</v>
      </c>
      <c r="I70" s="244">
        <f t="shared" si="53"/>
        <v>0</v>
      </c>
      <c r="J70" s="244">
        <f t="shared" si="53"/>
        <v>0</v>
      </c>
      <c r="K70" s="245">
        <f t="shared" si="5"/>
        <v>0</v>
      </c>
      <c r="L70" s="244">
        <f t="shared" si="53"/>
        <v>0</v>
      </c>
      <c r="M70" s="244">
        <f t="shared" si="53"/>
        <v>0</v>
      </c>
      <c r="N70" s="245">
        <f t="shared" si="7"/>
        <v>0</v>
      </c>
    </row>
    <row r="71" spans="1:14" ht="15.75" hidden="1" thickBot="1" x14ac:dyDescent="0.3">
      <c r="A71" s="185"/>
      <c r="B71" s="192" t="s">
        <v>140</v>
      </c>
      <c r="C71" s="248"/>
      <c r="D71" s="248"/>
      <c r="E71" s="249">
        <f t="shared" si="1"/>
        <v>0</v>
      </c>
      <c r="F71" s="248"/>
      <c r="G71" s="248"/>
      <c r="H71" s="249">
        <f t="shared" si="3"/>
        <v>0</v>
      </c>
      <c r="I71" s="248"/>
      <c r="J71" s="248"/>
      <c r="K71" s="249">
        <f t="shared" si="5"/>
        <v>0</v>
      </c>
      <c r="L71" s="248"/>
      <c r="M71" s="248"/>
      <c r="N71" s="249">
        <f t="shared" si="7"/>
        <v>0</v>
      </c>
    </row>
    <row r="72" spans="1:14" s="179" customFormat="1" ht="15.75" thickBot="1" x14ac:dyDescent="0.3">
      <c r="A72" s="625"/>
      <c r="B72" s="180" t="s">
        <v>831</v>
      </c>
      <c r="C72" s="254"/>
      <c r="D72" s="254"/>
      <c r="E72" s="255"/>
      <c r="F72" s="254"/>
      <c r="G72" s="254"/>
      <c r="H72" s="249">
        <f t="shared" si="3"/>
        <v>0</v>
      </c>
      <c r="I72" s="254"/>
      <c r="J72" s="254"/>
      <c r="K72" s="249">
        <f t="shared" si="5"/>
        <v>0</v>
      </c>
      <c r="L72" s="254"/>
      <c r="M72" s="254"/>
      <c r="N72" s="249">
        <f t="shared" si="7"/>
        <v>0</v>
      </c>
    </row>
    <row r="73" spans="1:14" ht="15.75" thickBot="1" x14ac:dyDescent="0.3">
      <c r="A73" s="186" t="s">
        <v>141</v>
      </c>
      <c r="B73" s="194" t="s">
        <v>142</v>
      </c>
      <c r="C73" s="250">
        <f t="shared" ref="C73:D73" si="54">C9+C22+C25+C45+C61+C67+C70</f>
        <v>0</v>
      </c>
      <c r="D73" s="250">
        <f t="shared" si="54"/>
        <v>0</v>
      </c>
      <c r="E73" s="251">
        <f t="shared" si="1"/>
        <v>0</v>
      </c>
      <c r="F73" s="250">
        <f t="shared" ref="F73:G73" si="55">F9+F22+F25+F45+F61+F67+F70</f>
        <v>0</v>
      </c>
      <c r="G73" s="250">
        <f t="shared" si="55"/>
        <v>0</v>
      </c>
      <c r="H73" s="251">
        <f t="shared" si="3"/>
        <v>0</v>
      </c>
      <c r="I73" s="250">
        <f t="shared" ref="I73:J73" si="56">I9+I22+I25+I45+I61+I67+I70</f>
        <v>0</v>
      </c>
      <c r="J73" s="250">
        <f t="shared" si="56"/>
        <v>0</v>
      </c>
      <c r="K73" s="251">
        <f t="shared" si="5"/>
        <v>0</v>
      </c>
      <c r="L73" s="250">
        <f t="shared" ref="L73:M73" si="57">L9+L22+L25+L45+L61+L67+L70</f>
        <v>0</v>
      </c>
      <c r="M73" s="250">
        <f t="shared" si="57"/>
        <v>0</v>
      </c>
      <c r="N73" s="251">
        <f t="shared" si="7"/>
        <v>0</v>
      </c>
    </row>
    <row r="74" spans="1:14" x14ac:dyDescent="0.25">
      <c r="A74" s="187" t="s">
        <v>143</v>
      </c>
      <c r="B74" s="198" t="s">
        <v>144</v>
      </c>
      <c r="C74" s="244">
        <f t="shared" ref="C74:M74" si="58">C75</f>
        <v>8926650</v>
      </c>
      <c r="D74" s="244">
        <f t="shared" si="58"/>
        <v>0</v>
      </c>
      <c r="E74" s="245">
        <f t="shared" ref="E74:E85" si="59">SUM(C74:D74)</f>
        <v>8926650</v>
      </c>
      <c r="F74" s="244">
        <f t="shared" si="58"/>
        <v>8926650</v>
      </c>
      <c r="G74" s="244">
        <f t="shared" si="58"/>
        <v>0</v>
      </c>
      <c r="H74" s="245">
        <f t="shared" ref="H74:H81" si="60">SUM(F74:G74)</f>
        <v>8926650</v>
      </c>
      <c r="I74" s="244">
        <f t="shared" si="58"/>
        <v>8926650</v>
      </c>
      <c r="J74" s="244">
        <f t="shared" si="58"/>
        <v>0</v>
      </c>
      <c r="K74" s="245">
        <f t="shared" ref="K74:K81" si="61">SUM(I74:J74)</f>
        <v>8926650</v>
      </c>
      <c r="L74" s="244">
        <f t="shared" si="58"/>
        <v>8926650</v>
      </c>
      <c r="M74" s="244">
        <f t="shared" si="58"/>
        <v>0</v>
      </c>
      <c r="N74" s="245">
        <f t="shared" ref="N74:N81" si="62">SUM(L74:M74)</f>
        <v>8926650</v>
      </c>
    </row>
    <row r="75" spans="1:14" x14ac:dyDescent="0.25">
      <c r="A75" s="184" t="s">
        <v>145</v>
      </c>
      <c r="B75" s="180" t="s">
        <v>146</v>
      </c>
      <c r="C75" s="246">
        <f t="shared" ref="C75:D75" si="63">SUM(C76:C77,C78,C79,C83,C82)</f>
        <v>8926650</v>
      </c>
      <c r="D75" s="246">
        <f t="shared" si="63"/>
        <v>0</v>
      </c>
      <c r="E75" s="247">
        <f t="shared" si="59"/>
        <v>8926650</v>
      </c>
      <c r="F75" s="246">
        <f t="shared" ref="F75:G75" si="64">SUM(F76:F77,F78,F79,F83,F82)</f>
        <v>8926650</v>
      </c>
      <c r="G75" s="246">
        <f t="shared" si="64"/>
        <v>0</v>
      </c>
      <c r="H75" s="247">
        <f t="shared" si="60"/>
        <v>8926650</v>
      </c>
      <c r="I75" s="246">
        <f t="shared" ref="I75:J75" si="65">SUM(I76:I77,I78,I79,I83,I82)</f>
        <v>8926650</v>
      </c>
      <c r="J75" s="246">
        <f t="shared" si="65"/>
        <v>0</v>
      </c>
      <c r="K75" s="247">
        <f t="shared" si="61"/>
        <v>8926650</v>
      </c>
      <c r="L75" s="246">
        <f t="shared" ref="L75:M75" si="66">SUM(L76:L77,L78,L79,L83,L82)</f>
        <v>8926650</v>
      </c>
      <c r="M75" s="246">
        <f t="shared" si="66"/>
        <v>0</v>
      </c>
      <c r="N75" s="247">
        <f t="shared" si="62"/>
        <v>8926650</v>
      </c>
    </row>
    <row r="76" spans="1:14" hidden="1" x14ac:dyDescent="0.25">
      <c r="A76" s="184" t="s">
        <v>147</v>
      </c>
      <c r="B76" s="180" t="s">
        <v>148</v>
      </c>
      <c r="C76" s="246"/>
      <c r="D76" s="246"/>
      <c r="E76" s="247">
        <f t="shared" si="59"/>
        <v>0</v>
      </c>
      <c r="F76" s="246"/>
      <c r="G76" s="246"/>
      <c r="H76" s="247">
        <f t="shared" si="60"/>
        <v>0</v>
      </c>
      <c r="I76" s="246"/>
      <c r="J76" s="246"/>
      <c r="K76" s="247">
        <f t="shared" si="61"/>
        <v>0</v>
      </c>
      <c r="L76" s="246"/>
      <c r="M76" s="246"/>
      <c r="N76" s="247">
        <f t="shared" si="62"/>
        <v>0</v>
      </c>
    </row>
    <row r="77" spans="1:14" hidden="1" x14ac:dyDescent="0.25">
      <c r="A77" s="184" t="s">
        <v>149</v>
      </c>
      <c r="B77" s="180" t="s">
        <v>150</v>
      </c>
      <c r="C77" s="246"/>
      <c r="D77" s="246"/>
      <c r="E77" s="247">
        <f t="shared" si="59"/>
        <v>0</v>
      </c>
      <c r="F77" s="246"/>
      <c r="G77" s="246"/>
      <c r="H77" s="247">
        <f t="shared" si="60"/>
        <v>0</v>
      </c>
      <c r="I77" s="246"/>
      <c r="J77" s="246"/>
      <c r="K77" s="247">
        <f t="shared" si="61"/>
        <v>0</v>
      </c>
      <c r="L77" s="246"/>
      <c r="M77" s="246"/>
      <c r="N77" s="247">
        <f t="shared" si="62"/>
        <v>0</v>
      </c>
    </row>
    <row r="78" spans="1:14" hidden="1" x14ac:dyDescent="0.25">
      <c r="A78" s="184" t="s">
        <v>151</v>
      </c>
      <c r="B78" s="180" t="s">
        <v>152</v>
      </c>
      <c r="C78" s="246"/>
      <c r="D78" s="246"/>
      <c r="E78" s="247">
        <f t="shared" si="59"/>
        <v>0</v>
      </c>
      <c r="F78" s="246"/>
      <c r="G78" s="246"/>
      <c r="H78" s="247">
        <f t="shared" si="60"/>
        <v>0</v>
      </c>
      <c r="I78" s="246"/>
      <c r="J78" s="246"/>
      <c r="K78" s="247">
        <f t="shared" si="61"/>
        <v>0</v>
      </c>
      <c r="L78" s="246"/>
      <c r="M78" s="246"/>
      <c r="N78" s="247">
        <f t="shared" si="62"/>
        <v>0</v>
      </c>
    </row>
    <row r="79" spans="1:14" x14ac:dyDescent="0.25">
      <c r="A79" s="184" t="s">
        <v>153</v>
      </c>
      <c r="B79" s="180" t="s">
        <v>154</v>
      </c>
      <c r="C79" s="246">
        <f t="shared" ref="C79:D79" si="67">SUM(C80:C81)</f>
        <v>0</v>
      </c>
      <c r="D79" s="246">
        <f t="shared" si="67"/>
        <v>0</v>
      </c>
      <c r="E79" s="247">
        <f t="shared" si="59"/>
        <v>0</v>
      </c>
      <c r="F79" s="246">
        <f t="shared" ref="F79:G79" si="68">SUM(F80:F81)</f>
        <v>0</v>
      </c>
      <c r="G79" s="246">
        <f t="shared" si="68"/>
        <v>0</v>
      </c>
      <c r="H79" s="247">
        <f t="shared" si="60"/>
        <v>0</v>
      </c>
      <c r="I79" s="246">
        <f t="shared" ref="I79:J79" si="69">SUM(I80:I81)</f>
        <v>0</v>
      </c>
      <c r="J79" s="246">
        <f t="shared" si="69"/>
        <v>0</v>
      </c>
      <c r="K79" s="247">
        <f t="shared" si="61"/>
        <v>0</v>
      </c>
      <c r="L79" s="246">
        <f t="shared" ref="L79:M79" si="70">SUM(L80:L81)</f>
        <v>0</v>
      </c>
      <c r="M79" s="246">
        <f t="shared" si="70"/>
        <v>0</v>
      </c>
      <c r="N79" s="247">
        <f t="shared" si="62"/>
        <v>0</v>
      </c>
    </row>
    <row r="80" spans="1:14" x14ac:dyDescent="0.25">
      <c r="A80" s="184"/>
      <c r="B80" s="180" t="s">
        <v>29</v>
      </c>
      <c r="C80" s="246"/>
      <c r="D80" s="246"/>
      <c r="E80" s="247">
        <f t="shared" si="59"/>
        <v>0</v>
      </c>
      <c r="F80" s="246"/>
      <c r="G80" s="246"/>
      <c r="H80" s="247">
        <f t="shared" si="60"/>
        <v>0</v>
      </c>
      <c r="I80" s="246"/>
      <c r="J80" s="246"/>
      <c r="K80" s="247">
        <f t="shared" si="61"/>
        <v>0</v>
      </c>
      <c r="L80" s="246"/>
      <c r="M80" s="246"/>
      <c r="N80" s="247">
        <f t="shared" si="62"/>
        <v>0</v>
      </c>
    </row>
    <row r="81" spans="1:14" x14ac:dyDescent="0.25">
      <c r="A81" s="184"/>
      <c r="B81" s="180" t="s">
        <v>30</v>
      </c>
      <c r="C81" s="246"/>
      <c r="D81" s="246"/>
      <c r="E81" s="247">
        <f t="shared" si="59"/>
        <v>0</v>
      </c>
      <c r="F81" s="246"/>
      <c r="G81" s="246"/>
      <c r="H81" s="247">
        <f t="shared" si="60"/>
        <v>0</v>
      </c>
      <c r="I81" s="246"/>
      <c r="J81" s="246"/>
      <c r="K81" s="247">
        <f t="shared" si="61"/>
        <v>0</v>
      </c>
      <c r="L81" s="246"/>
      <c r="M81" s="246"/>
      <c r="N81" s="247">
        <f t="shared" si="62"/>
        <v>0</v>
      </c>
    </row>
    <row r="82" spans="1:14" x14ac:dyDescent="0.25">
      <c r="A82" s="184" t="s">
        <v>543</v>
      </c>
      <c r="B82" s="180" t="s">
        <v>337</v>
      </c>
      <c r="C82" s="246"/>
      <c r="D82" s="246"/>
      <c r="E82" s="247"/>
      <c r="F82" s="246"/>
      <c r="G82" s="246"/>
      <c r="H82" s="247"/>
      <c r="I82" s="246"/>
      <c r="J82" s="246"/>
      <c r="K82" s="247"/>
      <c r="L82" s="246"/>
      <c r="M82" s="246"/>
      <c r="N82" s="247"/>
    </row>
    <row r="83" spans="1:14" ht="15.75" thickBot="1" x14ac:dyDescent="0.3">
      <c r="A83" s="184" t="s">
        <v>155</v>
      </c>
      <c r="B83" s="180" t="s">
        <v>156</v>
      </c>
      <c r="C83" s="246">
        <v>8926650</v>
      </c>
      <c r="D83" s="246"/>
      <c r="E83" s="247">
        <f t="shared" si="59"/>
        <v>8926650</v>
      </c>
      <c r="F83" s="246">
        <v>8926650</v>
      </c>
      <c r="G83" s="246"/>
      <c r="H83" s="247">
        <f t="shared" ref="H83:H85" si="71">SUM(F83:G83)</f>
        <v>8926650</v>
      </c>
      <c r="I83" s="246">
        <f>9001650-75000</f>
        <v>8926650</v>
      </c>
      <c r="J83" s="246"/>
      <c r="K83" s="247">
        <f t="shared" ref="K83:K85" si="72">SUM(I83:J83)</f>
        <v>8926650</v>
      </c>
      <c r="L83" s="246">
        <f>9001650-75000</f>
        <v>8926650</v>
      </c>
      <c r="M83" s="246"/>
      <c r="N83" s="247">
        <f t="shared" ref="N83:N85" si="73">SUM(L83:M83)</f>
        <v>8926650</v>
      </c>
    </row>
    <row r="84" spans="1:14" ht="15.75" hidden="1" thickBot="1" x14ac:dyDescent="0.3">
      <c r="A84" s="185" t="s">
        <v>157</v>
      </c>
      <c r="B84" s="192" t="s">
        <v>158</v>
      </c>
      <c r="C84" s="248"/>
      <c r="D84" s="248"/>
      <c r="E84" s="249">
        <f t="shared" si="59"/>
        <v>0</v>
      </c>
      <c r="F84" s="248"/>
      <c r="G84" s="248"/>
      <c r="H84" s="249">
        <f t="shared" si="71"/>
        <v>0</v>
      </c>
      <c r="I84" s="248"/>
      <c r="J84" s="248"/>
      <c r="K84" s="249">
        <f t="shared" si="72"/>
        <v>0</v>
      </c>
      <c r="L84" s="248"/>
      <c r="M84" s="248"/>
      <c r="N84" s="249">
        <f t="shared" si="73"/>
        <v>0</v>
      </c>
    </row>
    <row r="85" spans="1:14" ht="15.75" thickBot="1" x14ac:dyDescent="0.3">
      <c r="A85" s="186" t="s">
        <v>264</v>
      </c>
      <c r="B85" s="194" t="s">
        <v>159</v>
      </c>
      <c r="C85" s="250">
        <f t="shared" ref="C85:D85" si="74">C73+C74</f>
        <v>8926650</v>
      </c>
      <c r="D85" s="250">
        <f t="shared" si="74"/>
        <v>0</v>
      </c>
      <c r="E85" s="251">
        <f t="shared" si="59"/>
        <v>8926650</v>
      </c>
      <c r="F85" s="250">
        <f t="shared" ref="F85:G85" si="75">F73+F74</f>
        <v>8926650</v>
      </c>
      <c r="G85" s="250">
        <f t="shared" si="75"/>
        <v>0</v>
      </c>
      <c r="H85" s="251">
        <f t="shared" si="71"/>
        <v>8926650</v>
      </c>
      <c r="I85" s="250">
        <f t="shared" ref="I85:J85" si="76">I73+I74</f>
        <v>8926650</v>
      </c>
      <c r="J85" s="250">
        <f t="shared" si="76"/>
        <v>0</v>
      </c>
      <c r="K85" s="251">
        <f t="shared" si="72"/>
        <v>8926650</v>
      </c>
      <c r="L85" s="250">
        <f t="shared" ref="L85:M85" si="77">L73+L74</f>
        <v>8926650</v>
      </c>
      <c r="M85" s="250">
        <f t="shared" si="77"/>
        <v>0</v>
      </c>
      <c r="N85" s="251">
        <f t="shared" si="73"/>
        <v>8926650</v>
      </c>
    </row>
    <row r="86" spans="1:14" x14ac:dyDescent="0.25">
      <c r="A86" s="202"/>
      <c r="B86" s="203"/>
      <c r="E86" s="148"/>
      <c r="H86" s="148"/>
      <c r="K86" s="148"/>
      <c r="N86" s="148"/>
    </row>
    <row r="87" spans="1:14" ht="15.75" thickBot="1" x14ac:dyDescent="0.3">
      <c r="A87" s="204"/>
      <c r="B87" s="205"/>
      <c r="C87" s="394"/>
      <c r="D87" s="394"/>
      <c r="E87" s="252"/>
      <c r="F87" s="394"/>
      <c r="G87" s="394"/>
      <c r="H87" s="252"/>
      <c r="I87" s="394"/>
      <c r="J87" s="394"/>
      <c r="K87" s="252"/>
      <c r="L87" s="394"/>
      <c r="M87" s="394"/>
      <c r="N87" s="252"/>
    </row>
    <row r="88" spans="1:14" x14ac:dyDescent="0.25">
      <c r="A88" s="188" t="s">
        <v>160</v>
      </c>
      <c r="B88" s="189" t="s">
        <v>34</v>
      </c>
      <c r="C88" s="244">
        <f t="shared" ref="C88:D88" si="78">C89+C101</f>
        <v>7470000</v>
      </c>
      <c r="D88" s="244">
        <f t="shared" si="78"/>
        <v>0</v>
      </c>
      <c r="E88" s="253">
        <f t="shared" ref="E88:E150" si="79">SUM(C88:D88)</f>
        <v>7470000</v>
      </c>
      <c r="F88" s="244">
        <f t="shared" ref="F88:G88" si="80">F89+F101</f>
        <v>7470000</v>
      </c>
      <c r="G88" s="244">
        <f t="shared" si="80"/>
        <v>0</v>
      </c>
      <c r="H88" s="253">
        <f t="shared" ref="H88:H90" si="81">SUM(F88:G88)</f>
        <v>7470000</v>
      </c>
      <c r="I88" s="244">
        <f t="shared" ref="I88:J88" si="82">I89+I101</f>
        <v>7470000</v>
      </c>
      <c r="J88" s="244">
        <f t="shared" si="82"/>
        <v>0</v>
      </c>
      <c r="K88" s="253">
        <f t="shared" ref="K88:K90" si="83">SUM(I88:J88)</f>
        <v>7470000</v>
      </c>
      <c r="L88" s="244">
        <f t="shared" ref="L88:M88" si="84">L89+L101</f>
        <v>7470000</v>
      </c>
      <c r="M88" s="244">
        <f t="shared" si="84"/>
        <v>0</v>
      </c>
      <c r="N88" s="253">
        <f t="shared" ref="N88:N90" si="85">SUM(L88:M88)</f>
        <v>7470000</v>
      </c>
    </row>
    <row r="89" spans="1:14" x14ac:dyDescent="0.25">
      <c r="A89" s="190" t="s">
        <v>161</v>
      </c>
      <c r="B89" s="180" t="s">
        <v>162</v>
      </c>
      <c r="C89" s="246">
        <f t="shared" ref="C89:D89" si="86">SUM(C90:C100)</f>
        <v>7470000</v>
      </c>
      <c r="D89" s="246">
        <f t="shared" si="86"/>
        <v>0</v>
      </c>
      <c r="E89" s="247">
        <f t="shared" si="79"/>
        <v>7470000</v>
      </c>
      <c r="F89" s="246">
        <f t="shared" ref="F89:G89" si="87">SUM(F90:F100)</f>
        <v>7470000</v>
      </c>
      <c r="G89" s="246">
        <f t="shared" si="87"/>
        <v>0</v>
      </c>
      <c r="H89" s="247">
        <f t="shared" si="81"/>
        <v>7470000</v>
      </c>
      <c r="I89" s="246">
        <f t="shared" ref="I89:J89" si="88">SUM(I90:I100)</f>
        <v>7470000</v>
      </c>
      <c r="J89" s="246">
        <f t="shared" si="88"/>
        <v>0</v>
      </c>
      <c r="K89" s="247">
        <f t="shared" si="83"/>
        <v>7470000</v>
      </c>
      <c r="L89" s="246">
        <f t="shared" ref="L89:M89" si="89">SUM(L90:L100)</f>
        <v>7470000</v>
      </c>
      <c r="M89" s="246">
        <f t="shared" si="89"/>
        <v>0</v>
      </c>
      <c r="N89" s="247">
        <f t="shared" si="85"/>
        <v>7470000</v>
      </c>
    </row>
    <row r="90" spans="1:14" x14ac:dyDescent="0.25">
      <c r="A90" s="190" t="s">
        <v>163</v>
      </c>
      <c r="B90" s="180" t="s">
        <v>164</v>
      </c>
      <c r="C90" s="246">
        <v>7470000</v>
      </c>
      <c r="D90" s="246"/>
      <c r="E90" s="247">
        <f t="shared" si="79"/>
        <v>7470000</v>
      </c>
      <c r="F90" s="246">
        <v>7470000</v>
      </c>
      <c r="G90" s="246"/>
      <c r="H90" s="247">
        <f t="shared" si="81"/>
        <v>7470000</v>
      </c>
      <c r="I90" s="246">
        <v>7470000</v>
      </c>
      <c r="J90" s="246"/>
      <c r="K90" s="247">
        <f t="shared" si="83"/>
        <v>7470000</v>
      </c>
      <c r="L90" s="246">
        <v>7470000</v>
      </c>
      <c r="M90" s="246"/>
      <c r="N90" s="247">
        <f t="shared" si="85"/>
        <v>7470000</v>
      </c>
    </row>
    <row r="91" spans="1:14" x14ac:dyDescent="0.25">
      <c r="A91" s="190" t="s">
        <v>533</v>
      </c>
      <c r="B91" s="180" t="s">
        <v>534</v>
      </c>
      <c r="C91" s="246"/>
      <c r="D91" s="246"/>
      <c r="E91" s="247"/>
      <c r="F91" s="246"/>
      <c r="G91" s="246"/>
      <c r="H91" s="247"/>
      <c r="I91" s="246"/>
      <c r="J91" s="246"/>
      <c r="K91" s="247"/>
      <c r="L91" s="246"/>
      <c r="M91" s="246"/>
      <c r="N91" s="247"/>
    </row>
    <row r="92" spans="1:14" x14ac:dyDescent="0.25">
      <c r="A92" s="190" t="s">
        <v>165</v>
      </c>
      <c r="B92" s="180" t="s">
        <v>166</v>
      </c>
      <c r="C92" s="246"/>
      <c r="D92" s="246"/>
      <c r="E92" s="247">
        <f t="shared" si="79"/>
        <v>0</v>
      </c>
      <c r="F92" s="246"/>
      <c r="G92" s="246"/>
      <c r="H92" s="247">
        <f t="shared" ref="H92:H145" si="90">SUM(F92:G92)</f>
        <v>0</v>
      </c>
      <c r="I92" s="246"/>
      <c r="J92" s="246"/>
      <c r="K92" s="247">
        <f t="shared" ref="K92:K145" si="91">SUM(I92:J92)</f>
        <v>0</v>
      </c>
      <c r="L92" s="246"/>
      <c r="M92" s="246"/>
      <c r="N92" s="247">
        <f t="shared" ref="N92:N145" si="92">SUM(L92:M92)</f>
        <v>0</v>
      </c>
    </row>
    <row r="93" spans="1:14" x14ac:dyDescent="0.25">
      <c r="A93" s="190" t="s">
        <v>167</v>
      </c>
      <c r="B93" s="180" t="s">
        <v>168</v>
      </c>
      <c r="C93" s="246"/>
      <c r="D93" s="246"/>
      <c r="E93" s="247">
        <f t="shared" si="79"/>
        <v>0</v>
      </c>
      <c r="F93" s="246"/>
      <c r="G93" s="246"/>
      <c r="H93" s="247">
        <f t="shared" si="90"/>
        <v>0</v>
      </c>
      <c r="I93" s="246"/>
      <c r="J93" s="246"/>
      <c r="K93" s="247">
        <f t="shared" si="91"/>
        <v>0</v>
      </c>
      <c r="L93" s="246"/>
      <c r="M93" s="246"/>
      <c r="N93" s="247">
        <f t="shared" si="92"/>
        <v>0</v>
      </c>
    </row>
    <row r="94" spans="1:14" x14ac:dyDescent="0.25">
      <c r="A94" s="190" t="s">
        <v>169</v>
      </c>
      <c r="B94" s="180" t="s">
        <v>170</v>
      </c>
      <c r="C94" s="246"/>
      <c r="D94" s="246"/>
      <c r="E94" s="247">
        <f t="shared" si="79"/>
        <v>0</v>
      </c>
      <c r="F94" s="246"/>
      <c r="G94" s="246"/>
      <c r="H94" s="247">
        <f t="shared" si="90"/>
        <v>0</v>
      </c>
      <c r="I94" s="246"/>
      <c r="J94" s="246"/>
      <c r="K94" s="247">
        <f t="shared" si="91"/>
        <v>0</v>
      </c>
      <c r="L94" s="246"/>
      <c r="M94" s="246"/>
      <c r="N94" s="247">
        <f t="shared" si="92"/>
        <v>0</v>
      </c>
    </row>
    <row r="95" spans="1:14" x14ac:dyDescent="0.25">
      <c r="A95" s="190" t="s">
        <v>171</v>
      </c>
      <c r="B95" s="180" t="s">
        <v>172</v>
      </c>
      <c r="C95" s="246"/>
      <c r="D95" s="246"/>
      <c r="E95" s="247">
        <f t="shared" si="79"/>
        <v>0</v>
      </c>
      <c r="F95" s="246"/>
      <c r="G95" s="246"/>
      <c r="H95" s="247">
        <f t="shared" si="90"/>
        <v>0</v>
      </c>
      <c r="I95" s="246"/>
      <c r="J95" s="246"/>
      <c r="K95" s="247">
        <f t="shared" si="91"/>
        <v>0</v>
      </c>
      <c r="L95" s="246"/>
      <c r="M95" s="246"/>
      <c r="N95" s="247">
        <f t="shared" si="92"/>
        <v>0</v>
      </c>
    </row>
    <row r="96" spans="1:14" x14ac:dyDescent="0.25">
      <c r="A96" s="190" t="s">
        <v>173</v>
      </c>
      <c r="B96" s="180" t="s">
        <v>174</v>
      </c>
      <c r="C96" s="246"/>
      <c r="D96" s="246"/>
      <c r="E96" s="247">
        <f t="shared" si="79"/>
        <v>0</v>
      </c>
      <c r="F96" s="246"/>
      <c r="G96" s="246"/>
      <c r="H96" s="247">
        <f t="shared" si="90"/>
        <v>0</v>
      </c>
      <c r="I96" s="246"/>
      <c r="J96" s="246"/>
      <c r="K96" s="247">
        <f t="shared" si="91"/>
        <v>0</v>
      </c>
      <c r="L96" s="246"/>
      <c r="M96" s="246"/>
      <c r="N96" s="247">
        <f t="shared" si="92"/>
        <v>0</v>
      </c>
    </row>
    <row r="97" spans="1:14" x14ac:dyDescent="0.25">
      <c r="A97" s="190" t="s">
        <v>175</v>
      </c>
      <c r="B97" s="180" t="s">
        <v>176</v>
      </c>
      <c r="C97" s="246"/>
      <c r="D97" s="246"/>
      <c r="E97" s="247">
        <f t="shared" si="79"/>
        <v>0</v>
      </c>
      <c r="F97" s="246"/>
      <c r="G97" s="246"/>
      <c r="H97" s="247">
        <f t="shared" si="90"/>
        <v>0</v>
      </c>
      <c r="I97" s="246"/>
      <c r="J97" s="246"/>
      <c r="K97" s="247">
        <f t="shared" si="91"/>
        <v>0</v>
      </c>
      <c r="L97" s="246"/>
      <c r="M97" s="246"/>
      <c r="N97" s="247">
        <f t="shared" si="92"/>
        <v>0</v>
      </c>
    </row>
    <row r="98" spans="1:14" x14ac:dyDescent="0.25">
      <c r="A98" s="190" t="s">
        <v>177</v>
      </c>
      <c r="B98" s="180" t="s">
        <v>178</v>
      </c>
      <c r="C98" s="246"/>
      <c r="D98" s="246"/>
      <c r="E98" s="247">
        <f t="shared" si="79"/>
        <v>0</v>
      </c>
      <c r="F98" s="246"/>
      <c r="G98" s="246"/>
      <c r="H98" s="247">
        <f t="shared" si="90"/>
        <v>0</v>
      </c>
      <c r="I98" s="246"/>
      <c r="J98" s="246"/>
      <c r="K98" s="247">
        <f t="shared" si="91"/>
        <v>0</v>
      </c>
      <c r="L98" s="246"/>
      <c r="M98" s="246"/>
      <c r="N98" s="247">
        <f t="shared" si="92"/>
        <v>0</v>
      </c>
    </row>
    <row r="99" spans="1:14" x14ac:dyDescent="0.25">
      <c r="A99" s="190" t="s">
        <v>179</v>
      </c>
      <c r="B99" s="180" t="s">
        <v>180</v>
      </c>
      <c r="C99" s="246"/>
      <c r="D99" s="246"/>
      <c r="E99" s="247">
        <f t="shared" si="79"/>
        <v>0</v>
      </c>
      <c r="F99" s="246"/>
      <c r="G99" s="246"/>
      <c r="H99" s="247">
        <f t="shared" si="90"/>
        <v>0</v>
      </c>
      <c r="I99" s="246"/>
      <c r="J99" s="246"/>
      <c r="K99" s="247">
        <f t="shared" si="91"/>
        <v>0</v>
      </c>
      <c r="L99" s="246"/>
      <c r="M99" s="246"/>
      <c r="N99" s="247">
        <f t="shared" si="92"/>
        <v>0</v>
      </c>
    </row>
    <row r="100" spans="1:14" x14ac:dyDescent="0.25">
      <c r="A100" s="190" t="s">
        <v>181</v>
      </c>
      <c r="B100" s="180" t="s">
        <v>182</v>
      </c>
      <c r="C100" s="246"/>
      <c r="D100" s="246"/>
      <c r="E100" s="247">
        <f t="shared" si="79"/>
        <v>0</v>
      </c>
      <c r="F100" s="246"/>
      <c r="G100" s="246"/>
      <c r="H100" s="247">
        <f t="shared" si="90"/>
        <v>0</v>
      </c>
      <c r="I100" s="246"/>
      <c r="J100" s="246"/>
      <c r="K100" s="247">
        <f t="shared" si="91"/>
        <v>0</v>
      </c>
      <c r="L100" s="246"/>
      <c r="M100" s="246"/>
      <c r="N100" s="247">
        <f t="shared" si="92"/>
        <v>0</v>
      </c>
    </row>
    <row r="101" spans="1:14" x14ac:dyDescent="0.25">
      <c r="A101" s="190" t="s">
        <v>183</v>
      </c>
      <c r="B101" s="180" t="s">
        <v>184</v>
      </c>
      <c r="C101" s="246">
        <f t="shared" ref="C101:D101" si="93">SUM(C102:C104)</f>
        <v>0</v>
      </c>
      <c r="D101" s="246">
        <f t="shared" si="93"/>
        <v>0</v>
      </c>
      <c r="E101" s="247">
        <f t="shared" si="79"/>
        <v>0</v>
      </c>
      <c r="F101" s="246">
        <f t="shared" ref="F101:G101" si="94">SUM(F102:F104)</f>
        <v>0</v>
      </c>
      <c r="G101" s="246">
        <f t="shared" si="94"/>
        <v>0</v>
      </c>
      <c r="H101" s="247">
        <f t="shared" si="90"/>
        <v>0</v>
      </c>
      <c r="I101" s="246">
        <f t="shared" ref="I101:J101" si="95">SUM(I102:I104)</f>
        <v>0</v>
      </c>
      <c r="J101" s="246">
        <f t="shared" si="95"/>
        <v>0</v>
      </c>
      <c r="K101" s="247">
        <f t="shared" si="91"/>
        <v>0</v>
      </c>
      <c r="L101" s="246">
        <f t="shared" ref="L101:M101" si="96">SUM(L102:L104)</f>
        <v>0</v>
      </c>
      <c r="M101" s="246">
        <f t="shared" si="96"/>
        <v>0</v>
      </c>
      <c r="N101" s="247">
        <f t="shared" si="92"/>
        <v>0</v>
      </c>
    </row>
    <row r="102" spans="1:14" x14ac:dyDescent="0.25">
      <c r="A102" s="190" t="s">
        <v>185</v>
      </c>
      <c r="B102" s="180" t="s">
        <v>186</v>
      </c>
      <c r="C102" s="246"/>
      <c r="D102" s="246"/>
      <c r="E102" s="247">
        <f t="shared" si="79"/>
        <v>0</v>
      </c>
      <c r="F102" s="246"/>
      <c r="G102" s="246"/>
      <c r="H102" s="247">
        <f t="shared" si="90"/>
        <v>0</v>
      </c>
      <c r="I102" s="246"/>
      <c r="J102" s="246"/>
      <c r="K102" s="247">
        <f t="shared" si="91"/>
        <v>0</v>
      </c>
      <c r="L102" s="246"/>
      <c r="M102" s="246"/>
      <c r="N102" s="247">
        <f t="shared" si="92"/>
        <v>0</v>
      </c>
    </row>
    <row r="103" spans="1:14" x14ac:dyDescent="0.25">
      <c r="A103" s="190" t="s">
        <v>187</v>
      </c>
      <c r="B103" s="180" t="s">
        <v>188</v>
      </c>
      <c r="C103" s="246"/>
      <c r="D103" s="246"/>
      <c r="E103" s="247">
        <f t="shared" si="79"/>
        <v>0</v>
      </c>
      <c r="F103" s="246"/>
      <c r="G103" s="246"/>
      <c r="H103" s="247">
        <f t="shared" si="90"/>
        <v>0</v>
      </c>
      <c r="I103" s="246"/>
      <c r="J103" s="246"/>
      <c r="K103" s="247">
        <f t="shared" si="91"/>
        <v>0</v>
      </c>
      <c r="L103" s="246"/>
      <c r="M103" s="246"/>
      <c r="N103" s="247">
        <f t="shared" si="92"/>
        <v>0</v>
      </c>
    </row>
    <row r="104" spans="1:14" ht="15.75" thickBot="1" x14ac:dyDescent="0.3">
      <c r="A104" s="191" t="s">
        <v>189</v>
      </c>
      <c r="B104" s="192" t="s">
        <v>190</v>
      </c>
      <c r="C104" s="248"/>
      <c r="D104" s="248"/>
      <c r="E104" s="249">
        <f t="shared" si="79"/>
        <v>0</v>
      </c>
      <c r="F104" s="248"/>
      <c r="G104" s="248"/>
      <c r="H104" s="249">
        <f t="shared" si="90"/>
        <v>0</v>
      </c>
      <c r="I104" s="248"/>
      <c r="J104" s="248"/>
      <c r="K104" s="249">
        <f t="shared" si="91"/>
        <v>0</v>
      </c>
      <c r="L104" s="248"/>
      <c r="M104" s="248"/>
      <c r="N104" s="249">
        <f t="shared" si="92"/>
        <v>0</v>
      </c>
    </row>
    <row r="105" spans="1:14" x14ac:dyDescent="0.25">
      <c r="A105" s="188" t="s">
        <v>191</v>
      </c>
      <c r="B105" s="189" t="s">
        <v>192</v>
      </c>
      <c r="C105" s="244">
        <f t="shared" ref="C105:D105" si="97">SUM(C106:C110)</f>
        <v>1456650</v>
      </c>
      <c r="D105" s="244">
        <f t="shared" si="97"/>
        <v>0</v>
      </c>
      <c r="E105" s="245">
        <f t="shared" si="79"/>
        <v>1456650</v>
      </c>
      <c r="F105" s="244">
        <f t="shared" ref="F105:G105" si="98">SUM(F106:F110)</f>
        <v>1456650</v>
      </c>
      <c r="G105" s="244">
        <f t="shared" si="98"/>
        <v>0</v>
      </c>
      <c r="H105" s="245">
        <f t="shared" si="90"/>
        <v>1456650</v>
      </c>
      <c r="I105" s="244">
        <f t="shared" ref="I105:J105" si="99">SUM(I106:I110)</f>
        <v>1456650</v>
      </c>
      <c r="J105" s="244">
        <f t="shared" si="99"/>
        <v>0</v>
      </c>
      <c r="K105" s="245">
        <f t="shared" si="91"/>
        <v>1456650</v>
      </c>
      <c r="L105" s="244">
        <f t="shared" ref="L105:M105" si="100">SUM(L106:L110)</f>
        <v>1456656</v>
      </c>
      <c r="M105" s="244">
        <f t="shared" si="100"/>
        <v>0</v>
      </c>
      <c r="N105" s="245">
        <f t="shared" si="92"/>
        <v>1456656</v>
      </c>
    </row>
    <row r="106" spans="1:14" ht="15.75" thickBot="1" x14ac:dyDescent="0.3">
      <c r="A106" s="190"/>
      <c r="B106" s="180" t="s">
        <v>193</v>
      </c>
      <c r="C106" s="246">
        <v>1456650</v>
      </c>
      <c r="D106" s="246"/>
      <c r="E106" s="247">
        <f t="shared" si="79"/>
        <v>1456650</v>
      </c>
      <c r="F106" s="246">
        <v>1456650</v>
      </c>
      <c r="G106" s="246"/>
      <c r="H106" s="247">
        <f t="shared" si="90"/>
        <v>1456650</v>
      </c>
      <c r="I106" s="246">
        <v>1456650</v>
      </c>
      <c r="J106" s="246"/>
      <c r="K106" s="247">
        <f t="shared" si="91"/>
        <v>1456650</v>
      </c>
      <c r="L106" s="246">
        <v>1456656</v>
      </c>
      <c r="M106" s="246"/>
      <c r="N106" s="247">
        <f t="shared" si="92"/>
        <v>1456656</v>
      </c>
    </row>
    <row r="107" spans="1:14" ht="15.75" hidden="1" thickBot="1" x14ac:dyDescent="0.3">
      <c r="A107" s="190"/>
      <c r="B107" s="180" t="s">
        <v>194</v>
      </c>
      <c r="C107" s="246"/>
      <c r="D107" s="246"/>
      <c r="E107" s="247">
        <f t="shared" si="79"/>
        <v>0</v>
      </c>
      <c r="F107" s="246"/>
      <c r="G107" s="246"/>
      <c r="H107" s="247">
        <f t="shared" si="90"/>
        <v>0</v>
      </c>
      <c r="I107" s="246"/>
      <c r="J107" s="246"/>
      <c r="K107" s="247">
        <f t="shared" si="91"/>
        <v>0</v>
      </c>
      <c r="L107" s="246"/>
      <c r="M107" s="246"/>
      <c r="N107" s="247">
        <f t="shared" si="92"/>
        <v>0</v>
      </c>
    </row>
    <row r="108" spans="1:14" ht="15.75" hidden="1" thickBot="1" x14ac:dyDescent="0.3">
      <c r="A108" s="191"/>
      <c r="B108" s="192" t="s">
        <v>195</v>
      </c>
      <c r="C108" s="246"/>
      <c r="D108" s="246"/>
      <c r="E108" s="247">
        <f t="shared" si="79"/>
        <v>0</v>
      </c>
      <c r="F108" s="246"/>
      <c r="G108" s="246"/>
      <c r="H108" s="247">
        <f t="shared" si="90"/>
        <v>0</v>
      </c>
      <c r="I108" s="246"/>
      <c r="J108" s="246"/>
      <c r="K108" s="247">
        <f t="shared" si="91"/>
        <v>0</v>
      </c>
      <c r="L108" s="246"/>
      <c r="M108" s="246"/>
      <c r="N108" s="247">
        <f t="shared" si="92"/>
        <v>0</v>
      </c>
    </row>
    <row r="109" spans="1:14" ht="15.75" hidden="1" thickBot="1" x14ac:dyDescent="0.3">
      <c r="A109" s="191"/>
      <c r="B109" s="192" t="s">
        <v>196</v>
      </c>
      <c r="C109" s="246"/>
      <c r="D109" s="246"/>
      <c r="E109" s="247">
        <f t="shared" si="79"/>
        <v>0</v>
      </c>
      <c r="F109" s="246"/>
      <c r="G109" s="246"/>
      <c r="H109" s="247">
        <f t="shared" si="90"/>
        <v>0</v>
      </c>
      <c r="I109" s="246"/>
      <c r="J109" s="246"/>
      <c r="K109" s="247">
        <f t="shared" si="91"/>
        <v>0</v>
      </c>
      <c r="L109" s="246"/>
      <c r="M109" s="246"/>
      <c r="N109" s="247">
        <f t="shared" si="92"/>
        <v>0</v>
      </c>
    </row>
    <row r="110" spans="1:14" ht="15.75" hidden="1" thickBot="1" x14ac:dyDescent="0.3">
      <c r="A110" s="191"/>
      <c r="B110" s="192" t="s">
        <v>197</v>
      </c>
      <c r="C110" s="248"/>
      <c r="D110" s="248"/>
      <c r="E110" s="249">
        <f t="shared" si="79"/>
        <v>0</v>
      </c>
      <c r="F110" s="248"/>
      <c r="G110" s="248"/>
      <c r="H110" s="249">
        <f t="shared" si="90"/>
        <v>0</v>
      </c>
      <c r="I110" s="248"/>
      <c r="J110" s="248"/>
      <c r="K110" s="249">
        <f t="shared" si="91"/>
        <v>0</v>
      </c>
      <c r="L110" s="248"/>
      <c r="M110" s="248"/>
      <c r="N110" s="249">
        <f t="shared" si="92"/>
        <v>0</v>
      </c>
    </row>
    <row r="111" spans="1:14" x14ac:dyDescent="0.25">
      <c r="A111" s="188" t="s">
        <v>198</v>
      </c>
      <c r="B111" s="189" t="s">
        <v>35</v>
      </c>
      <c r="C111" s="244">
        <f t="shared" ref="C111:D111" si="101">SUM(C112:C113,C114,C123,C122)</f>
        <v>0</v>
      </c>
      <c r="D111" s="244">
        <f t="shared" si="101"/>
        <v>0</v>
      </c>
      <c r="E111" s="245">
        <f t="shared" si="79"/>
        <v>0</v>
      </c>
      <c r="F111" s="244">
        <f t="shared" ref="F111:G111" si="102">SUM(F112:F113,F114,F123,F122)</f>
        <v>0</v>
      </c>
      <c r="G111" s="244">
        <f t="shared" si="102"/>
        <v>0</v>
      </c>
      <c r="H111" s="245">
        <f t="shared" si="90"/>
        <v>0</v>
      </c>
      <c r="I111" s="244">
        <f t="shared" ref="I111:J111" si="103">SUM(I112:I113,I114,I123,I122)</f>
        <v>0</v>
      </c>
      <c r="J111" s="244">
        <f t="shared" si="103"/>
        <v>0</v>
      </c>
      <c r="K111" s="245">
        <f t="shared" si="91"/>
        <v>0</v>
      </c>
      <c r="L111" s="244">
        <f t="shared" ref="L111:M111" si="104">SUM(L112:L113,L114,L123,L122)</f>
        <v>75000</v>
      </c>
      <c r="M111" s="244">
        <f t="shared" si="104"/>
        <v>0</v>
      </c>
      <c r="N111" s="245">
        <f t="shared" si="92"/>
        <v>75000</v>
      </c>
    </row>
    <row r="112" spans="1:14" x14ac:dyDescent="0.25">
      <c r="A112" s="190" t="s">
        <v>199</v>
      </c>
      <c r="B112" s="180" t="s">
        <v>200</v>
      </c>
      <c r="C112" s="246"/>
      <c r="D112" s="246"/>
      <c r="E112" s="247">
        <f t="shared" si="79"/>
        <v>0</v>
      </c>
      <c r="F112" s="246"/>
      <c r="G112" s="246"/>
      <c r="H112" s="247">
        <f t="shared" si="90"/>
        <v>0</v>
      </c>
      <c r="I112" s="246"/>
      <c r="J112" s="246"/>
      <c r="K112" s="247">
        <f t="shared" si="91"/>
        <v>0</v>
      </c>
      <c r="L112" s="246"/>
      <c r="M112" s="246"/>
      <c r="N112" s="247">
        <f t="shared" si="92"/>
        <v>0</v>
      </c>
    </row>
    <row r="113" spans="1:14" x14ac:dyDescent="0.25">
      <c r="A113" s="190" t="s">
        <v>201</v>
      </c>
      <c r="B113" s="180" t="s">
        <v>202</v>
      </c>
      <c r="C113" s="246"/>
      <c r="D113" s="246"/>
      <c r="E113" s="247">
        <f t="shared" si="79"/>
        <v>0</v>
      </c>
      <c r="F113" s="246"/>
      <c r="G113" s="246"/>
      <c r="H113" s="247">
        <f t="shared" si="90"/>
        <v>0</v>
      </c>
      <c r="I113" s="246"/>
      <c r="J113" s="246"/>
      <c r="K113" s="247">
        <f t="shared" si="91"/>
        <v>0</v>
      </c>
      <c r="L113" s="246"/>
      <c r="M113" s="246"/>
      <c r="N113" s="247">
        <f t="shared" si="92"/>
        <v>0</v>
      </c>
    </row>
    <row r="114" spans="1:14" x14ac:dyDescent="0.25">
      <c r="A114" s="190" t="s">
        <v>203</v>
      </c>
      <c r="B114" s="180" t="s">
        <v>204</v>
      </c>
      <c r="C114" s="246">
        <f t="shared" ref="C114:D114" si="105">SUM(C115:C121)</f>
        <v>0</v>
      </c>
      <c r="D114" s="246">
        <f t="shared" si="105"/>
        <v>0</v>
      </c>
      <c r="E114" s="247">
        <f t="shared" si="79"/>
        <v>0</v>
      </c>
      <c r="F114" s="246">
        <f t="shared" ref="F114:G114" si="106">SUM(F115:F121)</f>
        <v>0</v>
      </c>
      <c r="G114" s="246">
        <f t="shared" si="106"/>
        <v>0</v>
      </c>
      <c r="H114" s="247">
        <f t="shared" si="90"/>
        <v>0</v>
      </c>
      <c r="I114" s="246">
        <f t="shared" ref="I114:J114" si="107">SUM(I115:I121)</f>
        <v>0</v>
      </c>
      <c r="J114" s="246">
        <f t="shared" si="107"/>
        <v>0</v>
      </c>
      <c r="K114" s="247">
        <f t="shared" si="91"/>
        <v>0</v>
      </c>
      <c r="L114" s="246">
        <f t="shared" ref="L114:M114" si="108">SUM(L115:L121)</f>
        <v>75000</v>
      </c>
      <c r="M114" s="246">
        <f t="shared" si="108"/>
        <v>0</v>
      </c>
      <c r="N114" s="247">
        <f t="shared" si="92"/>
        <v>75000</v>
      </c>
    </row>
    <row r="115" spans="1:14" x14ac:dyDescent="0.25">
      <c r="A115" s="190" t="s">
        <v>205</v>
      </c>
      <c r="B115" s="180" t="s">
        <v>206</v>
      </c>
      <c r="C115" s="246"/>
      <c r="D115" s="246"/>
      <c r="E115" s="247">
        <f t="shared" si="79"/>
        <v>0</v>
      </c>
      <c r="F115" s="246"/>
      <c r="G115" s="246"/>
      <c r="H115" s="247">
        <f t="shared" si="90"/>
        <v>0</v>
      </c>
      <c r="I115" s="246"/>
      <c r="J115" s="246"/>
      <c r="K115" s="247">
        <f t="shared" si="91"/>
        <v>0</v>
      </c>
      <c r="L115" s="246"/>
      <c r="M115" s="246"/>
      <c r="N115" s="247">
        <f t="shared" si="92"/>
        <v>0</v>
      </c>
    </row>
    <row r="116" spans="1:14" x14ac:dyDescent="0.25">
      <c r="A116" s="190" t="s">
        <v>207</v>
      </c>
      <c r="B116" s="180" t="s">
        <v>208</v>
      </c>
      <c r="C116" s="246"/>
      <c r="D116" s="246"/>
      <c r="E116" s="247">
        <f t="shared" si="79"/>
        <v>0</v>
      </c>
      <c r="F116" s="246"/>
      <c r="G116" s="246"/>
      <c r="H116" s="247">
        <f t="shared" si="90"/>
        <v>0</v>
      </c>
      <c r="I116" s="246"/>
      <c r="J116" s="246"/>
      <c r="K116" s="247">
        <f t="shared" si="91"/>
        <v>0</v>
      </c>
      <c r="L116" s="246"/>
      <c r="M116" s="246"/>
      <c r="N116" s="247">
        <f t="shared" si="92"/>
        <v>0</v>
      </c>
    </row>
    <row r="117" spans="1:14" x14ac:dyDescent="0.25">
      <c r="A117" s="190" t="s">
        <v>209</v>
      </c>
      <c r="B117" s="180" t="s">
        <v>210</v>
      </c>
      <c r="C117" s="246"/>
      <c r="D117" s="246"/>
      <c r="E117" s="247">
        <f t="shared" si="79"/>
        <v>0</v>
      </c>
      <c r="F117" s="246"/>
      <c r="G117" s="246"/>
      <c r="H117" s="247">
        <f t="shared" si="90"/>
        <v>0</v>
      </c>
      <c r="I117" s="246"/>
      <c r="J117" s="246"/>
      <c r="K117" s="247">
        <f t="shared" si="91"/>
        <v>0</v>
      </c>
      <c r="L117" s="246"/>
      <c r="M117" s="246"/>
      <c r="N117" s="247">
        <f t="shared" si="92"/>
        <v>0</v>
      </c>
    </row>
    <row r="118" spans="1:14" x14ac:dyDescent="0.25">
      <c r="A118" s="190" t="s">
        <v>211</v>
      </c>
      <c r="B118" s="180" t="s">
        <v>212</v>
      </c>
      <c r="C118" s="246"/>
      <c r="D118" s="246"/>
      <c r="E118" s="247">
        <f t="shared" si="79"/>
        <v>0</v>
      </c>
      <c r="F118" s="246"/>
      <c r="G118" s="246"/>
      <c r="H118" s="247">
        <f t="shared" si="90"/>
        <v>0</v>
      </c>
      <c r="I118" s="246"/>
      <c r="J118" s="246"/>
      <c r="K118" s="247">
        <f t="shared" si="91"/>
        <v>0</v>
      </c>
      <c r="L118" s="246"/>
      <c r="M118" s="246"/>
      <c r="N118" s="247">
        <f t="shared" si="92"/>
        <v>0</v>
      </c>
    </row>
    <row r="119" spans="1:14" x14ac:dyDescent="0.25">
      <c r="A119" s="190" t="s">
        <v>213</v>
      </c>
      <c r="B119" s="180" t="s">
        <v>214</v>
      </c>
      <c r="C119" s="246"/>
      <c r="D119" s="246"/>
      <c r="E119" s="247">
        <f t="shared" si="79"/>
        <v>0</v>
      </c>
      <c r="F119" s="246"/>
      <c r="G119" s="246"/>
      <c r="H119" s="247">
        <f t="shared" si="90"/>
        <v>0</v>
      </c>
      <c r="I119" s="246"/>
      <c r="J119" s="246"/>
      <c r="K119" s="247">
        <f t="shared" si="91"/>
        <v>0</v>
      </c>
      <c r="L119" s="246"/>
      <c r="M119" s="246"/>
      <c r="N119" s="247">
        <f t="shared" si="92"/>
        <v>0</v>
      </c>
    </row>
    <row r="120" spans="1:14" x14ac:dyDescent="0.25">
      <c r="A120" s="190" t="s">
        <v>215</v>
      </c>
      <c r="B120" s="180" t="s">
        <v>216</v>
      </c>
      <c r="C120" s="246"/>
      <c r="D120" s="246"/>
      <c r="E120" s="247">
        <f t="shared" si="79"/>
        <v>0</v>
      </c>
      <c r="F120" s="246"/>
      <c r="G120" s="246"/>
      <c r="H120" s="247">
        <f t="shared" si="90"/>
        <v>0</v>
      </c>
      <c r="I120" s="246"/>
      <c r="J120" s="246"/>
      <c r="K120" s="247">
        <f t="shared" si="91"/>
        <v>0</v>
      </c>
      <c r="L120" s="246"/>
      <c r="M120" s="246"/>
      <c r="N120" s="247">
        <f t="shared" si="92"/>
        <v>0</v>
      </c>
    </row>
    <row r="121" spans="1:14" x14ac:dyDescent="0.25">
      <c r="A121" s="190" t="s">
        <v>217</v>
      </c>
      <c r="B121" s="180" t="s">
        <v>218</v>
      </c>
      <c r="C121" s="246"/>
      <c r="D121" s="246"/>
      <c r="E121" s="247">
        <f t="shared" si="79"/>
        <v>0</v>
      </c>
      <c r="F121" s="246"/>
      <c r="G121" s="246"/>
      <c r="H121" s="247">
        <f t="shared" si="90"/>
        <v>0</v>
      </c>
      <c r="I121" s="246"/>
      <c r="J121" s="246"/>
      <c r="K121" s="247">
        <f t="shared" si="91"/>
        <v>0</v>
      </c>
      <c r="L121" s="246">
        <v>75000</v>
      </c>
      <c r="M121" s="246"/>
      <c r="N121" s="247">
        <f t="shared" si="92"/>
        <v>75000</v>
      </c>
    </row>
    <row r="122" spans="1:14" x14ac:dyDescent="0.25">
      <c r="A122" s="190" t="s">
        <v>219</v>
      </c>
      <c r="B122" s="180" t="s">
        <v>220</v>
      </c>
      <c r="C122" s="246"/>
      <c r="D122" s="246"/>
      <c r="E122" s="247">
        <f t="shared" si="79"/>
        <v>0</v>
      </c>
      <c r="F122" s="246"/>
      <c r="G122" s="246"/>
      <c r="H122" s="247">
        <f t="shared" si="90"/>
        <v>0</v>
      </c>
      <c r="I122" s="246"/>
      <c r="J122" s="246"/>
      <c r="K122" s="247">
        <f t="shared" si="91"/>
        <v>0</v>
      </c>
      <c r="L122" s="246"/>
      <c r="M122" s="246"/>
      <c r="N122" s="247">
        <f t="shared" si="92"/>
        <v>0</v>
      </c>
    </row>
    <row r="123" spans="1:14" x14ac:dyDescent="0.25">
      <c r="A123" s="190" t="s">
        <v>221</v>
      </c>
      <c r="B123" s="180" t="s">
        <v>222</v>
      </c>
      <c r="C123" s="246">
        <f t="shared" ref="C123:D123" si="109">SUM(C124:C126)</f>
        <v>0</v>
      </c>
      <c r="D123" s="246">
        <f t="shared" si="109"/>
        <v>0</v>
      </c>
      <c r="E123" s="247">
        <f t="shared" si="79"/>
        <v>0</v>
      </c>
      <c r="F123" s="246">
        <f t="shared" ref="F123:G123" si="110">SUM(F124:F126)</f>
        <v>0</v>
      </c>
      <c r="G123" s="246">
        <f t="shared" si="110"/>
        <v>0</v>
      </c>
      <c r="H123" s="247">
        <f t="shared" si="90"/>
        <v>0</v>
      </c>
      <c r="I123" s="246">
        <f t="shared" ref="I123:J123" si="111">SUM(I124:I126)</f>
        <v>0</v>
      </c>
      <c r="J123" s="246">
        <f t="shared" si="111"/>
        <v>0</v>
      </c>
      <c r="K123" s="247">
        <f t="shared" si="91"/>
        <v>0</v>
      </c>
      <c r="L123" s="246">
        <f t="shared" ref="L123:M123" si="112">SUM(L124:L126)</f>
        <v>0</v>
      </c>
      <c r="M123" s="246">
        <f t="shared" si="112"/>
        <v>0</v>
      </c>
      <c r="N123" s="247">
        <f t="shared" si="92"/>
        <v>0</v>
      </c>
    </row>
    <row r="124" spans="1:14" x14ac:dyDescent="0.25">
      <c r="A124" s="190"/>
      <c r="B124" s="180" t="s">
        <v>223</v>
      </c>
      <c r="C124" s="246"/>
      <c r="D124" s="246"/>
      <c r="E124" s="247">
        <f t="shared" si="79"/>
        <v>0</v>
      </c>
      <c r="F124" s="246"/>
      <c r="G124" s="246"/>
      <c r="H124" s="247">
        <f t="shared" si="90"/>
        <v>0</v>
      </c>
      <c r="I124" s="246"/>
      <c r="J124" s="246"/>
      <c r="K124" s="247">
        <f t="shared" si="91"/>
        <v>0</v>
      </c>
      <c r="L124" s="246"/>
      <c r="M124" s="246"/>
      <c r="N124" s="247">
        <f t="shared" si="92"/>
        <v>0</v>
      </c>
    </row>
    <row r="125" spans="1:14" x14ac:dyDescent="0.25">
      <c r="A125" s="191"/>
      <c r="B125" s="192" t="s">
        <v>224</v>
      </c>
      <c r="C125" s="246"/>
      <c r="D125" s="246"/>
      <c r="E125" s="247">
        <f t="shared" si="79"/>
        <v>0</v>
      </c>
      <c r="F125" s="246"/>
      <c r="G125" s="246"/>
      <c r="H125" s="247">
        <f t="shared" si="90"/>
        <v>0</v>
      </c>
      <c r="I125" s="246"/>
      <c r="J125" s="246"/>
      <c r="K125" s="247">
        <f t="shared" si="91"/>
        <v>0</v>
      </c>
      <c r="L125" s="246"/>
      <c r="M125" s="246"/>
      <c r="N125" s="247">
        <f t="shared" si="92"/>
        <v>0</v>
      </c>
    </row>
    <row r="126" spans="1:14" ht="15.75" thickBot="1" x14ac:dyDescent="0.3">
      <c r="A126" s="191" t="s">
        <v>225</v>
      </c>
      <c r="B126" s="192" t="s">
        <v>226</v>
      </c>
      <c r="C126" s="248"/>
      <c r="D126" s="248"/>
      <c r="E126" s="249">
        <f t="shared" si="79"/>
        <v>0</v>
      </c>
      <c r="F126" s="248"/>
      <c r="G126" s="248"/>
      <c r="H126" s="249">
        <f t="shared" si="90"/>
        <v>0</v>
      </c>
      <c r="I126" s="248"/>
      <c r="J126" s="248"/>
      <c r="K126" s="249">
        <f t="shared" si="91"/>
        <v>0</v>
      </c>
      <c r="L126" s="248"/>
      <c r="M126" s="248"/>
      <c r="N126" s="249">
        <f t="shared" si="92"/>
        <v>0</v>
      </c>
    </row>
    <row r="127" spans="1:14" ht="15.75" thickBot="1" x14ac:dyDescent="0.3">
      <c r="A127" s="193" t="s">
        <v>227</v>
      </c>
      <c r="B127" s="194" t="s">
        <v>36</v>
      </c>
      <c r="C127" s="250"/>
      <c r="D127" s="250"/>
      <c r="E127" s="251">
        <f t="shared" si="79"/>
        <v>0</v>
      </c>
      <c r="F127" s="250"/>
      <c r="G127" s="250"/>
      <c r="H127" s="251">
        <f t="shared" si="90"/>
        <v>0</v>
      </c>
      <c r="I127" s="250"/>
      <c r="J127" s="250"/>
      <c r="K127" s="251">
        <f t="shared" si="91"/>
        <v>0</v>
      </c>
      <c r="L127" s="250"/>
      <c r="M127" s="250"/>
      <c r="N127" s="251">
        <f t="shared" si="92"/>
        <v>0</v>
      </c>
    </row>
    <row r="128" spans="1:14" ht="15.75" thickBot="1" x14ac:dyDescent="0.3">
      <c r="A128" s="188" t="s">
        <v>228</v>
      </c>
      <c r="B128" s="189" t="s">
        <v>37</v>
      </c>
      <c r="C128" s="244">
        <f t="shared" ref="C128:D128" si="113">SUM(C129:C134)</f>
        <v>0</v>
      </c>
      <c r="D128" s="244">
        <f t="shared" si="113"/>
        <v>0</v>
      </c>
      <c r="E128" s="245">
        <f t="shared" si="79"/>
        <v>0</v>
      </c>
      <c r="F128" s="244">
        <f t="shared" ref="F128:G128" si="114">SUM(F129:F134)</f>
        <v>0</v>
      </c>
      <c r="G128" s="244">
        <f t="shared" si="114"/>
        <v>0</v>
      </c>
      <c r="H128" s="245">
        <f t="shared" si="90"/>
        <v>0</v>
      </c>
      <c r="I128" s="244">
        <f t="shared" ref="I128:J128" si="115">SUM(I129:I134)</f>
        <v>0</v>
      </c>
      <c r="J128" s="244">
        <f t="shared" si="115"/>
        <v>0</v>
      </c>
      <c r="K128" s="245">
        <f t="shared" si="91"/>
        <v>0</v>
      </c>
      <c r="L128" s="244">
        <f t="shared" ref="L128:M128" si="116">SUM(L129:L134)</f>
        <v>0</v>
      </c>
      <c r="M128" s="244">
        <f t="shared" si="116"/>
        <v>0</v>
      </c>
      <c r="N128" s="245">
        <f t="shared" si="92"/>
        <v>0</v>
      </c>
    </row>
    <row r="129" spans="1:14" ht="15.75" hidden="1" thickBot="1" x14ac:dyDescent="0.3">
      <c r="A129" s="190" t="s">
        <v>229</v>
      </c>
      <c r="B129" s="180" t="s">
        <v>230</v>
      </c>
      <c r="C129" s="246"/>
      <c r="D129" s="246"/>
      <c r="E129" s="247">
        <f t="shared" si="79"/>
        <v>0</v>
      </c>
      <c r="F129" s="246"/>
      <c r="G129" s="246"/>
      <c r="H129" s="247">
        <f t="shared" si="90"/>
        <v>0</v>
      </c>
      <c r="I129" s="246"/>
      <c r="J129" s="246"/>
      <c r="K129" s="247">
        <f t="shared" si="91"/>
        <v>0</v>
      </c>
      <c r="L129" s="246"/>
      <c r="M129" s="246"/>
      <c r="N129" s="247">
        <f t="shared" si="92"/>
        <v>0</v>
      </c>
    </row>
    <row r="130" spans="1:14" ht="15.75" hidden="1" thickBot="1" x14ac:dyDescent="0.3">
      <c r="A130" s="190" t="s">
        <v>548</v>
      </c>
      <c r="B130" s="180" t="s">
        <v>549</v>
      </c>
      <c r="C130" s="246"/>
      <c r="D130" s="246"/>
      <c r="E130" s="247">
        <f t="shared" si="79"/>
        <v>0</v>
      </c>
      <c r="F130" s="246"/>
      <c r="G130" s="246"/>
      <c r="H130" s="247">
        <f t="shared" si="90"/>
        <v>0</v>
      </c>
      <c r="I130" s="246"/>
      <c r="J130" s="246"/>
      <c r="K130" s="247">
        <f t="shared" si="91"/>
        <v>0</v>
      </c>
      <c r="L130" s="246"/>
      <c r="M130" s="246"/>
      <c r="N130" s="247">
        <f t="shared" si="92"/>
        <v>0</v>
      </c>
    </row>
    <row r="131" spans="1:14" ht="15.75" hidden="1" thickBot="1" x14ac:dyDescent="0.3">
      <c r="A131" s="190" t="s">
        <v>231</v>
      </c>
      <c r="B131" s="180" t="s">
        <v>232</v>
      </c>
      <c r="C131" s="246"/>
      <c r="D131" s="246"/>
      <c r="E131" s="247">
        <f t="shared" si="79"/>
        <v>0</v>
      </c>
      <c r="F131" s="246"/>
      <c r="G131" s="246"/>
      <c r="H131" s="247">
        <f t="shared" si="90"/>
        <v>0</v>
      </c>
      <c r="I131" s="246"/>
      <c r="J131" s="246"/>
      <c r="K131" s="247">
        <f t="shared" si="91"/>
        <v>0</v>
      </c>
      <c r="L131" s="246"/>
      <c r="M131" s="246"/>
      <c r="N131" s="247">
        <f t="shared" si="92"/>
        <v>0</v>
      </c>
    </row>
    <row r="132" spans="1:14" ht="15.75" hidden="1" thickBot="1" x14ac:dyDescent="0.3">
      <c r="A132" s="190" t="s">
        <v>233</v>
      </c>
      <c r="B132" s="180" t="s">
        <v>234</v>
      </c>
      <c r="C132" s="246"/>
      <c r="D132" s="246"/>
      <c r="E132" s="247">
        <f t="shared" si="79"/>
        <v>0</v>
      </c>
      <c r="F132" s="246"/>
      <c r="G132" s="246"/>
      <c r="H132" s="247">
        <f t="shared" si="90"/>
        <v>0</v>
      </c>
      <c r="I132" s="246"/>
      <c r="J132" s="246"/>
      <c r="K132" s="247">
        <f t="shared" si="91"/>
        <v>0</v>
      </c>
      <c r="L132" s="246"/>
      <c r="M132" s="246"/>
      <c r="N132" s="247">
        <f t="shared" si="92"/>
        <v>0</v>
      </c>
    </row>
    <row r="133" spans="1:14" ht="15.75" hidden="1" thickBot="1" x14ac:dyDescent="0.3">
      <c r="A133" s="190" t="s">
        <v>235</v>
      </c>
      <c r="B133" s="180" t="s">
        <v>236</v>
      </c>
      <c r="C133" s="246"/>
      <c r="D133" s="246"/>
      <c r="E133" s="247">
        <f t="shared" si="79"/>
        <v>0</v>
      </c>
      <c r="F133" s="246"/>
      <c r="G133" s="246"/>
      <c r="H133" s="247">
        <f t="shared" si="90"/>
        <v>0</v>
      </c>
      <c r="I133" s="246"/>
      <c r="J133" s="246"/>
      <c r="K133" s="247">
        <f t="shared" si="91"/>
        <v>0</v>
      </c>
      <c r="L133" s="246"/>
      <c r="M133" s="246"/>
      <c r="N133" s="247">
        <f t="shared" si="92"/>
        <v>0</v>
      </c>
    </row>
    <row r="134" spans="1:14" ht="15.75" hidden="1" thickBot="1" x14ac:dyDescent="0.3">
      <c r="A134" s="190" t="s">
        <v>237</v>
      </c>
      <c r="B134" s="180" t="s">
        <v>238</v>
      </c>
      <c r="C134" s="246">
        <f t="shared" ref="C134:D134" si="117">SUM(C135:C136)</f>
        <v>0</v>
      </c>
      <c r="D134" s="246">
        <f t="shared" si="117"/>
        <v>0</v>
      </c>
      <c r="E134" s="247">
        <f t="shared" si="79"/>
        <v>0</v>
      </c>
      <c r="F134" s="246">
        <f t="shared" ref="F134:G134" si="118">SUM(F135:F136)</f>
        <v>0</v>
      </c>
      <c r="G134" s="246">
        <f t="shared" si="118"/>
        <v>0</v>
      </c>
      <c r="H134" s="247">
        <f t="shared" si="90"/>
        <v>0</v>
      </c>
      <c r="I134" s="246">
        <f t="shared" ref="I134:J134" si="119">SUM(I135:I136)</f>
        <v>0</v>
      </c>
      <c r="J134" s="246">
        <f t="shared" si="119"/>
        <v>0</v>
      </c>
      <c r="K134" s="247">
        <f t="shared" si="91"/>
        <v>0</v>
      </c>
      <c r="L134" s="246">
        <f t="shared" ref="L134:M134" si="120">SUM(L135:L136)</f>
        <v>0</v>
      </c>
      <c r="M134" s="246">
        <f t="shared" si="120"/>
        <v>0</v>
      </c>
      <c r="N134" s="247">
        <f t="shared" si="92"/>
        <v>0</v>
      </c>
    </row>
    <row r="135" spans="1:14" ht="15.75" hidden="1" thickBot="1" x14ac:dyDescent="0.3">
      <c r="A135" s="190"/>
      <c r="B135" s="180" t="s">
        <v>239</v>
      </c>
      <c r="C135" s="246"/>
      <c r="D135" s="246"/>
      <c r="E135" s="247">
        <f t="shared" si="79"/>
        <v>0</v>
      </c>
      <c r="F135" s="246"/>
      <c r="G135" s="246"/>
      <c r="H135" s="247">
        <f t="shared" si="90"/>
        <v>0</v>
      </c>
      <c r="I135" s="246"/>
      <c r="J135" s="246"/>
      <c r="K135" s="247">
        <f t="shared" si="91"/>
        <v>0</v>
      </c>
      <c r="L135" s="246"/>
      <c r="M135" s="246"/>
      <c r="N135" s="247">
        <f t="shared" si="92"/>
        <v>0</v>
      </c>
    </row>
    <row r="136" spans="1:14" ht="15.75" hidden="1" thickBot="1" x14ac:dyDescent="0.3">
      <c r="A136" s="191"/>
      <c r="B136" s="192" t="s">
        <v>240</v>
      </c>
      <c r="C136" s="248"/>
      <c r="D136" s="248"/>
      <c r="E136" s="249">
        <f t="shared" si="79"/>
        <v>0</v>
      </c>
      <c r="F136" s="248"/>
      <c r="G136" s="248"/>
      <c r="H136" s="249">
        <f t="shared" si="90"/>
        <v>0</v>
      </c>
      <c r="I136" s="248"/>
      <c r="J136" s="248"/>
      <c r="K136" s="249">
        <f t="shared" si="91"/>
        <v>0</v>
      </c>
      <c r="L136" s="248"/>
      <c r="M136" s="248"/>
      <c r="N136" s="249">
        <f t="shared" si="92"/>
        <v>0</v>
      </c>
    </row>
    <row r="137" spans="1:14" x14ac:dyDescent="0.25">
      <c r="A137" s="188" t="s">
        <v>241</v>
      </c>
      <c r="B137" s="189" t="s">
        <v>38</v>
      </c>
      <c r="C137" s="244"/>
      <c r="D137" s="244"/>
      <c r="E137" s="245">
        <f t="shared" si="79"/>
        <v>0</v>
      </c>
      <c r="F137" s="244"/>
      <c r="G137" s="244"/>
      <c r="H137" s="245">
        <f t="shared" si="90"/>
        <v>0</v>
      </c>
      <c r="I137" s="244"/>
      <c r="J137" s="244"/>
      <c r="K137" s="245">
        <f t="shared" si="91"/>
        <v>0</v>
      </c>
      <c r="L137" s="244"/>
      <c r="M137" s="244"/>
      <c r="N137" s="245">
        <f t="shared" si="92"/>
        <v>0</v>
      </c>
    </row>
    <row r="138" spans="1:14" ht="15.75" thickBot="1" x14ac:dyDescent="0.3">
      <c r="A138" s="191" t="s">
        <v>242</v>
      </c>
      <c r="B138" s="192" t="s">
        <v>243</v>
      </c>
      <c r="C138" s="248"/>
      <c r="D138" s="248"/>
      <c r="E138" s="249">
        <f t="shared" si="79"/>
        <v>0</v>
      </c>
      <c r="F138" s="248"/>
      <c r="G138" s="248"/>
      <c r="H138" s="249">
        <f t="shared" si="90"/>
        <v>0</v>
      </c>
      <c r="I138" s="248"/>
      <c r="J138" s="248"/>
      <c r="K138" s="249">
        <f t="shared" si="91"/>
        <v>0</v>
      </c>
      <c r="L138" s="248"/>
      <c r="M138" s="248"/>
      <c r="N138" s="249">
        <f t="shared" si="92"/>
        <v>0</v>
      </c>
    </row>
    <row r="139" spans="1:14" x14ac:dyDescent="0.25">
      <c r="A139" s="188" t="s">
        <v>244</v>
      </c>
      <c r="B139" s="189" t="s">
        <v>39</v>
      </c>
      <c r="C139" s="244"/>
      <c r="D139" s="244"/>
      <c r="E139" s="245">
        <f t="shared" si="79"/>
        <v>0</v>
      </c>
      <c r="F139" s="244"/>
      <c r="G139" s="244"/>
      <c r="H139" s="245">
        <f t="shared" si="90"/>
        <v>0</v>
      </c>
      <c r="I139" s="244"/>
      <c r="J139" s="244"/>
      <c r="K139" s="245">
        <f t="shared" si="91"/>
        <v>0</v>
      </c>
      <c r="L139" s="244"/>
      <c r="M139" s="244"/>
      <c r="N139" s="245">
        <f t="shared" si="92"/>
        <v>0</v>
      </c>
    </row>
    <row r="140" spans="1:14" ht="15.75" thickBot="1" x14ac:dyDescent="0.3">
      <c r="A140" s="191" t="s">
        <v>245</v>
      </c>
      <c r="B140" s="192" t="s">
        <v>246</v>
      </c>
      <c r="C140" s="248"/>
      <c r="D140" s="248"/>
      <c r="E140" s="249">
        <f t="shared" si="79"/>
        <v>0</v>
      </c>
      <c r="F140" s="248"/>
      <c r="G140" s="248"/>
      <c r="H140" s="249">
        <f t="shared" si="90"/>
        <v>0</v>
      </c>
      <c r="I140" s="248"/>
      <c r="J140" s="248"/>
      <c r="K140" s="249">
        <f t="shared" si="91"/>
        <v>0</v>
      </c>
      <c r="L140" s="248"/>
      <c r="M140" s="248"/>
      <c r="N140" s="249">
        <f t="shared" si="92"/>
        <v>0</v>
      </c>
    </row>
    <row r="141" spans="1:14" ht="15.75" thickBot="1" x14ac:dyDescent="0.3">
      <c r="A141" s="195" t="s">
        <v>247</v>
      </c>
      <c r="B141" s="196" t="s">
        <v>40</v>
      </c>
      <c r="C141" s="254"/>
      <c r="D141" s="254"/>
      <c r="E141" s="255">
        <f t="shared" si="79"/>
        <v>0</v>
      </c>
      <c r="F141" s="254"/>
      <c r="G141" s="254"/>
      <c r="H141" s="255">
        <f t="shared" si="90"/>
        <v>0</v>
      </c>
      <c r="I141" s="254"/>
      <c r="J141" s="254"/>
      <c r="K141" s="255">
        <f t="shared" si="91"/>
        <v>0</v>
      </c>
      <c r="L141" s="254"/>
      <c r="M141" s="254"/>
      <c r="N141" s="255">
        <f t="shared" si="92"/>
        <v>0</v>
      </c>
    </row>
    <row r="142" spans="1:14" ht="15.75" thickBot="1" x14ac:dyDescent="0.3">
      <c r="A142" s="193" t="s">
        <v>248</v>
      </c>
      <c r="B142" s="194" t="s">
        <v>249</v>
      </c>
      <c r="C142" s="250">
        <f t="shared" ref="C142:D142" si="121">C141+C140+C139+C138+C137+C128+C127+C111+C105+C88</f>
        <v>8926650</v>
      </c>
      <c r="D142" s="250">
        <f t="shared" si="121"/>
        <v>0</v>
      </c>
      <c r="E142" s="251">
        <f t="shared" si="79"/>
        <v>8926650</v>
      </c>
      <c r="F142" s="250">
        <f t="shared" ref="F142:G142" si="122">F141+F140+F139+F138+F137+F128+F127+F111+F105+F88</f>
        <v>8926650</v>
      </c>
      <c r="G142" s="250">
        <f t="shared" si="122"/>
        <v>0</v>
      </c>
      <c r="H142" s="251">
        <f t="shared" si="90"/>
        <v>8926650</v>
      </c>
      <c r="I142" s="250">
        <f t="shared" ref="I142:J142" si="123">I141+I140+I139+I138+I137+I128+I127+I111+I105+I88</f>
        <v>8926650</v>
      </c>
      <c r="J142" s="250">
        <f t="shared" si="123"/>
        <v>0</v>
      </c>
      <c r="K142" s="251">
        <f t="shared" si="91"/>
        <v>8926650</v>
      </c>
      <c r="L142" s="250">
        <f t="shared" ref="L142:M142" si="124">L141+L140+L139+L138+L137+L128+L127+L111+L105+L88</f>
        <v>9001656</v>
      </c>
      <c r="M142" s="250">
        <f t="shared" si="124"/>
        <v>0</v>
      </c>
      <c r="N142" s="251">
        <f t="shared" si="92"/>
        <v>9001656</v>
      </c>
    </row>
    <row r="143" spans="1:14" ht="15.75" thickBot="1" x14ac:dyDescent="0.3">
      <c r="A143" s="197" t="s">
        <v>250</v>
      </c>
      <c r="B143" s="198" t="s">
        <v>251</v>
      </c>
      <c r="C143" s="244">
        <f t="shared" ref="C143:D143" si="125">SUM(C144:C150)</f>
        <v>0</v>
      </c>
      <c r="D143" s="244">
        <f t="shared" si="125"/>
        <v>0</v>
      </c>
      <c r="E143" s="245">
        <f t="shared" si="79"/>
        <v>0</v>
      </c>
      <c r="F143" s="244">
        <f t="shared" ref="F143:G143" si="126">SUM(F144:F150)</f>
        <v>0</v>
      </c>
      <c r="G143" s="244">
        <f t="shared" si="126"/>
        <v>0</v>
      </c>
      <c r="H143" s="245">
        <f t="shared" si="90"/>
        <v>0</v>
      </c>
      <c r="I143" s="244">
        <f t="shared" ref="I143:J143" si="127">SUM(I144:I150)</f>
        <v>0</v>
      </c>
      <c r="J143" s="244">
        <f t="shared" si="127"/>
        <v>0</v>
      </c>
      <c r="K143" s="245">
        <f t="shared" si="91"/>
        <v>0</v>
      </c>
      <c r="L143" s="244">
        <f t="shared" ref="L143:M143" si="128">SUM(L144:L150)</f>
        <v>0</v>
      </c>
      <c r="M143" s="244">
        <f t="shared" si="128"/>
        <v>0</v>
      </c>
      <c r="N143" s="245">
        <f t="shared" si="92"/>
        <v>0</v>
      </c>
    </row>
    <row r="144" spans="1:14" ht="15.75" hidden="1" thickBot="1" x14ac:dyDescent="0.3">
      <c r="A144" s="190" t="s">
        <v>252</v>
      </c>
      <c r="B144" s="180" t="s">
        <v>253</v>
      </c>
      <c r="C144" s="246"/>
      <c r="D144" s="246"/>
      <c r="E144" s="247">
        <f t="shared" si="79"/>
        <v>0</v>
      </c>
      <c r="F144" s="246"/>
      <c r="G144" s="246"/>
      <c r="H144" s="247">
        <f t="shared" si="90"/>
        <v>0</v>
      </c>
      <c r="I144" s="246"/>
      <c r="J144" s="246"/>
      <c r="K144" s="247">
        <f t="shared" si="91"/>
        <v>0</v>
      </c>
      <c r="L144" s="246"/>
      <c r="M144" s="246"/>
      <c r="N144" s="247">
        <f t="shared" si="92"/>
        <v>0</v>
      </c>
    </row>
    <row r="145" spans="1:14" ht="15.75" hidden="1" thickBot="1" x14ac:dyDescent="0.3">
      <c r="A145" s="190" t="s">
        <v>254</v>
      </c>
      <c r="B145" s="180" t="s">
        <v>255</v>
      </c>
      <c r="C145" s="246"/>
      <c r="D145" s="246"/>
      <c r="E145" s="247">
        <f t="shared" si="79"/>
        <v>0</v>
      </c>
      <c r="F145" s="246"/>
      <c r="G145" s="246"/>
      <c r="H145" s="247">
        <f t="shared" si="90"/>
        <v>0</v>
      </c>
      <c r="I145" s="246"/>
      <c r="J145" s="246"/>
      <c r="K145" s="247">
        <f t="shared" si="91"/>
        <v>0</v>
      </c>
      <c r="L145" s="246"/>
      <c r="M145" s="246"/>
      <c r="N145" s="247">
        <f t="shared" si="92"/>
        <v>0</v>
      </c>
    </row>
    <row r="146" spans="1:14" ht="15.75" hidden="1" thickBot="1" x14ac:dyDescent="0.3">
      <c r="A146" s="190" t="s">
        <v>541</v>
      </c>
      <c r="B146" s="180" t="s">
        <v>542</v>
      </c>
      <c r="C146" s="246"/>
      <c r="D146" s="246"/>
      <c r="E146" s="247"/>
      <c r="F146" s="246"/>
      <c r="G146" s="246"/>
      <c r="H146" s="247"/>
      <c r="I146" s="246"/>
      <c r="J146" s="246"/>
      <c r="K146" s="247"/>
      <c r="L146" s="246"/>
      <c r="M146" s="246"/>
      <c r="N146" s="247"/>
    </row>
    <row r="147" spans="1:14" ht="15.75" hidden="1" thickBot="1" x14ac:dyDescent="0.3">
      <c r="A147" s="190" t="s">
        <v>256</v>
      </c>
      <c r="B147" s="180" t="s">
        <v>257</v>
      </c>
      <c r="C147" s="246"/>
      <c r="D147" s="246"/>
      <c r="E147" s="247">
        <f t="shared" si="79"/>
        <v>0</v>
      </c>
      <c r="F147" s="246"/>
      <c r="G147" s="246"/>
      <c r="H147" s="247">
        <f t="shared" ref="H147:H150" si="129">SUM(F147:G147)</f>
        <v>0</v>
      </c>
      <c r="I147" s="246"/>
      <c r="J147" s="246"/>
      <c r="K147" s="247">
        <f t="shared" ref="K147:K150" si="130">SUM(I147:J147)</f>
        <v>0</v>
      </c>
      <c r="L147" s="246"/>
      <c r="M147" s="246"/>
      <c r="N147" s="247">
        <f t="shared" ref="N147:N150" si="131">SUM(L147:M147)</f>
        <v>0</v>
      </c>
    </row>
    <row r="148" spans="1:14" ht="15.75" hidden="1" thickBot="1" x14ac:dyDescent="0.3">
      <c r="A148" s="190" t="s">
        <v>258</v>
      </c>
      <c r="B148" s="180" t="s">
        <v>259</v>
      </c>
      <c r="C148" s="246"/>
      <c r="D148" s="246"/>
      <c r="E148" s="247">
        <f t="shared" si="79"/>
        <v>0</v>
      </c>
      <c r="F148" s="246"/>
      <c r="G148" s="246"/>
      <c r="H148" s="247">
        <f t="shared" si="129"/>
        <v>0</v>
      </c>
      <c r="I148" s="246"/>
      <c r="J148" s="246"/>
      <c r="K148" s="247">
        <f t="shared" si="130"/>
        <v>0</v>
      </c>
      <c r="L148" s="246"/>
      <c r="M148" s="246"/>
      <c r="N148" s="247">
        <f t="shared" si="131"/>
        <v>0</v>
      </c>
    </row>
    <row r="149" spans="1:14" ht="15.75" hidden="1" thickBot="1" x14ac:dyDescent="0.3">
      <c r="A149" s="190" t="s">
        <v>260</v>
      </c>
      <c r="B149" s="180" t="s">
        <v>261</v>
      </c>
      <c r="C149" s="246"/>
      <c r="D149" s="246"/>
      <c r="E149" s="247">
        <f t="shared" si="79"/>
        <v>0</v>
      </c>
      <c r="F149" s="246"/>
      <c r="G149" s="246"/>
      <c r="H149" s="247">
        <f t="shared" si="129"/>
        <v>0</v>
      </c>
      <c r="I149" s="246"/>
      <c r="J149" s="246"/>
      <c r="K149" s="247">
        <f t="shared" si="130"/>
        <v>0</v>
      </c>
      <c r="L149" s="246"/>
      <c r="M149" s="246"/>
      <c r="N149" s="247">
        <f t="shared" si="131"/>
        <v>0</v>
      </c>
    </row>
    <row r="150" spans="1:14" ht="15.75" hidden="1" thickBot="1" x14ac:dyDescent="0.3">
      <c r="A150" s="191"/>
      <c r="B150" s="192" t="s">
        <v>262</v>
      </c>
      <c r="C150" s="256"/>
      <c r="D150" s="256"/>
      <c r="E150" s="249">
        <f t="shared" si="79"/>
        <v>0</v>
      </c>
      <c r="F150" s="256"/>
      <c r="G150" s="256"/>
      <c r="H150" s="249">
        <f t="shared" si="129"/>
        <v>0</v>
      </c>
      <c r="I150" s="256"/>
      <c r="J150" s="256"/>
      <c r="K150" s="249">
        <f t="shared" si="130"/>
        <v>0</v>
      </c>
      <c r="L150" s="256"/>
      <c r="M150" s="256"/>
      <c r="N150" s="249">
        <f t="shared" si="131"/>
        <v>0</v>
      </c>
    </row>
    <row r="151" spans="1:14" ht="15.75" thickBot="1" x14ac:dyDescent="0.3">
      <c r="A151" s="193" t="s">
        <v>265</v>
      </c>
      <c r="B151" s="194" t="s">
        <v>263</v>
      </c>
      <c r="C151" s="250">
        <f t="shared" ref="C151:D151" si="132">C143+C142</f>
        <v>8926650</v>
      </c>
      <c r="D151" s="250">
        <f t="shared" si="132"/>
        <v>0</v>
      </c>
      <c r="E151" s="258">
        <f>SUM(C151:D151)</f>
        <v>8926650</v>
      </c>
      <c r="F151" s="250">
        <f t="shared" ref="F151:G151" si="133">F143+F142</f>
        <v>8926650</v>
      </c>
      <c r="G151" s="250">
        <f t="shared" si="133"/>
        <v>0</v>
      </c>
      <c r="H151" s="258">
        <f>SUM(F151:G151)</f>
        <v>8926650</v>
      </c>
      <c r="I151" s="250">
        <f t="shared" ref="I151:J151" si="134">I143+I142</f>
        <v>8926650</v>
      </c>
      <c r="J151" s="250">
        <f t="shared" si="134"/>
        <v>0</v>
      </c>
      <c r="K151" s="258">
        <f>SUM(I151:J151)</f>
        <v>8926650</v>
      </c>
      <c r="L151" s="250">
        <f t="shared" ref="L151:M151" si="135">L143+L142</f>
        <v>9001656</v>
      </c>
      <c r="M151" s="250">
        <f t="shared" si="135"/>
        <v>0</v>
      </c>
      <c r="N151" s="258">
        <f>SUM(L151:M151)</f>
        <v>9001656</v>
      </c>
    </row>
    <row r="152" spans="1:14" x14ac:dyDescent="0.25">
      <c r="E152" s="78"/>
      <c r="H152" s="78"/>
      <c r="K152" s="78"/>
      <c r="N152" s="78"/>
    </row>
    <row r="153" spans="1:14" x14ac:dyDescent="0.25">
      <c r="C153" s="148"/>
      <c r="D153" s="148"/>
      <c r="E153" s="148">
        <f t="shared" ref="E153" si="136">E85-E151</f>
        <v>0</v>
      </c>
      <c r="F153" s="148"/>
      <c r="G153" s="148"/>
      <c r="H153" s="148">
        <f t="shared" ref="H153" si="137">H85-H151</f>
        <v>0</v>
      </c>
      <c r="I153" s="148"/>
      <c r="J153" s="148"/>
      <c r="K153" s="148">
        <f t="shared" ref="K153" si="138">K85-K151</f>
        <v>0</v>
      </c>
      <c r="L153" s="148"/>
      <c r="M153" s="148"/>
      <c r="N153" s="148">
        <f t="shared" ref="N153" si="139">N85-N151</f>
        <v>-75006</v>
      </c>
    </row>
  </sheetData>
  <mergeCells count="4">
    <mergeCell ref="L6:N6"/>
    <mergeCell ref="A1:E1"/>
    <mergeCell ref="A2:E2"/>
    <mergeCell ref="I6:K6"/>
  </mergeCells>
  <phoneticPr fontId="56" type="noConversion"/>
  <pageMargins left="0.55118110236220474" right="0.15748031496062992" top="0.27559055118110237" bottom="0.43307086614173229" header="0.31496062992125984" footer="0.31496062992125984"/>
  <pageSetup paperSize="9" scale="50" fitToHeight="0" orientation="portrait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65</vt:i4>
      </vt:variant>
      <vt:variant>
        <vt:lpstr>Névvel ellátott tartományok</vt:lpstr>
      </vt:variant>
      <vt:variant>
        <vt:i4>30</vt:i4>
      </vt:variant>
    </vt:vector>
  </HeadingPairs>
  <TitlesOfParts>
    <vt:vector size="95" baseType="lpstr">
      <vt:lpstr>1 címrend</vt:lpstr>
      <vt:lpstr>2 létszámkeret</vt:lpstr>
      <vt:lpstr>3 mérleg</vt:lpstr>
      <vt:lpstr>3.1 mérleg2</vt:lpstr>
      <vt:lpstr>4. Önkormányzat+int összesen</vt:lpstr>
      <vt:lpstr>5.0 hivatal</vt:lpstr>
      <vt:lpstr>5.1 igazgatás cofog</vt:lpstr>
      <vt:lpstr>5.2 adó cofog</vt:lpstr>
      <vt:lpstr>5.3 pályázat</vt:lpstr>
      <vt:lpstr>5.4 ogy, ep választás</vt:lpstr>
      <vt:lpstr>6.0 hksk</vt:lpstr>
      <vt:lpstr>6.1 műv ház</vt:lpstr>
      <vt:lpstr>6.2 HH</vt:lpstr>
      <vt:lpstr>6.3 könyvtár</vt:lpstr>
      <vt:lpstr>6.4 sportcsarnok</vt:lpstr>
      <vt:lpstr>6.5 pályázat_1</vt:lpstr>
      <vt:lpstr>7.0 önkormányzat össz</vt:lpstr>
      <vt:lpstr>7.1. igazg 011130</vt:lpstr>
      <vt:lpstr>7.2 temető 013320</vt:lpstr>
      <vt:lpstr>7.3. vagyon 013350</vt:lpstr>
      <vt:lpstr>7.4 018010</vt:lpstr>
      <vt:lpstr>7.5 finansz műveletek 018030</vt:lpstr>
      <vt:lpstr>7.6 út építés 045127</vt:lpstr>
      <vt:lpstr>7.7 közütak működtetés 045160</vt:lpstr>
      <vt:lpstr>7.8 parkoló 045170</vt:lpstr>
      <vt:lpstr>7.9 kábeltv 046020</vt:lpstr>
      <vt:lpstr>7.10 piac 047120</vt:lpstr>
      <vt:lpstr>7.11 tdm tám047320</vt:lpstr>
      <vt:lpstr>7.12 szemét 051030</vt:lpstr>
      <vt:lpstr>7.13 szennyvíz 052080</vt:lpstr>
      <vt:lpstr>7.14 víz 063080</vt:lpstr>
      <vt:lpstr>7.15 közvil 064010</vt:lpstr>
      <vt:lpstr>7.16 zöldterület 066010</vt:lpstr>
      <vt:lpstr>7.17 város 066020</vt:lpstr>
      <vt:lpstr>7.18 háziorvos 072111</vt:lpstr>
      <vt:lpstr>7.19 ügyelet 072112</vt:lpstr>
      <vt:lpstr>7.20 fülészet 072210</vt:lpstr>
      <vt:lpstr>7.21 védőnők 074031</vt:lpstr>
      <vt:lpstr>7.22 isk eü 074032</vt:lpstr>
      <vt:lpstr>7.23 sportcsépület 081030</vt:lpstr>
      <vt:lpstr>7.24 sport tám 081041</vt:lpstr>
      <vt:lpstr>7.25 diáksport 081043</vt:lpstr>
      <vt:lpstr>7.26 közműv 082091</vt:lpstr>
      <vt:lpstr>7.27 közműv 082092</vt:lpstr>
      <vt:lpstr>7.28  óvoda 091140</vt:lpstr>
      <vt:lpstr>7.29 intézmkiv gyétk 104037</vt:lpstr>
      <vt:lpstr>7.30 szoc étk 107051</vt:lpstr>
      <vt:lpstr>7.31 segélyek 107060</vt:lpstr>
      <vt:lpstr>7.32 adóbev 900020</vt:lpstr>
      <vt:lpstr>7.33 pályázatok összesen</vt:lpstr>
      <vt:lpstr>8 többéves</vt:lpstr>
      <vt:lpstr>9 adosságáll</vt:lpstr>
      <vt:lpstr>10 stabilitás</vt:lpstr>
      <vt:lpstr>11 beruházások</vt:lpstr>
      <vt:lpstr>12 felújítás</vt:lpstr>
      <vt:lpstr>13 támogatások</vt:lpstr>
      <vt:lpstr>14 közvetett támogatás</vt:lpstr>
      <vt:lpstr>15 maradvány</vt:lpstr>
      <vt:lpstr>16 mérleg</vt:lpstr>
      <vt:lpstr>17 eredmény kimutatás</vt:lpstr>
      <vt:lpstr>18 vagyonkimutatás</vt:lpstr>
      <vt:lpstr>19 pénzeszközfelhaszn</vt:lpstr>
      <vt:lpstr>20 eus pályázatok</vt:lpstr>
      <vt:lpstr>21 pályázatok részletes</vt:lpstr>
      <vt:lpstr>22 részesedések</vt:lpstr>
      <vt:lpstr>'19 pénzeszközfelhaszn'!Nyomtatási_cím</vt:lpstr>
      <vt:lpstr>'21 pályázatok részletes'!Nyomtatási_cím</vt:lpstr>
      <vt:lpstr>'3 mérleg'!Nyomtatási_cím</vt:lpstr>
      <vt:lpstr>'4. Önkormányzat+int összesen'!Nyomtatási_cím</vt:lpstr>
      <vt:lpstr>'5.0 hivatal'!Nyomtatási_cím</vt:lpstr>
      <vt:lpstr>'5.1 igazgatás cofog'!Nyomtatási_cím</vt:lpstr>
      <vt:lpstr>'5.2 adó cofog'!Nyomtatási_cím</vt:lpstr>
      <vt:lpstr>'5.3 pályázat'!Nyomtatási_cím</vt:lpstr>
      <vt:lpstr>'6.0 hksk'!Nyomtatási_cím</vt:lpstr>
      <vt:lpstr>'6.1 műv ház'!Nyomtatási_cím</vt:lpstr>
      <vt:lpstr>'6.2 HH'!Nyomtatási_cím</vt:lpstr>
      <vt:lpstr>'6.3 könyvtár'!Nyomtatási_cím</vt:lpstr>
      <vt:lpstr>'6.4 sportcsarnok'!Nyomtatási_cím</vt:lpstr>
      <vt:lpstr>'7.0 önkormányzat össz'!Nyomtatási_cím</vt:lpstr>
      <vt:lpstr>'7.1. igazg 011130'!Nyomtatási_cím</vt:lpstr>
      <vt:lpstr>'7.10 piac 047120'!Nyomtatási_cím</vt:lpstr>
      <vt:lpstr>'7.17 város 066020'!Nyomtatási_cím</vt:lpstr>
      <vt:lpstr>'7.2 temető 013320'!Nyomtatási_cím</vt:lpstr>
      <vt:lpstr>'7.21 védőnők 074031'!Nyomtatási_cím</vt:lpstr>
      <vt:lpstr>'7.3. vagyon 013350'!Nyomtatási_cím</vt:lpstr>
      <vt:lpstr>'7.33 pályázatok összesen'!Nyomtatási_cím</vt:lpstr>
      <vt:lpstr>'12 felújítás'!Nyomtatási_terület</vt:lpstr>
      <vt:lpstr>'13 támogatások'!Nyomtatási_terület</vt:lpstr>
      <vt:lpstr>'14 közvetett támogatás'!Nyomtatási_terület</vt:lpstr>
      <vt:lpstr>'2 létszámkeret'!Nyomtatási_terület</vt:lpstr>
      <vt:lpstr>'20 eus pályázatok'!Nyomtatási_terület</vt:lpstr>
      <vt:lpstr>'21 pályázatok részletes'!Nyomtatási_terület</vt:lpstr>
      <vt:lpstr>'3 mérleg'!Nyomtatási_terület</vt:lpstr>
      <vt:lpstr>'7.5 finansz műveletek 018030'!Nyomtatási_terület</vt:lpstr>
      <vt:lpstr>'8 többéves'!Nyomtatási_terület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Betti</dc:creator>
  <cp:lastModifiedBy>User</cp:lastModifiedBy>
  <cp:lastPrinted>2020-06-16T06:27:17Z</cp:lastPrinted>
  <dcterms:created xsi:type="dcterms:W3CDTF">2019-01-14T14:42:23Z</dcterms:created>
  <dcterms:modified xsi:type="dcterms:W3CDTF">2020-06-16T07:22:14Z</dcterms:modified>
</cp:coreProperties>
</file>