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önyvelés\Költségvetés 2018\2018 évi költségvetésmódosítás 1\"/>
    </mc:Choice>
  </mc:AlternateContent>
  <xr:revisionPtr revIDLastSave="0" documentId="12_ncr:500000_{1EDA81B5-CD0C-4059-89E9-7AAB38333EA7}" xr6:coauthVersionLast="31" xr6:coauthVersionMax="31" xr10:uidLastSave="{00000000-0000-0000-0000-000000000000}"/>
  <bookViews>
    <workbookView xWindow="0" yWindow="0" windowWidth="23040" windowHeight="8472" tabRatio="878" firstSheet="3" activeTab="3" xr2:uid="{00000000-000D-0000-FFFF-FFFF00000000}"/>
  </bookViews>
  <sheets>
    <sheet name="segédtábla közfoglalkoztatás" sheetId="36" state="hidden" r:id="rId1"/>
    <sheet name="segédtábla pályázatok" sheetId="37" state="hidden" r:id="rId2"/>
    <sheet name="segédtábla bérek" sheetId="38" state="hidden" r:id="rId3"/>
    <sheet name="1(1a).Normatíva" sheetId="28" r:id="rId4"/>
    <sheet name="2(1b).Működési bevétel int." sheetId="10" r:id="rId5"/>
    <sheet name="3(2).Bevétel intézmény" sheetId="16" r:id="rId6"/>
    <sheet name="4(2a).Köt. műk. bev. intézmény " sheetId="29" r:id="rId7"/>
    <sheet name="5 (1).Bevételek összesen" sheetId="26" r:id="rId8"/>
    <sheet name="6(5).Bevételi ei.telj önk" sheetId="32" r:id="rId9"/>
    <sheet name="7(3a).Személyi jutt intézmény" sheetId="8" r:id="rId10"/>
    <sheet name="8(3b).Dologi kiad intézmény" sheetId="1" r:id="rId11"/>
    <sheet name="9(1c).Beruházás felújítás" sheetId="24" r:id="rId12"/>
    <sheet name="10(8).Közvetett közvetlen tám." sheetId="18" r:id="rId13"/>
    <sheet name="11(9).Több éves kihat. döntések" sheetId="19" r:id="rId14"/>
    <sheet name="12(11).Adott támogatások" sheetId="11" r:id="rId15"/>
    <sheet name="13(4).Kiadás intézmény" sheetId="17" r:id="rId16"/>
    <sheet name="14(4a).Köt. műk. kia. intézmény" sheetId="31" r:id="rId17"/>
    <sheet name="15(3).Kiadások összesen" sheetId="7" r:id="rId18"/>
    <sheet name="16(6).Kiadási ei telj önk" sheetId="33" r:id="rId19"/>
    <sheet name="17(3c).Dol. önk rész cofog" sheetId="30" r:id="rId20"/>
    <sheet name="(7)Ktg.mérl össz" sheetId="34" r:id="rId21"/>
  </sheets>
  <calcPr calcId="162913"/>
  <fileRecoveryPr autoRecover="0"/>
</workbook>
</file>

<file path=xl/calcChain.xml><?xml version="1.0" encoding="utf-8"?>
<calcChain xmlns="http://schemas.openxmlformats.org/spreadsheetml/2006/main">
  <c r="N13" i="33" l="1"/>
  <c r="G15" i="34"/>
  <c r="H13" i="34"/>
  <c r="H12" i="34"/>
  <c r="H11" i="34"/>
  <c r="G8" i="34"/>
  <c r="G7" i="34"/>
  <c r="G6" i="34"/>
  <c r="G5" i="34"/>
  <c r="E17" i="34"/>
  <c r="O12" i="33"/>
  <c r="O11" i="33"/>
  <c r="O10" i="33"/>
  <c r="O8" i="33"/>
  <c r="O7" i="33"/>
  <c r="O6" i="33"/>
  <c r="O5" i="33"/>
  <c r="D35" i="7"/>
  <c r="D29" i="7"/>
  <c r="C29" i="7"/>
  <c r="D17" i="7"/>
  <c r="G10" i="34" s="1"/>
  <c r="D12" i="7"/>
  <c r="C12" i="7"/>
  <c r="D9" i="7"/>
  <c r="C9" i="7"/>
  <c r="D8" i="7"/>
  <c r="C8" i="7"/>
  <c r="D7" i="7"/>
  <c r="C7" i="7"/>
  <c r="D6" i="7"/>
  <c r="C6" i="7"/>
  <c r="C25" i="17"/>
  <c r="C24" i="17"/>
  <c r="D32" i="7"/>
  <c r="D27" i="7"/>
  <c r="D25" i="7"/>
  <c r="D23" i="7"/>
  <c r="D22" i="7"/>
  <c r="D21" i="7"/>
  <c r="D20" i="7"/>
  <c r="D14" i="7"/>
  <c r="D5" i="7"/>
  <c r="D4" i="7"/>
  <c r="D3" i="7"/>
  <c r="D56" i="17"/>
  <c r="D55" i="17"/>
  <c r="D54" i="17"/>
  <c r="D44" i="17"/>
  <c r="D43" i="17"/>
  <c r="D42" i="17"/>
  <c r="D32" i="17"/>
  <c r="D31" i="17"/>
  <c r="D20" i="17"/>
  <c r="D19" i="17"/>
  <c r="D14" i="17"/>
  <c r="D13" i="17"/>
  <c r="D6" i="17"/>
  <c r="D5" i="17"/>
  <c r="D4" i="17"/>
  <c r="D30" i="17"/>
  <c r="D25" i="17"/>
  <c r="D24" i="17"/>
  <c r="C15" i="34"/>
  <c r="D11" i="34"/>
  <c r="D10" i="34"/>
  <c r="D9" i="34"/>
  <c r="D8" i="34"/>
  <c r="C7" i="34"/>
  <c r="C6" i="34"/>
  <c r="C5" i="34"/>
  <c r="O13" i="33" l="1"/>
  <c r="M21" i="24"/>
  <c r="M80" i="37"/>
  <c r="L80" i="37"/>
  <c r="K80" i="37"/>
  <c r="M74" i="37"/>
  <c r="L74" i="37"/>
  <c r="K74" i="37"/>
  <c r="M69" i="37"/>
  <c r="F88" i="37"/>
  <c r="F87" i="37"/>
  <c r="D101" i="37"/>
  <c r="E100" i="37"/>
  <c r="D100" i="37"/>
  <c r="F99" i="37"/>
  <c r="F98" i="37"/>
  <c r="F97" i="37"/>
  <c r="F96" i="37"/>
  <c r="F100" i="37" s="1"/>
  <c r="E95" i="37"/>
  <c r="D95" i="37"/>
  <c r="F94" i="37"/>
  <c r="F93" i="37"/>
  <c r="F95" i="37" s="1"/>
  <c r="F92" i="37"/>
  <c r="F91" i="37"/>
  <c r="E90" i="37"/>
  <c r="E101" i="37" s="1"/>
  <c r="D90" i="37"/>
  <c r="F89" i="37"/>
  <c r="F86" i="37"/>
  <c r="F90" i="37" l="1"/>
  <c r="F102" i="37"/>
  <c r="F101" i="37"/>
  <c r="O11" i="32"/>
  <c r="O10" i="32"/>
  <c r="O9" i="32"/>
  <c r="O8" i="32"/>
  <c r="O7" i="32"/>
  <c r="O5" i="32"/>
  <c r="E61" i="38"/>
  <c r="C61" i="38"/>
  <c r="F7" i="26"/>
  <c r="E45" i="29"/>
  <c r="C44" i="29"/>
  <c r="E38" i="29"/>
  <c r="C36" i="29"/>
  <c r="E31" i="29"/>
  <c r="E30" i="29"/>
  <c r="C29" i="29"/>
  <c r="E22" i="29"/>
  <c r="E19" i="29"/>
  <c r="E18" i="29"/>
  <c r="E17" i="29"/>
  <c r="E16" i="29"/>
  <c r="E15" i="29"/>
  <c r="D14" i="29"/>
  <c r="D13" i="29"/>
  <c r="D12" i="29"/>
  <c r="C11" i="29"/>
  <c r="C10" i="29"/>
  <c r="C9" i="29"/>
  <c r="C8" i="29"/>
  <c r="F64" i="16"/>
  <c r="G25" i="10"/>
  <c r="F36" i="16" s="1"/>
  <c r="G47" i="10"/>
  <c r="F50" i="16" s="1"/>
  <c r="E50" i="16"/>
  <c r="F33" i="16"/>
  <c r="G14" i="10"/>
  <c r="F17" i="16" s="1"/>
  <c r="F9" i="16"/>
  <c r="C76" i="28" l="1"/>
  <c r="C80" i="28" s="1"/>
  <c r="C37" i="28"/>
  <c r="C49" i="28" s="1"/>
  <c r="C30" i="28"/>
  <c r="C24" i="28"/>
  <c r="C31" i="28" s="1"/>
  <c r="C11" i="28"/>
  <c r="C6" i="28"/>
  <c r="C17" i="28" s="1"/>
  <c r="C71" i="28"/>
  <c r="C26" i="8" l="1"/>
  <c r="E59" i="38" l="1"/>
  <c r="E58" i="38"/>
  <c r="C59" i="38"/>
  <c r="C58" i="38"/>
  <c r="E5" i="38"/>
  <c r="E4" i="38"/>
  <c r="C5" i="38"/>
  <c r="C4" i="38"/>
  <c r="E67" i="38"/>
  <c r="E66" i="38"/>
  <c r="C67" i="38"/>
  <c r="C66" i="38"/>
  <c r="E62" i="38"/>
  <c r="E63" i="38"/>
  <c r="C63" i="38"/>
  <c r="C62" i="38"/>
  <c r="E44" i="38"/>
  <c r="C44" i="38"/>
  <c r="E43" i="38"/>
  <c r="C43" i="38"/>
  <c r="E39" i="38"/>
  <c r="C39" i="38"/>
  <c r="E38" i="38"/>
  <c r="C38" i="38"/>
  <c r="E29" i="38" l="1"/>
  <c r="C29" i="38"/>
  <c r="C32" i="29"/>
  <c r="E33" i="16"/>
  <c r="F31" i="29" s="1"/>
  <c r="C32" i="7" l="1"/>
  <c r="E65" i="38"/>
  <c r="C65" i="38"/>
  <c r="E64" i="38"/>
  <c r="C64" i="38"/>
  <c r="B76" i="28" l="1"/>
  <c r="E9" i="16"/>
  <c r="B78" i="38"/>
  <c r="C76" i="38"/>
  <c r="E76" i="38"/>
  <c r="B69" i="38"/>
  <c r="E77" i="38"/>
  <c r="C77" i="38"/>
  <c r="E75" i="38"/>
  <c r="C75" i="38"/>
  <c r="E74" i="38"/>
  <c r="C74" i="38"/>
  <c r="E73" i="38"/>
  <c r="C73" i="38"/>
  <c r="E72" i="38"/>
  <c r="C72" i="38"/>
  <c r="E71" i="38"/>
  <c r="C71" i="38"/>
  <c r="E70" i="38"/>
  <c r="E78" i="38" s="1"/>
  <c r="C70" i="38"/>
  <c r="E68" i="38"/>
  <c r="C68" i="38"/>
  <c r="E60" i="38"/>
  <c r="C60" i="38"/>
  <c r="E57" i="38"/>
  <c r="C57" i="38"/>
  <c r="E50" i="38"/>
  <c r="C50" i="38"/>
  <c r="E49" i="38"/>
  <c r="C49" i="38"/>
  <c r="E48" i="38"/>
  <c r="C48" i="38"/>
  <c r="E42" i="38"/>
  <c r="C42" i="38"/>
  <c r="E37" i="38"/>
  <c r="C37" i="38"/>
  <c r="B51" i="38"/>
  <c r="E47" i="38"/>
  <c r="C47" i="38"/>
  <c r="E46" i="38"/>
  <c r="C46" i="38"/>
  <c r="E45" i="38"/>
  <c r="C45" i="38"/>
  <c r="E41" i="38"/>
  <c r="C41" i="38"/>
  <c r="E40" i="38"/>
  <c r="C40" i="38"/>
  <c r="E36" i="38"/>
  <c r="C36" i="38"/>
  <c r="E27" i="38"/>
  <c r="E26" i="38"/>
  <c r="C26" i="38"/>
  <c r="E24" i="38"/>
  <c r="C24" i="38"/>
  <c r="B31" i="38"/>
  <c r="E30" i="38"/>
  <c r="C30" i="38"/>
  <c r="E28" i="38"/>
  <c r="C28" i="38"/>
  <c r="C27" i="38"/>
  <c r="E25" i="38"/>
  <c r="C25" i="38"/>
  <c r="E23" i="38"/>
  <c r="C23" i="38"/>
  <c r="C17" i="38"/>
  <c r="C16" i="38"/>
  <c r="C15" i="38"/>
  <c r="C14" i="38"/>
  <c r="C13" i="38"/>
  <c r="C12" i="38"/>
  <c r="C11" i="38"/>
  <c r="C10" i="38"/>
  <c r="C9" i="38"/>
  <c r="C8" i="38"/>
  <c r="C7" i="38"/>
  <c r="C6" i="38"/>
  <c r="C3" i="38"/>
  <c r="B18" i="38"/>
  <c r="E17" i="38"/>
  <c r="E16" i="38"/>
  <c r="E15" i="38"/>
  <c r="E14" i="38"/>
  <c r="E13" i="38"/>
  <c r="E12" i="38"/>
  <c r="E11" i="38"/>
  <c r="E10" i="38"/>
  <c r="E9" i="38"/>
  <c r="E8" i="38"/>
  <c r="E7" i="38"/>
  <c r="E6" i="38"/>
  <c r="E3" i="38"/>
  <c r="M64" i="24"/>
  <c r="M65" i="24"/>
  <c r="F63" i="24"/>
  <c r="M53" i="24"/>
  <c r="M52" i="24"/>
  <c r="L79" i="37"/>
  <c r="K79" i="37"/>
  <c r="M78" i="37"/>
  <c r="M77" i="37"/>
  <c r="M76" i="37"/>
  <c r="M75" i="37"/>
  <c r="M79" i="37" s="1"/>
  <c r="M73" i="37"/>
  <c r="M72" i="37"/>
  <c r="M71" i="37"/>
  <c r="M70" i="37"/>
  <c r="M68" i="37"/>
  <c r="M67" i="37"/>
  <c r="E79" i="37"/>
  <c r="D79" i="37"/>
  <c r="F78" i="37"/>
  <c r="F77" i="37"/>
  <c r="F76" i="37"/>
  <c r="F79" i="37" s="1"/>
  <c r="F75" i="37"/>
  <c r="E74" i="37"/>
  <c r="D74" i="37"/>
  <c r="F73" i="37"/>
  <c r="F72" i="37"/>
  <c r="F71" i="37"/>
  <c r="F70" i="37"/>
  <c r="F74" i="37" s="1"/>
  <c r="E69" i="37"/>
  <c r="D69" i="37"/>
  <c r="F68" i="37"/>
  <c r="F67" i="37"/>
  <c r="F69" i="37" s="1"/>
  <c r="L60" i="37"/>
  <c r="K60" i="37"/>
  <c r="M59" i="37"/>
  <c r="M58" i="37"/>
  <c r="M57" i="37"/>
  <c r="M56" i="37"/>
  <c r="M60" i="37" s="1"/>
  <c r="L55" i="37"/>
  <c r="L61" i="37" s="1"/>
  <c r="K55" i="37"/>
  <c r="M54" i="37"/>
  <c r="M53" i="37"/>
  <c r="M52" i="37"/>
  <c r="M51" i="37"/>
  <c r="L50" i="37"/>
  <c r="K50" i="37"/>
  <c r="M49" i="37"/>
  <c r="M48" i="37"/>
  <c r="M50" i="37" s="1"/>
  <c r="E60" i="37"/>
  <c r="D60" i="37"/>
  <c r="F59" i="37"/>
  <c r="F58" i="37"/>
  <c r="F57" i="37"/>
  <c r="F56" i="37"/>
  <c r="F60" i="37" s="1"/>
  <c r="E55" i="37"/>
  <c r="E61" i="37" s="1"/>
  <c r="D55" i="37"/>
  <c r="F54" i="37"/>
  <c r="F53" i="37"/>
  <c r="F52" i="37"/>
  <c r="F51" i="37"/>
  <c r="E50" i="37"/>
  <c r="D50" i="37"/>
  <c r="F49" i="37"/>
  <c r="F48" i="37"/>
  <c r="F50" i="37" s="1"/>
  <c r="M23" i="24"/>
  <c r="M22" i="24"/>
  <c r="L41" i="37"/>
  <c r="K41" i="37"/>
  <c r="M40" i="37"/>
  <c r="M39" i="37"/>
  <c r="M38" i="37"/>
  <c r="M37" i="37"/>
  <c r="L36" i="37"/>
  <c r="K36" i="37"/>
  <c r="K42" i="37" s="1"/>
  <c r="M35" i="37"/>
  <c r="M34" i="37"/>
  <c r="M33" i="37"/>
  <c r="M32" i="37"/>
  <c r="L31" i="37"/>
  <c r="K31" i="37"/>
  <c r="M30" i="37"/>
  <c r="M29" i="37"/>
  <c r="M31" i="37" s="1"/>
  <c r="E41" i="37"/>
  <c r="D41" i="37"/>
  <c r="F40" i="37"/>
  <c r="F39" i="37"/>
  <c r="F41" i="37" s="1"/>
  <c r="F38" i="37"/>
  <c r="F37" i="37"/>
  <c r="E36" i="37"/>
  <c r="D36" i="37"/>
  <c r="F35" i="37"/>
  <c r="F34" i="37"/>
  <c r="F33" i="37"/>
  <c r="F32" i="37"/>
  <c r="E31" i="37"/>
  <c r="D31" i="37"/>
  <c r="F30" i="37"/>
  <c r="F29" i="37"/>
  <c r="F31" i="37" s="1"/>
  <c r="M81" i="37" l="1"/>
  <c r="C69" i="38"/>
  <c r="F3" i="8" s="1"/>
  <c r="C78" i="38"/>
  <c r="F17" i="8" s="1"/>
  <c r="E69" i="38"/>
  <c r="F24" i="8" s="1"/>
  <c r="C18" i="38"/>
  <c r="E3" i="8" s="1"/>
  <c r="E18" i="38"/>
  <c r="E24" i="8" s="1"/>
  <c r="E51" i="38"/>
  <c r="C24" i="8" s="1"/>
  <c r="C51" i="38"/>
  <c r="C3" i="8" s="1"/>
  <c r="C31" i="38"/>
  <c r="D3" i="8" s="1"/>
  <c r="E31" i="38"/>
  <c r="D24" i="8" s="1"/>
  <c r="D80" i="37"/>
  <c r="E80" i="37"/>
  <c r="F80" i="37"/>
  <c r="F81" i="37"/>
  <c r="K61" i="37"/>
  <c r="M55" i="37"/>
  <c r="M62" i="37"/>
  <c r="M61" i="37"/>
  <c r="D61" i="37"/>
  <c r="F55" i="37"/>
  <c r="F62" i="37" s="1"/>
  <c r="M41" i="37"/>
  <c r="M36" i="37"/>
  <c r="M42" i="37" s="1"/>
  <c r="L42" i="37"/>
  <c r="F36" i="37"/>
  <c r="F42" i="37" s="1"/>
  <c r="D42" i="37"/>
  <c r="E42" i="37"/>
  <c r="F43" i="37"/>
  <c r="L22" i="37"/>
  <c r="K22" i="37"/>
  <c r="E22" i="37"/>
  <c r="D22" i="37"/>
  <c r="M21" i="37"/>
  <c r="F21" i="37"/>
  <c r="M20" i="37"/>
  <c r="F20" i="37"/>
  <c r="M19" i="37"/>
  <c r="F19" i="37"/>
  <c r="M18" i="37"/>
  <c r="F18" i="37"/>
  <c r="L17" i="37"/>
  <c r="K17" i="37"/>
  <c r="M16" i="37"/>
  <c r="M15" i="37"/>
  <c r="M14" i="37"/>
  <c r="M13" i="37"/>
  <c r="L12" i="37"/>
  <c r="L23" i="37" s="1"/>
  <c r="K12" i="37"/>
  <c r="M11" i="37"/>
  <c r="M10" i="37"/>
  <c r="M9" i="37"/>
  <c r="M8" i="37"/>
  <c r="M7" i="37"/>
  <c r="M6" i="37"/>
  <c r="E19" i="38" l="1"/>
  <c r="E79" i="38"/>
  <c r="M14" i="24"/>
  <c r="M13" i="24"/>
  <c r="M11" i="24"/>
  <c r="M10" i="24"/>
  <c r="E52" i="38"/>
  <c r="E32" i="38"/>
  <c r="F61" i="37"/>
  <c r="M43" i="37"/>
  <c r="K23" i="37"/>
  <c r="M29" i="24"/>
  <c r="M28" i="24"/>
  <c r="M22" i="37"/>
  <c r="F22" i="37"/>
  <c r="M17" i="37"/>
  <c r="M12" i="37"/>
  <c r="M30" i="24" l="1"/>
  <c r="M23" i="37"/>
  <c r="M24" i="37"/>
  <c r="M31" i="24" l="1"/>
  <c r="M32" i="24"/>
  <c r="E17" i="37"/>
  <c r="D17" i="37"/>
  <c r="F16" i="37"/>
  <c r="F15" i="37"/>
  <c r="F14" i="37"/>
  <c r="F13" i="37"/>
  <c r="E12" i="37"/>
  <c r="D12" i="37"/>
  <c r="F10" i="37"/>
  <c r="F11" i="37"/>
  <c r="F9" i="37"/>
  <c r="F8" i="37"/>
  <c r="F7" i="37"/>
  <c r="F6" i="37"/>
  <c r="D23" i="37" l="1"/>
  <c r="E23" i="37"/>
  <c r="F17" i="37"/>
  <c r="F12" i="37"/>
  <c r="F24" i="37" l="1"/>
  <c r="F23" i="37"/>
  <c r="S26" i="30"/>
  <c r="R26" i="30"/>
  <c r="U24" i="30"/>
  <c r="U23" i="30"/>
  <c r="U22" i="30"/>
  <c r="U21" i="30"/>
  <c r="T25" i="30"/>
  <c r="S25" i="30"/>
  <c r="R25" i="30"/>
  <c r="Q25" i="30"/>
  <c r="P25" i="30"/>
  <c r="O25" i="30"/>
  <c r="N25" i="30"/>
  <c r="M25" i="30"/>
  <c r="M26" i="30" s="1"/>
  <c r="L25" i="30"/>
  <c r="K25" i="30"/>
  <c r="J25" i="30"/>
  <c r="I25" i="30"/>
  <c r="H25" i="30"/>
  <c r="G25" i="30"/>
  <c r="F25" i="30"/>
  <c r="E25" i="30"/>
  <c r="D25" i="30"/>
  <c r="U19" i="30"/>
  <c r="U18" i="30"/>
  <c r="T20" i="30"/>
  <c r="S20" i="30"/>
  <c r="R20" i="30"/>
  <c r="Q20" i="30"/>
  <c r="P20" i="30"/>
  <c r="O20" i="30"/>
  <c r="N20" i="30"/>
  <c r="M20" i="30"/>
  <c r="L20" i="30"/>
  <c r="K20" i="30"/>
  <c r="J20" i="30"/>
  <c r="I20" i="30"/>
  <c r="H20" i="30"/>
  <c r="G20" i="30"/>
  <c r="F20" i="30"/>
  <c r="E20" i="30"/>
  <c r="D20" i="30"/>
  <c r="U16" i="30"/>
  <c r="U15" i="30"/>
  <c r="U14" i="30"/>
  <c r="U13" i="30"/>
  <c r="U12" i="30"/>
  <c r="U11" i="30"/>
  <c r="U10" i="30"/>
  <c r="T17" i="30"/>
  <c r="S17" i="30"/>
  <c r="R17" i="30"/>
  <c r="Q17" i="30"/>
  <c r="P17" i="30"/>
  <c r="O17" i="30"/>
  <c r="N17" i="30"/>
  <c r="M17" i="30"/>
  <c r="L17" i="30"/>
  <c r="K17" i="30"/>
  <c r="J17" i="30"/>
  <c r="I17" i="30"/>
  <c r="H17" i="30"/>
  <c r="G17" i="30"/>
  <c r="F17" i="30"/>
  <c r="E17" i="30"/>
  <c r="D17" i="30"/>
  <c r="U8" i="30"/>
  <c r="U7" i="30"/>
  <c r="T9" i="30"/>
  <c r="S9" i="30"/>
  <c r="R9" i="30"/>
  <c r="Q9" i="30"/>
  <c r="P9" i="30"/>
  <c r="O9" i="30"/>
  <c r="N9" i="30"/>
  <c r="M9" i="30"/>
  <c r="L9" i="30"/>
  <c r="K9" i="30"/>
  <c r="J9" i="30"/>
  <c r="I9" i="30"/>
  <c r="H9" i="30"/>
  <c r="G9" i="30"/>
  <c r="F9" i="30"/>
  <c r="E9" i="30"/>
  <c r="D9" i="30"/>
  <c r="U5" i="30"/>
  <c r="T6" i="30"/>
  <c r="S6" i="30"/>
  <c r="R6" i="30"/>
  <c r="Q6" i="30"/>
  <c r="P6" i="30"/>
  <c r="O6" i="30"/>
  <c r="N6" i="30"/>
  <c r="M6" i="30"/>
  <c r="L6" i="30"/>
  <c r="K6" i="30"/>
  <c r="J6" i="30"/>
  <c r="J26" i="30" s="1"/>
  <c r="I6" i="30"/>
  <c r="I26" i="30" s="1"/>
  <c r="H6" i="30"/>
  <c r="G6" i="30"/>
  <c r="F6" i="30"/>
  <c r="E6" i="30"/>
  <c r="D6" i="30"/>
  <c r="G33" i="7"/>
  <c r="F33" i="7"/>
  <c r="E33" i="7"/>
  <c r="D33" i="7"/>
  <c r="G30" i="7"/>
  <c r="F30" i="7"/>
  <c r="E30" i="7"/>
  <c r="D30" i="7"/>
  <c r="C30" i="7"/>
  <c r="I13" i="34" s="1"/>
  <c r="G28" i="7"/>
  <c r="F28" i="7"/>
  <c r="E28" i="7"/>
  <c r="D28" i="7"/>
  <c r="G24" i="7"/>
  <c r="F24" i="7"/>
  <c r="E24" i="7"/>
  <c r="D24" i="7"/>
  <c r="C17" i="7"/>
  <c r="C64" i="31"/>
  <c r="G62" i="31"/>
  <c r="G63" i="31" s="1"/>
  <c r="G64" i="31" s="1"/>
  <c r="F62" i="31"/>
  <c r="F63" i="31" s="1"/>
  <c r="E62" i="31"/>
  <c r="E63" i="31" s="1"/>
  <c r="C53" i="31"/>
  <c r="H51" i="31"/>
  <c r="H49" i="31"/>
  <c r="G50" i="31"/>
  <c r="F50" i="31"/>
  <c r="E50" i="31"/>
  <c r="G48" i="31"/>
  <c r="F48" i="31"/>
  <c r="E48" i="31"/>
  <c r="D48" i="31"/>
  <c r="C48" i="31"/>
  <c r="C44" i="31"/>
  <c r="C43" i="31"/>
  <c r="G40" i="31"/>
  <c r="G43" i="31" s="1"/>
  <c r="G44" i="31" s="1"/>
  <c r="F40" i="31"/>
  <c r="F43" i="31" s="1"/>
  <c r="E40" i="31"/>
  <c r="E43" i="31" s="1"/>
  <c r="D40" i="31"/>
  <c r="D43" i="31" s="1"/>
  <c r="C40" i="31"/>
  <c r="F35" i="8"/>
  <c r="F25" i="8"/>
  <c r="G25" i="8" s="1"/>
  <c r="F4" i="8"/>
  <c r="H33" i="31"/>
  <c r="F26" i="31"/>
  <c r="E26" i="31"/>
  <c r="D26" i="31"/>
  <c r="G63" i="17"/>
  <c r="G51" i="17"/>
  <c r="F51" i="17"/>
  <c r="E51" i="17"/>
  <c r="D51" i="17"/>
  <c r="F26" i="17"/>
  <c r="G22" i="17"/>
  <c r="F22" i="17"/>
  <c r="E22" i="17"/>
  <c r="D22" i="17"/>
  <c r="C22" i="17"/>
  <c r="G16" i="17"/>
  <c r="G18" i="17" s="1"/>
  <c r="F16" i="17"/>
  <c r="F18" i="17" s="1"/>
  <c r="E16" i="17"/>
  <c r="E18" i="17" s="1"/>
  <c r="D16" i="17"/>
  <c r="D18" i="17" s="1"/>
  <c r="G11" i="17"/>
  <c r="F11" i="17"/>
  <c r="E11" i="17"/>
  <c r="D11" i="17"/>
  <c r="F36" i="24"/>
  <c r="M15" i="24"/>
  <c r="F15" i="24"/>
  <c r="M12" i="24"/>
  <c r="F12" i="24"/>
  <c r="M18" i="24"/>
  <c r="F18" i="24"/>
  <c r="F21" i="24"/>
  <c r="F71" i="28"/>
  <c r="E71" i="28"/>
  <c r="D71" i="28"/>
  <c r="G21" i="36"/>
  <c r="G19" i="36"/>
  <c r="F18" i="36"/>
  <c r="F20" i="36" s="1"/>
  <c r="E18" i="36"/>
  <c r="E20" i="36" s="1"/>
  <c r="D18" i="36"/>
  <c r="D20" i="36" s="1"/>
  <c r="C18" i="36"/>
  <c r="C20" i="36" s="1"/>
  <c r="B18" i="36"/>
  <c r="B20" i="36" s="1"/>
  <c r="G17" i="36"/>
  <c r="G16" i="36"/>
  <c r="G10" i="36"/>
  <c r="F10" i="36"/>
  <c r="E10" i="36"/>
  <c r="D10" i="36"/>
  <c r="C10" i="36"/>
  <c r="B10" i="36"/>
  <c r="G8" i="36"/>
  <c r="F8" i="36"/>
  <c r="E8" i="36"/>
  <c r="D8" i="36"/>
  <c r="C8" i="36"/>
  <c r="B8" i="36"/>
  <c r="G11" i="36"/>
  <c r="G9" i="36"/>
  <c r="G7" i="36"/>
  <c r="G6" i="36"/>
  <c r="O26" i="30" l="1"/>
  <c r="Q26" i="30"/>
  <c r="P26" i="30"/>
  <c r="N26" i="30"/>
  <c r="L26" i="30"/>
  <c r="K26" i="30"/>
  <c r="H26" i="30"/>
  <c r="F26" i="30"/>
  <c r="E26" i="30"/>
  <c r="D26" i="30"/>
  <c r="T26" i="30"/>
  <c r="U9" i="30"/>
  <c r="G26" i="30"/>
  <c r="F52" i="31"/>
  <c r="F62" i="24"/>
  <c r="M26" i="24"/>
  <c r="M67" i="24" s="1"/>
  <c r="M25" i="24"/>
  <c r="M66" i="24" s="1"/>
  <c r="D10" i="7"/>
  <c r="G18" i="7"/>
  <c r="G10" i="7"/>
  <c r="G31" i="7" s="1"/>
  <c r="G34" i="7" s="1"/>
  <c r="G36" i="7" s="1"/>
  <c r="F18" i="7"/>
  <c r="D18" i="7"/>
  <c r="E18" i="7"/>
  <c r="F10" i="7"/>
  <c r="F31" i="7" s="1"/>
  <c r="F34" i="7" s="1"/>
  <c r="F36" i="7" s="1"/>
  <c r="C10" i="7"/>
  <c r="E10" i="7"/>
  <c r="E52" i="31"/>
  <c r="G52" i="31"/>
  <c r="G53" i="31" s="1"/>
  <c r="H48" i="31"/>
  <c r="G26" i="17"/>
  <c r="E26" i="17"/>
  <c r="D26" i="17"/>
  <c r="F23" i="17"/>
  <c r="F27" i="17" s="1"/>
  <c r="E23" i="17"/>
  <c r="G23" i="17"/>
  <c r="G27" i="17" s="1"/>
  <c r="G18" i="36"/>
  <c r="G20" i="36" s="1"/>
  <c r="B71" i="28" s="1"/>
  <c r="O9" i="33" l="1"/>
  <c r="G9" i="34"/>
  <c r="D31" i="7"/>
  <c r="E8" i="16"/>
  <c r="F8" i="16"/>
  <c r="C28" i="7"/>
  <c r="E31" i="7"/>
  <c r="E34" i="7" s="1"/>
  <c r="E36" i="7" s="1"/>
  <c r="E27" i="17"/>
  <c r="M63" i="24"/>
  <c r="M57" i="24"/>
  <c r="M54" i="24"/>
  <c r="M51" i="24"/>
  <c r="M48" i="24"/>
  <c r="M45" i="24"/>
  <c r="M42" i="24"/>
  <c r="F57" i="24"/>
  <c r="F54" i="24"/>
  <c r="F51" i="24"/>
  <c r="F48" i="24"/>
  <c r="F45" i="24"/>
  <c r="F42" i="24"/>
  <c r="F33" i="24"/>
  <c r="F30" i="24"/>
  <c r="F27" i="24"/>
  <c r="G29" i="8"/>
  <c r="G28" i="8"/>
  <c r="G27" i="8"/>
  <c r="G26" i="8"/>
  <c r="G24" i="8"/>
  <c r="G21" i="8"/>
  <c r="G20" i="8"/>
  <c r="G19" i="8"/>
  <c r="G18" i="8"/>
  <c r="G17" i="8"/>
  <c r="G15" i="8"/>
  <c r="G14" i="8"/>
  <c r="G13" i="8"/>
  <c r="G12" i="8"/>
  <c r="G11" i="8"/>
  <c r="G10" i="8"/>
  <c r="G9" i="8"/>
  <c r="G8" i="8"/>
  <c r="G7" i="8"/>
  <c r="G6" i="8"/>
  <c r="G5" i="8"/>
  <c r="G4" i="8"/>
  <c r="G3" i="8"/>
  <c r="F30" i="8"/>
  <c r="E30" i="8"/>
  <c r="E53" i="31" s="1"/>
  <c r="D30" i="8"/>
  <c r="E64" i="31" s="1"/>
  <c r="C30" i="8"/>
  <c r="F22" i="8"/>
  <c r="E22" i="8"/>
  <c r="D22" i="8"/>
  <c r="C22" i="8"/>
  <c r="F16" i="8"/>
  <c r="E16" i="8"/>
  <c r="E23" i="8" s="1"/>
  <c r="D16" i="8"/>
  <c r="C16" i="8"/>
  <c r="I32" i="26"/>
  <c r="H32" i="26"/>
  <c r="G32" i="26"/>
  <c r="F32" i="26"/>
  <c r="I29" i="26"/>
  <c r="H29" i="26"/>
  <c r="G29" i="26"/>
  <c r="F29" i="26"/>
  <c r="I28" i="26"/>
  <c r="H28" i="26"/>
  <c r="G28" i="26"/>
  <c r="F28" i="26"/>
  <c r="I30" i="26"/>
  <c r="H30" i="26"/>
  <c r="G30" i="26"/>
  <c r="F30" i="26"/>
  <c r="E30" i="26"/>
  <c r="I25" i="26"/>
  <c r="I26" i="26" s="1"/>
  <c r="H25" i="26"/>
  <c r="H26" i="26" s="1"/>
  <c r="G25" i="26"/>
  <c r="G26" i="26" s="1"/>
  <c r="E26" i="26"/>
  <c r="I23" i="26"/>
  <c r="H23" i="26"/>
  <c r="G23" i="26"/>
  <c r="F23" i="26"/>
  <c r="I22" i="26"/>
  <c r="I24" i="26" s="1"/>
  <c r="H22" i="26"/>
  <c r="H24" i="26" s="1"/>
  <c r="G22" i="26"/>
  <c r="F22" i="26"/>
  <c r="I20" i="26"/>
  <c r="H20" i="26"/>
  <c r="G20" i="26"/>
  <c r="F20" i="26"/>
  <c r="I19" i="26"/>
  <c r="I21" i="26" s="1"/>
  <c r="H19" i="26"/>
  <c r="H21" i="26" s="1"/>
  <c r="G19" i="26"/>
  <c r="G21" i="26" s="1"/>
  <c r="F19" i="26"/>
  <c r="I18" i="26"/>
  <c r="H18" i="26"/>
  <c r="G18" i="26"/>
  <c r="F18" i="26"/>
  <c r="I16" i="26"/>
  <c r="H16" i="26"/>
  <c r="G16" i="26"/>
  <c r="F16" i="26"/>
  <c r="I14" i="26"/>
  <c r="H14" i="26"/>
  <c r="G14" i="26"/>
  <c r="F14" i="26"/>
  <c r="I13" i="26"/>
  <c r="H13" i="26"/>
  <c r="G13" i="26"/>
  <c r="F13" i="26"/>
  <c r="I12" i="26"/>
  <c r="I15" i="26" s="1"/>
  <c r="H12" i="26"/>
  <c r="H15" i="26" s="1"/>
  <c r="G12" i="26"/>
  <c r="G15" i="26" s="1"/>
  <c r="G17" i="26" s="1"/>
  <c r="F12" i="26"/>
  <c r="F15" i="26" s="1"/>
  <c r="I10" i="26"/>
  <c r="H10" i="26"/>
  <c r="G10" i="26"/>
  <c r="F10" i="26"/>
  <c r="I9" i="26"/>
  <c r="I11" i="26" s="1"/>
  <c r="H9" i="26"/>
  <c r="G9" i="26"/>
  <c r="G11" i="26" s="1"/>
  <c r="F9" i="26"/>
  <c r="F11" i="26" s="1"/>
  <c r="O6" i="32" s="1"/>
  <c r="I6" i="26"/>
  <c r="H6" i="26"/>
  <c r="G6" i="26"/>
  <c r="F6" i="26"/>
  <c r="I5" i="26"/>
  <c r="H5" i="26"/>
  <c r="G5" i="26"/>
  <c r="F5" i="26"/>
  <c r="I4" i="26"/>
  <c r="H4" i="26"/>
  <c r="G4" i="26"/>
  <c r="F4" i="26"/>
  <c r="I3" i="26"/>
  <c r="H3" i="26"/>
  <c r="G3" i="26"/>
  <c r="F35" i="29"/>
  <c r="F36" i="29"/>
  <c r="D46" i="29"/>
  <c r="D39" i="29"/>
  <c r="F37" i="29"/>
  <c r="E37" i="29"/>
  <c r="D37" i="29"/>
  <c r="E5" i="16"/>
  <c r="H68" i="16"/>
  <c r="F68" i="16"/>
  <c r="F72" i="16" s="1"/>
  <c r="E64" i="16"/>
  <c r="E68" i="16" s="1"/>
  <c r="C37" i="29" s="1"/>
  <c r="C39" i="29" s="1"/>
  <c r="I71" i="16"/>
  <c r="H71" i="16"/>
  <c r="G71" i="16"/>
  <c r="F71" i="16"/>
  <c r="E71" i="16"/>
  <c r="E39" i="29" s="1"/>
  <c r="I68" i="16"/>
  <c r="I72" i="16" s="1"/>
  <c r="G68" i="16"/>
  <c r="G72" i="16" s="1"/>
  <c r="I57" i="16"/>
  <c r="H57" i="16"/>
  <c r="G57" i="16"/>
  <c r="G58" i="16" s="1"/>
  <c r="F57" i="16"/>
  <c r="E57" i="16"/>
  <c r="E46" i="29" s="1"/>
  <c r="I54" i="16"/>
  <c r="I58" i="16" s="1"/>
  <c r="H54" i="16"/>
  <c r="H58" i="16" s="1"/>
  <c r="G54" i="16"/>
  <c r="F54" i="16"/>
  <c r="F58" i="16" s="1"/>
  <c r="E54" i="16"/>
  <c r="F44" i="29" s="1"/>
  <c r="I43" i="16"/>
  <c r="H43" i="16"/>
  <c r="G43" i="16"/>
  <c r="F43" i="16"/>
  <c r="E43" i="16"/>
  <c r="I40" i="16"/>
  <c r="H40" i="16"/>
  <c r="G40" i="16"/>
  <c r="G44" i="16" s="1"/>
  <c r="F40" i="16"/>
  <c r="I29" i="16"/>
  <c r="H29" i="16"/>
  <c r="G29" i="16"/>
  <c r="F29" i="16"/>
  <c r="E29" i="16"/>
  <c r="I25" i="16"/>
  <c r="H25" i="16"/>
  <c r="G25" i="16"/>
  <c r="F25" i="16"/>
  <c r="F25" i="26" s="1"/>
  <c r="F26" i="26" s="1"/>
  <c r="E25" i="16"/>
  <c r="I23" i="16"/>
  <c r="H23" i="16"/>
  <c r="G23" i="16"/>
  <c r="F23" i="16"/>
  <c r="E23" i="16"/>
  <c r="I20" i="16"/>
  <c r="H20" i="16"/>
  <c r="G20" i="16"/>
  <c r="F20" i="16"/>
  <c r="E20" i="16"/>
  <c r="E17" i="16"/>
  <c r="I14" i="16"/>
  <c r="I16" i="16" s="1"/>
  <c r="H14" i="16"/>
  <c r="H16" i="16" s="1"/>
  <c r="G14" i="16"/>
  <c r="G16" i="16" s="1"/>
  <c r="F14" i="16"/>
  <c r="F16" i="16" s="1"/>
  <c r="E14" i="16"/>
  <c r="E16" i="16" s="1"/>
  <c r="I10" i="16"/>
  <c r="H10" i="16"/>
  <c r="G10" i="16"/>
  <c r="F10" i="16"/>
  <c r="E10" i="16"/>
  <c r="D34" i="7" l="1"/>
  <c r="O14" i="33"/>
  <c r="I12" i="34"/>
  <c r="E24" i="26"/>
  <c r="F44" i="16"/>
  <c r="F24" i="26"/>
  <c r="F21" i="26"/>
  <c r="M68" i="24"/>
  <c r="C24" i="7"/>
  <c r="F30" i="29"/>
  <c r="E32" i="29"/>
  <c r="C33" i="7"/>
  <c r="C26" i="17"/>
  <c r="C35" i="7"/>
  <c r="H11" i="26"/>
  <c r="F23" i="8"/>
  <c r="D23" i="8"/>
  <c r="D64" i="31" s="1"/>
  <c r="G22" i="8"/>
  <c r="E44" i="31"/>
  <c r="D53" i="31"/>
  <c r="G30" i="8"/>
  <c r="G16" i="8"/>
  <c r="M59" i="24"/>
  <c r="F59" i="24"/>
  <c r="G24" i="26"/>
  <c r="H17" i="26"/>
  <c r="E21" i="26"/>
  <c r="E11" i="26"/>
  <c r="I17" i="26"/>
  <c r="F17" i="26"/>
  <c r="E15" i="26"/>
  <c r="E17" i="26" s="1"/>
  <c r="E58" i="16"/>
  <c r="H72" i="16"/>
  <c r="I44" i="16"/>
  <c r="E72" i="16"/>
  <c r="H44" i="16"/>
  <c r="F68" i="28"/>
  <c r="E68" i="28"/>
  <c r="D68" i="28"/>
  <c r="C68" i="28"/>
  <c r="B68" i="28"/>
  <c r="F65" i="28"/>
  <c r="E65" i="28"/>
  <c r="D65" i="28"/>
  <c r="C65" i="28"/>
  <c r="B65" i="28"/>
  <c r="F60" i="28"/>
  <c r="E60" i="28"/>
  <c r="D60" i="28"/>
  <c r="C60" i="28"/>
  <c r="B60" i="28"/>
  <c r="F58" i="28"/>
  <c r="E58" i="28"/>
  <c r="D58" i="28"/>
  <c r="C58" i="28"/>
  <c r="B58" i="28"/>
  <c r="F56" i="28"/>
  <c r="F69" i="28" s="1"/>
  <c r="E56" i="28"/>
  <c r="E69" i="28" s="1"/>
  <c r="D56" i="28"/>
  <c r="D69" i="28" s="1"/>
  <c r="C56" i="28"/>
  <c r="C69" i="28" s="1"/>
  <c r="B56" i="28"/>
  <c r="B69" i="28" s="1"/>
  <c r="J47" i="10"/>
  <c r="I47" i="10"/>
  <c r="H47" i="10"/>
  <c r="F47" i="10"/>
  <c r="J36" i="10"/>
  <c r="I36" i="10"/>
  <c r="H36" i="10"/>
  <c r="G36" i="10"/>
  <c r="F36" i="10"/>
  <c r="J25" i="10"/>
  <c r="I25" i="10"/>
  <c r="H25" i="10"/>
  <c r="F25" i="10"/>
  <c r="E36" i="16" s="1"/>
  <c r="J14" i="10"/>
  <c r="B37" i="28"/>
  <c r="D36" i="7" l="1"/>
  <c r="I17" i="34"/>
  <c r="I11" i="34"/>
  <c r="E40" i="16"/>
  <c r="E18" i="26"/>
  <c r="V24" i="30"/>
  <c r="V22" i="30"/>
  <c r="V21" i="30"/>
  <c r="V19" i="30"/>
  <c r="V18" i="30"/>
  <c r="V16" i="30"/>
  <c r="V15" i="30"/>
  <c r="V14" i="30"/>
  <c r="V13" i="30"/>
  <c r="V12" i="30"/>
  <c r="V11" i="30"/>
  <c r="V10" i="30"/>
  <c r="V8" i="30"/>
  <c r="V7" i="30"/>
  <c r="V5" i="30"/>
  <c r="V4" i="30"/>
  <c r="I10" i="34"/>
  <c r="B16" i="11"/>
  <c r="C15" i="19"/>
  <c r="D15" i="19"/>
  <c r="E15" i="19"/>
  <c r="F15" i="19"/>
  <c r="C13" i="18"/>
  <c r="N5" i="33"/>
  <c r="N6" i="33"/>
  <c r="N7" i="33"/>
  <c r="N8" i="33"/>
  <c r="N9" i="33"/>
  <c r="N10" i="33"/>
  <c r="N11" i="33"/>
  <c r="N12" i="33"/>
  <c r="B14" i="33"/>
  <c r="C14" i="33"/>
  <c r="D14" i="33"/>
  <c r="E14" i="33"/>
  <c r="F14" i="33"/>
  <c r="G14" i="33"/>
  <c r="H14" i="33"/>
  <c r="I14" i="33"/>
  <c r="J14" i="33"/>
  <c r="K14" i="33"/>
  <c r="L14" i="33"/>
  <c r="M14" i="33"/>
  <c r="N7" i="32"/>
  <c r="N9" i="32"/>
  <c r="N10" i="32"/>
  <c r="N11" i="32"/>
  <c r="H7" i="31"/>
  <c r="H8" i="31"/>
  <c r="H9" i="31"/>
  <c r="H10" i="31"/>
  <c r="H11" i="31"/>
  <c r="H12" i="31"/>
  <c r="H13" i="31"/>
  <c r="H14" i="31"/>
  <c r="H15" i="31"/>
  <c r="H16" i="31"/>
  <c r="H17" i="31"/>
  <c r="H18" i="31"/>
  <c r="H19" i="31"/>
  <c r="C20" i="31"/>
  <c r="D20" i="31"/>
  <c r="E20" i="31"/>
  <c r="F20" i="31"/>
  <c r="G20" i="31"/>
  <c r="H22" i="31"/>
  <c r="H23" i="31"/>
  <c r="H24" i="31"/>
  <c r="H25" i="31"/>
  <c r="H26" i="31"/>
  <c r="H27" i="31"/>
  <c r="H28" i="31"/>
  <c r="H29" i="31"/>
  <c r="H30" i="31"/>
  <c r="H31" i="31"/>
  <c r="D32" i="31"/>
  <c r="E32" i="31"/>
  <c r="F32" i="31"/>
  <c r="H38" i="31"/>
  <c r="H39" i="31"/>
  <c r="H41" i="31"/>
  <c r="H42" i="31"/>
  <c r="H47" i="31"/>
  <c r="C50" i="31"/>
  <c r="C52" i="31" s="1"/>
  <c r="D50" i="31"/>
  <c r="H56" i="31"/>
  <c r="H57" i="31"/>
  <c r="H58" i="31"/>
  <c r="H59" i="31"/>
  <c r="H60" i="31"/>
  <c r="H61" i="31"/>
  <c r="C62" i="31"/>
  <c r="C63" i="31" s="1"/>
  <c r="D62" i="31"/>
  <c r="H62" i="31" s="1"/>
  <c r="C11" i="17"/>
  <c r="U4" i="30"/>
  <c r="C6" i="30"/>
  <c r="U6" i="30" s="1"/>
  <c r="C9" i="30"/>
  <c r="C17" i="30"/>
  <c r="U17" i="30" s="1"/>
  <c r="C20" i="30"/>
  <c r="U20" i="30" s="1"/>
  <c r="C25" i="30"/>
  <c r="U25" i="30" s="1"/>
  <c r="G3" i="1"/>
  <c r="G4" i="1"/>
  <c r="C5" i="1"/>
  <c r="D5" i="1"/>
  <c r="E5" i="1"/>
  <c r="F5" i="1"/>
  <c r="G6" i="1"/>
  <c r="G7" i="1"/>
  <c r="C8" i="1"/>
  <c r="D8" i="1"/>
  <c r="E8" i="1"/>
  <c r="F8" i="1"/>
  <c r="V9" i="30" s="1"/>
  <c r="G9" i="1"/>
  <c r="G10" i="1"/>
  <c r="G11" i="1"/>
  <c r="G12" i="1"/>
  <c r="G13" i="1"/>
  <c r="G14" i="1"/>
  <c r="G15" i="1"/>
  <c r="C16" i="1"/>
  <c r="C25" i="1" s="1"/>
  <c r="F44" i="31" s="1"/>
  <c r="D16" i="1"/>
  <c r="E16" i="1"/>
  <c r="F16" i="1"/>
  <c r="V17" i="30" s="1"/>
  <c r="G17" i="1"/>
  <c r="G18" i="1"/>
  <c r="C19" i="1"/>
  <c r="D19" i="1"/>
  <c r="E19" i="1"/>
  <c r="F19" i="1"/>
  <c r="V20" i="30" s="1"/>
  <c r="G20" i="1"/>
  <c r="G21" i="1"/>
  <c r="V23" i="30"/>
  <c r="G23" i="1"/>
  <c r="C24" i="1"/>
  <c r="D24" i="1"/>
  <c r="E24" i="1"/>
  <c r="E35" i="31"/>
  <c r="G34" i="8"/>
  <c r="G35" i="8"/>
  <c r="C26" i="31" s="1"/>
  <c r="C32" i="31" s="1"/>
  <c r="G36" i="8"/>
  <c r="I15" i="34"/>
  <c r="F8" i="29"/>
  <c r="F9" i="29"/>
  <c r="F10" i="29"/>
  <c r="F11" i="29"/>
  <c r="F12" i="29"/>
  <c r="F13" i="29"/>
  <c r="F14" i="29"/>
  <c r="F16" i="29"/>
  <c r="F17" i="29"/>
  <c r="F18" i="29"/>
  <c r="F19" i="29"/>
  <c r="C20" i="29"/>
  <c r="C25" i="29" s="1"/>
  <c r="F22" i="29"/>
  <c r="F23" i="29" s="1"/>
  <c r="F6" i="24"/>
  <c r="M6" i="24"/>
  <c r="F9" i="24"/>
  <c r="M9" i="24"/>
  <c r="F24" i="24"/>
  <c r="M24" i="24"/>
  <c r="M27" i="24"/>
  <c r="M33" i="24"/>
  <c r="F14" i="10"/>
  <c r="H14" i="10"/>
  <c r="I14" i="10"/>
  <c r="B6" i="28"/>
  <c r="D6" i="28"/>
  <c r="E6" i="28"/>
  <c r="F6" i="28"/>
  <c r="B11" i="28"/>
  <c r="B17" i="28" s="1"/>
  <c r="D11" i="28"/>
  <c r="E11" i="28"/>
  <c r="F11" i="28"/>
  <c r="F17" i="28" s="1"/>
  <c r="B24" i="28"/>
  <c r="D24" i="28"/>
  <c r="E24" i="28"/>
  <c r="F24" i="28"/>
  <c r="B30" i="28"/>
  <c r="D30" i="28"/>
  <c r="E30" i="28"/>
  <c r="F30" i="28"/>
  <c r="B49" i="28"/>
  <c r="D49" i="28"/>
  <c r="E49" i="28"/>
  <c r="F49" i="28"/>
  <c r="B80" i="28"/>
  <c r="F6" i="16"/>
  <c r="D80" i="28"/>
  <c r="E80" i="28"/>
  <c r="F80" i="28"/>
  <c r="F68" i="24" l="1"/>
  <c r="F35" i="24"/>
  <c r="M35" i="24"/>
  <c r="E6" i="16"/>
  <c r="U26" i="30"/>
  <c r="D34" i="31"/>
  <c r="C16" i="17"/>
  <c r="C18" i="17" s="1"/>
  <c r="G21" i="31"/>
  <c r="H21" i="31" s="1"/>
  <c r="C18" i="7"/>
  <c r="E7" i="34"/>
  <c r="F29" i="29"/>
  <c r="F32" i="29" s="1"/>
  <c r="E44" i="16"/>
  <c r="C26" i="30"/>
  <c r="D63" i="31"/>
  <c r="H63" i="31" s="1"/>
  <c r="H50" i="31"/>
  <c r="D52" i="31"/>
  <c r="H52" i="31" s="1"/>
  <c r="F34" i="31"/>
  <c r="F66" i="31" s="1"/>
  <c r="H40" i="31"/>
  <c r="H43" i="31" s="1"/>
  <c r="C34" i="31"/>
  <c r="H20" i="31"/>
  <c r="E34" i="31"/>
  <c r="E66" i="31" s="1"/>
  <c r="I8" i="34"/>
  <c r="N14" i="33"/>
  <c r="I7" i="26"/>
  <c r="I8" i="26" s="1"/>
  <c r="I27" i="26" s="1"/>
  <c r="I31" i="26" s="1"/>
  <c r="I33" i="26" s="1"/>
  <c r="I7" i="16"/>
  <c r="I26" i="16" s="1"/>
  <c r="I30" i="16" s="1"/>
  <c r="H7" i="26"/>
  <c r="H8" i="26" s="1"/>
  <c r="H27" i="26" s="1"/>
  <c r="H31" i="26" s="1"/>
  <c r="H33" i="26" s="1"/>
  <c r="H7" i="16"/>
  <c r="H26" i="16" s="1"/>
  <c r="H30" i="16" s="1"/>
  <c r="G7" i="26"/>
  <c r="G8" i="26" s="1"/>
  <c r="G27" i="26" s="1"/>
  <c r="G31" i="26" s="1"/>
  <c r="G33" i="26" s="1"/>
  <c r="E8" i="26"/>
  <c r="G32" i="31"/>
  <c r="G34" i="31" s="1"/>
  <c r="G66" i="31" s="1"/>
  <c r="D25" i="1"/>
  <c r="G5" i="1"/>
  <c r="E25" i="1"/>
  <c r="C23" i="8"/>
  <c r="D35" i="31"/>
  <c r="G16" i="1"/>
  <c r="G8" i="1"/>
  <c r="V6" i="30"/>
  <c r="G19" i="1"/>
  <c r="E15" i="34"/>
  <c r="E10" i="34"/>
  <c r="D20" i="29"/>
  <c r="D25" i="29" s="1"/>
  <c r="C46" i="29"/>
  <c r="E31" i="28"/>
  <c r="D31" i="28"/>
  <c r="F31" i="28"/>
  <c r="B31" i="28"/>
  <c r="C50" i="28"/>
  <c r="C53" i="28" s="1"/>
  <c r="B50" i="28"/>
  <c r="B53" i="28" s="1"/>
  <c r="F50" i="28"/>
  <c r="F53" i="28" s="1"/>
  <c r="E17" i="28"/>
  <c r="E50" i="28" s="1"/>
  <c r="E53" i="28" s="1"/>
  <c r="D17" i="28"/>
  <c r="F24" i="1"/>
  <c r="V25" i="30" s="1"/>
  <c r="G22" i="1"/>
  <c r="F5" i="16" l="1"/>
  <c r="F7" i="16" s="1"/>
  <c r="F26" i="16" s="1"/>
  <c r="F30" i="16" s="1"/>
  <c r="F3" i="26"/>
  <c r="F8" i="26" s="1"/>
  <c r="F27" i="26" s="1"/>
  <c r="I9" i="34"/>
  <c r="N6" i="32"/>
  <c r="F25" i="1"/>
  <c r="D63" i="17"/>
  <c r="F64" i="31"/>
  <c r="H64" i="31" s="1"/>
  <c r="E39" i="17"/>
  <c r="F53" i="31"/>
  <c r="H53" i="31" s="1"/>
  <c r="D39" i="17"/>
  <c r="C51" i="17"/>
  <c r="C63" i="17"/>
  <c r="C39" i="17"/>
  <c r="D44" i="31"/>
  <c r="H44" i="31" s="1"/>
  <c r="G23" i="8"/>
  <c r="D66" i="31"/>
  <c r="E27" i="26"/>
  <c r="H32" i="31"/>
  <c r="H34" i="31" s="1"/>
  <c r="H66" i="31" s="1"/>
  <c r="E11" i="34"/>
  <c r="E8" i="34"/>
  <c r="G24" i="1"/>
  <c r="D50" i="28"/>
  <c r="D53" i="28" s="1"/>
  <c r="G7" i="16" s="1"/>
  <c r="G26" i="16" s="1"/>
  <c r="G30" i="16" s="1"/>
  <c r="E7" i="16"/>
  <c r="E26" i="16" s="1"/>
  <c r="E30" i="16" s="1"/>
  <c r="I6" i="34"/>
  <c r="F45" i="29"/>
  <c r="F46" i="29" s="1"/>
  <c r="E6" i="34"/>
  <c r="F38" i="29"/>
  <c r="F39" i="29" s="1"/>
  <c r="E20" i="29"/>
  <c r="F15" i="29"/>
  <c r="F35" i="31" l="1"/>
  <c r="F31" i="26"/>
  <c r="F33" i="26" s="1"/>
  <c r="O13" i="32"/>
  <c r="G25" i="1"/>
  <c r="N8" i="32"/>
  <c r="V26" i="30"/>
  <c r="C23" i="17"/>
  <c r="C27" i="17" s="1"/>
  <c r="F39" i="17"/>
  <c r="F63" i="17"/>
  <c r="G39" i="17"/>
  <c r="E31" i="26"/>
  <c r="L13" i="32"/>
  <c r="K13" i="32"/>
  <c r="G13" i="32"/>
  <c r="C13" i="32"/>
  <c r="J13" i="32"/>
  <c r="F13" i="32"/>
  <c r="M13" i="32"/>
  <c r="I13" i="32"/>
  <c r="E13" i="32"/>
  <c r="H13" i="32"/>
  <c r="D13" i="32"/>
  <c r="G35" i="31"/>
  <c r="H35" i="31" s="1"/>
  <c r="E9" i="34"/>
  <c r="D16" i="34"/>
  <c r="H16" i="34"/>
  <c r="E25" i="29"/>
  <c r="F25" i="29" s="1"/>
  <c r="F20" i="29"/>
  <c r="E33" i="26" l="1"/>
  <c r="E63" i="17"/>
  <c r="D23" i="17"/>
  <c r="D27" i="17" s="1"/>
  <c r="I7" i="34"/>
  <c r="I5" i="34"/>
  <c r="C31" i="7"/>
  <c r="N5" i="32"/>
  <c r="B13" i="32"/>
  <c r="N13" i="32" s="1"/>
  <c r="C16" i="34"/>
  <c r="E16" i="34" s="1"/>
  <c r="G16" i="34" l="1"/>
  <c r="I16" i="34"/>
  <c r="C34" i="7"/>
  <c r="E5" i="34"/>
  <c r="G18" i="34" l="1"/>
  <c r="C36" i="7"/>
</calcChain>
</file>

<file path=xl/sharedStrings.xml><?xml version="1.0" encoding="utf-8"?>
<sst xmlns="http://schemas.openxmlformats.org/spreadsheetml/2006/main" count="1569" uniqueCount="767">
  <si>
    <t>Készletbeszerzés</t>
  </si>
  <si>
    <t>Összesen:</t>
  </si>
  <si>
    <t>Kommunikációs szolgáltatások</t>
  </si>
  <si>
    <t>Egyéb kommunikációs szolgáltatások</t>
  </si>
  <si>
    <t>Vásárolt élelmezés</t>
  </si>
  <si>
    <t>Bérleti és lízingdíjak</t>
  </si>
  <si>
    <t>Hivatal</t>
  </si>
  <si>
    <t>Óvoda</t>
  </si>
  <si>
    <t>Önkorm.</t>
  </si>
  <si>
    <t>Önkormányzat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</si>
  <si>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</si>
  <si>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</si>
  <si>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</si>
  <si>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</si>
  <si>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</si>
  <si>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</si>
  <si>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</si>
  <si>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</si>
  <si>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</si>
  <si>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</si>
  <si>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</si>
  <si>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</si>
  <si>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</si>
  <si>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Összesen</t>
  </si>
  <si>
    <t>Jogcím</t>
  </si>
  <si>
    <t>I. A HELYI ÖNKORMÁNYZATOK MŰKÖDÉSÉNEK ÁLTALÁNOS TÁMOGATÁSA</t>
  </si>
  <si>
    <t>I. 1. a) Önkormányzati hivatal működésének támogatása</t>
  </si>
  <si>
    <t>I. 1. b) Település-üzemeltetéshez kapcsolódó feladatellátás támogatása összesen</t>
  </si>
  <si>
    <t>II. A TELEPÜLÉSI ÖNKORMÁNYZATOK EGYES KÖZNEVELÉSI ÉS GYERMEKÉTKEZTETÉSI FELADATAINAK TÁMOGATÁSA</t>
  </si>
  <si>
    <t>II. 1. (1) 1 óvodapedagógusok elismert létszáma</t>
  </si>
  <si>
    <t>II. 1. (1) 2 óvodapedagógusok elismert létszáma</t>
  </si>
  <si>
    <t xml:space="preserve">II. 1. (2) 2 óvodapedagógusok nevelő munkáját közvetlenül segítők száma a Köznev. Tv. 2. számú melléklete szerint </t>
  </si>
  <si>
    <t>III. A TELEPÜLÉSI ÖNKORMÁNYZATOK SZOCIÁLIS ÉS GYERMEKJÓLÉTI FELADATAINAK TÁMOGATÁSA</t>
  </si>
  <si>
    <t>III. 3. c (1) szociális étkeztetés</t>
  </si>
  <si>
    <t>III. 3. d (1) házi segítségnyújtás</t>
  </si>
  <si>
    <t>III. 3. f (1) időskorúak nappali intézményi ellátása</t>
  </si>
  <si>
    <t>I.</t>
  </si>
  <si>
    <t>Működési bevételek</t>
  </si>
  <si>
    <t>Intézményi működési bevételek</t>
  </si>
  <si>
    <t>Helyi adók</t>
  </si>
  <si>
    <t>II.</t>
  </si>
  <si>
    <t>III.</t>
  </si>
  <si>
    <t>IV.</t>
  </si>
  <si>
    <t>BEVÉTELEK ÖSSZESEN:</t>
  </si>
  <si>
    <t>Beruházások</t>
  </si>
  <si>
    <t>Személyi juttatások</t>
  </si>
  <si>
    <t>Dologi kiadások</t>
  </si>
  <si>
    <t>Felújítások</t>
  </si>
  <si>
    <t>Beruházás</t>
  </si>
  <si>
    <t>KIADÁSOK ÖSSZESEN:</t>
  </si>
  <si>
    <t>Jubileumi jutalom</t>
  </si>
  <si>
    <t>Személyi juttatások összesen:</t>
  </si>
  <si>
    <t xml:space="preserve">Felújítási kiadások terve </t>
  </si>
  <si>
    <t>Beruházási kiadások terve</t>
  </si>
  <si>
    <t>Polg.Hivatal</t>
  </si>
  <si>
    <t>Gond.közp.</t>
  </si>
  <si>
    <t>Szociális hozzájárulási adó</t>
  </si>
  <si>
    <t xml:space="preserve">Felújítási bevételek terve </t>
  </si>
  <si>
    <t>Beruházási bevételek terve</t>
  </si>
  <si>
    <t>TERVEZETT TÁMOGATÁSOK RÉSZLETEZÉSE</t>
  </si>
  <si>
    <t>Eredeti javaslat</t>
  </si>
  <si>
    <t>Egészségkárosodottak Csoportja</t>
  </si>
  <si>
    <t>Cserkészcsapat</t>
  </si>
  <si>
    <t>Dusnoki Kulturális Egyesület</t>
  </si>
  <si>
    <t xml:space="preserve">Polgárőrök </t>
  </si>
  <si>
    <t>Kincskereső</t>
  </si>
  <si>
    <t>I+II+III FELMÉRT TÁMOGATÁS ÖSSZESEN</t>
  </si>
  <si>
    <t>IV.1. KÖNYVTÁRI ÉS KÖZMŰVELŐDÉSI FELADATOK TÁMOGATÁSA</t>
  </si>
  <si>
    <t>MINDÖSSZESEN</t>
  </si>
  <si>
    <t>Megnevezés</t>
  </si>
  <si>
    <t>Közhatalmi bevételek</t>
  </si>
  <si>
    <t>Dusnok Községi Önkormányzat bevételi előirányzatainak teljesüléséről</t>
  </si>
  <si>
    <t>Gépjárműadó</t>
  </si>
  <si>
    <t>Támogatás értékű bev. felh. célra</t>
  </si>
  <si>
    <t xml:space="preserve">Dusnok Községi Önkormányzat kiadási előirányzatainak  teljesítéséről </t>
  </si>
  <si>
    <t>BEVÉTELEK</t>
  </si>
  <si>
    <t>KIADÁSOK</t>
  </si>
  <si>
    <t xml:space="preserve">Megnevezés                   </t>
  </si>
  <si>
    <t>Működési célú bevételek</t>
  </si>
  <si>
    <t>Felhalmozási célú bevételek</t>
  </si>
  <si>
    <t>Működési célú kiadások</t>
  </si>
  <si>
    <t>Felhalmozási célú kiadások</t>
  </si>
  <si>
    <t>Bevételek összesen</t>
  </si>
  <si>
    <t>Kiadások összesen:</t>
  </si>
  <si>
    <t>Költségvetési kiadások terve</t>
  </si>
  <si>
    <t>Közvetlen támogatás:</t>
  </si>
  <si>
    <t>-</t>
  </si>
  <si>
    <t>iparűzési adóval kapcsolatos adómentesség</t>
  </si>
  <si>
    <t>Közvetett támogatás:</t>
  </si>
  <si>
    <t>mozgáskorlátozott egyének részére saját autó használatával kapcsolatban gépjárműadó mentesség</t>
  </si>
  <si>
    <t>Közvetett és közvetlen támogatások összesen:</t>
  </si>
  <si>
    <t>Sor-szám</t>
  </si>
  <si>
    <t>Bursa-Hungarica felsőokt.</t>
  </si>
  <si>
    <t>Összesen adatok</t>
  </si>
  <si>
    <t>Több éves kihatással járó döntés megnevezése</t>
  </si>
  <si>
    <t>Költségvetési bevételek terve intézményi szinten</t>
  </si>
  <si>
    <t>Engedélyezett létszámok ( fő )</t>
  </si>
  <si>
    <t>Közfoglalkoztatottak ( fő )</t>
  </si>
  <si>
    <t>kötelező, önként vállalt és államigazgatási feladatok szerinti bontásban</t>
  </si>
  <si>
    <t>sorszám</t>
  </si>
  <si>
    <t>Munkaadókat terhelő járulékok és szoc.hj.adó</t>
  </si>
  <si>
    <t>Működési kiadások összesen</t>
  </si>
  <si>
    <t>K I A D Á S I  E L Ő I R Á N Y Z A T</t>
  </si>
  <si>
    <t>Kötelező feladatok:</t>
  </si>
  <si>
    <t>Zöldterület-kezelés</t>
  </si>
  <si>
    <t>Közfoglalkoztatás</t>
  </si>
  <si>
    <t>Művelődési tevékenység</t>
  </si>
  <si>
    <t>Köztemető fenntartás</t>
  </si>
  <si>
    <t>Kötelező feladatok összesen:</t>
  </si>
  <si>
    <t>Önként vállalt feladatok össz:</t>
  </si>
  <si>
    <t>Államigazgatási feladatok</t>
  </si>
  <si>
    <t>Óvodai ellátás</t>
  </si>
  <si>
    <t>Önkormányzat működési kiadásai összesen:</t>
  </si>
  <si>
    <t>Dusnoki Polgármesteri Hivatal költségvetésében:</t>
  </si>
  <si>
    <t>Dusnoki Óvoda és Bölcsöde költségvetésében</t>
  </si>
  <si>
    <t>Kötelező feladatok összesen</t>
  </si>
  <si>
    <t>Gondozási központ költségvetésében</t>
  </si>
  <si>
    <t>Mezőőri szolgáltatás</t>
  </si>
  <si>
    <t>Dusnok Önkormányzat saját költségvetésében:</t>
  </si>
  <si>
    <t>Jogalkotás</t>
  </si>
  <si>
    <t>Közvilágítás</t>
  </si>
  <si>
    <t>Feladat megnevezése</t>
  </si>
  <si>
    <t>Közhatalmi bevételek,</t>
  </si>
  <si>
    <t>Támogatások, kiegészítések</t>
  </si>
  <si>
    <t xml:space="preserve">Támogatásértékű és működési célra átvett, </t>
  </si>
  <si>
    <t>B E V É T E L I   E L Ő I R Á N Y Z A T</t>
  </si>
  <si>
    <t>Önkormányzat (saját) költségvetésében:</t>
  </si>
  <si>
    <t>Központi költségvetés tám.</t>
  </si>
  <si>
    <t>Önként vállalt feladatok:</t>
  </si>
  <si>
    <t>Mezei őrszolgálat működtet.</t>
  </si>
  <si>
    <t>Kötelező feladatok össz:</t>
  </si>
  <si>
    <t>Intézményfinanszírozás</t>
  </si>
  <si>
    <t>Polgármesteri Hivatal bevételei összesen:</t>
  </si>
  <si>
    <t xml:space="preserve">Kötelező feladatok: </t>
  </si>
  <si>
    <t>Óvodai nevelés</t>
  </si>
  <si>
    <t>Óvoda bevételei összesen:</t>
  </si>
  <si>
    <t>Tb finanszírozás</t>
  </si>
  <si>
    <t>Kamat</t>
  </si>
  <si>
    <t>Dusnoki Óvoda  és Bölcsöde költségvetésében:</t>
  </si>
  <si>
    <t>Gondozási Központ Költségvetésében</t>
  </si>
  <si>
    <t>Gondozási Központ bevételei összesen</t>
  </si>
  <si>
    <t>Eho</t>
  </si>
  <si>
    <t>I. 1. a) Önkormányzati hivatal működésének támogatása - beszámítása után</t>
  </si>
  <si>
    <t xml:space="preserve">      I. 1. ba) A zöldterület-gazdálkodással kapcsolatos feladatok ellátásának támogatása </t>
  </si>
  <si>
    <t xml:space="preserve">      I. 1. bb) Közvilágítás fenntartásának támogatása</t>
  </si>
  <si>
    <t xml:space="preserve">      I. 1. bd) Közutak fenntartásának támogatása</t>
  </si>
  <si>
    <t>I. 1. c) - V. Egyéb önkormányzati feladatok támogatása - beszámítás után</t>
  </si>
  <si>
    <t>II. 1. (3) 2 óvodapedagógusok elismert létszáma (pótlólagos öszeg)</t>
  </si>
  <si>
    <t>II. 2. Óvodaműködési támogatás</t>
  </si>
  <si>
    <t>III. 3. ja (1) bölcsődei ellátás nem hátrányos helyzetű gyermek</t>
  </si>
  <si>
    <t>III. 3. ja (2) bölcsődei ellátás nem hátrányos helyzetű gyermek</t>
  </si>
  <si>
    <t>III. 5. Gyermekétkeztetés támogatás</t>
  </si>
  <si>
    <t xml:space="preserve">     III. 5. a) A finanszírozás szempontjából elismert dolgozók bértámogatása</t>
  </si>
  <si>
    <t>II. 1. Óvodapedagógusok, és az óvodapedagógusok nevelő munkáját közvetlenül segítők bértámogatása</t>
  </si>
  <si>
    <t>K2.</t>
  </si>
  <si>
    <t>K1.</t>
  </si>
  <si>
    <t>Munkaadókat terhelő járulékok és szociális hozz. adó</t>
  </si>
  <si>
    <t>K3.</t>
  </si>
  <si>
    <t>K4.</t>
  </si>
  <si>
    <t>Ellátottak pénzbeni juttatásai</t>
  </si>
  <si>
    <t xml:space="preserve">    K42</t>
  </si>
  <si>
    <t>Családi támogatások</t>
  </si>
  <si>
    <t xml:space="preserve">    K44</t>
  </si>
  <si>
    <t>Betegséggel kapcsolatos ellátások</t>
  </si>
  <si>
    <t xml:space="preserve">    K46</t>
  </si>
  <si>
    <t xml:space="preserve">Lakhatással kapcsolatos ellátások </t>
  </si>
  <si>
    <t xml:space="preserve">    K48</t>
  </si>
  <si>
    <t>Egyéb nem intézményi ellátások</t>
  </si>
  <si>
    <t>K5.</t>
  </si>
  <si>
    <t>Egyéb működési célú kiadások</t>
  </si>
  <si>
    <t>K6.</t>
  </si>
  <si>
    <t>K7.</t>
  </si>
  <si>
    <t>K8.</t>
  </si>
  <si>
    <t>Egyéb felhalmozási célú kiadások</t>
  </si>
  <si>
    <t>egyéb működési célú támogatások áh.-n kívülre</t>
  </si>
  <si>
    <t>Egyéb felhalmozási célú támogatások államháztartáson kívülre</t>
  </si>
  <si>
    <t>K9.</t>
  </si>
  <si>
    <t>Finanszírozási kiadások</t>
  </si>
  <si>
    <t>B1.</t>
  </si>
  <si>
    <t>Működési célú támogatások áh-n belülről</t>
  </si>
  <si>
    <t>B11.</t>
  </si>
  <si>
    <t xml:space="preserve">Önkormányzatok működési támogatásai </t>
  </si>
  <si>
    <t>B2.</t>
  </si>
  <si>
    <t>Felhalmozási célú támogatások áh-n belülről</t>
  </si>
  <si>
    <t>B3.</t>
  </si>
  <si>
    <t>B35.</t>
  </si>
  <si>
    <t>Termékek és szolgáltatások adói</t>
  </si>
  <si>
    <t>B351</t>
  </si>
  <si>
    <t>Helyi iparűzési adó</t>
  </si>
  <si>
    <t>B354</t>
  </si>
  <si>
    <t>Gépjárműadók</t>
  </si>
  <si>
    <t>B355</t>
  </si>
  <si>
    <t>Egyéb áruhasználati és szolgáltatási adók</t>
  </si>
  <si>
    <t>B36.</t>
  </si>
  <si>
    <t>Egyéb közhatalmi bevételek</t>
  </si>
  <si>
    <t>B4.</t>
  </si>
  <si>
    <t>B5.</t>
  </si>
  <si>
    <t>Felhalmozási bevételek</t>
  </si>
  <si>
    <t>B52</t>
  </si>
  <si>
    <t>Ingatlanok értékesítése</t>
  </si>
  <si>
    <t>B6.</t>
  </si>
  <si>
    <t>Működési célú átvett pénzeszközök</t>
  </si>
  <si>
    <t>Egyéb működési célú átvett pénzeszközök</t>
  </si>
  <si>
    <t>B7.</t>
  </si>
  <si>
    <t>Felhalmozási célú átvett pénzeszközök</t>
  </si>
  <si>
    <t>B25.</t>
  </si>
  <si>
    <t>Egyéb felhalmozási célú támogatások bevételei áh-n belülről</t>
  </si>
  <si>
    <t>Egyéb felhalmozási célú átvett pénzeszközök</t>
  </si>
  <si>
    <t>B8.</t>
  </si>
  <si>
    <t>Finanszírozási bevétel</t>
  </si>
  <si>
    <t>B813.</t>
  </si>
  <si>
    <t>Maradvány igénybevétele</t>
  </si>
  <si>
    <t>B1.-7.</t>
  </si>
  <si>
    <t>KÖLTSÉGVETÉSI BEVÉTELEK</t>
  </si>
  <si>
    <t>B816.</t>
  </si>
  <si>
    <t>Irányítószervi támogatás</t>
  </si>
  <si>
    <t>Lakhatással kapcsolatos ellátások</t>
  </si>
  <si>
    <t>Támogatás áh-n belülről</t>
  </si>
  <si>
    <t>Könyvtár</t>
  </si>
  <si>
    <t>Város és községgazdálkodás</t>
  </si>
  <si>
    <t>Szabadidő és sporttevékenység</t>
  </si>
  <si>
    <t>Televízió és műsorszolg</t>
  </si>
  <si>
    <t>Államigazgatási feladatok:</t>
  </si>
  <si>
    <t>17.</t>
  </si>
  <si>
    <t>Önkormányzatok elszámolásai</t>
  </si>
  <si>
    <t>Működési bevételek összesen</t>
  </si>
  <si>
    <t>Térítési díjak</t>
  </si>
  <si>
    <t>Egyéb civil szervezeteknek</t>
  </si>
  <si>
    <t>Ingatlanok beszerzése, létesítése</t>
  </si>
  <si>
    <t>Egyéb tárgyi eszközök beszerzése, létesítése</t>
  </si>
  <si>
    <t>Beruházási célú előzetesen felszámított áfa</t>
  </si>
  <si>
    <t>Ingatlanok felújítás</t>
  </si>
  <si>
    <t>Egyéb tárgyi eszközök felújítása</t>
  </si>
  <si>
    <t>Felújítási célú előzetesen felszámított áfa</t>
  </si>
  <si>
    <t xml:space="preserve">     III. 5. b) Gyermekétkeztetés üzemeltetési támogatása</t>
  </si>
  <si>
    <t>III. 3. aa (2) 70000 fő lakosságszámig működési engedéllyel gyermekjóléti szolgálat</t>
  </si>
  <si>
    <t>III. 3. aa (1) 70000 fő lakosságszámig működési engedéllyel családsegítés</t>
  </si>
  <si>
    <t>III. 2. A települési önkormányzatok szociális feladatainak egyéb támogatása</t>
  </si>
  <si>
    <t xml:space="preserve">II. 1. (2) 1 óvodapedagógusok nevelő munkáját közvetlenül segítők száma a Köznev. Tv. 2. számú mellékelt </t>
  </si>
  <si>
    <t>I.1 d.) - Lakott külterülettel kapcsolatos feladatok támogatása</t>
  </si>
  <si>
    <t xml:space="preserve">      I. 1. bc) Köztemető fenntartásával kapcsolatos feladatok támogatása</t>
  </si>
  <si>
    <t>B401</t>
  </si>
  <si>
    <t>Készletértékesítés ellenértéke</t>
  </si>
  <si>
    <t>B402</t>
  </si>
  <si>
    <t>Szolgáltatások ellenértéke</t>
  </si>
  <si>
    <t>B403</t>
  </si>
  <si>
    <t>Közvetített szolgáltatások ellenértéke</t>
  </si>
  <si>
    <t>B405</t>
  </si>
  <si>
    <t>Ellátási díjak</t>
  </si>
  <si>
    <t>B406</t>
  </si>
  <si>
    <t>Kiszámlázott áfa</t>
  </si>
  <si>
    <t>B408</t>
  </si>
  <si>
    <t>Kamatbevételek</t>
  </si>
  <si>
    <t>Egyéb működési bevételek</t>
  </si>
  <si>
    <t>B4</t>
  </si>
  <si>
    <t>Működési bevételek részletezése</t>
  </si>
  <si>
    <t>K1101</t>
  </si>
  <si>
    <t>Törvény szerinti illetmények, munkabérek</t>
  </si>
  <si>
    <t>Normatív jutalmak</t>
  </si>
  <si>
    <t>K1102</t>
  </si>
  <si>
    <t>K1103</t>
  </si>
  <si>
    <t>Céljuttatás, projekt prémium</t>
  </si>
  <si>
    <t>K1104</t>
  </si>
  <si>
    <t>Készenléti, ügyeleti, helyettesítési díj, túlóra, túlszolgálat</t>
  </si>
  <si>
    <t>K1105</t>
  </si>
  <si>
    <t>Végkielégítés</t>
  </si>
  <si>
    <t>K1106</t>
  </si>
  <si>
    <t>K1107</t>
  </si>
  <si>
    <t>Béren kívüli juttatások</t>
  </si>
  <si>
    <t>K1108</t>
  </si>
  <si>
    <t>Ruházati költségtérítés</t>
  </si>
  <si>
    <t>K1109</t>
  </si>
  <si>
    <t>Közlekedési költségtérítés</t>
  </si>
  <si>
    <t>K1110</t>
  </si>
  <si>
    <t>Egyéb költségtérítések</t>
  </si>
  <si>
    <t>K1113</t>
  </si>
  <si>
    <t>Foglalkoztatottak egyéb személyi juttatásai</t>
  </si>
  <si>
    <t>Foglalkoztatottak személyi juttatásai</t>
  </si>
  <si>
    <t>K121</t>
  </si>
  <si>
    <t>Választott tisztségviselők juttatásai</t>
  </si>
  <si>
    <t>K122</t>
  </si>
  <si>
    <t>K123</t>
  </si>
  <si>
    <t>Egyéb külső személyi juttatások</t>
  </si>
  <si>
    <t>Külső személyi juttatások</t>
  </si>
  <si>
    <t>K1</t>
  </si>
  <si>
    <t>K2</t>
  </si>
  <si>
    <t>Munkaadókat terhelő járulékok és szociális hozzájárulási adó</t>
  </si>
  <si>
    <t>K21</t>
  </si>
  <si>
    <t>K24</t>
  </si>
  <si>
    <t>K25</t>
  </si>
  <si>
    <t>Táppénz hozzájárulás</t>
  </si>
  <si>
    <t>K27</t>
  </si>
  <si>
    <t>K311</t>
  </si>
  <si>
    <t>Szakmai anyagok beszerzése</t>
  </si>
  <si>
    <t>K312</t>
  </si>
  <si>
    <t>Üzemeltetési anyagok beszerzése</t>
  </si>
  <si>
    <t>K31</t>
  </si>
  <si>
    <t>K321</t>
  </si>
  <si>
    <t>K322</t>
  </si>
  <si>
    <t>K32</t>
  </si>
  <si>
    <t>K331</t>
  </si>
  <si>
    <t>Közüzemi díjak</t>
  </si>
  <si>
    <t>K332</t>
  </si>
  <si>
    <t>K333</t>
  </si>
  <si>
    <t>K334</t>
  </si>
  <si>
    <t>K335</t>
  </si>
  <si>
    <t>Karbantartási és kisjavítási szolgáltatások</t>
  </si>
  <si>
    <t>Közvetített szolgáltatások</t>
  </si>
  <si>
    <t>K336</t>
  </si>
  <si>
    <t>Szakmai tevékenységet segítő szolgáltatások</t>
  </si>
  <si>
    <t>K337</t>
  </si>
  <si>
    <t>Egyéb szolgáltatások</t>
  </si>
  <si>
    <t>K33</t>
  </si>
  <si>
    <t>Szolgáltatási kiadások</t>
  </si>
  <si>
    <t>K341</t>
  </si>
  <si>
    <t>Kiküldetések kiadásai</t>
  </si>
  <si>
    <t>K342</t>
  </si>
  <si>
    <t>Reklám- és propaganda kiadások</t>
  </si>
  <si>
    <t>K34</t>
  </si>
  <si>
    <t>Kiküldetések, reklám és propagandakiadások</t>
  </si>
  <si>
    <t>K351</t>
  </si>
  <si>
    <t>Működési célú előzetesen felszámított áfa</t>
  </si>
  <si>
    <t>K352</t>
  </si>
  <si>
    <t>Fizetendő Áfa</t>
  </si>
  <si>
    <t>K353</t>
  </si>
  <si>
    <t>Kamatkiadások</t>
  </si>
  <si>
    <t>K355</t>
  </si>
  <si>
    <t>Egyéb dologi kiadások</t>
  </si>
  <si>
    <t>K35</t>
  </si>
  <si>
    <t>Különféle befizetések és egyéb dologi kiadások</t>
  </si>
  <si>
    <t>K3</t>
  </si>
  <si>
    <t>Rovatrend szerint:</t>
  </si>
  <si>
    <t>Egyéb vállalkozások</t>
  </si>
  <si>
    <t>Működési célú tám áh-n belülről</t>
  </si>
  <si>
    <t>Felhalmozási célú tám. Áh.-n belülről</t>
  </si>
  <si>
    <t>Munkaadókat terhelő jár. és Szocho</t>
  </si>
  <si>
    <t>Informatikai szolgáltatások igénybevétele</t>
  </si>
  <si>
    <t>Önkormányzatok működési támogatásai  (B111-B114)</t>
  </si>
  <si>
    <t>B16</t>
  </si>
  <si>
    <t>Egyéb működési célú támogatások bevételei államháztartáson belülről</t>
  </si>
  <si>
    <t>Közmunka</t>
  </si>
  <si>
    <t>Művház</t>
  </si>
  <si>
    <t xml:space="preserve">Piac </t>
  </si>
  <si>
    <t>Konyhakert</t>
  </si>
  <si>
    <t>Köztemető</t>
  </si>
  <si>
    <t>Zöldt. Kez</t>
  </si>
  <si>
    <t>Tv . Műsor</t>
  </si>
  <si>
    <t>Ing. Vagy. Gazd</t>
  </si>
  <si>
    <t>Igazgatási tev</t>
  </si>
  <si>
    <t>Önk. Rend</t>
  </si>
  <si>
    <t>Helytört. Kiá.</t>
  </si>
  <si>
    <t>Város és községgazd</t>
  </si>
  <si>
    <t>Rehabilitációs foglalkoztatott</t>
  </si>
  <si>
    <t>Egyéb, önk. rendeletben meghatározott juttatás (ösztöndíjak)</t>
  </si>
  <si>
    <t>Szabadidő sport tám.</t>
  </si>
  <si>
    <t>B813 Maradvány igénybevétele</t>
  </si>
  <si>
    <t>B16.</t>
  </si>
  <si>
    <t>Egyéb működési célú tám áh.-n belülről</t>
  </si>
  <si>
    <t>Ing. Vagyon gazd</t>
  </si>
  <si>
    <t>Működési bevételek  összesen</t>
  </si>
  <si>
    <t>Önkormányzati rendezvények</t>
  </si>
  <si>
    <t>Önkormányzat működési bevétele összesen (1+2):</t>
  </si>
  <si>
    <t>Ing. Vagyon gazd.</t>
  </si>
  <si>
    <t>Rehabilitációs foglalkoztatás</t>
  </si>
  <si>
    <t xml:space="preserve">5. </t>
  </si>
  <si>
    <t>Helytörténeti kiállítás</t>
  </si>
  <si>
    <t>Civil szervezetek, váll támogatása</t>
  </si>
  <si>
    <t xml:space="preserve">Irányítószervi támogatás </t>
  </si>
  <si>
    <t>II.4. A köznevelési intézmények működtetéséhez kapcsolódó támogatás</t>
  </si>
  <si>
    <t>III.5.c A rászoruló gyermekek intézményen kívüli szünidei étkeztetésének támogatása</t>
  </si>
  <si>
    <t>B16 összesen</t>
  </si>
  <si>
    <t>K71 Ingatlanok felújítása</t>
  </si>
  <si>
    <t>K74 Felújítási c. előzetesen felszámított áfa</t>
  </si>
  <si>
    <t>COFOG</t>
  </si>
  <si>
    <t>04123*</t>
  </si>
  <si>
    <t>08209*</t>
  </si>
  <si>
    <t>013350</t>
  </si>
  <si>
    <t>047120</t>
  </si>
  <si>
    <t>013320</t>
  </si>
  <si>
    <t>066010</t>
  </si>
  <si>
    <t>083050</t>
  </si>
  <si>
    <t>064010</t>
  </si>
  <si>
    <t>011130</t>
  </si>
  <si>
    <t>081045</t>
  </si>
  <si>
    <t>066020</t>
  </si>
  <si>
    <t>066020 (21)</t>
  </si>
  <si>
    <t>K64 Egyéb tárgyieszköz beszerzése, létesítése</t>
  </si>
  <si>
    <t>086030</t>
  </si>
  <si>
    <t>Nemzetk. együttműködés</t>
  </si>
  <si>
    <t>K62. Ingatlanok beszerzése, létesítése</t>
  </si>
  <si>
    <t>K67. Beruházási célú előzetesen felszámított áfa</t>
  </si>
  <si>
    <t>Idősek nappali ellátása</t>
  </si>
  <si>
    <t>Piac</t>
  </si>
  <si>
    <t>Testvérkapcsolat</t>
  </si>
  <si>
    <t>Támog.ért.kiad.és pénzeszk. Átadások</t>
  </si>
  <si>
    <t>K914</t>
  </si>
  <si>
    <t>Államháztartáson belüli megelőlegezések visszafizetése</t>
  </si>
  <si>
    <t>Költségvetési Kiadások</t>
  </si>
  <si>
    <t>K1.-8.</t>
  </si>
  <si>
    <t>K1.-9.</t>
  </si>
  <si>
    <t>K915</t>
  </si>
  <si>
    <t>B814</t>
  </si>
  <si>
    <t>Államháztartáson belüli megelőlegezések</t>
  </si>
  <si>
    <t>KÖLTSÉGVETÉSI KIADÁSOK</t>
  </si>
  <si>
    <t>B816</t>
  </si>
  <si>
    <t>KÖLTSÉGVETÉSI FŐÖSSZEG</t>
  </si>
  <si>
    <t>Irányítószervi támogatás (KORREKCIÓ)</t>
  </si>
  <si>
    <t>Tartalék</t>
  </si>
  <si>
    <t>Ebből Eu-s forrás</t>
  </si>
  <si>
    <t>Nyári diákmunka</t>
  </si>
  <si>
    <t>B116</t>
  </si>
  <si>
    <t>B53</t>
  </si>
  <si>
    <t>Egyéb  tárgyi eszközök értékesítése</t>
  </si>
  <si>
    <t>B113 Szociális ágazati pótlék</t>
  </si>
  <si>
    <t>B115 Bérkompenzáció</t>
  </si>
  <si>
    <t>Rovat</t>
  </si>
  <si>
    <t>Elnevezés</t>
  </si>
  <si>
    <t>K502</t>
  </si>
  <si>
    <t>Elvonások és befizetések</t>
  </si>
  <si>
    <t xml:space="preserve">K123 </t>
  </si>
  <si>
    <t>Reprezentáció népszavazás</t>
  </si>
  <si>
    <t>K508</t>
  </si>
  <si>
    <t>Működési célú visszatérítendő kölcsönök nyújtása áh-n kívülre</t>
  </si>
  <si>
    <t>B115 Szociális célú tüzifa</t>
  </si>
  <si>
    <t>Szociális célú tüzifa támogatás</t>
  </si>
  <si>
    <t>Munk.véhz.-re irányuló egyéb jogviszonyban külsős díja</t>
  </si>
  <si>
    <t>VP-6.7.2.1-7.4.1.2-16 mezőgazdasági elkerülőút</t>
  </si>
  <si>
    <t>térítési díjak</t>
  </si>
  <si>
    <t>intézményfinanszírozás</t>
  </si>
  <si>
    <t>Törvény szerinti illetmények, munkabérek közmunka</t>
  </si>
  <si>
    <t>Háziorvosi alapellátás</t>
  </si>
  <si>
    <t>Igazgatási tevékenység</t>
  </si>
  <si>
    <t>Informatikai eszközök beszerzése, létesítése</t>
  </si>
  <si>
    <t>B21</t>
  </si>
  <si>
    <t>Tárgyi eszközös értékesítése</t>
  </si>
  <si>
    <t>I.5. A településképi arculati kézikönyv elkészítésének támogatása</t>
  </si>
  <si>
    <t>III. 3. jc Bölcsőde, mini bölcsőde októberi támogatása</t>
  </si>
  <si>
    <t>Orvosi rendelő felújítása TOP 4.1.1</t>
  </si>
  <si>
    <t>B25</t>
  </si>
  <si>
    <t>Közmunka TE beszerzések</t>
  </si>
  <si>
    <t>B65.</t>
  </si>
  <si>
    <t>Felhalmozási célú átvett pénzeszköz</t>
  </si>
  <si>
    <t xml:space="preserve"> </t>
  </si>
  <si>
    <t>kontroll:</t>
  </si>
  <si>
    <t>Gondozási Kp.</t>
  </si>
  <si>
    <t>Kontroll:</t>
  </si>
  <si>
    <t>Időskorúak nappali ellátása 102031</t>
  </si>
  <si>
    <t>Házi segítségnyújtás 107052</t>
  </si>
  <si>
    <t>Védőnői szolgálat 074031</t>
  </si>
  <si>
    <t>Gyermekjóléti szolgáltatás 104042</t>
  </si>
  <si>
    <t>Családsegítés 104042</t>
  </si>
  <si>
    <t>Szociális étkeztetés 107051</t>
  </si>
  <si>
    <t>Kiadások összesen (I+II+III)</t>
  </si>
  <si>
    <t>Igazgatási tevékenység 011130</t>
  </si>
  <si>
    <t>Konyha  096015</t>
  </si>
  <si>
    <t>Bölcsödei ellátás 104031</t>
  </si>
  <si>
    <t>K512</t>
  </si>
  <si>
    <t>K512 össz.</t>
  </si>
  <si>
    <t>K513</t>
  </si>
  <si>
    <t>B115 min.bér emelésének hat.csökk. Kompenzáció</t>
  </si>
  <si>
    <t>B114 Kulturális illetménypótlék</t>
  </si>
  <si>
    <t>B116 elszámolás 2016 évre</t>
  </si>
  <si>
    <t>kontroll</t>
  </si>
  <si>
    <t>Személyi juttat.</t>
  </si>
  <si>
    <t>összesen:</t>
  </si>
  <si>
    <t>Piac felújítása TOP 1.1.3</t>
  </si>
  <si>
    <t>Csapadékvíz TOP 2.3.1</t>
  </si>
  <si>
    <t>Energetika TOP 3.2.1</t>
  </si>
  <si>
    <t>Óvoda felújítása TOP 1.4.1</t>
  </si>
  <si>
    <t>K7 összesen:</t>
  </si>
  <si>
    <t>K6 összesen :</t>
  </si>
  <si>
    <t>K6 és K7 összesen:</t>
  </si>
  <si>
    <t>Bursa visszatérítés (B1631)</t>
  </si>
  <si>
    <t>Támogatás nemzetiségi önkormányzattól (B1638)</t>
  </si>
  <si>
    <t>Oep támogatás (B1634)</t>
  </si>
  <si>
    <t>nyári diákmunka (B1632)</t>
  </si>
  <si>
    <t>Erzsébet utalvány (B1632)</t>
  </si>
  <si>
    <t>rehab.tám. (B1632)</t>
  </si>
  <si>
    <t>Mezőőr tám (B1632)</t>
  </si>
  <si>
    <t>B64</t>
  </si>
  <si>
    <t>Működési c.visszatérített tám.</t>
  </si>
  <si>
    <t>B75.</t>
  </si>
  <si>
    <t>Rehab, nyári, erzsébet</t>
  </si>
  <si>
    <t>K506</t>
  </si>
  <si>
    <t>Működési célú visszatérítendő kölcsönök nyújtása áh-n belülre</t>
  </si>
  <si>
    <t>Zarándokút Egyesület</t>
  </si>
  <si>
    <t xml:space="preserve">    K89</t>
  </si>
  <si>
    <t>Egyéb felhalmozási célú támogatások háztartásoknak</t>
  </si>
  <si>
    <t>nettó</t>
  </si>
  <si>
    <t>áfa</t>
  </si>
  <si>
    <t>JETA-38-2016 járdafelújítás</t>
  </si>
  <si>
    <t>Egyéb informatikai beruházás</t>
  </si>
  <si>
    <t>Egyéb gépek, berendezések beszerzése</t>
  </si>
  <si>
    <t>KIADÁSOK ÖSSZESEN (mínusz a tartalék összeg):</t>
  </si>
  <si>
    <t>TE értékesítés</t>
  </si>
  <si>
    <t>Immateriális javak</t>
  </si>
  <si>
    <t>K63 Informatikai eszközök beszerzése</t>
  </si>
  <si>
    <t>072111</t>
  </si>
  <si>
    <t>Mezőőr+konyhakert</t>
  </si>
  <si>
    <t>Konyha</t>
  </si>
  <si>
    <t>felosztott</t>
  </si>
  <si>
    <t>016080</t>
  </si>
  <si>
    <t>kiemelt rend.</t>
  </si>
  <si>
    <t xml:space="preserve"> 2018. évi Normatív támogatások</t>
  </si>
  <si>
    <t>I.6. Polgármesteri illetmény támogatása</t>
  </si>
  <si>
    <t>II. 2. (1) 1 gyermekek nevelése a napi 8 órát eléri</t>
  </si>
  <si>
    <t>II. 2. (8) 1 gyermekek nevelése a napi 8 órát nem éri el</t>
  </si>
  <si>
    <t>II. 2. (1) 2 gyermekek nevelése a napi 8 órát eléri</t>
  </si>
  <si>
    <t>II. 2. (8) 2 gyermekek nevelése a napi 8 órát enem éri el</t>
  </si>
  <si>
    <t>III. 7. a (1) A finanszírozás szempontjából elismert szakmai dolgozók bértámogatása: felsőfokú végzettségű kisgyermeknevelők, szaktanácsadók</t>
  </si>
  <si>
    <t>III. 7. a (2) A finanszírozás szempontjából elismert szakmai dolgozók bértámogatása: bölcsődei dajkák, középfokú végzettségű kisgyermeknevelők, szaktanácsadók</t>
  </si>
  <si>
    <t>III.7. (b) Bölcsődei üzemeltetési támogatás</t>
  </si>
  <si>
    <t>I. 1. a) Önkormányzati hivatal működésének támogatása - elismert hivatali létszám alapján</t>
  </si>
  <si>
    <t>I. 1. c) Egyéb önkormányzati feladatok támogatása (tájékoztató adat)</t>
  </si>
  <si>
    <t>április</t>
  </si>
  <si>
    <t>szeptember</t>
  </si>
  <si>
    <t>november</t>
  </si>
  <si>
    <t>december</t>
  </si>
  <si>
    <t>2018. évi eredeti költségvetés</t>
  </si>
  <si>
    <t>B410</t>
  </si>
  <si>
    <t>B411</t>
  </si>
  <si>
    <t>Polgármesteri Hivatal</t>
  </si>
  <si>
    <t>Dusnoki Óvoda és Bölcsőde</t>
  </si>
  <si>
    <t>Gondozási központ</t>
  </si>
  <si>
    <t>Biztosítók által fiz. kártérítés</t>
  </si>
  <si>
    <t>2018. évi TERV</t>
  </si>
  <si>
    <t>B814.</t>
  </si>
  <si>
    <t>Megelőlegezés</t>
  </si>
  <si>
    <t>B11*</t>
  </si>
  <si>
    <t>B112 összesen</t>
  </si>
  <si>
    <t>B112 Óvodapedagógusok munkáját segítők kiegészítő támogatása</t>
  </si>
  <si>
    <t>B113 összesen</t>
  </si>
  <si>
    <t>B114 összesen</t>
  </si>
  <si>
    <t>B115 összesen</t>
  </si>
  <si>
    <t>B116 összesen</t>
  </si>
  <si>
    <t>Bács-Kiskun megyei munkaügyi központ támogatása (B1635)</t>
  </si>
  <si>
    <t>B11 összesen</t>
  </si>
  <si>
    <t>Dusnok Község Önkormányzata</t>
  </si>
  <si>
    <t>Gondozási Központ</t>
  </si>
  <si>
    <t>2018. évre</t>
  </si>
  <si>
    <t>Az önkormányzat és költségvetési szervei 2018. évi költségvetésének tervezett működési bevételei előirányzat-csoportonként, kiemelt kötelező, önként vállalt és államigazgatási feladatok szerinti bontásban</t>
  </si>
  <si>
    <t>Költségvetési egyesített bevételek terve 2018. évre</t>
  </si>
  <si>
    <t>Önkormányzat, Polgármesteri Hivatal, Óvoda és Gondozási Központ</t>
  </si>
  <si>
    <t>Önk. Ált műk. és ágazati feladatainak tám, értesítők alapján (B112, B113, B114, B115)</t>
  </si>
  <si>
    <t>Felhalmozási célú bvételek</t>
  </si>
  <si>
    <t>B64.</t>
  </si>
  <si>
    <t>Működési célú visszatérített támogatások</t>
  </si>
  <si>
    <t>előirányzat-felhasználási ütemterv 2018. évre</t>
  </si>
  <si>
    <t>január</t>
  </si>
  <si>
    <t>február</t>
  </si>
  <si>
    <t>március</t>
  </si>
  <si>
    <t>május</t>
  </si>
  <si>
    <t>június</t>
  </si>
  <si>
    <t>július</t>
  </si>
  <si>
    <t>augusztus</t>
  </si>
  <si>
    <t>október</t>
  </si>
  <si>
    <t>összesen</t>
  </si>
  <si>
    <t>2018. évre tervezett személyi juttatások részletezése</t>
  </si>
  <si>
    <t>K11</t>
  </si>
  <si>
    <t>K12</t>
  </si>
  <si>
    <t>2018. évi dologi kiadások részletezése TERV</t>
  </si>
  <si>
    <t>2018. évi terv</t>
  </si>
  <si>
    <t>Ebből EU-s forrás:</t>
  </si>
  <si>
    <t>Dusnok Község Önkormányzatának ASP csatl. KÖFOP-1.2.1-VEKOP-16-2016-00333</t>
  </si>
  <si>
    <t>B75. Felhalmozási célú tám. civil szervezettől</t>
  </si>
  <si>
    <t xml:space="preserve">B25. Felhalmozási célú tám. Áh-n belülről
</t>
  </si>
  <si>
    <t>Az Önkormányzat 2018. évre tervezett közvetlen és közvetett támogatásairól</t>
  </si>
  <si>
    <t>Dusnok Község Önkormányzata 2018. évi költségvetése több éves kihatással járó döntések</t>
  </si>
  <si>
    <t xml:space="preserve">Az önkormányzat és költségvetési szervei 2018. évi költségvetésének tervezett működési kiadásai,  </t>
  </si>
  <si>
    <t>Mezőgazdasági</t>
  </si>
  <si>
    <t>Közút</t>
  </si>
  <si>
    <t>Helyi</t>
  </si>
  <si>
    <t>Hosszú1</t>
  </si>
  <si>
    <t>Hosszú2</t>
  </si>
  <si>
    <t>Bér</t>
  </si>
  <si>
    <t>Járulék</t>
  </si>
  <si>
    <t>Dologi</t>
  </si>
  <si>
    <t>Fő</t>
  </si>
  <si>
    <t>Közfoglalkoztatás 2018</t>
  </si>
  <si>
    <t>2018.01.01-2018.02.28</t>
  </si>
  <si>
    <t>2018.01.01-2018.01.31</t>
  </si>
  <si>
    <t>Bér+járulék</t>
  </si>
  <si>
    <t>2018.03.01-2018.12.31</t>
  </si>
  <si>
    <t>2018.03.01-2018.06.30</t>
  </si>
  <si>
    <t>Turisztika TOP 1.2.1</t>
  </si>
  <si>
    <t>JETA-163-2017 konyha felújítás</t>
  </si>
  <si>
    <t>JETA-176-2017 ravatalozó felújítás</t>
  </si>
  <si>
    <t>2018.02.20-2018.04.29</t>
  </si>
  <si>
    <t>Szociálpol. ellátások (K4+K5+K8-civilek)</t>
  </si>
  <si>
    <t>lét- szám</t>
  </si>
  <si>
    <t>Szociális hozzájárulási adó közmunka</t>
  </si>
  <si>
    <t>Kiadások összesen(I+II+III):</t>
  </si>
  <si>
    <t>Költségvetési egyesített kiadások terve 2018. évre</t>
  </si>
  <si>
    <t>Ebből: egyéb civil szervezeteknek</t>
  </si>
  <si>
    <t>Ebből: egyéb vállalkozásnak</t>
  </si>
  <si>
    <t>Tartalék:</t>
  </si>
  <si>
    <t>K61</t>
  </si>
  <si>
    <t>K62</t>
  </si>
  <si>
    <t>K63</t>
  </si>
  <si>
    <t>K64</t>
  </si>
  <si>
    <t>K67</t>
  </si>
  <si>
    <t>K71</t>
  </si>
  <si>
    <t>K73</t>
  </si>
  <si>
    <t>K74</t>
  </si>
  <si>
    <t>K89</t>
  </si>
  <si>
    <t>előirányzat-felhasználási ütemterve 2018. évre</t>
  </si>
  <si>
    <t>Munkadót terhelő járulékok</t>
  </si>
  <si>
    <t>Az Önkormányzat 2018. évi dologi kiadásainak részletezése feladatok szerint</t>
  </si>
  <si>
    <t>Dusnok Község Önkormányzat 2018. évi  összevont költségvetési mérlege</t>
  </si>
  <si>
    <t>2017-ről áthúzódó programok:</t>
  </si>
  <si>
    <t>2018-ban induló programok</t>
  </si>
  <si>
    <t>Pályázatok 2018</t>
  </si>
  <si>
    <t>TOP 4.1.1 Orvosi rendelő felújítása</t>
  </si>
  <si>
    <t>Dr. Laki Tamás</t>
  </si>
  <si>
    <t>AA000781</t>
  </si>
  <si>
    <t>Név</t>
  </si>
  <si>
    <t>Számlaszám</t>
  </si>
  <si>
    <t>Dátum</t>
  </si>
  <si>
    <t>Nettó</t>
  </si>
  <si>
    <t>Áfa</t>
  </si>
  <si>
    <t>Bruttó</t>
  </si>
  <si>
    <t>Simonits Bt.</t>
  </si>
  <si>
    <t>YK2SA6006574</t>
  </si>
  <si>
    <t>Stölkler Péter</t>
  </si>
  <si>
    <t>STO1-SZ-1977741</t>
  </si>
  <si>
    <t>Simonics László</t>
  </si>
  <si>
    <t xml:space="preserve">VL1SA6141474
</t>
  </si>
  <si>
    <t xml:space="preserve">VL1SA6141465
</t>
  </si>
  <si>
    <t>Obádovics Bt.</t>
  </si>
  <si>
    <t>PH6SA0278164</t>
  </si>
  <si>
    <t>2016 összesen:</t>
  </si>
  <si>
    <t>STO1-SZ-1977793</t>
  </si>
  <si>
    <t>VL1SA6141485</t>
  </si>
  <si>
    <t>Obádovics Bt</t>
  </si>
  <si>
    <t>LN5SA4125058</t>
  </si>
  <si>
    <t xml:space="preserve">Laki Tamás </t>
  </si>
  <si>
    <t>AA000983</t>
  </si>
  <si>
    <t>2017 összesen:</t>
  </si>
  <si>
    <t>Szavazás bér</t>
  </si>
  <si>
    <t>Szociális hozzájárulási adó szavazás</t>
  </si>
  <si>
    <t>Szavazás</t>
  </si>
  <si>
    <t>Munk.véhz.-re irányuló egyéb jogviszonyban külsős díja (szavazás)</t>
  </si>
  <si>
    <t>TOP 2.3.1 Csapadékvíz elvezetés</t>
  </si>
  <si>
    <t>Bevétel előleg 2017-ben:</t>
  </si>
  <si>
    <t>2018 összesen:</t>
  </si>
  <si>
    <t>Még elköltendő:</t>
  </si>
  <si>
    <t>Miró-Grafika Kft.</t>
  </si>
  <si>
    <t>NQ9EE2289454</t>
  </si>
  <si>
    <t>Szigeti-Aqua Kft.</t>
  </si>
  <si>
    <t>VL1SA7204234</t>
  </si>
  <si>
    <t>VL1SA7204218</t>
  </si>
  <si>
    <t>BKM-i Katasztrófavéd. Ig.</t>
  </si>
  <si>
    <t>V82226-00756</t>
  </si>
  <si>
    <t>Mindösszesen:</t>
  </si>
  <si>
    <t>TOP 1.1.3 Piac felújítás</t>
  </si>
  <si>
    <t>BKM Területfejl. Nonprofit Kft.</t>
  </si>
  <si>
    <t>NQ9SB0719510</t>
  </si>
  <si>
    <t>Szigeti Attila</t>
  </si>
  <si>
    <t>LN5SA1946612</t>
  </si>
  <si>
    <t>Pályázati összeg:</t>
  </si>
  <si>
    <t>TOP 1.4.1 Óvoda felújítás</t>
  </si>
  <si>
    <t>NQ9SB0719994</t>
  </si>
  <si>
    <t>Dorkó Frida</t>
  </si>
  <si>
    <t>GU4SA8515463</t>
  </si>
  <si>
    <t>TOP 1.3.1 Energetika</t>
  </si>
  <si>
    <t>Panel Solar Kft.</t>
  </si>
  <si>
    <t>2017/00102</t>
  </si>
  <si>
    <t>2017/00103</t>
  </si>
  <si>
    <t>VP6 7.2.1-7.4.2 Mezőgazdasági elkerülőút</t>
  </si>
  <si>
    <t>Eply Kereskedelmi és Szolg. Kft.</t>
  </si>
  <si>
    <t>EPSZ00021/2017</t>
  </si>
  <si>
    <t>JETA-163-2017 Konyha felújítás</t>
  </si>
  <si>
    <t>JETA-176-2017 Ravatalozó felújítás</t>
  </si>
  <si>
    <t>Orvosi rendelő felújítása TOP 4.1.1 (2017-ben megkaptuk)</t>
  </si>
  <si>
    <t>Csapadékvíz TOP 2.3.1 (2017-ben megkaptuk)</t>
  </si>
  <si>
    <t>Piac felújítása TOP 1.1.3 Nyertes</t>
  </si>
  <si>
    <t>Óvoda felújítása TOP 1.4.1 Nyertes</t>
  </si>
  <si>
    <t>Turisztika TOP 1.2.1 Nyertes</t>
  </si>
  <si>
    <t>JETA-38-2016 járdafelújítás (2017-ben elköltve, elszámolás 2018-ban)</t>
  </si>
  <si>
    <t>Dusnok Község Önkormányzatának ASP csatl. KÖFOP-1.2.1-VEKOP-16 (2016-ban megérkezett)</t>
  </si>
  <si>
    <t>Dabasiné Tamaskó Krisztina</t>
  </si>
  <si>
    <t>név</t>
  </si>
  <si>
    <t>bruttó bér</t>
  </si>
  <si>
    <t>szoc.hó</t>
  </si>
  <si>
    <t>időtartam</t>
  </si>
  <si>
    <t>Deák Imre Jenő</t>
  </si>
  <si>
    <t>Facskó Lászlóné</t>
  </si>
  <si>
    <t>Földesiné Jagicza Andrea</t>
  </si>
  <si>
    <t>Gerjeniné Cser Erika</t>
  </si>
  <si>
    <t>Kissné Budai Éva</t>
  </si>
  <si>
    <t>Matity Katalin</t>
  </si>
  <si>
    <t>Prohásznáné T. Szilvia</t>
  </si>
  <si>
    <t>Simonits Istvánné</t>
  </si>
  <si>
    <t>Simonitsné Ollósi Diána</t>
  </si>
  <si>
    <t>Szilasi Edit</t>
  </si>
  <si>
    <t>Mészáros Bernadett</t>
  </si>
  <si>
    <t>Miskeiné R. Ildikó</t>
  </si>
  <si>
    <t>Rogács Vincéné</t>
  </si>
  <si>
    <t>2018.01.01-2018.12.31</t>
  </si>
  <si>
    <t>Bér és szoc.hó összesen:</t>
  </si>
  <si>
    <t>éves bér</t>
  </si>
  <si>
    <t>Ollósiné Kajdácsi Tünde</t>
  </si>
  <si>
    <t>Rutterschmidt Jánosné</t>
  </si>
  <si>
    <t>Sánta Anna</t>
  </si>
  <si>
    <t>Besze-Kaszás Éva</t>
  </si>
  <si>
    <t>Kassainé Hodován Dóra</t>
  </si>
  <si>
    <t>Kiss János Gyuláné</t>
  </si>
  <si>
    <t>Kiss Zsoltné</t>
  </si>
  <si>
    <t>Balogh Csaba</t>
  </si>
  <si>
    <t>Dr. Bajai Bernadett</t>
  </si>
  <si>
    <t>Facskóné Jáksó Ildikó</t>
  </si>
  <si>
    <t>Garamvölgyi Rita</t>
  </si>
  <si>
    <t>Hazenstaubné Bogárdi Márta</t>
  </si>
  <si>
    <t>2018.01.01-2018.05.15</t>
  </si>
  <si>
    <t>Karaszi Istvánné</t>
  </si>
  <si>
    <t>Lovákné Radics Anikó</t>
  </si>
  <si>
    <t>Palotai János</t>
  </si>
  <si>
    <t>Pécsyné Matán Katalin</t>
  </si>
  <si>
    <t>2018.01.01-2018.04.30</t>
  </si>
  <si>
    <t>Báló Árpád</t>
  </si>
  <si>
    <t>Jagicza Szabina</t>
  </si>
  <si>
    <t>Jagicza Jánosné</t>
  </si>
  <si>
    <t>Antalné Nagy Mónika</t>
  </si>
  <si>
    <t>Bolvári Dávid</t>
  </si>
  <si>
    <t>Karaszi István</t>
  </si>
  <si>
    <t>Sipos Gábor</t>
  </si>
  <si>
    <t>Sipos János József</t>
  </si>
  <si>
    <t>Bérek összesen:</t>
  </si>
  <si>
    <t>Berta János</t>
  </si>
  <si>
    <t>Gorbay-Nagy Tihamér</t>
  </si>
  <si>
    <t>Marcsányi István</t>
  </si>
  <si>
    <t>Mihalik Gábor</t>
  </si>
  <si>
    <t>Palotai Péter</t>
  </si>
  <si>
    <t>Szegedi Gábor</t>
  </si>
  <si>
    <t>Vincze János</t>
  </si>
  <si>
    <t>Tiszteletdíjak összesen:</t>
  </si>
  <si>
    <t>Fehérvári István</t>
  </si>
  <si>
    <t>2018.01.01-2018.02.07</t>
  </si>
  <si>
    <t>2018.03.12-2018.10.28</t>
  </si>
  <si>
    <t>Jámbor Istvánné</t>
  </si>
  <si>
    <t>Központi költségvetési támogatás</t>
  </si>
  <si>
    <t>Elszámolások</t>
  </si>
  <si>
    <t>Rácz Jánosné</t>
  </si>
  <si>
    <t>2018.02.01-2018.12.31</t>
  </si>
  <si>
    <t>Szalai-Tóth Szilvia</t>
  </si>
  <si>
    <t>Sportegyesület műfüves pályára</t>
  </si>
  <si>
    <t>Sportegyesület</t>
  </si>
  <si>
    <t>Horgászegyesület</t>
  </si>
  <si>
    <t>2018.03.01-2018.09.17</t>
  </si>
  <si>
    <t>Moldován Józsefné</t>
  </si>
  <si>
    <t>Nem lakóingatlan üzem.</t>
  </si>
  <si>
    <t>Munkáltatót terhelő + Szja népszavazás repi adó</t>
  </si>
  <si>
    <t>Szavazással kapcsolatos (fejezeti kezelésű)</t>
  </si>
  <si>
    <t>Kissné Böde Barbara</t>
  </si>
  <si>
    <t>2018.03.01-2018.09.30</t>
  </si>
  <si>
    <t>Bács-Kiskun Megyei Önk.</t>
  </si>
  <si>
    <t>TOP 1.2.1 Turisztika</t>
  </si>
  <si>
    <t>Bács-Kiskun M. Kormányhivatal</t>
  </si>
  <si>
    <t>Forgeo Ker.és Szolg. Bt.</t>
  </si>
  <si>
    <t>2019 összesen:</t>
  </si>
  <si>
    <t>2020 összesen:</t>
  </si>
  <si>
    <t>Forgeo Ker. és Szolg. Bt.</t>
  </si>
  <si>
    <t>JETA-176-2017 ravatalozó felújítás Nyertes</t>
  </si>
  <si>
    <t>JETA-163-2017 konyha felújítás Nem nyert</t>
  </si>
  <si>
    <t xml:space="preserve">Egyéb </t>
  </si>
  <si>
    <t>Különbség:</t>
  </si>
  <si>
    <t>Értékesített TE., ingatlan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</si>
</sst>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_F_t"/>
    <numFmt numFmtId="165" formatCode="#,##0\ &quot;Ft&quot;"/>
    <numFmt numFmtId="166" formatCode="#&quot; &quot;\f\ő"/>
  </numFmts>
  <fonts count="6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name val="Arial"/>
      <family val="2"/>
      <charset val="238"/>
    </font>
    <font>
      <b/>
      <i/>
      <u/>
      <sz val="14"/>
      <name val="Arial"/>
      <family val="2"/>
      <charset val="238"/>
    </font>
    <font>
      <i/>
      <u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0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i/>
      <sz val="10"/>
      <color rgb="FFC00000"/>
      <name val="Arial"/>
      <family val="2"/>
      <charset val="238"/>
    </font>
    <font>
      <b/>
      <i/>
      <sz val="12"/>
      <color rgb="FFC00000"/>
      <name val="Arial"/>
      <family val="2"/>
      <charset val="238"/>
    </font>
    <font>
      <b/>
      <sz val="12"/>
      <color rgb="FFC0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 tint="0.24994659260841701"/>
      <name val="Calibri"/>
      <family val="2"/>
      <charset val="238"/>
      <scheme val="minor"/>
    </font>
    <font>
      <i/>
      <sz val="11"/>
      <color theme="1" tint="0.2499465926084170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42" fillId="2" borderId="0" applyNumberFormat="0" applyBorder="0" applyAlignment="0" applyProtection="0"/>
    <xf numFmtId="0" fontId="42" fillId="3" borderId="0" applyNumberFormat="0" applyBorder="0" applyAlignment="0" applyProtection="0"/>
    <xf numFmtId="0" fontId="42" fillId="4" borderId="0" applyNumberFormat="0" applyBorder="0" applyAlignment="0" applyProtection="0"/>
    <xf numFmtId="0" fontId="42" fillId="5" borderId="0" applyNumberFormat="0" applyBorder="0" applyAlignment="0" applyProtection="0"/>
    <xf numFmtId="0" fontId="42" fillId="6" borderId="0" applyNumberFormat="0" applyBorder="0" applyAlignment="0" applyProtection="0"/>
    <xf numFmtId="0" fontId="42" fillId="7" borderId="0" applyNumberFormat="0" applyBorder="0" applyAlignment="0" applyProtection="0"/>
    <xf numFmtId="165" fontId="60" fillId="11" borderId="5" applyAlignment="0" applyProtection="0"/>
    <xf numFmtId="0" fontId="56" fillId="23" borderId="6" applyNumberFormat="0" applyAlignment="0" applyProtection="0"/>
    <xf numFmtId="165" fontId="56" fillId="22" borderId="1" applyAlignment="0" applyProtection="0"/>
    <xf numFmtId="0" fontId="26" fillId="8" borderId="7" applyNumberFormat="0" applyFont="0" applyAlignment="0" applyProtection="0"/>
    <xf numFmtId="0" fontId="44" fillId="9" borderId="0" applyNumberFormat="0" applyBorder="0" applyAlignment="0" applyProtection="0"/>
    <xf numFmtId="0" fontId="21" fillId="0" borderId="0"/>
    <xf numFmtId="165" fontId="56" fillId="10" borderId="5" applyAlignment="0" applyProtection="0"/>
    <xf numFmtId="49" fontId="14" fillId="13" borderId="7">
      <alignment horizontal="left" vertical="center" wrapText="1"/>
    </xf>
    <xf numFmtId="49" fontId="15" fillId="10" borderId="7">
      <alignment horizontal="left" vertical="center" wrapText="1"/>
    </xf>
    <xf numFmtId="49" fontId="58" fillId="14" borderId="1">
      <alignment horizontal="center" vertical="center"/>
    </xf>
    <xf numFmtId="49" fontId="56" fillId="15" borderId="7">
      <alignment horizontal="left" vertical="center" wrapText="1"/>
    </xf>
  </cellStyleXfs>
  <cellXfs count="343">
    <xf numFmtId="0" fontId="0" fillId="0" borderId="0" xfId="0"/>
    <xf numFmtId="0" fontId="17" fillId="0" borderId="0" xfId="0" applyFont="1"/>
    <xf numFmtId="0" fontId="18" fillId="0" borderId="0" xfId="0" applyFont="1"/>
    <xf numFmtId="0" fontId="21" fillId="0" borderId="0" xfId="0" applyFont="1"/>
    <xf numFmtId="0" fontId="17" fillId="0" borderId="0" xfId="0" applyFont="1" applyBorder="1"/>
    <xf numFmtId="0" fontId="22" fillId="0" borderId="0" xfId="0" applyFont="1" applyAlignment="1">
      <alignment horizontal="center"/>
    </xf>
    <xf numFmtId="0" fontId="22" fillId="0" borderId="0" xfId="0" applyFont="1"/>
    <xf numFmtId="0" fontId="21" fillId="0" borderId="0" xfId="0" applyFont="1" applyBorder="1"/>
    <xf numFmtId="0" fontId="21" fillId="0" borderId="0" xfId="12"/>
    <xf numFmtId="0" fontId="21" fillId="0" borderId="0" xfId="12" applyFont="1"/>
    <xf numFmtId="0" fontId="17" fillId="0" borderId="0" xfId="12" applyFont="1"/>
    <xf numFmtId="0" fontId="21" fillId="0" borderId="0" xfId="0" applyFont="1" applyFill="1" applyBorder="1"/>
    <xf numFmtId="0" fontId="18" fillId="0" borderId="0" xfId="0" applyFont="1" applyBorder="1"/>
    <xf numFmtId="0" fontId="24" fillId="0" borderId="0" xfId="0" applyFont="1"/>
    <xf numFmtId="0" fontId="31" fillId="0" borderId="0" xfId="0" applyFont="1"/>
    <xf numFmtId="0" fontId="17" fillId="0" borderId="0" xfId="0" applyFont="1" applyBorder="1" applyAlignment="1"/>
    <xf numFmtId="0" fontId="17" fillId="0" borderId="0" xfId="0" applyFont="1" applyFill="1" applyBorder="1"/>
    <xf numFmtId="0" fontId="32" fillId="0" borderId="0" xfId="0" applyFont="1"/>
    <xf numFmtId="0" fontId="33" fillId="0" borderId="0" xfId="0" applyFont="1"/>
    <xf numFmtId="0" fontId="46" fillId="0" borderId="0" xfId="0" applyFont="1"/>
    <xf numFmtId="0" fontId="47" fillId="0" borderId="0" xfId="0" applyFont="1"/>
    <xf numFmtId="0" fontId="48" fillId="0" borderId="0" xfId="0" applyFont="1"/>
    <xf numFmtId="3" fontId="47" fillId="0" borderId="0" xfId="0" applyNumberFormat="1" applyFont="1"/>
    <xf numFmtId="0" fontId="20" fillId="0" borderId="0" xfId="0" applyFont="1" applyAlignment="1">
      <alignment horizontal="center"/>
    </xf>
    <xf numFmtId="0" fontId="21" fillId="0" borderId="0" xfId="12" applyFont="1" applyAlignment="1">
      <alignment horizontal="center"/>
    </xf>
    <xf numFmtId="0" fontId="18" fillId="0" borderId="0" xfId="0" applyFont="1" applyFill="1" applyBorder="1"/>
    <xf numFmtId="3" fontId="46" fillId="0" borderId="0" xfId="0" applyNumberFormat="1" applyFont="1" applyFill="1" applyBorder="1"/>
    <xf numFmtId="0" fontId="46" fillId="0" borderId="0" xfId="0" applyFont="1" applyFill="1" applyBorder="1"/>
    <xf numFmtId="3" fontId="47" fillId="0" borderId="0" xfId="0" applyNumberFormat="1" applyFont="1" applyFill="1" applyBorder="1"/>
    <xf numFmtId="0" fontId="47" fillId="0" borderId="0" xfId="0" applyFont="1" applyFill="1" applyBorder="1"/>
    <xf numFmtId="0" fontId="49" fillId="0" borderId="0" xfId="0" applyFont="1" applyFill="1" applyBorder="1"/>
    <xf numFmtId="3" fontId="49" fillId="0" borderId="0" xfId="0" applyNumberFormat="1" applyFont="1" applyFill="1" applyBorder="1"/>
    <xf numFmtId="3" fontId="50" fillId="0" borderId="0" xfId="0" applyNumberFormat="1" applyFont="1" applyFill="1" applyBorder="1"/>
    <xf numFmtId="0" fontId="46" fillId="0" borderId="0" xfId="0" applyFont="1" applyBorder="1"/>
    <xf numFmtId="0" fontId="48" fillId="0" borderId="0" xfId="0" applyFont="1" applyBorder="1"/>
    <xf numFmtId="0" fontId="47" fillId="0" borderId="0" xfId="0" applyFont="1" applyBorder="1"/>
    <xf numFmtId="49" fontId="21" fillId="0" borderId="0" xfId="12" applyNumberFormat="1" applyAlignment="1">
      <alignment horizontal="center" vertical="center" wrapText="1"/>
    </xf>
    <xf numFmtId="0" fontId="25" fillId="0" borderId="0" xfId="12" applyFont="1"/>
    <xf numFmtId="0" fontId="28" fillId="0" borderId="0" xfId="12" applyFont="1" applyFill="1" applyBorder="1" applyAlignment="1">
      <alignment horizontal="right" vertical="top" wrapText="1"/>
    </xf>
    <xf numFmtId="0" fontId="30" fillId="0" borderId="0" xfId="12" applyFont="1" applyFill="1" applyBorder="1" applyAlignment="1">
      <alignment horizontal="right" vertical="top" wrapText="1"/>
    </xf>
    <xf numFmtId="0" fontId="29" fillId="0" borderId="0" xfId="12" applyFont="1" applyFill="1" applyBorder="1" applyAlignment="1">
      <alignment horizontal="right" vertical="top" wrapText="1"/>
    </xf>
    <xf numFmtId="0" fontId="22" fillId="0" borderId="0" xfId="12" applyFont="1"/>
    <xf numFmtId="0" fontId="22" fillId="0" borderId="0" xfId="12" applyFont="1" applyAlignment="1">
      <alignment horizontal="justify"/>
    </xf>
    <xf numFmtId="0" fontId="23" fillId="0" borderId="0" xfId="12" applyFont="1" applyAlignment="1">
      <alignment horizontal="justify"/>
    </xf>
    <xf numFmtId="165" fontId="0" fillId="0" borderId="0" xfId="0" applyNumberFormat="1"/>
    <xf numFmtId="165" fontId="17" fillId="0" borderId="0" xfId="0" applyNumberFormat="1" applyFont="1" applyBorder="1" applyAlignment="1"/>
    <xf numFmtId="165" fontId="17" fillId="0" borderId="0" xfId="0" applyNumberFormat="1" applyFont="1" applyBorder="1"/>
    <xf numFmtId="165" fontId="17" fillId="0" borderId="0" xfId="0" applyNumberFormat="1" applyFont="1"/>
    <xf numFmtId="165" fontId="21" fillId="0" borderId="0" xfId="0" applyNumberFormat="1" applyFont="1"/>
    <xf numFmtId="164" fontId="21" fillId="0" borderId="0" xfId="12" applyNumberFormat="1"/>
    <xf numFmtId="0" fontId="21" fillId="0" borderId="0" xfId="12" quotePrefix="1" applyFont="1"/>
    <xf numFmtId="0" fontId="34" fillId="0" borderId="0" xfId="0" applyFont="1"/>
    <xf numFmtId="0" fontId="37" fillId="0" borderId="0" xfId="0" applyFont="1"/>
    <xf numFmtId="0" fontId="36" fillId="0" borderId="0" xfId="0" applyFont="1"/>
    <xf numFmtId="0" fontId="35" fillId="0" borderId="0" xfId="0" applyFont="1"/>
    <xf numFmtId="0" fontId="39" fillId="0" borderId="0" xfId="0" applyFont="1"/>
    <xf numFmtId="0" fontId="38" fillId="0" borderId="0" xfId="0" applyFont="1"/>
    <xf numFmtId="0" fontId="40" fillId="0" borderId="0" xfId="0" applyFont="1"/>
    <xf numFmtId="3" fontId="40" fillId="0" borderId="0" xfId="0" applyNumberFormat="1" applyFont="1"/>
    <xf numFmtId="0" fontId="39" fillId="0" borderId="0" xfId="0" applyFont="1" applyFill="1"/>
    <xf numFmtId="0" fontId="0" fillId="0" borderId="0" xfId="0" applyFont="1"/>
    <xf numFmtId="0" fontId="19" fillId="0" borderId="0" xfId="0" applyFont="1"/>
    <xf numFmtId="0" fontId="29" fillId="0" borderId="0" xfId="12" applyFont="1" applyBorder="1" applyAlignment="1">
      <alignment vertical="top" wrapText="1"/>
    </xf>
    <xf numFmtId="0" fontId="29" fillId="0" borderId="0" xfId="12" applyFont="1" applyBorder="1" applyAlignment="1">
      <alignment horizontal="center" vertical="top" wrapText="1"/>
    </xf>
    <xf numFmtId="0" fontId="29" fillId="0" borderId="0" xfId="12" applyFont="1" applyBorder="1" applyAlignment="1">
      <alignment horizontal="right" vertical="top" wrapText="1"/>
    </xf>
    <xf numFmtId="0" fontId="21" fillId="0" borderId="0" xfId="12" applyFont="1" applyBorder="1"/>
    <xf numFmtId="0" fontId="29" fillId="0" borderId="0" xfId="12" applyFont="1" applyFill="1" applyBorder="1" applyAlignment="1">
      <alignment horizontal="center" vertical="top" wrapText="1"/>
    </xf>
    <xf numFmtId="0" fontId="44" fillId="0" borderId="0" xfId="11" applyFill="1" applyBorder="1" applyAlignment="1">
      <alignment vertical="top" wrapText="1"/>
    </xf>
    <xf numFmtId="0" fontId="44" fillId="0" borderId="0" xfId="11" applyFill="1" applyBorder="1" applyAlignment="1">
      <alignment horizontal="center" vertical="top" wrapText="1"/>
    </xf>
    <xf numFmtId="3" fontId="56" fillId="0" borderId="0" xfId="8" applyNumberFormat="1" applyFill="1" applyBorder="1" applyAlignment="1">
      <alignment horizontal="right" vertical="top" wrapText="1"/>
    </xf>
    <xf numFmtId="0" fontId="56" fillId="0" borderId="0" xfId="8" applyFill="1" applyBorder="1" applyAlignment="1">
      <alignment horizontal="right" vertical="top" wrapText="1"/>
    </xf>
    <xf numFmtId="0" fontId="29" fillId="0" borderId="0" xfId="0" applyFont="1" applyBorder="1" applyAlignment="1">
      <alignment horizontal="center" vertical="top" wrapText="1"/>
    </xf>
    <xf numFmtId="0" fontId="29" fillId="0" borderId="0" xfId="0" applyFont="1" applyBorder="1" applyAlignment="1">
      <alignment vertical="top" wrapText="1"/>
    </xf>
    <xf numFmtId="0" fontId="29" fillId="0" borderId="0" xfId="0" applyFont="1" applyBorder="1" applyAlignment="1">
      <alignment horizontal="right" vertical="top" wrapText="1"/>
    </xf>
    <xf numFmtId="165" fontId="56" fillId="0" borderId="0" xfId="13" applyFill="1" applyBorder="1" applyAlignment="1">
      <alignment horizontal="right" vertical="top" wrapText="1"/>
    </xf>
    <xf numFmtId="0" fontId="27" fillId="0" borderId="0" xfId="0" applyFont="1" applyBorder="1" applyAlignment="1">
      <alignment wrapText="1"/>
    </xf>
    <xf numFmtId="0" fontId="42" fillId="0" borderId="0" xfId="4" applyFill="1" applyBorder="1" applyAlignment="1">
      <alignment horizontal="center" vertical="top" wrapText="1"/>
    </xf>
    <xf numFmtId="0" fontId="42" fillId="0" borderId="0" xfId="4" applyFill="1" applyBorder="1" applyAlignment="1">
      <alignment vertical="top" wrapText="1"/>
    </xf>
    <xf numFmtId="0" fontId="42" fillId="0" borderId="0" xfId="4" applyFill="1" applyBorder="1" applyAlignment="1">
      <alignment horizontal="right" vertical="top" wrapText="1"/>
    </xf>
    <xf numFmtId="0" fontId="21" fillId="0" borderId="0" xfId="12" applyFont="1" applyFill="1" applyBorder="1"/>
    <xf numFmtId="0" fontId="0" fillId="0" borderId="0" xfId="0" applyFill="1" applyBorder="1"/>
    <xf numFmtId="0" fontId="17" fillId="8" borderId="1" xfId="10" applyFont="1" applyBorder="1"/>
    <xf numFmtId="3" fontId="56" fillId="22" borderId="1" xfId="9" applyNumberFormat="1" applyBorder="1" applyAlignment="1">
      <alignment horizontal="right" vertical="top" wrapText="1"/>
    </xf>
    <xf numFmtId="3" fontId="56" fillId="10" borderId="1" xfId="13" applyNumberFormat="1" applyBorder="1" applyAlignment="1">
      <alignment horizontal="right" vertical="top" wrapText="1"/>
    </xf>
    <xf numFmtId="165" fontId="56" fillId="10" borderId="5" xfId="13"/>
    <xf numFmtId="0" fontId="29" fillId="0" borderId="0" xfId="0" applyFont="1" applyFill="1" applyBorder="1" applyAlignment="1">
      <alignment horizontal="right" vertical="top" wrapText="1"/>
    </xf>
    <xf numFmtId="165" fontId="56" fillId="10" borderId="5" xfId="13" applyAlignment="1">
      <alignment horizontal="right" vertical="top" wrapText="1"/>
    </xf>
    <xf numFmtId="3" fontId="56" fillId="10" borderId="9" xfId="13" applyNumberFormat="1" applyBorder="1"/>
    <xf numFmtId="165" fontId="60" fillId="11" borderId="5" xfId="7"/>
    <xf numFmtId="0" fontId="34" fillId="0" borderId="0" xfId="0" applyFont="1" applyBorder="1"/>
    <xf numFmtId="0" fontId="52" fillId="0" borderId="0" xfId="10" applyFont="1" applyFill="1" applyBorder="1"/>
    <xf numFmtId="3" fontId="21" fillId="0" borderId="0" xfId="12" applyNumberFormat="1" applyFill="1"/>
    <xf numFmtId="0" fontId="42" fillId="0" borderId="0" xfId="10" applyFont="1" applyFill="1" applyBorder="1" applyAlignment="1">
      <alignment horizontal="left"/>
    </xf>
    <xf numFmtId="0" fontId="42" fillId="0" borderId="0" xfId="10" applyFont="1" applyFill="1" applyBorder="1"/>
    <xf numFmtId="3" fontId="56" fillId="0" borderId="0" xfId="13" applyNumberFormat="1" applyFill="1" applyBorder="1"/>
    <xf numFmtId="165" fontId="53" fillId="0" borderId="0" xfId="13" applyFont="1" applyFill="1" applyBorder="1" applyAlignment="1">
      <alignment horizontal="center" wrapText="1"/>
    </xf>
    <xf numFmtId="3" fontId="56" fillId="0" borderId="0" xfId="13" applyNumberFormat="1" applyFill="1" applyBorder="1" applyAlignment="1"/>
    <xf numFmtId="0" fontId="0" fillId="0" borderId="0" xfId="0" applyFill="1"/>
    <xf numFmtId="0" fontId="42" fillId="0" borderId="0" xfId="5" applyFill="1" applyBorder="1" applyAlignment="1">
      <alignment wrapText="1"/>
    </xf>
    <xf numFmtId="0" fontId="42" fillId="0" borderId="0" xfId="3" applyFill="1" applyBorder="1" applyAlignment="1">
      <alignment wrapText="1"/>
    </xf>
    <xf numFmtId="0" fontId="42" fillId="0" borderId="0" xfId="4" applyFill="1" applyBorder="1" applyAlignment="1">
      <alignment wrapText="1"/>
    </xf>
    <xf numFmtId="0" fontId="42" fillId="0" borderId="0" xfId="2" applyFill="1" applyBorder="1" applyAlignment="1">
      <alignment horizontal="center" wrapText="1"/>
    </xf>
    <xf numFmtId="165" fontId="53" fillId="0" borderId="0" xfId="13" applyFont="1" applyFill="1" applyBorder="1" applyAlignment="1">
      <alignment wrapText="1"/>
    </xf>
    <xf numFmtId="3" fontId="60" fillId="0" borderId="0" xfId="7" applyNumberFormat="1" applyFill="1" applyBorder="1" applyAlignment="1"/>
    <xf numFmtId="0" fontId="21" fillId="0" borderId="0" xfId="10" applyFont="1" applyFill="1" applyBorder="1" applyAlignment="1"/>
    <xf numFmtId="165" fontId="41" fillId="0" borderId="0" xfId="12" applyNumberFormat="1" applyFont="1"/>
    <xf numFmtId="165" fontId="20" fillId="0" borderId="0" xfId="12" applyNumberFormat="1" applyFont="1"/>
    <xf numFmtId="49" fontId="58" fillId="14" borderId="1" xfId="16">
      <alignment horizontal="center" vertical="center"/>
    </xf>
    <xf numFmtId="49" fontId="56" fillId="15" borderId="7" xfId="17">
      <alignment horizontal="left" vertical="center" wrapText="1"/>
    </xf>
    <xf numFmtId="0" fontId="0" fillId="0" borderId="0" xfId="0"/>
    <xf numFmtId="0" fontId="21" fillId="0" borderId="0" xfId="12" applyFill="1"/>
    <xf numFmtId="0" fontId="17" fillId="0" borderId="0" xfId="12" applyFont="1" applyFill="1"/>
    <xf numFmtId="0" fontId="20" fillId="0" borderId="0" xfId="10" applyFont="1" applyFill="1" applyBorder="1" applyAlignment="1">
      <alignment horizontal="center"/>
    </xf>
    <xf numFmtId="0" fontId="20" fillId="0" borderId="0" xfId="0" applyFont="1" applyFill="1" applyAlignment="1">
      <alignment horizontal="center"/>
    </xf>
    <xf numFmtId="49" fontId="15" fillId="10" borderId="7" xfId="15">
      <alignment horizontal="left" vertical="center" wrapText="1"/>
    </xf>
    <xf numFmtId="49" fontId="14" fillId="13" borderId="7" xfId="14">
      <alignment horizontal="left" vertical="center" wrapText="1"/>
    </xf>
    <xf numFmtId="165" fontId="60" fillId="11" borderId="1" xfId="7" applyNumberFormat="1" applyBorder="1" applyAlignment="1"/>
    <xf numFmtId="165" fontId="56" fillId="10" borderId="1" xfId="13" applyNumberFormat="1" applyBorder="1"/>
    <xf numFmtId="165" fontId="56" fillId="0" borderId="0" xfId="13" applyNumberFormat="1" applyFill="1" applyBorder="1"/>
    <xf numFmtId="49" fontId="58" fillId="0" borderId="10" xfId="16" applyFill="1" applyBorder="1" applyAlignment="1">
      <alignment horizontal="center" vertical="center"/>
    </xf>
    <xf numFmtId="165" fontId="56" fillId="10" borderId="1" xfId="13" applyBorder="1"/>
    <xf numFmtId="49" fontId="58" fillId="14" borderId="1" xfId="16" applyBorder="1">
      <alignment horizontal="center" vertical="center"/>
    </xf>
    <xf numFmtId="49" fontId="58" fillId="14" borderId="1" xfId="16" applyBorder="1" applyAlignment="1">
      <alignment horizontal="center" vertical="center" wrapText="1"/>
    </xf>
    <xf numFmtId="49" fontId="14" fillId="13" borderId="1" xfId="14" applyBorder="1">
      <alignment horizontal="left" vertical="center" wrapText="1"/>
    </xf>
    <xf numFmtId="165" fontId="43" fillId="11" borderId="1" xfId="7" applyNumberFormat="1" applyFont="1" applyBorder="1"/>
    <xf numFmtId="49" fontId="15" fillId="10" borderId="1" xfId="15" applyBorder="1">
      <alignment horizontal="left" vertical="center" wrapText="1"/>
    </xf>
    <xf numFmtId="165" fontId="61" fillId="11" borderId="1" xfId="7" applyFont="1" applyBorder="1"/>
    <xf numFmtId="165" fontId="60" fillId="11" borderId="1" xfId="7" applyBorder="1"/>
    <xf numFmtId="49" fontId="56" fillId="15" borderId="1" xfId="17" applyBorder="1">
      <alignment horizontal="left" vertical="center" wrapText="1"/>
    </xf>
    <xf numFmtId="165" fontId="56" fillId="21" borderId="1" xfId="13" applyFill="1" applyBorder="1"/>
    <xf numFmtId="49" fontId="14" fillId="13" borderId="8" xfId="14" applyBorder="1">
      <alignment horizontal="left" vertical="center" wrapText="1"/>
    </xf>
    <xf numFmtId="49" fontId="58" fillId="0" borderId="0" xfId="16" applyFill="1" applyBorder="1">
      <alignment horizontal="center" vertical="center"/>
    </xf>
    <xf numFmtId="49" fontId="58" fillId="0" borderId="0" xfId="16" applyFill="1" applyBorder="1" applyAlignment="1">
      <alignment horizontal="center" vertical="center" wrapText="1"/>
    </xf>
    <xf numFmtId="0" fontId="21" fillId="0" borderId="0" xfId="12" applyFill="1" applyBorder="1"/>
    <xf numFmtId="49" fontId="59" fillId="20" borderId="1" xfId="17" applyFont="1" applyFill="1" applyBorder="1">
      <alignment horizontal="left" vertical="center" wrapText="1"/>
    </xf>
    <xf numFmtId="165" fontId="56" fillId="20" borderId="1" xfId="13" applyFill="1" applyBorder="1"/>
    <xf numFmtId="49" fontId="59" fillId="20" borderId="1" xfId="17" applyFont="1" applyFill="1" applyBorder="1" applyAlignment="1">
      <alignment horizontal="left" vertical="center" wrapText="1"/>
    </xf>
    <xf numFmtId="165" fontId="59" fillId="20" borderId="1" xfId="13" applyFont="1" applyFill="1" applyBorder="1"/>
    <xf numFmtId="49" fontId="14" fillId="0" borderId="11" xfId="14" applyFill="1" applyBorder="1">
      <alignment horizontal="left" vertical="center" wrapText="1"/>
    </xf>
    <xf numFmtId="49" fontId="58" fillId="14" borderId="1" xfId="16" applyBorder="1">
      <alignment horizontal="center" vertical="center"/>
    </xf>
    <xf numFmtId="49" fontId="14" fillId="13" borderId="1" xfId="14" applyBorder="1">
      <alignment horizontal="left" vertical="center" wrapText="1"/>
    </xf>
    <xf numFmtId="49" fontId="15" fillId="10" borderId="1" xfId="15" applyBorder="1">
      <alignment horizontal="left" vertical="center" wrapText="1"/>
    </xf>
    <xf numFmtId="49" fontId="14" fillId="13" borderId="1" xfId="14" applyBorder="1" applyAlignment="1">
      <alignment horizontal="left" vertical="center" wrapText="1"/>
    </xf>
    <xf numFmtId="49" fontId="14" fillId="13" borderId="1" xfId="14" applyBorder="1" applyAlignment="1">
      <alignment horizontal="left" vertical="center" wrapText="1"/>
    </xf>
    <xf numFmtId="165" fontId="56" fillId="22" borderId="1" xfId="9" applyBorder="1"/>
    <xf numFmtId="49" fontId="56" fillId="15" borderId="1" xfId="17" applyBorder="1">
      <alignment horizontal="left" vertical="center" wrapText="1"/>
    </xf>
    <xf numFmtId="165" fontId="59" fillId="20" borderId="1" xfId="13" applyFont="1" applyFill="1" applyBorder="1" applyAlignment="1"/>
    <xf numFmtId="49" fontId="14" fillId="13" borderId="1" xfId="14" applyFont="1" applyBorder="1">
      <alignment horizontal="left" vertical="center" wrapText="1"/>
    </xf>
    <xf numFmtId="165" fontId="56" fillId="21" borderId="1" xfId="9" applyFill="1" applyAlignment="1">
      <alignment horizontal="right" vertical="top" wrapText="1"/>
    </xf>
    <xf numFmtId="49" fontId="14" fillId="17" borderId="1" xfId="14" applyFill="1" applyBorder="1" applyAlignment="1">
      <alignment vertical="center" wrapText="1"/>
    </xf>
    <xf numFmtId="165" fontId="56" fillId="22" borderId="1" xfId="9" applyBorder="1" applyAlignment="1">
      <alignment horizontal="right" vertical="top" wrapText="1"/>
    </xf>
    <xf numFmtId="165" fontId="56" fillId="10" borderId="1" xfId="13" applyBorder="1" applyAlignment="1">
      <alignment horizontal="right" vertical="top" wrapText="1"/>
    </xf>
    <xf numFmtId="165" fontId="56" fillId="21" borderId="1" xfId="13" applyFill="1" applyBorder="1" applyAlignment="1">
      <alignment horizontal="right" vertical="top" wrapText="1"/>
    </xf>
    <xf numFmtId="165" fontId="56" fillId="21" borderId="1" xfId="13" applyFill="1" applyBorder="1" applyAlignment="1">
      <alignment vertical="top" wrapText="1"/>
    </xf>
    <xf numFmtId="49" fontId="14" fillId="18" borderId="1" xfId="14" applyFill="1" applyBorder="1" applyAlignment="1">
      <alignment vertical="center" wrapText="1"/>
    </xf>
    <xf numFmtId="165" fontId="60" fillId="11" borderId="1" xfId="7" applyBorder="1" applyAlignment="1">
      <alignment horizontal="left" vertical="center" wrapText="1"/>
    </xf>
    <xf numFmtId="49" fontId="14" fillId="19" borderId="1" xfId="14" applyFill="1" applyBorder="1">
      <alignment horizontal="left" vertical="center" wrapText="1"/>
    </xf>
    <xf numFmtId="165" fontId="60" fillId="11" borderId="1" xfId="7" applyBorder="1" applyAlignment="1">
      <alignment horizontal="right" vertical="top" wrapText="1"/>
    </xf>
    <xf numFmtId="49" fontId="14" fillId="16" borderId="1" xfId="14" applyFill="1" applyBorder="1">
      <alignment horizontal="left" vertical="center" wrapText="1"/>
    </xf>
    <xf numFmtId="49" fontId="14" fillId="16" borderId="1" xfId="14" applyFill="1" applyBorder="1">
      <alignment horizontal="left" vertical="center" wrapText="1"/>
    </xf>
    <xf numFmtId="165" fontId="56" fillId="10" borderId="1" xfId="13" applyBorder="1" applyAlignment="1">
      <alignment vertical="top" wrapText="1"/>
    </xf>
    <xf numFmtId="165" fontId="56" fillId="10" borderId="1" xfId="9" applyFill="1" applyBorder="1"/>
    <xf numFmtId="165" fontId="63" fillId="20" borderId="1" xfId="13" applyFont="1" applyFill="1" applyBorder="1"/>
    <xf numFmtId="49" fontId="14" fillId="13" borderId="1" xfId="14" applyBorder="1" applyAlignment="1">
      <alignment horizontal="center" vertical="center" wrapText="1"/>
    </xf>
    <xf numFmtId="165" fontId="60" fillId="11" borderId="1" xfId="7" applyBorder="1" applyAlignment="1">
      <alignment horizontal="center" vertical="center" wrapText="1"/>
    </xf>
    <xf numFmtId="165" fontId="56" fillId="10" borderId="1" xfId="13" applyBorder="1" applyAlignment="1">
      <alignment horizontal="center" vertical="center" wrapText="1"/>
    </xf>
    <xf numFmtId="0" fontId="44" fillId="17" borderId="1" xfId="11" applyFill="1" applyBorder="1" applyAlignment="1">
      <alignment horizontal="center"/>
    </xf>
    <xf numFmtId="0" fontId="42" fillId="19" borderId="1" xfId="4" applyFill="1" applyBorder="1" applyAlignment="1">
      <alignment horizontal="center"/>
    </xf>
    <xf numFmtId="0" fontId="42" fillId="18" borderId="1" xfId="2" applyFill="1" applyBorder="1" applyAlignment="1">
      <alignment horizontal="center"/>
    </xf>
    <xf numFmtId="0" fontId="42" fillId="16" borderId="1" xfId="1" applyFill="1" applyBorder="1" applyAlignment="1">
      <alignment horizontal="center"/>
    </xf>
    <xf numFmtId="0" fontId="42" fillId="12" borderId="1" xfId="6" applyFill="1" applyBorder="1" applyAlignment="1">
      <alignment horizontal="center"/>
    </xf>
    <xf numFmtId="166" fontId="56" fillId="17" borderId="1" xfId="11" applyNumberFormat="1" applyFont="1" applyFill="1" applyBorder="1"/>
    <xf numFmtId="166" fontId="64" fillId="19" borderId="1" xfId="10" applyNumberFormat="1" applyFont="1" applyFill="1" applyBorder="1"/>
    <xf numFmtId="166" fontId="64" fillId="18" borderId="1" xfId="10" applyNumberFormat="1" applyFont="1" applyFill="1" applyBorder="1"/>
    <xf numFmtId="166" fontId="64" fillId="16" borderId="1" xfId="10" applyNumberFormat="1" applyFont="1" applyFill="1" applyBorder="1"/>
    <xf numFmtId="166" fontId="64" fillId="12" borderId="1" xfId="10" applyNumberFormat="1" applyFont="1" applyFill="1" applyBorder="1"/>
    <xf numFmtId="166" fontId="62" fillId="17" borderId="1" xfId="10" applyNumberFormat="1" applyFont="1" applyFill="1" applyBorder="1"/>
    <xf numFmtId="166" fontId="62" fillId="19" borderId="1" xfId="10" applyNumberFormat="1" applyFont="1" applyFill="1" applyBorder="1"/>
    <xf numFmtId="166" fontId="62" fillId="18" borderId="1" xfId="10" applyNumberFormat="1" applyFont="1" applyFill="1" applyBorder="1"/>
    <xf numFmtId="166" fontId="64" fillId="17" borderId="1" xfId="10" applyNumberFormat="1" applyFont="1" applyFill="1" applyBorder="1"/>
    <xf numFmtId="49" fontId="14" fillId="13" borderId="1" xfId="14" applyBorder="1" applyAlignment="1">
      <alignment horizontal="center" vertical="center" wrapText="1"/>
    </xf>
    <xf numFmtId="49" fontId="14" fillId="10" borderId="1" xfId="15" applyFont="1" applyBorder="1">
      <alignment horizontal="left" vertical="center" wrapText="1"/>
    </xf>
    <xf numFmtId="165" fontId="56" fillId="21" borderId="1" xfId="13" applyFill="1" applyBorder="1" applyAlignment="1"/>
    <xf numFmtId="165" fontId="60" fillId="11" borderId="1" xfId="7" applyBorder="1" applyAlignment="1"/>
    <xf numFmtId="0" fontId="42" fillId="19" borderId="1" xfId="4" applyFill="1" applyBorder="1" applyAlignment="1"/>
    <xf numFmtId="0" fontId="42" fillId="20" borderId="1" xfId="6" applyFill="1" applyBorder="1" applyAlignment="1">
      <alignment horizontal="center"/>
    </xf>
    <xf numFmtId="165" fontId="60" fillId="11" borderId="1" xfId="7" applyNumberFormat="1" applyBorder="1"/>
    <xf numFmtId="165" fontId="56" fillId="10" borderId="1" xfId="13" applyBorder="1" applyAlignment="1">
      <alignment horizontal="left" vertical="center" wrapText="1"/>
    </xf>
    <xf numFmtId="49" fontId="58" fillId="14" borderId="1" xfId="16" applyBorder="1" applyAlignment="1">
      <alignment horizontal="center" vertical="center" wrapText="1"/>
    </xf>
    <xf numFmtId="165" fontId="60" fillId="11" borderId="1" xfId="7" applyBorder="1" applyAlignment="1">
      <alignment horizontal="right" vertical="center" wrapText="1"/>
    </xf>
    <xf numFmtId="165" fontId="60" fillId="11" borderId="5" xfId="7" applyAlignment="1">
      <alignment horizontal="right"/>
    </xf>
    <xf numFmtId="165" fontId="56" fillId="23" borderId="6" xfId="8" applyNumberFormat="1"/>
    <xf numFmtId="166" fontId="60" fillId="11" borderId="1" xfId="7" applyNumberFormat="1" applyBorder="1"/>
    <xf numFmtId="166" fontId="56" fillId="10" borderId="1" xfId="13" applyNumberFormat="1" applyBorder="1"/>
    <xf numFmtId="49" fontId="13" fillId="13" borderId="1" xfId="14" applyFont="1" applyBorder="1">
      <alignment horizontal="left" vertical="center" wrapText="1"/>
    </xf>
    <xf numFmtId="165" fontId="56" fillId="22" borderId="1" xfId="9"/>
    <xf numFmtId="49" fontId="13" fillId="13" borderId="1" xfId="14" applyFont="1" applyBorder="1" applyAlignment="1">
      <alignment horizontal="center" vertical="center" wrapText="1"/>
    </xf>
    <xf numFmtId="165" fontId="60" fillId="16" borderId="1" xfId="7" applyFill="1" applyBorder="1"/>
    <xf numFmtId="165" fontId="56" fillId="21" borderId="5" xfId="13" applyFill="1"/>
    <xf numFmtId="49" fontId="56" fillId="16" borderId="1" xfId="14" applyFont="1" applyFill="1" applyBorder="1">
      <alignment horizontal="left" vertical="center" wrapText="1"/>
    </xf>
    <xf numFmtId="165" fontId="60" fillId="11" borderId="5" xfId="7" applyAlignment="1">
      <alignment horizontal="right" vertical="top" wrapText="1"/>
    </xf>
    <xf numFmtId="166" fontId="56" fillId="22" borderId="1" xfId="9" applyNumberFormat="1" applyAlignment="1">
      <alignment horizontal="right" vertical="top" wrapText="1"/>
    </xf>
    <xf numFmtId="49" fontId="14" fillId="13" borderId="4" xfId="14" applyBorder="1">
      <alignment horizontal="left" vertical="center" wrapText="1"/>
    </xf>
    <xf numFmtId="49" fontId="15" fillId="10" borderId="14" xfId="15" applyBorder="1">
      <alignment horizontal="left" vertical="center" wrapText="1"/>
    </xf>
    <xf numFmtId="49" fontId="15" fillId="10" borderId="2" xfId="15" applyBorder="1">
      <alignment horizontal="left" vertical="center" wrapText="1"/>
    </xf>
    <xf numFmtId="165" fontId="56" fillId="10" borderId="2" xfId="13" applyBorder="1" applyAlignment="1">
      <alignment horizontal="right" vertical="top" wrapText="1"/>
    </xf>
    <xf numFmtId="166" fontId="56" fillId="22" borderId="1" xfId="9" applyNumberFormat="1" applyBorder="1" applyAlignment="1">
      <alignment horizontal="right" vertical="top" wrapText="1"/>
    </xf>
    <xf numFmtId="166" fontId="60" fillId="11" borderId="1" xfId="7" applyNumberFormat="1" applyBorder="1" applyAlignment="1">
      <alignment horizontal="center" vertical="top" wrapText="1"/>
    </xf>
    <xf numFmtId="166" fontId="60" fillId="11" borderId="5" xfId="7" applyNumberFormat="1" applyAlignment="1">
      <alignment horizontal="right" vertical="top" wrapText="1"/>
    </xf>
    <xf numFmtId="166" fontId="56" fillId="10" borderId="1" xfId="13" applyNumberFormat="1" applyBorder="1" applyAlignment="1">
      <alignment horizontal="center" vertical="top" wrapText="1"/>
    </xf>
    <xf numFmtId="166" fontId="60" fillId="11" borderId="1" xfId="7" applyNumberFormat="1" applyBorder="1" applyAlignment="1">
      <alignment vertical="top" wrapText="1"/>
    </xf>
    <xf numFmtId="166" fontId="56" fillId="10" borderId="2" xfId="13" applyNumberFormat="1" applyBorder="1" applyAlignment="1">
      <alignment horizontal="center" vertical="top" wrapText="1"/>
    </xf>
    <xf numFmtId="166" fontId="56" fillId="22" borderId="1" xfId="9" applyNumberFormat="1" applyBorder="1" applyAlignment="1">
      <alignment horizontal="center" vertical="top" wrapText="1"/>
    </xf>
    <xf numFmtId="166" fontId="56" fillId="10" borderId="1" xfId="13" applyNumberFormat="1" applyBorder="1" applyAlignment="1">
      <alignment vertical="top" wrapText="1"/>
    </xf>
    <xf numFmtId="49" fontId="14" fillId="13" borderId="1" xfId="14" applyBorder="1" applyAlignment="1">
      <alignment vertical="center" wrapText="1"/>
    </xf>
    <xf numFmtId="166" fontId="60" fillId="11" borderId="1" xfId="7" applyNumberFormat="1" applyBorder="1" applyAlignment="1">
      <alignment horizontal="center" vertical="center" wrapText="1"/>
    </xf>
    <xf numFmtId="165" fontId="56" fillId="10" borderId="5" xfId="13" applyAlignment="1">
      <alignment horizontal="center" vertical="center" wrapText="1"/>
    </xf>
    <xf numFmtId="49" fontId="15" fillId="10" borderId="4" xfId="15" applyBorder="1">
      <alignment horizontal="left" vertical="center" wrapText="1"/>
    </xf>
    <xf numFmtId="166" fontId="56" fillId="10" borderId="1" xfId="13" applyNumberFormat="1" applyBorder="1" applyAlignment="1">
      <alignment horizontal="center" vertical="center" wrapText="1"/>
    </xf>
    <xf numFmtId="166" fontId="56" fillId="21" borderId="1" xfId="13" applyNumberFormat="1" applyFill="1" applyBorder="1" applyAlignment="1">
      <alignment vertical="top" wrapText="1"/>
    </xf>
    <xf numFmtId="165" fontId="56" fillId="21" borderId="1" xfId="13" applyFill="1" applyBorder="1" applyAlignment="1" applyProtection="1">
      <alignment horizontal="right" vertical="top" wrapText="1"/>
    </xf>
    <xf numFmtId="166" fontId="56" fillId="21" borderId="1" xfId="13" applyNumberFormat="1" applyFill="1" applyBorder="1" applyAlignment="1">
      <alignment horizontal="center" vertical="center" wrapText="1"/>
    </xf>
    <xf numFmtId="0" fontId="28" fillId="0" borderId="0" xfId="12" applyFont="1" applyFill="1" applyBorder="1" applyAlignment="1">
      <alignment horizontal="center" vertical="top" wrapText="1"/>
    </xf>
    <xf numFmtId="0" fontId="29" fillId="0" borderId="0" xfId="12" applyFont="1" applyFill="1" applyBorder="1" applyAlignment="1">
      <alignment vertical="top" wrapText="1"/>
    </xf>
    <xf numFmtId="166" fontId="60" fillId="11" borderId="5" xfId="7" applyNumberFormat="1" applyAlignment="1">
      <alignment horizontal="center" vertical="top" wrapText="1"/>
    </xf>
    <xf numFmtId="166" fontId="56" fillId="10" borderId="5" xfId="13" applyNumberFormat="1" applyAlignment="1">
      <alignment horizontal="center" vertical="top" wrapText="1"/>
    </xf>
    <xf numFmtId="166" fontId="56" fillId="21" borderId="5" xfId="13" applyNumberFormat="1" applyFill="1" applyAlignment="1">
      <alignment horizontal="center" vertical="top" wrapText="1"/>
    </xf>
    <xf numFmtId="165" fontId="56" fillId="21" borderId="5" xfId="13" applyFill="1" applyAlignment="1">
      <alignment horizontal="right" vertical="top" wrapText="1"/>
    </xf>
    <xf numFmtId="166" fontId="56" fillId="21" borderId="1" xfId="13" applyNumberFormat="1" applyFill="1" applyBorder="1" applyAlignment="1">
      <alignment horizontal="center" vertical="top" wrapText="1"/>
    </xf>
    <xf numFmtId="49" fontId="58" fillId="0" borderId="0" xfId="16" applyFill="1" applyBorder="1" applyAlignment="1">
      <alignment vertical="center"/>
    </xf>
    <xf numFmtId="49" fontId="13" fillId="13" borderId="7" xfId="14" applyFont="1" applyAlignment="1">
      <alignment horizontal="center" vertical="center" wrapText="1"/>
    </xf>
    <xf numFmtId="165" fontId="56" fillId="10" borderId="1" xfId="13" applyBorder="1" applyAlignment="1">
      <alignment horizontal="right" vertical="center" wrapText="1"/>
    </xf>
    <xf numFmtId="165" fontId="56" fillId="22" borderId="1" xfId="9" applyBorder="1" applyAlignment="1">
      <alignment horizontal="right" vertical="center" wrapText="1"/>
    </xf>
    <xf numFmtId="165" fontId="56" fillId="22" borderId="1" xfId="9" applyAlignment="1">
      <alignment horizontal="right" vertical="center"/>
    </xf>
    <xf numFmtId="165" fontId="56" fillId="22" borderId="1" xfId="9" applyAlignment="1">
      <alignment horizontal="center" vertical="center"/>
    </xf>
    <xf numFmtId="165" fontId="60" fillId="11" borderId="5" xfId="7" applyAlignment="1"/>
    <xf numFmtId="3" fontId="56" fillId="10" borderId="13" xfId="13" applyNumberFormat="1" applyBorder="1"/>
    <xf numFmtId="49" fontId="14" fillId="0" borderId="4" xfId="14" applyFill="1" applyBorder="1">
      <alignment horizontal="left" vertical="center" wrapText="1"/>
    </xf>
    <xf numFmtId="166" fontId="60" fillId="0" borderId="10" xfId="7" applyNumberFormat="1" applyFill="1" applyBorder="1"/>
    <xf numFmtId="166" fontId="56" fillId="0" borderId="3" xfId="13" applyNumberFormat="1" applyFill="1" applyBorder="1"/>
    <xf numFmtId="49" fontId="14" fillId="0" borderId="0" xfId="14" applyFill="1" applyBorder="1">
      <alignment horizontal="left" vertical="center" wrapText="1"/>
    </xf>
    <xf numFmtId="165" fontId="45" fillId="0" borderId="0" xfId="13" applyNumberFormat="1" applyFont="1" applyFill="1" applyBorder="1"/>
    <xf numFmtId="165" fontId="51" fillId="0" borderId="0" xfId="13" applyNumberFormat="1" applyFont="1" applyFill="1" applyBorder="1"/>
    <xf numFmtId="49" fontId="59" fillId="0" borderId="0" xfId="17" applyFont="1" applyFill="1" applyBorder="1">
      <alignment horizontal="left" vertical="center" wrapText="1"/>
    </xf>
    <xf numFmtId="49" fontId="56" fillId="0" borderId="0" xfId="17" applyFill="1" applyBorder="1">
      <alignment horizontal="left" vertical="center" wrapText="1"/>
    </xf>
    <xf numFmtId="165" fontId="56" fillId="22" borderId="1" xfId="9" applyAlignment="1">
      <alignment vertical="center"/>
    </xf>
    <xf numFmtId="165" fontId="56" fillId="10" borderId="5" xfId="13" applyAlignment="1">
      <alignment vertical="center"/>
    </xf>
    <xf numFmtId="165" fontId="55" fillId="10" borderId="5" xfId="13" applyFont="1" applyAlignment="1">
      <alignment vertical="center"/>
    </xf>
    <xf numFmtId="49" fontId="14" fillId="13" borderId="1" xfId="14" applyBorder="1">
      <alignment horizontal="left" vertical="center" wrapText="1"/>
    </xf>
    <xf numFmtId="49" fontId="14" fillId="13" borderId="1" xfId="14" applyBorder="1">
      <alignment horizontal="left" vertical="center" wrapText="1"/>
    </xf>
    <xf numFmtId="49" fontId="15" fillId="10" borderId="1" xfId="15" applyBorder="1">
      <alignment horizontal="left" vertical="center" wrapText="1"/>
    </xf>
    <xf numFmtId="14" fontId="60" fillId="11" borderId="1" xfId="7" applyNumberFormat="1" applyBorder="1"/>
    <xf numFmtId="49" fontId="11" fillId="13" borderId="1" xfId="14" applyFont="1" applyBorder="1">
      <alignment horizontal="left" vertical="center" wrapText="1"/>
    </xf>
    <xf numFmtId="165" fontId="60" fillId="11" borderId="1" xfId="7" quotePrefix="1" applyBorder="1"/>
    <xf numFmtId="49" fontId="10" fillId="13" borderId="1" xfId="14" applyFont="1" applyBorder="1">
      <alignment horizontal="left" vertical="center" wrapText="1"/>
    </xf>
    <xf numFmtId="49" fontId="10" fillId="10" borderId="1" xfId="15" applyFont="1" applyBorder="1">
      <alignment horizontal="left" vertical="center" wrapText="1"/>
    </xf>
    <xf numFmtId="49" fontId="9" fillId="13" borderId="1" xfId="14" applyFont="1" applyBorder="1">
      <alignment horizontal="left" vertical="center" wrapText="1"/>
    </xf>
    <xf numFmtId="49" fontId="8" fillId="13" borderId="1" xfId="14" applyFont="1" applyBorder="1">
      <alignment horizontal="left" vertical="center" wrapText="1"/>
    </xf>
    <xf numFmtId="49" fontId="14" fillId="13" borderId="1" xfId="14" applyBorder="1">
      <alignment horizontal="left" vertical="center" wrapText="1"/>
    </xf>
    <xf numFmtId="49" fontId="7" fillId="13" borderId="1" xfId="14" applyFont="1" applyBorder="1">
      <alignment horizontal="left" vertical="center" wrapText="1"/>
    </xf>
    <xf numFmtId="49" fontId="6" fillId="13" borderId="1" xfId="14" applyFont="1" applyBorder="1">
      <alignment horizontal="left" vertical="center" wrapText="1"/>
    </xf>
    <xf numFmtId="49" fontId="5" fillId="13" borderId="1" xfId="14" applyFont="1" applyBorder="1">
      <alignment horizontal="left" vertical="center" wrapText="1"/>
    </xf>
    <xf numFmtId="49" fontId="12" fillId="0" borderId="0" xfId="14" applyFont="1" applyFill="1" applyBorder="1">
      <alignment horizontal="left" vertical="center" wrapText="1"/>
    </xf>
    <xf numFmtId="49" fontId="5" fillId="13" borderId="7" xfId="14" applyFont="1">
      <alignment horizontal="left" vertical="center" wrapText="1"/>
    </xf>
    <xf numFmtId="165" fontId="60" fillId="11" borderId="5" xfId="7" applyAlignment="1">
      <alignment horizontal="right" vertical="center" wrapText="1"/>
    </xf>
    <xf numFmtId="49" fontId="4" fillId="13" borderId="1" xfId="14" applyFont="1" applyBorder="1">
      <alignment horizontal="left" vertical="center" wrapText="1"/>
    </xf>
    <xf numFmtId="49" fontId="3" fillId="13" borderId="1" xfId="14" applyFont="1" applyBorder="1">
      <alignment horizontal="left" vertical="center" wrapText="1"/>
    </xf>
    <xf numFmtId="165" fontId="56" fillId="0" borderId="0" xfId="13" applyFill="1" applyBorder="1"/>
    <xf numFmtId="49" fontId="14" fillId="13" borderId="1" xfId="14" applyBorder="1">
      <alignment horizontal="left" vertical="center" wrapText="1"/>
    </xf>
    <xf numFmtId="49" fontId="2" fillId="13" borderId="1" xfId="14" applyFont="1" applyBorder="1">
      <alignment horizontal="left" vertical="center" wrapText="1"/>
    </xf>
    <xf numFmtId="49" fontId="1" fillId="13" borderId="7" xfId="14" applyFont="1">
      <alignment horizontal="left" vertical="center" wrapText="1"/>
    </xf>
    <xf numFmtId="165" fontId="21" fillId="0" borderId="0" xfId="12" applyNumberFormat="1"/>
    <xf numFmtId="49" fontId="1" fillId="13" borderId="1" xfId="14" applyFont="1" applyBorder="1">
      <alignment horizontal="left" vertical="center" wrapText="1"/>
    </xf>
    <xf numFmtId="49" fontId="58" fillId="14" borderId="1" xfId="16" applyBorder="1">
      <alignment horizontal="center" vertical="center"/>
    </xf>
    <xf numFmtId="49" fontId="58" fillId="14" borderId="4" xfId="16" applyBorder="1" applyAlignment="1">
      <alignment horizontal="center" vertical="center"/>
    </xf>
    <xf numFmtId="49" fontId="58" fillId="14" borderId="10" xfId="16" applyBorder="1" applyAlignment="1">
      <alignment horizontal="center" vertical="center"/>
    </xf>
    <xf numFmtId="49" fontId="58" fillId="14" borderId="3" xfId="16" applyBorder="1" applyAlignment="1">
      <alignment horizontal="center" vertical="center"/>
    </xf>
    <xf numFmtId="49" fontId="56" fillId="15" borderId="7" xfId="17">
      <alignment horizontal="left" vertical="center" wrapText="1"/>
    </xf>
    <xf numFmtId="49" fontId="14" fillId="13" borderId="4" xfId="14" applyBorder="1" applyAlignment="1">
      <alignment horizontal="center" vertical="center" wrapText="1"/>
    </xf>
    <xf numFmtId="49" fontId="14" fillId="13" borderId="10" xfId="14" applyBorder="1" applyAlignment="1">
      <alignment horizontal="center" vertical="center" wrapText="1"/>
    </xf>
    <xf numFmtId="49" fontId="14" fillId="13" borderId="3" xfId="14" applyBorder="1" applyAlignment="1">
      <alignment horizontal="center" vertical="center" wrapText="1"/>
    </xf>
    <xf numFmtId="49" fontId="10" fillId="13" borderId="4" xfId="14" applyFont="1" applyBorder="1" applyAlignment="1">
      <alignment horizontal="center" vertical="center"/>
    </xf>
    <xf numFmtId="49" fontId="14" fillId="13" borderId="10" xfId="14" applyBorder="1" applyAlignment="1">
      <alignment horizontal="center" vertical="center"/>
    </xf>
    <xf numFmtId="49" fontId="14" fillId="13" borderId="3" xfId="14" applyBorder="1" applyAlignment="1">
      <alignment horizontal="center" vertical="center"/>
    </xf>
    <xf numFmtId="49" fontId="58" fillId="14" borderId="1" xfId="16" applyBorder="1" applyAlignment="1">
      <alignment horizontal="center" vertical="center"/>
    </xf>
    <xf numFmtId="49" fontId="1" fillId="10" borderId="7" xfId="15" applyFont="1">
      <alignment horizontal="left" vertical="center" wrapText="1"/>
    </xf>
    <xf numFmtId="49" fontId="15" fillId="10" borderId="7" xfId="15">
      <alignment horizontal="left" vertical="center" wrapText="1"/>
    </xf>
    <xf numFmtId="49" fontId="14" fillId="13" borderId="4" xfId="14" applyBorder="1" applyAlignment="1">
      <alignment horizontal="center" vertical="center"/>
    </xf>
    <xf numFmtId="49" fontId="56" fillId="15" borderId="1" xfId="17" applyBorder="1">
      <alignment horizontal="left" vertical="center" wrapText="1"/>
    </xf>
    <xf numFmtId="49" fontId="58" fillId="16" borderId="1" xfId="16" applyFill="1" applyBorder="1" applyAlignment="1">
      <alignment horizontal="center" vertical="center"/>
    </xf>
    <xf numFmtId="49" fontId="58" fillId="18" borderId="1" xfId="16" applyFill="1" applyBorder="1" applyAlignment="1">
      <alignment horizontal="center" vertical="center"/>
    </xf>
    <xf numFmtId="49" fontId="58" fillId="19" borderId="1" xfId="16" applyFill="1" applyBorder="1" applyAlignment="1">
      <alignment horizontal="center" vertical="center"/>
    </xf>
    <xf numFmtId="49" fontId="58" fillId="17" borderId="1" xfId="16" applyFill="1" applyBorder="1" applyAlignment="1">
      <alignment horizontal="center" vertical="center"/>
    </xf>
    <xf numFmtId="165" fontId="43" fillId="11" borderId="1" xfId="7" applyNumberFormat="1" applyFont="1" applyBorder="1" applyAlignment="1">
      <alignment vertical="center"/>
    </xf>
    <xf numFmtId="49" fontId="54" fillId="14" borderId="1" xfId="16" applyFont="1" applyBorder="1">
      <alignment horizontal="center" vertical="center"/>
    </xf>
    <xf numFmtId="165" fontId="43" fillId="11" borderId="2" xfId="7" applyNumberFormat="1" applyFont="1" applyBorder="1" applyAlignment="1">
      <alignment horizontal="center"/>
    </xf>
    <xf numFmtId="165" fontId="43" fillId="11" borderId="12" xfId="7" applyNumberFormat="1" applyFont="1" applyBorder="1" applyAlignment="1">
      <alignment horizontal="center"/>
    </xf>
    <xf numFmtId="49" fontId="57" fillId="16" borderId="1" xfId="14" applyFont="1" applyFill="1" applyBorder="1" applyAlignment="1">
      <alignment horizontal="center" vertical="center" wrapText="1"/>
    </xf>
    <xf numFmtId="49" fontId="14" fillId="13" borderId="1" xfId="14" applyBorder="1">
      <alignment horizontal="left" vertical="center" wrapText="1"/>
    </xf>
    <xf numFmtId="49" fontId="15" fillId="10" borderId="1" xfId="15" applyBorder="1">
      <alignment horizontal="left" vertical="center" wrapText="1"/>
    </xf>
    <xf numFmtId="165" fontId="57" fillId="17" borderId="1" xfId="14" applyNumberFormat="1" applyFont="1" applyFill="1" applyBorder="1" applyAlignment="1">
      <alignment horizontal="center" vertical="center" wrapText="1"/>
    </xf>
    <xf numFmtId="165" fontId="57" fillId="18" borderId="1" xfId="14" applyNumberFormat="1" applyFont="1" applyFill="1" applyBorder="1" applyAlignment="1">
      <alignment horizontal="center" vertical="center" wrapText="1"/>
    </xf>
    <xf numFmtId="165" fontId="57" fillId="19" borderId="1" xfId="14" applyNumberFormat="1" applyFont="1" applyFill="1" applyBorder="1" applyAlignment="1">
      <alignment horizontal="center" vertical="center" wrapText="1"/>
    </xf>
    <xf numFmtId="49" fontId="56" fillId="15" borderId="1" xfId="17" applyBorder="1" applyAlignment="1">
      <alignment horizontal="left" vertical="center" wrapText="1"/>
    </xf>
    <xf numFmtId="49" fontId="14" fillId="13" borderId="1" xfId="14" applyBorder="1" applyAlignment="1">
      <alignment horizontal="left" vertical="center" wrapText="1"/>
    </xf>
    <xf numFmtId="49" fontId="15" fillId="10" borderId="1" xfId="15" applyBorder="1" applyAlignment="1">
      <alignment horizontal="left" vertical="center" wrapText="1"/>
    </xf>
    <xf numFmtId="49" fontId="56" fillId="20" borderId="1" xfId="17" applyFill="1" applyBorder="1">
      <alignment horizontal="left" vertical="center" wrapText="1"/>
    </xf>
    <xf numFmtId="49" fontId="14" fillId="18" borderId="1" xfId="14" applyFont="1" applyFill="1" applyBorder="1" applyAlignment="1">
      <alignment horizontal="center" vertical="center" wrapText="1"/>
    </xf>
    <xf numFmtId="49" fontId="14" fillId="18" borderId="1" xfId="14" applyFill="1" applyBorder="1" applyAlignment="1">
      <alignment horizontal="center" vertical="center" wrapText="1"/>
    </xf>
    <xf numFmtId="49" fontId="14" fillId="13" borderId="1" xfId="14" applyFont="1" applyBorder="1" applyAlignment="1">
      <alignment horizontal="left" vertical="center" wrapText="1"/>
    </xf>
    <xf numFmtId="49" fontId="56" fillId="20" borderId="1" xfId="17" applyFill="1" applyBorder="1" applyAlignment="1">
      <alignment horizontal="left" vertical="center" wrapText="1"/>
    </xf>
    <xf numFmtId="49" fontId="14" fillId="19" borderId="1" xfId="14" applyFont="1" applyFill="1" applyBorder="1" applyAlignment="1">
      <alignment horizontal="center" vertical="center" wrapText="1"/>
    </xf>
    <xf numFmtId="49" fontId="14" fillId="19" borderId="1" xfId="14" applyFill="1" applyBorder="1" applyAlignment="1">
      <alignment horizontal="center" vertical="center" wrapText="1"/>
    </xf>
    <xf numFmtId="49" fontId="56" fillId="15" borderId="1" xfId="17" applyBorder="1" applyAlignment="1">
      <alignment horizontal="center" vertical="center" wrapText="1"/>
    </xf>
    <xf numFmtId="49" fontId="14" fillId="17" borderId="1" xfId="14" applyFont="1" applyFill="1" applyBorder="1" applyAlignment="1">
      <alignment horizontal="center" vertical="center" wrapText="1"/>
    </xf>
    <xf numFmtId="49" fontId="14" fillId="17" borderId="1" xfId="14" applyFill="1" applyBorder="1" applyAlignment="1">
      <alignment horizontal="center" vertical="center" wrapText="1"/>
    </xf>
    <xf numFmtId="49" fontId="54" fillId="14" borderId="1" xfId="16" applyFont="1" applyBorder="1" applyAlignment="1">
      <alignment horizontal="center" vertical="center"/>
    </xf>
    <xf numFmtId="49" fontId="14" fillId="16" borderId="1" xfId="14" applyFont="1" applyFill="1" applyBorder="1" applyAlignment="1">
      <alignment horizontal="center" vertical="center" wrapText="1"/>
    </xf>
    <xf numFmtId="49" fontId="14" fillId="16" borderId="1" xfId="14" applyFill="1" applyBorder="1" applyAlignment="1">
      <alignment horizontal="center" vertical="center" wrapText="1"/>
    </xf>
    <xf numFmtId="49" fontId="58" fillId="14" borderId="1" xfId="16" applyAlignment="1">
      <alignment horizontal="center" vertical="center" wrapText="1"/>
    </xf>
    <xf numFmtId="49" fontId="14" fillId="16" borderId="1" xfId="14" applyFill="1" applyBorder="1">
      <alignment horizontal="left" vertical="center" wrapText="1"/>
    </xf>
    <xf numFmtId="49" fontId="59" fillId="20" borderId="1" xfId="17" applyFont="1" applyFill="1" applyBorder="1" applyAlignment="1">
      <alignment horizontal="left" vertical="center" wrapText="1"/>
    </xf>
    <xf numFmtId="49" fontId="63" fillId="20" borderId="1" xfId="17" applyFont="1" applyFill="1" applyBorder="1">
      <alignment horizontal="left" vertical="center" wrapText="1"/>
    </xf>
    <xf numFmtId="49" fontId="58" fillId="14" borderId="1" xfId="16">
      <alignment horizontal="center" vertical="center"/>
    </xf>
    <xf numFmtId="49" fontId="14" fillId="13" borderId="1" xfId="14" applyBorder="1" applyAlignment="1">
      <alignment horizontal="center" vertical="center" wrapText="1"/>
    </xf>
    <xf numFmtId="49" fontId="14" fillId="13" borderId="1" xfId="14" applyBorder="1" applyAlignment="1">
      <alignment horizontal="left" vertical="top" wrapText="1"/>
    </xf>
    <xf numFmtId="49" fontId="14" fillId="10" borderId="1" xfId="15" applyFont="1" applyBorder="1" applyAlignment="1">
      <alignment horizontal="center" vertical="center" wrapText="1"/>
    </xf>
    <xf numFmtId="49" fontId="15" fillId="10" borderId="1" xfId="15" applyBorder="1" applyAlignment="1">
      <alignment horizontal="center" vertical="center" wrapText="1"/>
    </xf>
    <xf numFmtId="49" fontId="10" fillId="13" borderId="1" xfId="14" applyFont="1" applyBorder="1" applyAlignment="1">
      <alignment horizontal="center" vertical="center" wrapText="1"/>
    </xf>
    <xf numFmtId="49" fontId="13" fillId="13" borderId="1" xfId="14" applyFont="1" applyBorder="1" applyAlignment="1">
      <alignment horizontal="center" vertical="center" wrapText="1"/>
    </xf>
    <xf numFmtId="49" fontId="1" fillId="13" borderId="1" xfId="14" applyFont="1" applyBorder="1" applyAlignment="1">
      <alignment horizontal="center" vertical="center" wrapText="1"/>
    </xf>
    <xf numFmtId="49" fontId="58" fillId="14" borderId="1" xfId="16" applyBorder="1" applyAlignment="1">
      <alignment horizontal="center" vertical="center" wrapText="1"/>
    </xf>
    <xf numFmtId="49" fontId="56" fillId="15" borderId="15" xfId="17" applyBorder="1" applyAlignment="1">
      <alignment horizontal="left" vertical="center" wrapText="1"/>
    </xf>
    <xf numFmtId="49" fontId="56" fillId="15" borderId="10" xfId="17" applyBorder="1" applyAlignment="1">
      <alignment horizontal="left" vertical="center" wrapText="1"/>
    </xf>
    <xf numFmtId="49" fontId="14" fillId="13" borderId="4" xfId="14" applyBorder="1" applyAlignment="1">
      <alignment horizontal="left" vertical="center" wrapText="1"/>
    </xf>
    <xf numFmtId="49" fontId="14" fillId="13" borderId="3" xfId="14" applyBorder="1" applyAlignment="1">
      <alignment horizontal="left" vertical="center" wrapText="1"/>
    </xf>
    <xf numFmtId="0" fontId="42" fillId="18" borderId="4" xfId="2" applyFill="1" applyBorder="1" applyAlignment="1">
      <alignment horizontal="center" vertical="top" wrapText="1"/>
    </xf>
    <xf numFmtId="0" fontId="42" fillId="18" borderId="10" xfId="2" applyFill="1" applyBorder="1" applyAlignment="1">
      <alignment horizontal="center" vertical="top" wrapText="1"/>
    </xf>
    <xf numFmtId="0" fontId="42" fillId="18" borderId="3" xfId="2" applyFill="1" applyBorder="1" applyAlignment="1">
      <alignment horizontal="center" vertical="top" wrapText="1"/>
    </xf>
    <xf numFmtId="49" fontId="13" fillId="13" borderId="1" xfId="14" applyFont="1" applyBorder="1">
      <alignment horizontal="left" vertical="center" wrapText="1"/>
    </xf>
    <xf numFmtId="0" fontId="42" fillId="19" borderId="1" xfId="4" applyFill="1" applyBorder="1" applyAlignment="1">
      <alignment horizontal="center" vertical="top"/>
    </xf>
    <xf numFmtId="49" fontId="59" fillId="20" borderId="1" xfId="14" applyFont="1" applyFill="1" applyBorder="1">
      <alignment horizontal="left" vertical="center" wrapText="1"/>
    </xf>
    <xf numFmtId="49" fontId="58" fillId="14" borderId="1" xfId="16" applyAlignment="1">
      <alignment horizontal="center" vertical="center"/>
    </xf>
  </cellXfs>
  <cellStyles count="18">
    <cellStyle name="20% - 2. jelölőszín" xfId="1" builtinId="34"/>
    <cellStyle name="20% - 3. jelölőszín" xfId="2" builtinId="38"/>
    <cellStyle name="20% - 4. jelölőszín" xfId="3" builtinId="42"/>
    <cellStyle name="20% - 5. jelölőszín" xfId="4" builtinId="46"/>
    <cellStyle name="20% - 6. jelölőszín" xfId="5" builtinId="50"/>
    <cellStyle name="40% - 2. jelölőszín" xfId="6" builtinId="35"/>
    <cellStyle name="Bevitel" xfId="7" builtinId="20" customBuiltin="1"/>
    <cellStyle name="Ellenőrzőcella" xfId="8" builtinId="23" customBuiltin="1"/>
    <cellStyle name="Fő címek" xfId="16" xr:uid="{00000000-0005-0000-0000-000008000000}"/>
    <cellStyle name="Fő összegző sorok" xfId="17" xr:uid="{00000000-0005-0000-0000-000009000000}"/>
    <cellStyle name="Hivatkozott cella" xfId="9" builtinId="24" customBuiltin="1"/>
    <cellStyle name="Jegyzet" xfId="10" builtinId="10"/>
    <cellStyle name="Jó" xfId="11" builtinId="26"/>
    <cellStyle name="Normál" xfId="0" builtinId="0"/>
    <cellStyle name="Normál 2" xfId="12" xr:uid="{00000000-0005-0000-0000-00000E000000}"/>
    <cellStyle name="összegző sorok szövege" xfId="15" xr:uid="{00000000-0005-0000-0000-00000F000000}"/>
    <cellStyle name="Számítás" xfId="13" builtinId="22" customBuiltin="1"/>
    <cellStyle name="szöveges részek" xfId="14" xr:uid="{00000000-0005-0000-0000-000011000000}"/>
  </cellStyles>
  <dxfs count="0"/>
  <tableStyles count="0" defaultTableStyle="TableStyleMedium9" defaultPivotStyle="PivotStyleLight16"/>
  <colors>
    <mruColors>
      <color rgb="FFFFCC66"/>
      <color rgb="FFCC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G21"/>
  <sheetViews>
    <sheetView workbookViewId="0">
      <selection activeCell="G19" sqref="G19"/>
    </sheetView>
  </sheetViews>
  <sheetFormatPr defaultRowHeight="13.2" x14ac:dyDescent="0.25"/>
  <cols>
    <col min="1" max="1" width="10.21875" bestFit="1" customWidth="1"/>
    <col min="2" max="7" width="15.77734375" customWidth="1"/>
  </cols>
  <sheetData>
    <row r="1" spans="1:7" s="109" customFormat="1" ht="15.6" x14ac:dyDescent="0.25">
      <c r="A1" s="273" t="s">
        <v>578</v>
      </c>
      <c r="B1" s="273"/>
      <c r="C1" s="273"/>
      <c r="D1" s="273"/>
      <c r="E1" s="273"/>
      <c r="F1" s="273"/>
      <c r="G1" s="273"/>
    </row>
    <row r="2" spans="1:7" s="80" customFormat="1" ht="15.6" x14ac:dyDescent="0.25">
      <c r="A2" s="131"/>
      <c r="B2" s="131"/>
      <c r="C2" s="131"/>
      <c r="D2" s="131"/>
      <c r="E2" s="131"/>
      <c r="F2" s="131"/>
      <c r="G2" s="131"/>
    </row>
    <row r="3" spans="1:7" ht="15.6" x14ac:dyDescent="0.25">
      <c r="A3" s="273" t="s">
        <v>609</v>
      </c>
      <c r="B3" s="273"/>
      <c r="C3" s="273"/>
      <c r="D3" s="273"/>
      <c r="E3" s="273"/>
      <c r="F3" s="273"/>
      <c r="G3" s="273"/>
    </row>
    <row r="4" spans="1:7" ht="14.4" x14ac:dyDescent="0.25">
      <c r="A4" s="140"/>
      <c r="B4" s="180" t="s">
        <v>569</v>
      </c>
      <c r="C4" s="180" t="s">
        <v>570</v>
      </c>
      <c r="D4" s="180" t="s">
        <v>571</v>
      </c>
      <c r="E4" s="180" t="s">
        <v>572</v>
      </c>
      <c r="F4" s="180" t="s">
        <v>573</v>
      </c>
      <c r="G4" s="180" t="s">
        <v>23</v>
      </c>
    </row>
    <row r="5" spans="1:7" s="109" customFormat="1" ht="28.8" x14ac:dyDescent="0.25">
      <c r="A5" s="140"/>
      <c r="B5" s="180" t="s">
        <v>579</v>
      </c>
      <c r="C5" s="180" t="s">
        <v>579</v>
      </c>
      <c r="D5" s="180" t="s">
        <v>579</v>
      </c>
      <c r="E5" s="180" t="s">
        <v>580</v>
      </c>
      <c r="F5" s="180" t="s">
        <v>580</v>
      </c>
      <c r="G5" s="140" t="s">
        <v>442</v>
      </c>
    </row>
    <row r="6" spans="1:7" ht="14.4" x14ac:dyDescent="0.3">
      <c r="A6" s="140" t="s">
        <v>574</v>
      </c>
      <c r="B6" s="127">
        <v>3843525</v>
      </c>
      <c r="C6" s="127">
        <v>3034680</v>
      </c>
      <c r="D6" s="127">
        <v>3117300</v>
      </c>
      <c r="E6" s="127">
        <v>1620161</v>
      </c>
      <c r="F6" s="127">
        <v>473104</v>
      </c>
      <c r="G6" s="120">
        <f>SUM(B6:F6)</f>
        <v>12088770</v>
      </c>
    </row>
    <row r="7" spans="1:7" ht="14.4" x14ac:dyDescent="0.3">
      <c r="A7" s="140" t="s">
        <v>575</v>
      </c>
      <c r="B7" s="127">
        <v>422778</v>
      </c>
      <c r="C7" s="127">
        <v>333807</v>
      </c>
      <c r="D7" s="127">
        <v>342894</v>
      </c>
      <c r="E7" s="127">
        <v>178202</v>
      </c>
      <c r="F7" s="127">
        <v>52037</v>
      </c>
      <c r="G7" s="120">
        <f>SUM(B7:F7)</f>
        <v>1329718</v>
      </c>
    </row>
    <row r="8" spans="1:7" s="109" customFormat="1" ht="14.4" x14ac:dyDescent="0.3">
      <c r="A8" s="114" t="s">
        <v>581</v>
      </c>
      <c r="B8" s="84">
        <f>SUM(B6:B7)</f>
        <v>4266303</v>
      </c>
      <c r="C8" s="84">
        <f t="shared" ref="C8:F8" si="0">SUM(C6:C7)</f>
        <v>3368487</v>
      </c>
      <c r="D8" s="84">
        <f t="shared" si="0"/>
        <v>3460194</v>
      </c>
      <c r="E8" s="84">
        <f t="shared" si="0"/>
        <v>1798363</v>
      </c>
      <c r="F8" s="84">
        <f t="shared" si="0"/>
        <v>525141</v>
      </c>
      <c r="G8" s="120">
        <f>SUM(G6:G7)</f>
        <v>13418488</v>
      </c>
    </row>
    <row r="9" spans="1:7" ht="14.4" x14ac:dyDescent="0.3">
      <c r="A9" s="140" t="s">
        <v>576</v>
      </c>
      <c r="B9" s="127">
        <v>0</v>
      </c>
      <c r="C9" s="127">
        <v>0</v>
      </c>
      <c r="D9" s="127">
        <v>0</v>
      </c>
      <c r="E9" s="127">
        <v>0</v>
      </c>
      <c r="F9" s="127">
        <v>0</v>
      </c>
      <c r="G9" s="120">
        <f>SUM(B9:F9)</f>
        <v>0</v>
      </c>
    </row>
    <row r="10" spans="1:7" s="109" customFormat="1" ht="14.4" x14ac:dyDescent="0.3">
      <c r="A10" s="114" t="s">
        <v>23</v>
      </c>
      <c r="B10" s="84">
        <f>SUM(B8:B9)</f>
        <v>4266303</v>
      </c>
      <c r="C10" s="84">
        <f t="shared" ref="C10:G10" si="1">SUM(C8:C9)</f>
        <v>3368487</v>
      </c>
      <c r="D10" s="84">
        <f t="shared" si="1"/>
        <v>3460194</v>
      </c>
      <c r="E10" s="84">
        <f t="shared" si="1"/>
        <v>1798363</v>
      </c>
      <c r="F10" s="84">
        <f t="shared" si="1"/>
        <v>525141</v>
      </c>
      <c r="G10" s="84">
        <f t="shared" si="1"/>
        <v>13418488</v>
      </c>
    </row>
    <row r="11" spans="1:7" ht="14.4" x14ac:dyDescent="0.3">
      <c r="A11" s="140" t="s">
        <v>577</v>
      </c>
      <c r="B11" s="192">
        <v>15</v>
      </c>
      <c r="C11" s="192">
        <v>12</v>
      </c>
      <c r="D11" s="192">
        <v>12</v>
      </c>
      <c r="E11" s="192">
        <v>5</v>
      </c>
      <c r="F11" s="192">
        <v>2</v>
      </c>
      <c r="G11" s="193">
        <f>SUM(B11:F11)</f>
        <v>46</v>
      </c>
    </row>
    <row r="12" spans="1:7" s="97" customFormat="1" ht="14.4" x14ac:dyDescent="0.3">
      <c r="A12" s="237"/>
      <c r="B12" s="238"/>
      <c r="C12" s="238"/>
      <c r="D12" s="238"/>
      <c r="E12" s="238"/>
      <c r="F12" s="238"/>
      <c r="G12" s="239"/>
    </row>
    <row r="13" spans="1:7" ht="15.6" x14ac:dyDescent="0.25">
      <c r="A13" s="274" t="s">
        <v>610</v>
      </c>
      <c r="B13" s="275"/>
      <c r="C13" s="275"/>
      <c r="D13" s="275"/>
      <c r="E13" s="275"/>
      <c r="F13" s="275"/>
      <c r="G13" s="276"/>
    </row>
    <row r="14" spans="1:7" ht="14.4" x14ac:dyDescent="0.25">
      <c r="A14" s="140"/>
      <c r="B14" s="180" t="s">
        <v>569</v>
      </c>
      <c r="C14" s="180" t="s">
        <v>570</v>
      </c>
      <c r="D14" s="180" t="s">
        <v>571</v>
      </c>
      <c r="E14" s="180" t="s">
        <v>572</v>
      </c>
      <c r="F14" s="180" t="s">
        <v>573</v>
      </c>
      <c r="G14" s="180" t="s">
        <v>23</v>
      </c>
    </row>
    <row r="15" spans="1:7" ht="28.8" x14ac:dyDescent="0.25">
      <c r="A15" s="140"/>
      <c r="B15" s="196" t="s">
        <v>582</v>
      </c>
      <c r="C15" s="180"/>
      <c r="D15" s="196" t="s">
        <v>582</v>
      </c>
      <c r="E15" s="196" t="s">
        <v>583</v>
      </c>
      <c r="F15" s="196" t="s">
        <v>587</v>
      </c>
      <c r="G15" s="140" t="s">
        <v>442</v>
      </c>
    </row>
    <row r="16" spans="1:7" ht="14.4" x14ac:dyDescent="0.3">
      <c r="A16" s="140" t="s">
        <v>574</v>
      </c>
      <c r="B16" s="127">
        <v>8618130</v>
      </c>
      <c r="C16" s="127"/>
      <c r="D16" s="127">
        <v>7659135</v>
      </c>
      <c r="E16" s="127">
        <v>5292200</v>
      </c>
      <c r="F16" s="127">
        <v>191596</v>
      </c>
      <c r="G16" s="120">
        <f>SUM(B16:F16)</f>
        <v>21761061</v>
      </c>
    </row>
    <row r="17" spans="1:7" ht="14.4" x14ac:dyDescent="0.3">
      <c r="A17" s="140" t="s">
        <v>575</v>
      </c>
      <c r="B17" s="127">
        <v>840249</v>
      </c>
      <c r="C17" s="127"/>
      <c r="D17" s="127">
        <v>746748</v>
      </c>
      <c r="E17" s="127">
        <v>515980</v>
      </c>
      <c r="F17" s="127">
        <v>18680</v>
      </c>
      <c r="G17" s="120">
        <f>SUM(B17:F17)</f>
        <v>2121657</v>
      </c>
    </row>
    <row r="18" spans="1:7" ht="14.4" x14ac:dyDescent="0.3">
      <c r="A18" s="114" t="s">
        <v>581</v>
      </c>
      <c r="B18" s="84">
        <f>SUM(B16:B17)</f>
        <v>9458379</v>
      </c>
      <c r="C18" s="84">
        <f t="shared" ref="C18" si="2">SUM(C16:C17)</f>
        <v>0</v>
      </c>
      <c r="D18" s="84">
        <f t="shared" ref="D18" si="3">SUM(D16:D17)</f>
        <v>8405883</v>
      </c>
      <c r="E18" s="84">
        <f t="shared" ref="E18" si="4">SUM(E16:E17)</f>
        <v>5808180</v>
      </c>
      <c r="F18" s="84">
        <f t="shared" ref="F18" si="5">SUM(F16:F17)</f>
        <v>210276</v>
      </c>
      <c r="G18" s="120">
        <f>SUM(G16:G17)</f>
        <v>23882718</v>
      </c>
    </row>
    <row r="19" spans="1:7" ht="14.4" x14ac:dyDescent="0.3">
      <c r="A19" s="140" t="s">
        <v>576</v>
      </c>
      <c r="B19" s="127">
        <v>3780151</v>
      </c>
      <c r="C19" s="127"/>
      <c r="D19" s="127">
        <v>4298297</v>
      </c>
      <c r="E19" s="127">
        <v>0</v>
      </c>
      <c r="F19" s="127">
        <v>0</v>
      </c>
      <c r="G19" s="120">
        <f>SUM(B19:F19)</f>
        <v>8078448</v>
      </c>
    </row>
    <row r="20" spans="1:7" ht="14.4" x14ac:dyDescent="0.3">
      <c r="A20" s="114" t="s">
        <v>23</v>
      </c>
      <c r="B20" s="84">
        <f>SUM(B18:B19)</f>
        <v>13238530</v>
      </c>
      <c r="C20" s="84">
        <f t="shared" ref="C20" si="6">SUM(C18:C19)</f>
        <v>0</v>
      </c>
      <c r="D20" s="84">
        <f t="shared" ref="D20" si="7">SUM(D18:D19)</f>
        <v>12704180</v>
      </c>
      <c r="E20" s="84">
        <f t="shared" ref="E20" si="8">SUM(E18:E19)</f>
        <v>5808180</v>
      </c>
      <c r="F20" s="84">
        <f t="shared" ref="F20" si="9">SUM(F18:F19)</f>
        <v>210276</v>
      </c>
      <c r="G20" s="84">
        <f t="shared" ref="G20" si="10">SUM(G18:G19)</f>
        <v>31961166</v>
      </c>
    </row>
    <row r="21" spans="1:7" ht="14.4" x14ac:dyDescent="0.3">
      <c r="A21" s="140" t="s">
        <v>577</v>
      </c>
      <c r="B21" s="192">
        <v>11</v>
      </c>
      <c r="C21" s="192"/>
      <c r="D21" s="192">
        <v>10</v>
      </c>
      <c r="E21" s="192">
        <v>15</v>
      </c>
      <c r="F21" s="192">
        <v>1</v>
      </c>
      <c r="G21" s="193">
        <f>SUM(B21:F21)</f>
        <v>37</v>
      </c>
    </row>
  </sheetData>
  <sheetProtection sheet="1" objects="1" scenarios="1"/>
  <mergeCells count="3">
    <mergeCell ref="A1:G1"/>
    <mergeCell ref="A3:G3"/>
    <mergeCell ref="A13:G13"/>
  </mergeCells>
  <pageMargins left="0.7" right="0.7" top="0.75" bottom="0.75" header="0.3" footer="0.3"/>
  <pageSetup paperSize="9" orientation="landscape" r:id="rId1"/>
  <ignoredErrors>
    <ignoredError sqref="G8:G10 G18:G19 G20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0.79998168889431442"/>
    <pageSetUpPr fitToPage="1"/>
  </sheetPr>
  <dimension ref="A1:G37"/>
  <sheetViews>
    <sheetView zoomScaleNormal="100" workbookViewId="0">
      <selection activeCell="C8" sqref="C8"/>
    </sheetView>
  </sheetViews>
  <sheetFormatPr defaultColWidth="9.109375" defaultRowHeight="13.2" x14ac:dyDescent="0.25"/>
  <cols>
    <col min="1" max="1" width="6.88671875" style="3" customWidth="1"/>
    <col min="2" max="2" width="58.88671875" style="3" bestFit="1" customWidth="1"/>
    <col min="3" max="6" width="15.77734375" style="19" customWidth="1"/>
    <col min="7" max="7" width="15.77734375" style="3" customWidth="1"/>
    <col min="8" max="16384" width="9.109375" style="3"/>
  </cols>
  <sheetData>
    <row r="1" spans="1:7" ht="24.75" customHeight="1" x14ac:dyDescent="0.25">
      <c r="A1" s="107"/>
      <c r="B1" s="323" t="s">
        <v>557</v>
      </c>
      <c r="C1" s="323"/>
      <c r="D1" s="323"/>
      <c r="E1" s="323"/>
      <c r="F1" s="323"/>
      <c r="G1" s="323"/>
    </row>
    <row r="2" spans="1:7" ht="19.5" customHeight="1" x14ac:dyDescent="0.3">
      <c r="A2" s="123"/>
      <c r="B2" s="123"/>
      <c r="C2" s="166" t="s">
        <v>54</v>
      </c>
      <c r="D2" s="167" t="s">
        <v>55</v>
      </c>
      <c r="E2" s="168" t="s">
        <v>7</v>
      </c>
      <c r="F2" s="169" t="s">
        <v>9</v>
      </c>
      <c r="G2" s="170" t="s">
        <v>23</v>
      </c>
    </row>
    <row r="3" spans="1:7" ht="14.4" x14ac:dyDescent="0.3">
      <c r="A3" s="123" t="s">
        <v>256</v>
      </c>
      <c r="B3" s="123" t="s">
        <v>257</v>
      </c>
      <c r="C3" s="195">
        <f>('segédtábla bérek'!C51)</f>
        <v>36649500</v>
      </c>
      <c r="D3" s="195">
        <f>('segédtábla bérek'!C31)</f>
        <v>19371832</v>
      </c>
      <c r="E3" s="195">
        <f>('segédtábla bérek'!C18)</f>
        <v>40006332</v>
      </c>
      <c r="F3" s="195">
        <f>('segédtábla bérek'!C69)</f>
        <v>14893000</v>
      </c>
      <c r="G3" s="120">
        <f>SUM(C3:F3)</f>
        <v>110920664</v>
      </c>
    </row>
    <row r="4" spans="1:7" ht="14.4" x14ac:dyDescent="0.3">
      <c r="A4" s="123" t="s">
        <v>256</v>
      </c>
      <c r="B4" s="123" t="s">
        <v>429</v>
      </c>
      <c r="C4" s="127">
        <v>0</v>
      </c>
      <c r="D4" s="127">
        <v>0</v>
      </c>
      <c r="E4" s="127">
        <v>0</v>
      </c>
      <c r="F4" s="150">
        <f>('segédtábla közfoglalkoztatás'!G6)+('segédtábla közfoglalkoztatás'!G16)</f>
        <v>33849831</v>
      </c>
      <c r="G4" s="120">
        <f t="shared" ref="G4:G15" si="0">SUM(C4:F4)</f>
        <v>33849831</v>
      </c>
    </row>
    <row r="5" spans="1:7" ht="14.4" x14ac:dyDescent="0.3">
      <c r="A5" s="123" t="s">
        <v>256</v>
      </c>
      <c r="B5" s="252" t="s">
        <v>638</v>
      </c>
      <c r="C5" s="127">
        <v>688900</v>
      </c>
      <c r="D5" s="127">
        <v>0</v>
      </c>
      <c r="E5" s="127">
        <v>0</v>
      </c>
      <c r="F5" s="127">
        <v>0</v>
      </c>
      <c r="G5" s="120">
        <f t="shared" si="0"/>
        <v>688900</v>
      </c>
    </row>
    <row r="6" spans="1:7" ht="14.4" x14ac:dyDescent="0.3">
      <c r="A6" s="123" t="s">
        <v>259</v>
      </c>
      <c r="B6" s="123" t="s">
        <v>258</v>
      </c>
      <c r="C6" s="127">
        <v>0</v>
      </c>
      <c r="D6" s="127">
        <v>0</v>
      </c>
      <c r="E6" s="127">
        <v>0</v>
      </c>
      <c r="F6" s="127">
        <v>0</v>
      </c>
      <c r="G6" s="120">
        <f t="shared" si="0"/>
        <v>0</v>
      </c>
    </row>
    <row r="7" spans="1:7" ht="14.4" x14ac:dyDescent="0.3">
      <c r="A7" s="123" t="s">
        <v>260</v>
      </c>
      <c r="B7" s="123" t="s">
        <v>261</v>
      </c>
      <c r="C7" s="127">
        <v>520000</v>
      </c>
      <c r="D7" s="127">
        <v>0</v>
      </c>
      <c r="E7" s="127">
        <v>0</v>
      </c>
      <c r="F7" s="127">
        <v>1500000</v>
      </c>
      <c r="G7" s="120">
        <f t="shared" si="0"/>
        <v>2020000</v>
      </c>
    </row>
    <row r="8" spans="1:7" ht="14.4" x14ac:dyDescent="0.3">
      <c r="A8" s="123" t="s">
        <v>262</v>
      </c>
      <c r="B8" s="123" t="s">
        <v>263</v>
      </c>
      <c r="C8" s="127">
        <v>320000</v>
      </c>
      <c r="D8" s="127">
        <v>0</v>
      </c>
      <c r="E8" s="127">
        <v>0</v>
      </c>
      <c r="F8" s="127">
        <v>0</v>
      </c>
      <c r="G8" s="120">
        <f t="shared" si="0"/>
        <v>320000</v>
      </c>
    </row>
    <row r="9" spans="1:7" ht="14.4" x14ac:dyDescent="0.3">
      <c r="A9" s="123" t="s">
        <v>264</v>
      </c>
      <c r="B9" s="123" t="s">
        <v>265</v>
      </c>
      <c r="C9" s="127">
        <v>0</v>
      </c>
      <c r="D9" s="127">
        <v>0</v>
      </c>
      <c r="E9" s="127">
        <v>0</v>
      </c>
      <c r="F9" s="127">
        <v>0</v>
      </c>
      <c r="G9" s="120">
        <f t="shared" si="0"/>
        <v>0</v>
      </c>
    </row>
    <row r="10" spans="1:7" ht="14.4" x14ac:dyDescent="0.3">
      <c r="A10" s="123" t="s">
        <v>266</v>
      </c>
      <c r="B10" s="123" t="s">
        <v>50</v>
      </c>
      <c r="C10" s="127">
        <v>0</v>
      </c>
      <c r="D10" s="127">
        <v>555309</v>
      </c>
      <c r="E10" s="127">
        <v>0</v>
      </c>
      <c r="F10" s="127">
        <v>276000</v>
      </c>
      <c r="G10" s="120">
        <f t="shared" si="0"/>
        <v>831309</v>
      </c>
    </row>
    <row r="11" spans="1:7" ht="14.4" x14ac:dyDescent="0.3">
      <c r="A11" s="123" t="s">
        <v>267</v>
      </c>
      <c r="B11" s="123" t="s">
        <v>268</v>
      </c>
      <c r="C11" s="127">
        <v>1300000</v>
      </c>
      <c r="D11" s="127">
        <v>30000</v>
      </c>
      <c r="E11" s="127">
        <v>70000</v>
      </c>
      <c r="F11" s="127">
        <v>200000</v>
      </c>
      <c r="G11" s="120">
        <f t="shared" si="0"/>
        <v>1600000</v>
      </c>
    </row>
    <row r="12" spans="1:7" ht="14.4" x14ac:dyDescent="0.3">
      <c r="A12" s="123" t="s">
        <v>269</v>
      </c>
      <c r="B12" s="123" t="s">
        <v>270</v>
      </c>
      <c r="C12" s="127">
        <v>0</v>
      </c>
      <c r="D12" s="127">
        <v>0</v>
      </c>
      <c r="E12" s="127">
        <v>30000</v>
      </c>
      <c r="F12" s="127">
        <v>0</v>
      </c>
      <c r="G12" s="120">
        <f t="shared" si="0"/>
        <v>30000</v>
      </c>
    </row>
    <row r="13" spans="1:7" ht="14.4" x14ac:dyDescent="0.3">
      <c r="A13" s="123" t="s">
        <v>271</v>
      </c>
      <c r="B13" s="123" t="s">
        <v>272</v>
      </c>
      <c r="C13" s="127">
        <v>400000</v>
      </c>
      <c r="D13" s="127">
        <v>15000</v>
      </c>
      <c r="E13" s="127">
        <v>222000</v>
      </c>
      <c r="F13" s="127">
        <v>0</v>
      </c>
      <c r="G13" s="120">
        <f t="shared" si="0"/>
        <v>637000</v>
      </c>
    </row>
    <row r="14" spans="1:7" ht="14.4" x14ac:dyDescent="0.3">
      <c r="A14" s="123" t="s">
        <v>273</v>
      </c>
      <c r="B14" s="123" t="s">
        <v>274</v>
      </c>
      <c r="C14" s="127">
        <v>130000</v>
      </c>
      <c r="D14" s="127">
        <v>0</v>
      </c>
      <c r="E14" s="127">
        <v>0</v>
      </c>
      <c r="F14" s="127">
        <v>0</v>
      </c>
      <c r="G14" s="120">
        <f t="shared" si="0"/>
        <v>130000</v>
      </c>
    </row>
    <row r="15" spans="1:7" ht="14.4" x14ac:dyDescent="0.3">
      <c r="A15" s="123" t="s">
        <v>275</v>
      </c>
      <c r="B15" s="123" t="s">
        <v>276</v>
      </c>
      <c r="C15" s="127">
        <v>920000</v>
      </c>
      <c r="D15" s="127">
        <v>365000</v>
      </c>
      <c r="E15" s="127">
        <v>210000</v>
      </c>
      <c r="F15" s="127">
        <v>1500000</v>
      </c>
      <c r="G15" s="120">
        <f t="shared" si="0"/>
        <v>2995000</v>
      </c>
    </row>
    <row r="16" spans="1:7" s="1" customFormat="1" ht="14.4" x14ac:dyDescent="0.3">
      <c r="A16" s="181" t="s">
        <v>558</v>
      </c>
      <c r="B16" s="125" t="s">
        <v>277</v>
      </c>
      <c r="C16" s="120">
        <f>SUM(C3:C15)</f>
        <v>40928400</v>
      </c>
      <c r="D16" s="120">
        <f t="shared" ref="D16:F16" si="1">SUM(D3:D15)</f>
        <v>20337141</v>
      </c>
      <c r="E16" s="120">
        <f t="shared" si="1"/>
        <v>40538332</v>
      </c>
      <c r="F16" s="120">
        <f t="shared" si="1"/>
        <v>52218831</v>
      </c>
      <c r="G16" s="120">
        <f>SUM(C16:F16)</f>
        <v>154022704</v>
      </c>
    </row>
    <row r="17" spans="1:7" ht="14.4" x14ac:dyDescent="0.3">
      <c r="A17" s="123" t="s">
        <v>278</v>
      </c>
      <c r="B17" s="123" t="s">
        <v>279</v>
      </c>
      <c r="C17" s="127">
        <v>0</v>
      </c>
      <c r="D17" s="127">
        <v>0</v>
      </c>
      <c r="E17" s="127">
        <v>0</v>
      </c>
      <c r="F17" s="195">
        <f>('segédtábla bérek'!C78)</f>
        <v>10310400</v>
      </c>
      <c r="G17" s="120">
        <f t="shared" ref="G17:G21" si="2">SUM(C17:F17)</f>
        <v>10310400</v>
      </c>
    </row>
    <row r="18" spans="1:7" ht="14.4" x14ac:dyDescent="0.3">
      <c r="A18" s="123" t="s">
        <v>280</v>
      </c>
      <c r="B18" s="252" t="s">
        <v>641</v>
      </c>
      <c r="C18" s="127">
        <v>0</v>
      </c>
      <c r="D18" s="127">
        <v>0</v>
      </c>
      <c r="E18" s="127">
        <v>0</v>
      </c>
      <c r="F18" s="127">
        <v>0</v>
      </c>
      <c r="G18" s="120">
        <f t="shared" si="2"/>
        <v>0</v>
      </c>
    </row>
    <row r="19" spans="1:7" ht="14.4" x14ac:dyDescent="0.3">
      <c r="A19" s="123" t="s">
        <v>280</v>
      </c>
      <c r="B19" s="123" t="s">
        <v>425</v>
      </c>
      <c r="C19" s="127">
        <v>250000</v>
      </c>
      <c r="D19" s="127">
        <v>50000</v>
      </c>
      <c r="E19" s="127">
        <v>500000</v>
      </c>
      <c r="F19" s="127">
        <v>420000</v>
      </c>
      <c r="G19" s="120">
        <f t="shared" si="2"/>
        <v>1220000</v>
      </c>
    </row>
    <row r="20" spans="1:7" ht="14.4" x14ac:dyDescent="0.3">
      <c r="A20" s="123" t="s">
        <v>419</v>
      </c>
      <c r="B20" s="123" t="s">
        <v>420</v>
      </c>
      <c r="C20" s="127">
        <v>0</v>
      </c>
      <c r="D20" s="127">
        <v>0</v>
      </c>
      <c r="E20" s="127">
        <v>0</v>
      </c>
      <c r="F20" s="127">
        <v>0</v>
      </c>
      <c r="G20" s="120">
        <f t="shared" si="2"/>
        <v>0</v>
      </c>
    </row>
    <row r="21" spans="1:7" ht="14.4" x14ac:dyDescent="0.3">
      <c r="A21" s="123" t="s">
        <v>281</v>
      </c>
      <c r="B21" s="123" t="s">
        <v>282</v>
      </c>
      <c r="C21" s="127">
        <v>90000</v>
      </c>
      <c r="D21" s="127">
        <v>0</v>
      </c>
      <c r="E21" s="127">
        <v>0</v>
      </c>
      <c r="F21" s="127">
        <v>1200000</v>
      </c>
      <c r="G21" s="120">
        <f t="shared" si="2"/>
        <v>1290000</v>
      </c>
    </row>
    <row r="22" spans="1:7" s="1" customFormat="1" ht="14.4" x14ac:dyDescent="0.3">
      <c r="A22" s="181" t="s">
        <v>559</v>
      </c>
      <c r="B22" s="125" t="s">
        <v>283</v>
      </c>
      <c r="C22" s="120">
        <f>SUM(C17:C21)</f>
        <v>340000</v>
      </c>
      <c r="D22" s="120">
        <f t="shared" ref="D22:F22" si="3">SUM(D17:D21)</f>
        <v>50000</v>
      </c>
      <c r="E22" s="120">
        <f t="shared" si="3"/>
        <v>500000</v>
      </c>
      <c r="F22" s="120">
        <f t="shared" si="3"/>
        <v>11930400</v>
      </c>
      <c r="G22" s="120">
        <f>SUM(C22:F22)</f>
        <v>12820400</v>
      </c>
    </row>
    <row r="23" spans="1:7" s="2" customFormat="1" ht="21.6" customHeight="1" x14ac:dyDescent="0.3">
      <c r="A23" s="128" t="s">
        <v>284</v>
      </c>
      <c r="B23" s="128" t="s">
        <v>51</v>
      </c>
      <c r="C23" s="182">
        <f>(C16+C22)</f>
        <v>41268400</v>
      </c>
      <c r="D23" s="182">
        <f t="shared" ref="D23:F23" si="4">(D16+D22)</f>
        <v>20387141</v>
      </c>
      <c r="E23" s="182">
        <f t="shared" si="4"/>
        <v>41038332</v>
      </c>
      <c r="F23" s="182">
        <f t="shared" si="4"/>
        <v>64149231</v>
      </c>
      <c r="G23" s="182">
        <f>SUM(C23:F23)</f>
        <v>166843104</v>
      </c>
    </row>
    <row r="24" spans="1:7" ht="14.4" x14ac:dyDescent="0.3">
      <c r="A24" s="123" t="s">
        <v>287</v>
      </c>
      <c r="B24" s="123" t="s">
        <v>56</v>
      </c>
      <c r="C24" s="195">
        <f>('segédtábla bérek'!E51)</f>
        <v>7222927.5</v>
      </c>
      <c r="D24" s="195">
        <f>('segédtábla bérek'!E31)+108285</f>
        <v>3847825.64</v>
      </c>
      <c r="E24" s="195">
        <f>('segédtábla bérek'!E18)</f>
        <v>7857968.7650000015</v>
      </c>
      <c r="F24" s="195">
        <f>('segédtábla bérek'!E69)+('segédtábla bérek'!E78)+53820</f>
        <v>5018453.625</v>
      </c>
      <c r="G24" s="120">
        <f t="shared" ref="G24:G29" si="5">SUM(C24:F24)</f>
        <v>23947175.530000001</v>
      </c>
    </row>
    <row r="25" spans="1:7" ht="14.4" x14ac:dyDescent="0.3">
      <c r="A25" s="194" t="s">
        <v>287</v>
      </c>
      <c r="B25" s="194" t="s">
        <v>590</v>
      </c>
      <c r="C25" s="183">
        <v>0</v>
      </c>
      <c r="D25" s="183">
        <v>0</v>
      </c>
      <c r="E25" s="183">
        <v>0</v>
      </c>
      <c r="F25" s="150">
        <f>('segédtábla közfoglalkoztatás'!G7)+('segédtábla közfoglalkoztatás'!G17)</f>
        <v>3451375</v>
      </c>
      <c r="G25" s="120">
        <f t="shared" si="5"/>
        <v>3451375</v>
      </c>
    </row>
    <row r="26" spans="1:7" ht="14.4" x14ac:dyDescent="0.3">
      <c r="A26" s="123" t="s">
        <v>287</v>
      </c>
      <c r="B26" s="252" t="s">
        <v>639</v>
      </c>
      <c r="C26" s="183">
        <f>130650</f>
        <v>130650</v>
      </c>
      <c r="D26" s="183">
        <v>0</v>
      </c>
      <c r="E26" s="183">
        <v>0</v>
      </c>
      <c r="F26" s="183">
        <v>0</v>
      </c>
      <c r="G26" s="120">
        <f t="shared" si="5"/>
        <v>130650</v>
      </c>
    </row>
    <row r="27" spans="1:7" ht="14.4" x14ac:dyDescent="0.3">
      <c r="A27" s="123" t="s">
        <v>288</v>
      </c>
      <c r="B27" s="123" t="s">
        <v>141</v>
      </c>
      <c r="C27" s="183">
        <v>300000</v>
      </c>
      <c r="D27" s="183">
        <v>8000</v>
      </c>
      <c r="E27" s="183">
        <v>0</v>
      </c>
      <c r="F27" s="183">
        <v>30000</v>
      </c>
      <c r="G27" s="120">
        <f t="shared" si="5"/>
        <v>338000</v>
      </c>
    </row>
    <row r="28" spans="1:7" ht="14.4" x14ac:dyDescent="0.3">
      <c r="A28" s="123" t="s">
        <v>289</v>
      </c>
      <c r="B28" s="123" t="s">
        <v>290</v>
      </c>
      <c r="C28" s="183">
        <v>0</v>
      </c>
      <c r="D28" s="183">
        <v>0</v>
      </c>
      <c r="E28" s="183">
        <v>0</v>
      </c>
      <c r="F28" s="183">
        <v>0</v>
      </c>
      <c r="G28" s="120">
        <f t="shared" si="5"/>
        <v>0</v>
      </c>
    </row>
    <row r="29" spans="1:7" ht="14.4" x14ac:dyDescent="0.3">
      <c r="A29" s="123" t="s">
        <v>291</v>
      </c>
      <c r="B29" s="266" t="s">
        <v>751</v>
      </c>
      <c r="C29" s="183">
        <v>309771</v>
      </c>
      <c r="D29" s="183">
        <v>8000</v>
      </c>
      <c r="E29" s="183">
        <v>0</v>
      </c>
      <c r="F29" s="183">
        <v>30000</v>
      </c>
      <c r="G29" s="120">
        <f t="shared" si="5"/>
        <v>347771</v>
      </c>
    </row>
    <row r="30" spans="1:7" ht="19.8" customHeight="1" x14ac:dyDescent="0.3">
      <c r="A30" s="128" t="s">
        <v>285</v>
      </c>
      <c r="B30" s="128" t="s">
        <v>286</v>
      </c>
      <c r="C30" s="129">
        <f>SUM(C24:C29)</f>
        <v>7963348.5</v>
      </c>
      <c r="D30" s="129">
        <f t="shared" ref="D30:F30" si="6">SUM(D24:D29)</f>
        <v>3863825.64</v>
      </c>
      <c r="E30" s="129">
        <f t="shared" si="6"/>
        <v>7857968.7650000015</v>
      </c>
      <c r="F30" s="129">
        <f t="shared" si="6"/>
        <v>8529828.625</v>
      </c>
      <c r="G30" s="129">
        <f>SUM(C30:F30)</f>
        <v>28214971.530000001</v>
      </c>
    </row>
    <row r="31" spans="1:7" x14ac:dyDescent="0.25">
      <c r="B31" s="11"/>
    </row>
    <row r="32" spans="1:7" x14ac:dyDescent="0.25">
      <c r="C32" s="20"/>
      <c r="D32" s="20"/>
      <c r="E32" s="20"/>
      <c r="F32" s="22"/>
      <c r="G32" s="1"/>
    </row>
    <row r="33" spans="2:7" x14ac:dyDescent="0.25">
      <c r="C33" s="20"/>
    </row>
    <row r="34" spans="2:7" ht="14.4" x14ac:dyDescent="0.3">
      <c r="B34" s="81" t="s">
        <v>96</v>
      </c>
      <c r="C34" s="171">
        <v>11</v>
      </c>
      <c r="D34" s="172">
        <v>7</v>
      </c>
      <c r="E34" s="173">
        <v>14</v>
      </c>
      <c r="F34" s="174">
        <v>7</v>
      </c>
      <c r="G34" s="175">
        <f>SUM(C34:F34)</f>
        <v>39</v>
      </c>
    </row>
    <row r="35" spans="2:7" ht="14.4" x14ac:dyDescent="0.25">
      <c r="B35" s="81" t="s">
        <v>97</v>
      </c>
      <c r="C35" s="176"/>
      <c r="D35" s="177"/>
      <c r="E35" s="178"/>
      <c r="F35" s="201">
        <f>('segédtábla közfoglalkoztatás'!G21)</f>
        <v>37</v>
      </c>
      <c r="G35" s="175">
        <f>SUM(C35:F35)</f>
        <v>37</v>
      </c>
    </row>
    <row r="36" spans="2:7" s="1" customFormat="1" x14ac:dyDescent="0.25">
      <c r="B36" s="81" t="s">
        <v>352</v>
      </c>
      <c r="C36" s="179"/>
      <c r="D36" s="172"/>
      <c r="E36" s="173"/>
      <c r="F36" s="174">
        <v>1</v>
      </c>
      <c r="G36" s="175">
        <f>SUM(C36:F36)</f>
        <v>1</v>
      </c>
    </row>
    <row r="37" spans="2:7" x14ac:dyDescent="0.25">
      <c r="B37" s="81" t="s">
        <v>409</v>
      </c>
      <c r="C37" s="176"/>
      <c r="D37" s="177"/>
      <c r="E37" s="178"/>
      <c r="F37" s="174"/>
      <c r="G37" s="175">
        <v>0</v>
      </c>
    </row>
  </sheetData>
  <sheetProtection sheet="1" objects="1" scenarios="1"/>
  <mergeCells count="1">
    <mergeCell ref="B1:G1"/>
  </mergeCells>
  <phoneticPr fontId="16" type="noConversion"/>
  <printOptions gridLines="1"/>
  <pageMargins left="0.74803149606299213" right="0.62992125984251968" top="0.98425196850393704" bottom="0.98425196850393704" header="0.51181102362204722" footer="0.51181102362204722"/>
  <pageSetup paperSize="9" scale="87" orientation="landscape" r:id="rId1"/>
  <headerFooter alignWithMargins="0">
    <oddHeader>&amp;R3./a. sz. melléklet
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79998168889431442"/>
    <pageSetUpPr fitToPage="1"/>
  </sheetPr>
  <dimension ref="A1:G31"/>
  <sheetViews>
    <sheetView zoomScaleNormal="100" workbookViewId="0">
      <selection activeCell="G4" sqref="G4"/>
    </sheetView>
  </sheetViews>
  <sheetFormatPr defaultColWidth="9.109375" defaultRowHeight="13.2" x14ac:dyDescent="0.25"/>
  <cols>
    <col min="1" max="1" width="5.88671875" style="1" customWidth="1"/>
    <col min="2" max="2" width="44.6640625" style="1" customWidth="1"/>
    <col min="3" max="3" width="16.44140625" style="19" bestFit="1" customWidth="1"/>
    <col min="4" max="4" width="15.109375" style="21" bestFit="1" customWidth="1"/>
    <col min="5" max="5" width="15.109375" style="19" bestFit="1" customWidth="1"/>
    <col min="6" max="6" width="16.44140625" style="20" bestFit="1" customWidth="1"/>
    <col min="7" max="7" width="15.5546875" style="3" bestFit="1" customWidth="1"/>
    <col min="8" max="16384" width="9.109375" style="3"/>
  </cols>
  <sheetData>
    <row r="1" spans="1:7" ht="33.6" customHeight="1" x14ac:dyDescent="0.25">
      <c r="A1" s="273" t="s">
        <v>560</v>
      </c>
      <c r="B1" s="273"/>
      <c r="C1" s="273"/>
      <c r="D1" s="273"/>
      <c r="E1" s="273"/>
      <c r="F1" s="273"/>
      <c r="G1" s="273"/>
    </row>
    <row r="2" spans="1:7" s="1" customFormat="1" ht="19.95" customHeight="1" x14ac:dyDescent="0.3">
      <c r="A2" s="123"/>
      <c r="B2" s="123"/>
      <c r="C2" s="166" t="s">
        <v>6</v>
      </c>
      <c r="D2" s="168" t="s">
        <v>7</v>
      </c>
      <c r="E2" s="184" t="s">
        <v>444</v>
      </c>
      <c r="F2" s="169" t="s">
        <v>8</v>
      </c>
      <c r="G2" s="185" t="s">
        <v>23</v>
      </c>
    </row>
    <row r="3" spans="1:7" ht="19.95" customHeight="1" x14ac:dyDescent="0.3">
      <c r="A3" s="123" t="s">
        <v>292</v>
      </c>
      <c r="B3" s="123" t="s">
        <v>293</v>
      </c>
      <c r="C3" s="127">
        <v>160000</v>
      </c>
      <c r="D3" s="127">
        <v>303000</v>
      </c>
      <c r="E3" s="127">
        <v>80000</v>
      </c>
      <c r="F3" s="127">
        <v>1100000</v>
      </c>
      <c r="G3" s="120">
        <f>F3+E3+D3+C3</f>
        <v>1643000</v>
      </c>
    </row>
    <row r="4" spans="1:7" ht="19.95" customHeight="1" x14ac:dyDescent="0.3">
      <c r="A4" s="123" t="s">
        <v>294</v>
      </c>
      <c r="B4" s="123" t="s">
        <v>295</v>
      </c>
      <c r="C4" s="127">
        <v>14892752</v>
      </c>
      <c r="D4" s="127">
        <v>1105699</v>
      </c>
      <c r="E4" s="127">
        <v>816998</v>
      </c>
      <c r="F4" s="127">
        <v>20791500</v>
      </c>
      <c r="G4" s="120">
        <f t="shared" ref="G4:G25" si="0">F4+E4+D4+C4</f>
        <v>37606949</v>
      </c>
    </row>
    <row r="5" spans="1:7" ht="19.95" customHeight="1" x14ac:dyDescent="0.3">
      <c r="A5" s="125" t="s">
        <v>296</v>
      </c>
      <c r="B5" s="125" t="s">
        <v>0</v>
      </c>
      <c r="C5" s="120">
        <f>SUM(C3:C4)</f>
        <v>15052752</v>
      </c>
      <c r="D5" s="120">
        <f>SUM(D3:D4)</f>
        <v>1408699</v>
      </c>
      <c r="E5" s="120">
        <f>SUM(E3:E4)</f>
        <v>896998</v>
      </c>
      <c r="F5" s="120">
        <f>SUM(F3:F4)</f>
        <v>21891500</v>
      </c>
      <c r="G5" s="120">
        <f t="shared" si="0"/>
        <v>39249949</v>
      </c>
    </row>
    <row r="6" spans="1:7" s="1" customFormat="1" ht="19.95" customHeight="1" x14ac:dyDescent="0.3">
      <c r="A6" s="123" t="s">
        <v>297</v>
      </c>
      <c r="B6" s="123" t="s">
        <v>336</v>
      </c>
      <c r="C6" s="127">
        <v>300000</v>
      </c>
      <c r="D6" s="127">
        <v>0</v>
      </c>
      <c r="E6" s="127">
        <v>40000</v>
      </c>
      <c r="F6" s="127">
        <v>565000</v>
      </c>
      <c r="G6" s="120">
        <f t="shared" si="0"/>
        <v>905000</v>
      </c>
    </row>
    <row r="7" spans="1:7" ht="19.95" customHeight="1" x14ac:dyDescent="0.3">
      <c r="A7" s="123" t="s">
        <v>298</v>
      </c>
      <c r="B7" s="123" t="s">
        <v>3</v>
      </c>
      <c r="C7" s="127">
        <v>250000</v>
      </c>
      <c r="D7" s="127">
        <v>95000</v>
      </c>
      <c r="E7" s="127">
        <v>190000</v>
      </c>
      <c r="F7" s="127">
        <v>360000</v>
      </c>
      <c r="G7" s="120">
        <f t="shared" si="0"/>
        <v>895000</v>
      </c>
    </row>
    <row r="8" spans="1:7" ht="19.95" customHeight="1" x14ac:dyDescent="0.3">
      <c r="A8" s="125" t="s">
        <v>299</v>
      </c>
      <c r="B8" s="125" t="s">
        <v>2</v>
      </c>
      <c r="C8" s="120">
        <f>SUM(C6:C7)</f>
        <v>550000</v>
      </c>
      <c r="D8" s="120">
        <f>SUM(D6:D7)</f>
        <v>95000</v>
      </c>
      <c r="E8" s="120">
        <f>SUM(E6:E7)</f>
        <v>230000</v>
      </c>
      <c r="F8" s="120">
        <f>SUM(F6:F7)</f>
        <v>925000</v>
      </c>
      <c r="G8" s="120">
        <f t="shared" si="0"/>
        <v>1800000</v>
      </c>
    </row>
    <row r="9" spans="1:7" s="1" customFormat="1" ht="19.95" customHeight="1" x14ac:dyDescent="0.3">
      <c r="A9" s="123" t="s">
        <v>300</v>
      </c>
      <c r="B9" s="123" t="s">
        <v>301</v>
      </c>
      <c r="C9" s="127">
        <v>1462753</v>
      </c>
      <c r="D9" s="127">
        <v>995000</v>
      </c>
      <c r="E9" s="127">
        <v>912035</v>
      </c>
      <c r="F9" s="127">
        <v>9520000</v>
      </c>
      <c r="G9" s="120">
        <f t="shared" si="0"/>
        <v>12889788</v>
      </c>
    </row>
    <row r="10" spans="1:7" ht="19.95" customHeight="1" x14ac:dyDescent="0.3">
      <c r="A10" s="123" t="s">
        <v>302</v>
      </c>
      <c r="B10" s="123" t="s">
        <v>4</v>
      </c>
      <c r="C10" s="127">
        <v>20000</v>
      </c>
      <c r="D10" s="127">
        <v>10000</v>
      </c>
      <c r="E10" s="127">
        <v>10000</v>
      </c>
      <c r="F10" s="127">
        <v>95000</v>
      </c>
      <c r="G10" s="120">
        <f t="shared" si="0"/>
        <v>135000</v>
      </c>
    </row>
    <row r="11" spans="1:7" ht="19.95" customHeight="1" x14ac:dyDescent="0.3">
      <c r="A11" s="123" t="s">
        <v>303</v>
      </c>
      <c r="B11" s="123" t="s">
        <v>5</v>
      </c>
      <c r="C11" s="127">
        <v>0</v>
      </c>
      <c r="D11" s="127">
        <v>50000</v>
      </c>
      <c r="E11" s="127">
        <v>0</v>
      </c>
      <c r="F11" s="127">
        <v>800000</v>
      </c>
      <c r="G11" s="120">
        <f t="shared" si="0"/>
        <v>850000</v>
      </c>
    </row>
    <row r="12" spans="1:7" ht="19.95" customHeight="1" x14ac:dyDescent="0.3">
      <c r="A12" s="123" t="s">
        <v>304</v>
      </c>
      <c r="B12" s="123" t="s">
        <v>306</v>
      </c>
      <c r="C12" s="127">
        <v>180000</v>
      </c>
      <c r="D12" s="127">
        <v>540000</v>
      </c>
      <c r="E12" s="127">
        <v>70000</v>
      </c>
      <c r="F12" s="127">
        <v>2500000</v>
      </c>
      <c r="G12" s="120">
        <f t="shared" si="0"/>
        <v>3290000</v>
      </c>
    </row>
    <row r="13" spans="1:7" ht="19.95" customHeight="1" x14ac:dyDescent="0.3">
      <c r="A13" s="123" t="s">
        <v>305</v>
      </c>
      <c r="B13" s="123" t="s">
        <v>307</v>
      </c>
      <c r="C13" s="127">
        <v>0</v>
      </c>
      <c r="D13" s="127">
        <v>0</v>
      </c>
      <c r="E13" s="127">
        <v>0</v>
      </c>
      <c r="F13" s="127">
        <v>2200000</v>
      </c>
      <c r="G13" s="120">
        <f t="shared" si="0"/>
        <v>2200000</v>
      </c>
    </row>
    <row r="14" spans="1:7" ht="19.95" customHeight="1" x14ac:dyDescent="0.3">
      <c r="A14" s="123" t="s">
        <v>308</v>
      </c>
      <c r="B14" s="123" t="s">
        <v>309</v>
      </c>
      <c r="C14" s="127">
        <v>450000</v>
      </c>
      <c r="D14" s="127">
        <v>220000</v>
      </c>
      <c r="E14" s="127">
        <v>30000</v>
      </c>
      <c r="F14" s="127">
        <v>4560000</v>
      </c>
      <c r="G14" s="120">
        <f t="shared" si="0"/>
        <v>5260000</v>
      </c>
    </row>
    <row r="15" spans="1:7" ht="19.95" customHeight="1" x14ac:dyDescent="0.3">
      <c r="A15" s="123" t="s">
        <v>310</v>
      </c>
      <c r="B15" s="123" t="s">
        <v>311</v>
      </c>
      <c r="C15" s="127">
        <v>800000</v>
      </c>
      <c r="D15" s="127">
        <v>340000</v>
      </c>
      <c r="E15" s="127">
        <v>180000</v>
      </c>
      <c r="F15" s="127">
        <v>13400000</v>
      </c>
      <c r="G15" s="120">
        <f t="shared" si="0"/>
        <v>14720000</v>
      </c>
    </row>
    <row r="16" spans="1:7" ht="19.95" customHeight="1" x14ac:dyDescent="0.3">
      <c r="A16" s="125" t="s">
        <v>312</v>
      </c>
      <c r="B16" s="125" t="s">
        <v>313</v>
      </c>
      <c r="C16" s="120">
        <f>SUM(C9:C15)</f>
        <v>2912753</v>
      </c>
      <c r="D16" s="120">
        <f>SUM(D9:D15)</f>
        <v>2155000</v>
      </c>
      <c r="E16" s="120">
        <f>SUM(E9:E15)</f>
        <v>1202035</v>
      </c>
      <c r="F16" s="120">
        <f>SUM(F9:F15)</f>
        <v>33075000</v>
      </c>
      <c r="G16" s="120">
        <f t="shared" si="0"/>
        <v>39344788</v>
      </c>
    </row>
    <row r="17" spans="1:7" ht="19.95" customHeight="1" x14ac:dyDescent="0.3">
      <c r="A17" s="123" t="s">
        <v>314</v>
      </c>
      <c r="B17" s="123" t="s">
        <v>315</v>
      </c>
      <c r="C17" s="127">
        <v>350000</v>
      </c>
      <c r="D17" s="127">
        <v>200000</v>
      </c>
      <c r="E17" s="127">
        <v>60000</v>
      </c>
      <c r="F17" s="127">
        <v>60000</v>
      </c>
      <c r="G17" s="120">
        <f t="shared" si="0"/>
        <v>670000</v>
      </c>
    </row>
    <row r="18" spans="1:7" s="1" customFormat="1" ht="19.95" customHeight="1" x14ac:dyDescent="0.3">
      <c r="A18" s="123" t="s">
        <v>316</v>
      </c>
      <c r="B18" s="123" t="s">
        <v>317</v>
      </c>
      <c r="C18" s="127">
        <v>0</v>
      </c>
      <c r="D18" s="127">
        <v>0</v>
      </c>
      <c r="E18" s="127">
        <v>0</v>
      </c>
      <c r="F18" s="127">
        <v>0</v>
      </c>
      <c r="G18" s="120">
        <f t="shared" si="0"/>
        <v>0</v>
      </c>
    </row>
    <row r="19" spans="1:7" ht="19.95" customHeight="1" x14ac:dyDescent="0.3">
      <c r="A19" s="125" t="s">
        <v>318</v>
      </c>
      <c r="B19" s="125" t="s">
        <v>319</v>
      </c>
      <c r="C19" s="120">
        <f>SUM(C17:C18)</f>
        <v>350000</v>
      </c>
      <c r="D19" s="120">
        <f>SUM(D17:D18)</f>
        <v>200000</v>
      </c>
      <c r="E19" s="120">
        <f>SUM(E17:E18)</f>
        <v>60000</v>
      </c>
      <c r="F19" s="120">
        <f>SUM(F17:F18)</f>
        <v>60000</v>
      </c>
      <c r="G19" s="120">
        <f t="shared" si="0"/>
        <v>670000</v>
      </c>
    </row>
    <row r="20" spans="1:7" ht="19.95" customHeight="1" x14ac:dyDescent="0.3">
      <c r="A20" s="123" t="s">
        <v>320</v>
      </c>
      <c r="B20" s="123" t="s">
        <v>321</v>
      </c>
      <c r="C20" s="127">
        <v>3250000</v>
      </c>
      <c r="D20" s="127">
        <v>835000</v>
      </c>
      <c r="E20" s="127">
        <v>550000</v>
      </c>
      <c r="F20" s="127">
        <v>11320000</v>
      </c>
      <c r="G20" s="120">
        <f t="shared" si="0"/>
        <v>15955000</v>
      </c>
    </row>
    <row r="21" spans="1:7" ht="19.95" customHeight="1" x14ac:dyDescent="0.3">
      <c r="A21" s="123" t="s">
        <v>322</v>
      </c>
      <c r="B21" s="123" t="s">
        <v>323</v>
      </c>
      <c r="C21" s="127">
        <v>1073000</v>
      </c>
      <c r="D21" s="127">
        <v>0</v>
      </c>
      <c r="E21" s="127">
        <v>0</v>
      </c>
      <c r="F21" s="127">
        <v>1500000</v>
      </c>
      <c r="G21" s="120">
        <f t="shared" si="0"/>
        <v>2573000</v>
      </c>
    </row>
    <row r="22" spans="1:7" s="1" customFormat="1" ht="19.95" customHeight="1" x14ac:dyDescent="0.3">
      <c r="A22" s="123" t="s">
        <v>324</v>
      </c>
      <c r="B22" s="123" t="s">
        <v>325</v>
      </c>
      <c r="C22" s="127">
        <v>0</v>
      </c>
      <c r="D22" s="127">
        <v>0</v>
      </c>
      <c r="E22" s="127">
        <v>0</v>
      </c>
      <c r="F22" s="127">
        <v>0</v>
      </c>
      <c r="G22" s="120">
        <f t="shared" si="0"/>
        <v>0</v>
      </c>
    </row>
    <row r="23" spans="1:7" ht="19.95" customHeight="1" x14ac:dyDescent="0.3">
      <c r="A23" s="123" t="s">
        <v>326</v>
      </c>
      <c r="B23" s="123" t="s">
        <v>327</v>
      </c>
      <c r="C23" s="127">
        <v>240000</v>
      </c>
      <c r="D23" s="127">
        <v>10000</v>
      </c>
      <c r="E23" s="127">
        <v>10000</v>
      </c>
      <c r="F23" s="127">
        <v>180000</v>
      </c>
      <c r="G23" s="120">
        <f t="shared" si="0"/>
        <v>440000</v>
      </c>
    </row>
    <row r="24" spans="1:7" ht="19.95" customHeight="1" x14ac:dyDescent="0.3">
      <c r="A24" s="125" t="s">
        <v>328</v>
      </c>
      <c r="B24" s="125" t="s">
        <v>329</v>
      </c>
      <c r="C24" s="120">
        <f>SUM(C20:C23)</f>
        <v>4563000</v>
      </c>
      <c r="D24" s="120">
        <f>SUM(D20:D23)</f>
        <v>845000</v>
      </c>
      <c r="E24" s="120">
        <f>SUM(E20:E23)</f>
        <v>560000</v>
      </c>
      <c r="F24" s="120">
        <f>SUM(F20:F23)</f>
        <v>13000000</v>
      </c>
      <c r="G24" s="120">
        <f t="shared" si="0"/>
        <v>18968000</v>
      </c>
    </row>
    <row r="25" spans="1:7" ht="19.95" customHeight="1" x14ac:dyDescent="0.3">
      <c r="A25" s="128" t="s">
        <v>330</v>
      </c>
      <c r="B25" s="128" t="s">
        <v>46</v>
      </c>
      <c r="C25" s="129">
        <f>(C5+C8+C16+C19+C24)+139746</f>
        <v>23568251</v>
      </c>
      <c r="D25" s="129">
        <f>(D5+D8+D16+D19+D24)</f>
        <v>4703699</v>
      </c>
      <c r="E25" s="129">
        <f>(E5+E8+E16+E19+E24)</f>
        <v>2949033</v>
      </c>
      <c r="F25" s="129">
        <f>(F5+F8+F16+F19+F24)</f>
        <v>68951500</v>
      </c>
      <c r="G25" s="129">
        <f t="shared" si="0"/>
        <v>100172483</v>
      </c>
    </row>
    <row r="26" spans="1:7" x14ac:dyDescent="0.25">
      <c r="A26" s="7"/>
      <c r="B26" s="11"/>
      <c r="C26" s="27"/>
      <c r="D26" s="27"/>
      <c r="E26" s="26"/>
      <c r="F26" s="28"/>
    </row>
    <row r="27" spans="1:7" x14ac:dyDescent="0.25">
      <c r="A27" s="7"/>
      <c r="B27" s="11" t="s">
        <v>640</v>
      </c>
      <c r="C27" s="27">
        <v>139746</v>
      </c>
      <c r="D27" s="27"/>
      <c r="E27" s="26"/>
      <c r="F27" s="28"/>
    </row>
    <row r="28" spans="1:7" s="1" customFormat="1" x14ac:dyDescent="0.25">
      <c r="A28" s="4"/>
      <c r="B28" s="16"/>
      <c r="C28" s="29"/>
      <c r="D28" s="29"/>
      <c r="E28" s="28"/>
      <c r="F28" s="28"/>
    </row>
    <row r="29" spans="1:7" s="2" customFormat="1" ht="15.6" x14ac:dyDescent="0.3">
      <c r="A29" s="12"/>
      <c r="B29" s="25"/>
      <c r="C29" s="30"/>
      <c r="D29" s="30"/>
      <c r="E29" s="31"/>
      <c r="F29" s="32"/>
    </row>
    <row r="30" spans="1:7" x14ac:dyDescent="0.25">
      <c r="A30" s="4"/>
      <c r="B30" s="4"/>
      <c r="C30" s="33"/>
      <c r="D30" s="34"/>
      <c r="E30" s="33"/>
      <c r="F30" s="35"/>
    </row>
    <row r="31" spans="1:7" x14ac:dyDescent="0.25">
      <c r="A31" s="4"/>
      <c r="B31" s="4"/>
      <c r="C31" s="33"/>
      <c r="D31" s="34"/>
      <c r="E31" s="33"/>
      <c r="F31" s="35"/>
    </row>
  </sheetData>
  <sheetProtection sheet="1" objects="1" scenarios="1"/>
  <mergeCells count="1">
    <mergeCell ref="A1:G1"/>
  </mergeCells>
  <phoneticPr fontId="16" type="noConversion"/>
  <printOptions gridLines="1"/>
  <pageMargins left="0.47244094488188981" right="0.43307086614173229" top="0.55118110236220474" bottom="0.19685039370078741" header="0.19685039370078741" footer="0.15748031496062992"/>
  <pageSetup paperSize="9" orientation="landscape" r:id="rId1"/>
  <headerFooter alignWithMargins="0">
    <oddHeader>&amp;R3./b. sz. melléklet
Ft-ban</oddHeader>
  </headerFooter>
  <ignoredErrors>
    <ignoredError sqref="C5:F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0.79998168889431442"/>
    <pageSetUpPr fitToPage="1"/>
  </sheetPr>
  <dimension ref="A1:N73"/>
  <sheetViews>
    <sheetView zoomScaleNormal="100" workbookViewId="0">
      <selection activeCell="N7" sqref="N7"/>
    </sheetView>
  </sheetViews>
  <sheetFormatPr defaultColWidth="9.109375" defaultRowHeight="13.2" x14ac:dyDescent="0.25"/>
  <cols>
    <col min="1" max="5" width="9.109375" style="51"/>
    <col min="6" max="6" width="12.88671875" style="51" bestFit="1" customWidth="1"/>
    <col min="7" max="12" width="9.109375" style="51"/>
    <col min="13" max="13" width="12.88671875" style="51" bestFit="1" customWidth="1"/>
    <col min="14" max="16384" width="9.109375" style="51"/>
  </cols>
  <sheetData>
    <row r="1" spans="1:13" ht="15.6" x14ac:dyDescent="0.25">
      <c r="A1" s="284" t="s">
        <v>561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13" ht="15.6" x14ac:dyDescent="0.25">
      <c r="A2" s="284" t="s">
        <v>57</v>
      </c>
      <c r="B2" s="284"/>
      <c r="C2" s="284"/>
      <c r="D2" s="284"/>
      <c r="E2" s="284"/>
      <c r="F2" s="284"/>
      <c r="G2" s="121"/>
      <c r="H2" s="273" t="s">
        <v>52</v>
      </c>
      <c r="I2" s="273"/>
      <c r="J2" s="273"/>
      <c r="K2" s="273"/>
      <c r="L2" s="273"/>
      <c r="M2" s="273"/>
    </row>
    <row r="3" spans="1:13" ht="14.4" x14ac:dyDescent="0.25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</row>
    <row r="4" spans="1:13" ht="14.4" customHeight="1" x14ac:dyDescent="0.3">
      <c r="A4" s="324" t="s">
        <v>467</v>
      </c>
      <c r="B4" s="324"/>
      <c r="C4" s="324"/>
      <c r="D4" s="324"/>
      <c r="E4" s="123" t="s">
        <v>488</v>
      </c>
      <c r="F4" s="127"/>
      <c r="G4" s="123"/>
      <c r="H4" s="324" t="s">
        <v>467</v>
      </c>
      <c r="I4" s="324"/>
      <c r="J4" s="324"/>
      <c r="K4" s="324"/>
      <c r="L4" s="123" t="s">
        <v>488</v>
      </c>
      <c r="M4" s="88">
        <v>0</v>
      </c>
    </row>
    <row r="5" spans="1:13" ht="14.4" customHeight="1" x14ac:dyDescent="0.3">
      <c r="A5" s="324"/>
      <c r="B5" s="324"/>
      <c r="C5" s="324"/>
      <c r="D5" s="324"/>
      <c r="E5" s="123"/>
      <c r="F5" s="127"/>
      <c r="G5" s="123"/>
      <c r="H5" s="324"/>
      <c r="I5" s="324"/>
      <c r="J5" s="324"/>
      <c r="K5" s="324"/>
      <c r="L5" s="123" t="s">
        <v>489</v>
      </c>
      <c r="M5" s="88">
        <v>0</v>
      </c>
    </row>
    <row r="6" spans="1:13" ht="14.4" x14ac:dyDescent="0.3">
      <c r="A6" s="324"/>
      <c r="B6" s="324"/>
      <c r="C6" s="324"/>
      <c r="D6" s="324"/>
      <c r="E6" s="125" t="s">
        <v>464</v>
      </c>
      <c r="F6" s="120">
        <f>SUM(F4:F5)</f>
        <v>0</v>
      </c>
      <c r="G6" s="123"/>
      <c r="H6" s="324"/>
      <c r="I6" s="324"/>
      <c r="J6" s="324"/>
      <c r="K6" s="324"/>
      <c r="L6" s="125" t="s">
        <v>464</v>
      </c>
      <c r="M6" s="117">
        <f>SUM(M4:M5)</f>
        <v>0</v>
      </c>
    </row>
    <row r="7" spans="1:13" ht="15" customHeight="1" x14ac:dyDescent="0.3">
      <c r="A7" s="324" t="s">
        <v>426</v>
      </c>
      <c r="B7" s="324"/>
      <c r="C7" s="324"/>
      <c r="D7" s="324"/>
      <c r="E7" s="123" t="s">
        <v>488</v>
      </c>
      <c r="F7" s="127"/>
      <c r="G7" s="123"/>
      <c r="H7" s="324" t="s">
        <v>426</v>
      </c>
      <c r="I7" s="324"/>
      <c r="J7" s="324"/>
      <c r="K7" s="324"/>
      <c r="L7" s="123" t="s">
        <v>488</v>
      </c>
      <c r="M7" s="88"/>
    </row>
    <row r="8" spans="1:13" ht="14.4" x14ac:dyDescent="0.3">
      <c r="A8" s="324"/>
      <c r="B8" s="324"/>
      <c r="C8" s="324"/>
      <c r="D8" s="324"/>
      <c r="E8" s="123"/>
      <c r="F8" s="127"/>
      <c r="G8" s="123"/>
      <c r="H8" s="324"/>
      <c r="I8" s="324"/>
      <c r="J8" s="324"/>
      <c r="K8" s="324"/>
      <c r="L8" s="123" t="s">
        <v>489</v>
      </c>
      <c r="M8" s="88"/>
    </row>
    <row r="9" spans="1:13" ht="14.4" x14ac:dyDescent="0.3">
      <c r="A9" s="324"/>
      <c r="B9" s="324"/>
      <c r="C9" s="324"/>
      <c r="D9" s="324"/>
      <c r="E9" s="125" t="s">
        <v>464</v>
      </c>
      <c r="F9" s="120">
        <f>SUM(F7:F8)</f>
        <v>0</v>
      </c>
      <c r="G9" s="123"/>
      <c r="H9" s="324"/>
      <c r="I9" s="324"/>
      <c r="J9" s="324"/>
      <c r="K9" s="324"/>
      <c r="L9" s="125" t="s">
        <v>464</v>
      </c>
      <c r="M9" s="117">
        <f>SUM(M7:M8)</f>
        <v>0</v>
      </c>
    </row>
    <row r="10" spans="1:13" ht="14.4" customHeight="1" x14ac:dyDescent="0.3">
      <c r="A10" s="330" t="s">
        <v>763</v>
      </c>
      <c r="B10" s="324"/>
      <c r="C10" s="324"/>
      <c r="D10" s="324"/>
      <c r="E10" s="140" t="s">
        <v>488</v>
      </c>
      <c r="F10" s="127">
        <v>0</v>
      </c>
      <c r="G10" s="140"/>
      <c r="H10" s="329" t="s">
        <v>585</v>
      </c>
      <c r="I10" s="324"/>
      <c r="J10" s="324"/>
      <c r="K10" s="324"/>
      <c r="L10" s="140" t="s">
        <v>488</v>
      </c>
      <c r="M10" s="195">
        <f>('segédtábla pályázatok'!F81)*0.7874</f>
        <v>-79999.839999999997</v>
      </c>
    </row>
    <row r="11" spans="1:13" ht="14.4" x14ac:dyDescent="0.3">
      <c r="A11" s="324"/>
      <c r="B11" s="324"/>
      <c r="C11" s="324"/>
      <c r="D11" s="324"/>
      <c r="E11" s="140"/>
      <c r="F11" s="127"/>
      <c r="G11" s="140"/>
      <c r="H11" s="324"/>
      <c r="I11" s="324"/>
      <c r="J11" s="324"/>
      <c r="K11" s="324"/>
      <c r="L11" s="140" t="s">
        <v>489</v>
      </c>
      <c r="M11" s="195">
        <f>('segédtábla pályázatok'!F81)*0.2126</f>
        <v>-21600.16</v>
      </c>
    </row>
    <row r="12" spans="1:13" ht="14.4" x14ac:dyDescent="0.3">
      <c r="A12" s="324"/>
      <c r="B12" s="324"/>
      <c r="C12" s="324"/>
      <c r="D12" s="324"/>
      <c r="E12" s="141" t="s">
        <v>464</v>
      </c>
      <c r="F12" s="120">
        <f>SUM(F10:F11)</f>
        <v>0</v>
      </c>
      <c r="G12" s="140"/>
      <c r="H12" s="324"/>
      <c r="I12" s="324"/>
      <c r="J12" s="324"/>
      <c r="K12" s="324"/>
      <c r="L12" s="141" t="s">
        <v>464</v>
      </c>
      <c r="M12" s="117">
        <f>SUM(M10:M11)</f>
        <v>-101600</v>
      </c>
    </row>
    <row r="13" spans="1:13" ht="14.4" customHeight="1" x14ac:dyDescent="0.3">
      <c r="A13" s="330" t="s">
        <v>762</v>
      </c>
      <c r="B13" s="324"/>
      <c r="C13" s="324"/>
      <c r="D13" s="324"/>
      <c r="E13" s="140" t="s">
        <v>488</v>
      </c>
      <c r="F13" s="127">
        <v>14964138</v>
      </c>
      <c r="G13" s="140"/>
      <c r="H13" s="329" t="s">
        <v>586</v>
      </c>
      <c r="I13" s="324"/>
      <c r="J13" s="324"/>
      <c r="K13" s="324"/>
      <c r="L13" s="140" t="s">
        <v>488</v>
      </c>
      <c r="M13" s="195">
        <f>('segédtábla pályázatok'!M81)*0.7874</f>
        <v>11585365.805600001</v>
      </c>
    </row>
    <row r="14" spans="1:13" ht="14.4" x14ac:dyDescent="0.3">
      <c r="A14" s="324"/>
      <c r="B14" s="324"/>
      <c r="C14" s="324"/>
      <c r="D14" s="324"/>
      <c r="E14" s="140"/>
      <c r="F14" s="127"/>
      <c r="G14" s="140"/>
      <c r="H14" s="324"/>
      <c r="I14" s="324"/>
      <c r="J14" s="324"/>
      <c r="K14" s="324"/>
      <c r="L14" s="140" t="s">
        <v>489</v>
      </c>
      <c r="M14" s="195">
        <f>('segédtábla pályázatok'!M81)*0.2126</f>
        <v>3128078.1944000004</v>
      </c>
    </row>
    <row r="15" spans="1:13" ht="14.4" x14ac:dyDescent="0.3">
      <c r="A15" s="324"/>
      <c r="B15" s="324"/>
      <c r="C15" s="324"/>
      <c r="D15" s="324"/>
      <c r="E15" s="141" t="s">
        <v>464</v>
      </c>
      <c r="F15" s="120">
        <f>SUM(F13:F14)</f>
        <v>14964138</v>
      </c>
      <c r="G15" s="140"/>
      <c r="H15" s="324"/>
      <c r="I15" s="324"/>
      <c r="J15" s="324"/>
      <c r="K15" s="324"/>
      <c r="L15" s="141" t="s">
        <v>464</v>
      </c>
      <c r="M15" s="117">
        <f>SUM(M13:M14)</f>
        <v>14713444</v>
      </c>
    </row>
    <row r="16" spans="1:13" ht="14.4" customHeight="1" x14ac:dyDescent="0.3">
      <c r="A16" s="328" t="s">
        <v>678</v>
      </c>
      <c r="B16" s="324"/>
      <c r="C16" s="324"/>
      <c r="D16" s="324"/>
      <c r="E16" s="140" t="s">
        <v>488</v>
      </c>
      <c r="F16" s="127">
        <v>22144568</v>
      </c>
      <c r="G16" s="140"/>
      <c r="H16" s="324" t="s">
        <v>490</v>
      </c>
      <c r="I16" s="324"/>
      <c r="J16" s="324"/>
      <c r="K16" s="324"/>
      <c r="L16" s="140" t="s">
        <v>488</v>
      </c>
      <c r="M16" s="186">
        <v>0</v>
      </c>
    </row>
    <row r="17" spans="1:13" ht="14.4" x14ac:dyDescent="0.3">
      <c r="A17" s="324"/>
      <c r="B17" s="324"/>
      <c r="C17" s="324"/>
      <c r="D17" s="324"/>
      <c r="E17" s="140"/>
      <c r="F17" s="127"/>
      <c r="G17" s="140"/>
      <c r="H17" s="324"/>
      <c r="I17" s="324"/>
      <c r="J17" s="324"/>
      <c r="K17" s="324"/>
      <c r="L17" s="140" t="s">
        <v>489</v>
      </c>
      <c r="M17" s="186">
        <v>0</v>
      </c>
    </row>
    <row r="18" spans="1:13" ht="14.4" x14ac:dyDescent="0.3">
      <c r="A18" s="324"/>
      <c r="B18" s="324"/>
      <c r="C18" s="324"/>
      <c r="D18" s="324"/>
      <c r="E18" s="141" t="s">
        <v>464</v>
      </c>
      <c r="F18" s="120">
        <f>SUM(F16:F17)</f>
        <v>22144568</v>
      </c>
      <c r="G18" s="140"/>
      <c r="H18" s="324"/>
      <c r="I18" s="324"/>
      <c r="J18" s="324"/>
      <c r="K18" s="324"/>
      <c r="L18" s="141" t="s">
        <v>464</v>
      </c>
      <c r="M18" s="117">
        <f>SUM(M16:M17)</f>
        <v>0</v>
      </c>
    </row>
    <row r="19" spans="1:13" ht="14.4" customHeight="1" x14ac:dyDescent="0.3">
      <c r="A19" s="328" t="s">
        <v>677</v>
      </c>
      <c r="B19" s="324"/>
      <c r="C19" s="324"/>
      <c r="D19" s="324"/>
      <c r="E19" s="140" t="s">
        <v>488</v>
      </c>
      <c r="F19" s="186">
        <v>62000000</v>
      </c>
      <c r="G19" s="140"/>
      <c r="H19" s="329" t="s">
        <v>584</v>
      </c>
      <c r="I19" s="324"/>
      <c r="J19" s="324"/>
      <c r="K19" s="324"/>
      <c r="L19" s="140" t="s">
        <v>488</v>
      </c>
      <c r="M19" s="186">
        <v>15748000</v>
      </c>
    </row>
    <row r="20" spans="1:13" ht="14.4" x14ac:dyDescent="0.3">
      <c r="A20" s="324"/>
      <c r="B20" s="324"/>
      <c r="C20" s="324"/>
      <c r="D20" s="324"/>
      <c r="E20" s="140"/>
      <c r="F20" s="186"/>
      <c r="G20" s="140"/>
      <c r="H20" s="324"/>
      <c r="I20" s="324"/>
      <c r="J20" s="324"/>
      <c r="K20" s="324"/>
      <c r="L20" s="140" t="s">
        <v>489</v>
      </c>
      <c r="M20" s="186">
        <v>4252000</v>
      </c>
    </row>
    <row r="21" spans="1:13" ht="14.4" x14ac:dyDescent="0.3">
      <c r="A21" s="324"/>
      <c r="B21" s="324"/>
      <c r="C21" s="324"/>
      <c r="D21" s="324"/>
      <c r="E21" s="141" t="s">
        <v>464</v>
      </c>
      <c r="F21" s="117">
        <f>SUM(F19:F20)</f>
        <v>62000000</v>
      </c>
      <c r="G21" s="140"/>
      <c r="H21" s="324"/>
      <c r="I21" s="324"/>
      <c r="J21" s="324"/>
      <c r="K21" s="324"/>
      <c r="L21" s="141" t="s">
        <v>464</v>
      </c>
      <c r="M21" s="117">
        <f>SUM(M19:M20)</f>
        <v>20000000</v>
      </c>
    </row>
    <row r="22" spans="1:13" ht="14.4" x14ac:dyDescent="0.3">
      <c r="A22" s="328" t="s">
        <v>676</v>
      </c>
      <c r="B22" s="324"/>
      <c r="C22" s="324"/>
      <c r="D22" s="324"/>
      <c r="E22" s="123" t="s">
        <v>488</v>
      </c>
      <c r="F22" s="186">
        <v>30000000</v>
      </c>
      <c r="G22" s="123"/>
      <c r="H22" s="324" t="s">
        <v>468</v>
      </c>
      <c r="I22" s="324"/>
      <c r="J22" s="324"/>
      <c r="K22" s="324"/>
      <c r="L22" s="123" t="s">
        <v>488</v>
      </c>
      <c r="M22" s="195">
        <f>('segédtábla pályázatok'!M43)*0.7874</f>
        <v>23338536.7874</v>
      </c>
    </row>
    <row r="23" spans="1:13" ht="14.4" x14ac:dyDescent="0.3">
      <c r="A23" s="324"/>
      <c r="B23" s="324"/>
      <c r="C23" s="324"/>
      <c r="D23" s="324"/>
      <c r="E23" s="123"/>
      <c r="F23" s="186"/>
      <c r="G23" s="123"/>
      <c r="H23" s="324"/>
      <c r="I23" s="324"/>
      <c r="J23" s="324"/>
      <c r="K23" s="324"/>
      <c r="L23" s="123" t="s">
        <v>489</v>
      </c>
      <c r="M23" s="195">
        <f>('segédtábla pályázatok'!M43)*0.2126</f>
        <v>6301464.2126000002</v>
      </c>
    </row>
    <row r="24" spans="1:13" ht="14.4" x14ac:dyDescent="0.3">
      <c r="A24" s="324"/>
      <c r="B24" s="324"/>
      <c r="C24" s="324"/>
      <c r="D24" s="324"/>
      <c r="E24" s="125" t="s">
        <v>464</v>
      </c>
      <c r="F24" s="117">
        <f>SUM(F22:F23)</f>
        <v>30000000</v>
      </c>
      <c r="G24" s="123"/>
      <c r="H24" s="324"/>
      <c r="I24" s="324"/>
      <c r="J24" s="324"/>
      <c r="K24" s="324"/>
      <c r="L24" s="125" t="s">
        <v>464</v>
      </c>
      <c r="M24" s="117">
        <f>SUM(M22:M23)</f>
        <v>29640001</v>
      </c>
    </row>
    <row r="25" spans="1:13" ht="14.4" customHeight="1" x14ac:dyDescent="0.3">
      <c r="A25" s="328" t="s">
        <v>673</v>
      </c>
      <c r="B25" s="324"/>
      <c r="C25" s="324"/>
      <c r="D25" s="324"/>
      <c r="E25" s="123" t="s">
        <v>488</v>
      </c>
      <c r="F25" s="127">
        <v>0</v>
      </c>
      <c r="G25" s="123"/>
      <c r="H25" s="324" t="s">
        <v>437</v>
      </c>
      <c r="I25" s="324"/>
      <c r="J25" s="324"/>
      <c r="K25" s="324"/>
      <c r="L25" s="123" t="s">
        <v>488</v>
      </c>
      <c r="M25" s="195">
        <f>('segédtábla pályázatok'!F24)*0.7874</f>
        <v>34147889.1844</v>
      </c>
    </row>
    <row r="26" spans="1:13" ht="14.4" x14ac:dyDescent="0.3">
      <c r="A26" s="324"/>
      <c r="B26" s="324"/>
      <c r="C26" s="324"/>
      <c r="D26" s="324"/>
      <c r="E26" s="123"/>
      <c r="F26" s="127"/>
      <c r="G26" s="123"/>
      <c r="H26" s="324"/>
      <c r="I26" s="324"/>
      <c r="J26" s="324"/>
      <c r="K26" s="324"/>
      <c r="L26" s="123" t="s">
        <v>489</v>
      </c>
      <c r="M26" s="195">
        <f>('segédtábla pályázatok'!F24)*0.2126</f>
        <v>9220016.8156000003</v>
      </c>
    </row>
    <row r="27" spans="1:13" ht="14.4" x14ac:dyDescent="0.3">
      <c r="A27" s="324"/>
      <c r="B27" s="324"/>
      <c r="C27" s="324"/>
      <c r="D27" s="324"/>
      <c r="E27" s="125" t="s">
        <v>464</v>
      </c>
      <c r="F27" s="120">
        <f>SUM(F25:F26)</f>
        <v>0</v>
      </c>
      <c r="G27" s="123"/>
      <c r="H27" s="324"/>
      <c r="I27" s="324"/>
      <c r="J27" s="324"/>
      <c r="K27" s="324"/>
      <c r="L27" s="125" t="s">
        <v>464</v>
      </c>
      <c r="M27" s="117">
        <f>SUM(M25:M26)</f>
        <v>43367906</v>
      </c>
    </row>
    <row r="28" spans="1:13" ht="14.4" x14ac:dyDescent="0.3">
      <c r="A28" s="328" t="s">
        <v>675</v>
      </c>
      <c r="B28" s="324"/>
      <c r="C28" s="324"/>
      <c r="D28" s="324"/>
      <c r="E28" s="123" t="s">
        <v>488</v>
      </c>
      <c r="F28" s="127">
        <v>40000000</v>
      </c>
      <c r="G28" s="123"/>
      <c r="H28" s="324" t="s">
        <v>465</v>
      </c>
      <c r="I28" s="324"/>
      <c r="J28" s="324"/>
      <c r="K28" s="324"/>
      <c r="L28" s="123" t="s">
        <v>488</v>
      </c>
      <c r="M28" s="195">
        <f>('segédtábla pályázatok'!F43)*0.7874</f>
        <v>31061041.027399998</v>
      </c>
    </row>
    <row r="29" spans="1:13" ht="14.4" x14ac:dyDescent="0.3">
      <c r="A29" s="324"/>
      <c r="B29" s="324"/>
      <c r="C29" s="324"/>
      <c r="D29" s="324"/>
      <c r="E29" s="123"/>
      <c r="F29" s="127"/>
      <c r="G29" s="123"/>
      <c r="H29" s="324"/>
      <c r="I29" s="324"/>
      <c r="J29" s="324"/>
      <c r="K29" s="324"/>
      <c r="L29" s="123" t="s">
        <v>489</v>
      </c>
      <c r="M29" s="195">
        <f>('segédtábla pályázatok'!F43)*0.2126</f>
        <v>8386559.9726</v>
      </c>
    </row>
    <row r="30" spans="1:13" ht="14.4" x14ac:dyDescent="0.3">
      <c r="A30" s="324"/>
      <c r="B30" s="324"/>
      <c r="C30" s="324"/>
      <c r="D30" s="324"/>
      <c r="E30" s="125" t="s">
        <v>464</v>
      </c>
      <c r="F30" s="120">
        <f>SUM(F28:F29)</f>
        <v>40000000</v>
      </c>
      <c r="G30" s="123"/>
      <c r="H30" s="324"/>
      <c r="I30" s="324"/>
      <c r="J30" s="324"/>
      <c r="K30" s="324"/>
      <c r="L30" s="125" t="s">
        <v>464</v>
      </c>
      <c r="M30" s="117">
        <f>SUM(M28:M29)</f>
        <v>39447601</v>
      </c>
    </row>
    <row r="31" spans="1:13" ht="14.4" x14ac:dyDescent="0.3">
      <c r="A31" s="328" t="s">
        <v>674</v>
      </c>
      <c r="B31" s="324"/>
      <c r="C31" s="324"/>
      <c r="D31" s="324"/>
      <c r="E31" s="123" t="s">
        <v>488</v>
      </c>
      <c r="F31" s="186">
        <v>0</v>
      </c>
      <c r="G31" s="123"/>
      <c r="H31" s="324" t="s">
        <v>466</v>
      </c>
      <c r="I31" s="324"/>
      <c r="J31" s="324"/>
      <c r="K31" s="324"/>
      <c r="L31" s="123" t="s">
        <v>488</v>
      </c>
      <c r="M31" s="195">
        <f>('segédtábla pályázatok'!M24)*0.7874</f>
        <v>28054695.071600001</v>
      </c>
    </row>
    <row r="32" spans="1:13" ht="14.4" x14ac:dyDescent="0.3">
      <c r="A32" s="324"/>
      <c r="B32" s="324"/>
      <c r="C32" s="324"/>
      <c r="D32" s="324"/>
      <c r="E32" s="123"/>
      <c r="F32" s="186"/>
      <c r="G32" s="123"/>
      <c r="H32" s="324"/>
      <c r="I32" s="324"/>
      <c r="J32" s="324"/>
      <c r="K32" s="324"/>
      <c r="L32" s="123" t="s">
        <v>489</v>
      </c>
      <c r="M32" s="195">
        <f>('segédtábla pályázatok'!M24)*0.2126</f>
        <v>7574838.9284000006</v>
      </c>
    </row>
    <row r="33" spans="1:13" ht="14.4" x14ac:dyDescent="0.3">
      <c r="A33" s="324"/>
      <c r="B33" s="324"/>
      <c r="C33" s="324"/>
      <c r="D33" s="324"/>
      <c r="E33" s="125" t="s">
        <v>464</v>
      </c>
      <c r="F33" s="117">
        <f>SUM(F31:F32)</f>
        <v>0</v>
      </c>
      <c r="G33" s="123"/>
      <c r="H33" s="324"/>
      <c r="I33" s="324"/>
      <c r="J33" s="324"/>
      <c r="K33" s="324"/>
      <c r="L33" s="125" t="s">
        <v>464</v>
      </c>
      <c r="M33" s="117">
        <f>SUM(M31:M32)</f>
        <v>35629534</v>
      </c>
    </row>
    <row r="34" spans="1:13" ht="14.4" x14ac:dyDescent="0.25">
      <c r="A34" s="123"/>
      <c r="B34" s="123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</row>
    <row r="35" spans="1:13" s="52" customFormat="1" ht="14.4" x14ac:dyDescent="0.3">
      <c r="A35" s="326" t="s">
        <v>1</v>
      </c>
      <c r="B35" s="327"/>
      <c r="C35" s="327"/>
      <c r="D35" s="327"/>
      <c r="E35" s="327"/>
      <c r="F35" s="117">
        <f>+F6+F9+F12+F15+F18+F21+F24+F27+F30+F33</f>
        <v>169108706</v>
      </c>
      <c r="G35" s="123"/>
      <c r="H35" s="327" t="s">
        <v>469</v>
      </c>
      <c r="I35" s="327"/>
      <c r="J35" s="327"/>
      <c r="K35" s="327"/>
      <c r="L35" s="327"/>
      <c r="M35" s="117">
        <f>+M6+M9+M12+M15+M18+M21+M24+M27+M30+M33</f>
        <v>182696886</v>
      </c>
    </row>
    <row r="36" spans="1:13" s="52" customFormat="1" ht="14.4" x14ac:dyDescent="0.3">
      <c r="A36" s="324" t="s">
        <v>562</v>
      </c>
      <c r="B36" s="324"/>
      <c r="C36" s="324"/>
      <c r="D36" s="324"/>
      <c r="E36" s="324"/>
      <c r="F36" s="127">
        <f>+F6+F21+F24+F27+F30+F33</f>
        <v>132000000</v>
      </c>
      <c r="G36" s="123"/>
      <c r="H36" s="123"/>
      <c r="I36" s="123"/>
      <c r="J36" s="123"/>
      <c r="K36" s="123"/>
      <c r="L36" s="123"/>
      <c r="M36" s="123"/>
    </row>
    <row r="37" spans="1:13" ht="14.4" x14ac:dyDescent="0.25">
      <c r="A37" s="12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</row>
    <row r="38" spans="1:13" ht="15.6" x14ac:dyDescent="0.25">
      <c r="A38" s="284" t="s">
        <v>58</v>
      </c>
      <c r="B38" s="284"/>
      <c r="C38" s="284"/>
      <c r="D38" s="284"/>
      <c r="E38" s="284"/>
      <c r="F38" s="284"/>
      <c r="G38" s="121"/>
      <c r="H38" s="284" t="s">
        <v>53</v>
      </c>
      <c r="I38" s="284"/>
      <c r="J38" s="284"/>
      <c r="K38" s="284"/>
      <c r="L38" s="284"/>
      <c r="M38" s="284"/>
    </row>
    <row r="39" spans="1:13" ht="14.4" x14ac:dyDescent="0.25">
      <c r="A39" s="12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</row>
    <row r="40" spans="1:13" ht="14.4" x14ac:dyDescent="0.3">
      <c r="A40" s="328" t="s">
        <v>679</v>
      </c>
      <c r="B40" s="324"/>
      <c r="C40" s="324"/>
      <c r="D40" s="324"/>
      <c r="E40" s="123" t="s">
        <v>488</v>
      </c>
      <c r="F40" s="127">
        <v>0</v>
      </c>
      <c r="G40" s="123"/>
      <c r="H40" s="324" t="s">
        <v>563</v>
      </c>
      <c r="I40" s="324"/>
      <c r="J40" s="324"/>
      <c r="K40" s="324"/>
      <c r="L40" s="123" t="s">
        <v>488</v>
      </c>
      <c r="M40" s="186">
        <v>1917320</v>
      </c>
    </row>
    <row r="41" spans="1:13" ht="14.4" x14ac:dyDescent="0.3">
      <c r="A41" s="324"/>
      <c r="B41" s="324"/>
      <c r="C41" s="324"/>
      <c r="D41" s="324"/>
      <c r="E41" s="123"/>
      <c r="F41" s="127">
        <v>0</v>
      </c>
      <c r="G41" s="123"/>
      <c r="H41" s="324"/>
      <c r="I41" s="324"/>
      <c r="J41" s="324"/>
      <c r="K41" s="324"/>
      <c r="L41" s="123" t="s">
        <v>489</v>
      </c>
      <c r="M41" s="186">
        <v>517680</v>
      </c>
    </row>
    <row r="42" spans="1:13" ht="14.4" x14ac:dyDescent="0.3">
      <c r="A42" s="324"/>
      <c r="B42" s="324"/>
      <c r="C42" s="324"/>
      <c r="D42" s="324"/>
      <c r="E42" s="125" t="s">
        <v>464</v>
      </c>
      <c r="F42" s="120">
        <f>SUM(F40:F41)</f>
        <v>0</v>
      </c>
      <c r="G42" s="123"/>
      <c r="H42" s="324"/>
      <c r="I42" s="324"/>
      <c r="J42" s="324"/>
      <c r="K42" s="324"/>
      <c r="L42" s="125" t="s">
        <v>464</v>
      </c>
      <c r="M42" s="117">
        <f>SUM(M40:M41)</f>
        <v>2435000</v>
      </c>
    </row>
    <row r="43" spans="1:13" ht="14.4" x14ac:dyDescent="0.3">
      <c r="A43" s="324"/>
      <c r="B43" s="324"/>
      <c r="C43" s="324"/>
      <c r="D43" s="324"/>
      <c r="E43" s="123" t="s">
        <v>488</v>
      </c>
      <c r="F43" s="127"/>
      <c r="G43" s="123"/>
      <c r="H43" s="324" t="s">
        <v>491</v>
      </c>
      <c r="I43" s="324"/>
      <c r="J43" s="324"/>
      <c r="K43" s="324"/>
      <c r="L43" s="123" t="s">
        <v>488</v>
      </c>
      <c r="M43" s="186"/>
    </row>
    <row r="44" spans="1:13" ht="14.4" x14ac:dyDescent="0.3">
      <c r="A44" s="324"/>
      <c r="B44" s="324"/>
      <c r="C44" s="324"/>
      <c r="D44" s="324"/>
      <c r="E44" s="123"/>
      <c r="F44" s="127"/>
      <c r="G44" s="123"/>
      <c r="H44" s="324"/>
      <c r="I44" s="324"/>
      <c r="J44" s="324"/>
      <c r="K44" s="324"/>
      <c r="L44" s="123" t="s">
        <v>489</v>
      </c>
      <c r="M44" s="186"/>
    </row>
    <row r="45" spans="1:13" ht="14.4" x14ac:dyDescent="0.3">
      <c r="A45" s="324"/>
      <c r="B45" s="324"/>
      <c r="C45" s="324"/>
      <c r="D45" s="324"/>
      <c r="E45" s="125" t="s">
        <v>464</v>
      </c>
      <c r="F45" s="120">
        <f>SUM(F43:F44)</f>
        <v>0</v>
      </c>
      <c r="G45" s="123"/>
      <c r="H45" s="324"/>
      <c r="I45" s="324"/>
      <c r="J45" s="324"/>
      <c r="K45" s="324"/>
      <c r="L45" s="125" t="s">
        <v>464</v>
      </c>
      <c r="M45" s="117">
        <f>SUM(M43:M44)</f>
        <v>0</v>
      </c>
    </row>
    <row r="46" spans="1:13" ht="14.4" x14ac:dyDescent="0.3">
      <c r="A46" s="324"/>
      <c r="B46" s="324"/>
      <c r="C46" s="324"/>
      <c r="D46" s="324"/>
      <c r="E46" s="123" t="s">
        <v>488</v>
      </c>
      <c r="F46" s="186"/>
      <c r="G46" s="123"/>
      <c r="H46" s="324"/>
      <c r="I46" s="324"/>
      <c r="J46" s="324"/>
      <c r="K46" s="324"/>
      <c r="L46" s="123" t="s">
        <v>488</v>
      </c>
      <c r="M46" s="186"/>
    </row>
    <row r="47" spans="1:13" ht="14.4" x14ac:dyDescent="0.3">
      <c r="A47" s="324"/>
      <c r="B47" s="324"/>
      <c r="C47" s="324"/>
      <c r="D47" s="324"/>
      <c r="E47" s="123"/>
      <c r="F47" s="186"/>
      <c r="G47" s="123"/>
      <c r="H47" s="324"/>
      <c r="I47" s="324"/>
      <c r="J47" s="324"/>
      <c r="K47" s="324"/>
      <c r="L47" s="123" t="s">
        <v>489</v>
      </c>
      <c r="M47" s="186"/>
    </row>
    <row r="48" spans="1:13" ht="14.4" x14ac:dyDescent="0.3">
      <c r="A48" s="324"/>
      <c r="B48" s="324"/>
      <c r="C48" s="324"/>
      <c r="D48" s="324"/>
      <c r="E48" s="125" t="s">
        <v>464</v>
      </c>
      <c r="F48" s="117">
        <f>SUM(F46:F47)</f>
        <v>0</v>
      </c>
      <c r="G48" s="123"/>
      <c r="H48" s="324"/>
      <c r="I48" s="324"/>
      <c r="J48" s="324"/>
      <c r="K48" s="324"/>
      <c r="L48" s="125" t="s">
        <v>464</v>
      </c>
      <c r="M48" s="117">
        <f>SUM(M46:M47)</f>
        <v>0</v>
      </c>
    </row>
    <row r="49" spans="1:14" ht="14.4" x14ac:dyDescent="0.3">
      <c r="A49" s="324"/>
      <c r="B49" s="324"/>
      <c r="C49" s="324"/>
      <c r="D49" s="324"/>
      <c r="E49" s="123" t="s">
        <v>488</v>
      </c>
      <c r="F49" s="127"/>
      <c r="G49" s="123"/>
      <c r="H49" s="324" t="s">
        <v>492</v>
      </c>
      <c r="I49" s="324"/>
      <c r="J49" s="324"/>
      <c r="K49" s="324"/>
      <c r="L49" s="123" t="s">
        <v>488</v>
      </c>
      <c r="M49" s="186"/>
    </row>
    <row r="50" spans="1:14" ht="14.4" x14ac:dyDescent="0.3">
      <c r="A50" s="324"/>
      <c r="B50" s="324"/>
      <c r="C50" s="324"/>
      <c r="D50" s="324"/>
      <c r="E50" s="123"/>
      <c r="F50" s="127"/>
      <c r="G50" s="123"/>
      <c r="H50" s="324"/>
      <c r="I50" s="324"/>
      <c r="J50" s="324"/>
      <c r="K50" s="324"/>
      <c r="L50" s="123" t="s">
        <v>489</v>
      </c>
      <c r="M50" s="186"/>
    </row>
    <row r="51" spans="1:14" ht="14.4" x14ac:dyDescent="0.3">
      <c r="A51" s="324"/>
      <c r="B51" s="324"/>
      <c r="C51" s="324"/>
      <c r="D51" s="324"/>
      <c r="E51" s="125" t="s">
        <v>464</v>
      </c>
      <c r="F51" s="120">
        <f>SUM(F49:F50)</f>
        <v>0</v>
      </c>
      <c r="G51" s="123"/>
      <c r="H51" s="324"/>
      <c r="I51" s="324"/>
      <c r="J51" s="324"/>
      <c r="K51" s="324"/>
      <c r="L51" s="125" t="s">
        <v>464</v>
      </c>
      <c r="M51" s="117">
        <f>SUM(M49:M50)</f>
        <v>0</v>
      </c>
    </row>
    <row r="52" spans="1:14" ht="14.4" x14ac:dyDescent="0.3">
      <c r="A52" s="324"/>
      <c r="B52" s="324"/>
      <c r="C52" s="324"/>
      <c r="D52" s="324"/>
      <c r="E52" s="123" t="s">
        <v>488</v>
      </c>
      <c r="F52" s="127"/>
      <c r="G52" s="123"/>
      <c r="H52" s="324" t="s">
        <v>439</v>
      </c>
      <c r="I52" s="324"/>
      <c r="J52" s="324"/>
      <c r="K52" s="324"/>
      <c r="L52" s="123" t="s">
        <v>488</v>
      </c>
      <c r="M52" s="195">
        <f>('segédtábla közfoglalkoztatás'!G19)*0.7874</f>
        <v>6360969.9551999997</v>
      </c>
    </row>
    <row r="53" spans="1:14" ht="14.4" x14ac:dyDescent="0.3">
      <c r="A53" s="324"/>
      <c r="B53" s="324"/>
      <c r="C53" s="324"/>
      <c r="D53" s="324"/>
      <c r="E53" s="123"/>
      <c r="F53" s="127"/>
      <c r="G53" s="123"/>
      <c r="H53" s="324"/>
      <c r="I53" s="324"/>
      <c r="J53" s="324"/>
      <c r="K53" s="324"/>
      <c r="L53" s="123" t="s">
        <v>489</v>
      </c>
      <c r="M53" s="195">
        <f>('segédtábla közfoglalkoztatás'!G19)*0.2126</f>
        <v>1717478.0448</v>
      </c>
    </row>
    <row r="54" spans="1:14" ht="14.4" x14ac:dyDescent="0.3">
      <c r="A54" s="324"/>
      <c r="B54" s="324"/>
      <c r="C54" s="324"/>
      <c r="D54" s="324"/>
      <c r="E54" s="125" t="s">
        <v>464</v>
      </c>
      <c r="F54" s="120">
        <f>SUM(F52:F53)</f>
        <v>0</v>
      </c>
      <c r="G54" s="123"/>
      <c r="H54" s="324"/>
      <c r="I54" s="324"/>
      <c r="J54" s="324"/>
      <c r="K54" s="324"/>
      <c r="L54" s="125" t="s">
        <v>464</v>
      </c>
      <c r="M54" s="117">
        <f>SUM(M52:M53)</f>
        <v>8078448</v>
      </c>
    </row>
    <row r="55" spans="1:14" ht="14.4" x14ac:dyDescent="0.3">
      <c r="A55" s="324"/>
      <c r="B55" s="324"/>
      <c r="C55" s="324"/>
      <c r="D55" s="324"/>
      <c r="E55" s="123" t="s">
        <v>488</v>
      </c>
      <c r="F55" s="186"/>
      <c r="G55" s="123"/>
      <c r="H55" s="324"/>
      <c r="I55" s="324"/>
      <c r="J55" s="324"/>
      <c r="K55" s="324"/>
      <c r="L55" s="123" t="s">
        <v>488</v>
      </c>
      <c r="M55" s="186"/>
    </row>
    <row r="56" spans="1:14" ht="14.4" x14ac:dyDescent="0.3">
      <c r="A56" s="324"/>
      <c r="B56" s="324"/>
      <c r="C56" s="324"/>
      <c r="D56" s="324"/>
      <c r="E56" s="123"/>
      <c r="F56" s="186"/>
      <c r="G56" s="123"/>
      <c r="H56" s="324"/>
      <c r="I56" s="324"/>
      <c r="J56" s="324"/>
      <c r="K56" s="324"/>
      <c r="L56" s="123" t="s">
        <v>489</v>
      </c>
      <c r="M56" s="186"/>
      <c r="N56" s="60"/>
    </row>
    <row r="57" spans="1:14" ht="14.4" x14ac:dyDescent="0.3">
      <c r="A57" s="324"/>
      <c r="B57" s="324"/>
      <c r="C57" s="324"/>
      <c r="D57" s="324"/>
      <c r="E57" s="125" t="s">
        <v>464</v>
      </c>
      <c r="F57" s="117">
        <f>SUM(F55:F56)</f>
        <v>0</v>
      </c>
      <c r="G57" s="123"/>
      <c r="H57" s="324"/>
      <c r="I57" s="324"/>
      <c r="J57" s="324"/>
      <c r="K57" s="324"/>
      <c r="L57" s="125" t="s">
        <v>464</v>
      </c>
      <c r="M57" s="117">
        <f>SUM(M55:M56)</f>
        <v>0</v>
      </c>
    </row>
    <row r="58" spans="1:14" ht="14.4" x14ac:dyDescent="0.25">
      <c r="A58" s="123"/>
      <c r="B58" s="123"/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</row>
    <row r="59" spans="1:14" ht="14.4" x14ac:dyDescent="0.3">
      <c r="A59" s="326" t="s">
        <v>1</v>
      </c>
      <c r="B59" s="327"/>
      <c r="C59" s="327"/>
      <c r="D59" s="327"/>
      <c r="E59" s="327"/>
      <c r="F59" s="117">
        <f>+F42+F45+F48+F51+F54+F57</f>
        <v>0</v>
      </c>
      <c r="G59" s="123"/>
      <c r="H59" s="327" t="s">
        <v>470</v>
      </c>
      <c r="I59" s="327"/>
      <c r="J59" s="327"/>
      <c r="K59" s="327"/>
      <c r="L59" s="327"/>
      <c r="M59" s="117">
        <f>+M42+M45+M48+M51+M54+M57</f>
        <v>10513448</v>
      </c>
    </row>
    <row r="60" spans="1:14" ht="14.4" x14ac:dyDescent="0.3">
      <c r="A60" s="324" t="s">
        <v>408</v>
      </c>
      <c r="B60" s="324"/>
      <c r="C60" s="324"/>
      <c r="D60" s="324"/>
      <c r="E60" s="324"/>
      <c r="F60" s="127"/>
      <c r="G60" s="123"/>
      <c r="H60" s="123"/>
      <c r="I60" s="123"/>
      <c r="J60" s="123"/>
      <c r="K60" s="123"/>
      <c r="L60" s="123"/>
      <c r="M60" s="123"/>
    </row>
    <row r="61" spans="1:14" s="54" customFormat="1" ht="15.6" x14ac:dyDescent="0.3">
      <c r="A61" s="323" t="s">
        <v>331</v>
      </c>
      <c r="B61" s="323"/>
      <c r="C61" s="323"/>
      <c r="D61" s="323"/>
      <c r="E61" s="323"/>
      <c r="F61" s="323"/>
      <c r="G61" s="107"/>
      <c r="H61" s="323" t="s">
        <v>331</v>
      </c>
      <c r="I61" s="323"/>
      <c r="J61" s="323"/>
      <c r="K61" s="323"/>
      <c r="L61" s="323"/>
      <c r="M61" s="323"/>
      <c r="N61" s="2"/>
    </row>
    <row r="62" spans="1:14" s="54" customFormat="1" ht="15.6" x14ac:dyDescent="0.3">
      <c r="A62" s="304" t="s">
        <v>564</v>
      </c>
      <c r="B62" s="304"/>
      <c r="C62" s="304"/>
      <c r="D62" s="304"/>
      <c r="E62" s="304"/>
      <c r="F62" s="231">
        <f>F12+F15+F18</f>
        <v>37108706</v>
      </c>
      <c r="G62" s="123"/>
      <c r="H62" s="298" t="s">
        <v>389</v>
      </c>
      <c r="I62" s="298"/>
      <c r="J62" s="298"/>
      <c r="K62" s="298"/>
      <c r="L62" s="298"/>
      <c r="M62" s="117"/>
    </row>
    <row r="63" spans="1:14" s="54" customFormat="1" ht="15.6" x14ac:dyDescent="0.3">
      <c r="A63" s="325" t="s">
        <v>565</v>
      </c>
      <c r="B63" s="325"/>
      <c r="C63" s="325"/>
      <c r="D63" s="325"/>
      <c r="E63" s="325"/>
      <c r="F63" s="231">
        <f>F36</f>
        <v>132000000</v>
      </c>
      <c r="G63" s="123"/>
      <c r="H63" s="298" t="s">
        <v>496</v>
      </c>
      <c r="I63" s="298"/>
      <c r="J63" s="298"/>
      <c r="K63" s="298"/>
      <c r="L63" s="298"/>
      <c r="M63" s="117">
        <f>M40</f>
        <v>1917320</v>
      </c>
    </row>
    <row r="64" spans="1:14" s="54" customFormat="1" ht="15.6" x14ac:dyDescent="0.3">
      <c r="A64" s="324"/>
      <c r="B64" s="324"/>
      <c r="C64" s="324"/>
      <c r="D64" s="324"/>
      <c r="E64" s="324"/>
      <c r="F64" s="187"/>
      <c r="G64" s="123"/>
      <c r="H64" s="298" t="s">
        <v>386</v>
      </c>
      <c r="I64" s="298"/>
      <c r="J64" s="298"/>
      <c r="K64" s="298"/>
      <c r="L64" s="298"/>
      <c r="M64" s="117">
        <f>M52</f>
        <v>6360969.9551999997</v>
      </c>
    </row>
    <row r="65" spans="1:13" s="54" customFormat="1" ht="15.6" x14ac:dyDescent="0.3">
      <c r="A65" s="324"/>
      <c r="B65" s="324"/>
      <c r="C65" s="324"/>
      <c r="D65" s="324"/>
      <c r="E65" s="324"/>
      <c r="F65" s="187"/>
      <c r="G65" s="123"/>
      <c r="H65" s="298" t="s">
        <v>390</v>
      </c>
      <c r="I65" s="298"/>
      <c r="J65" s="298"/>
      <c r="K65" s="298"/>
      <c r="L65" s="298"/>
      <c r="M65" s="117">
        <f>M41+M53</f>
        <v>2235158.0448000003</v>
      </c>
    </row>
    <row r="66" spans="1:13" ht="15.6" customHeight="1" x14ac:dyDescent="0.3">
      <c r="A66" s="324"/>
      <c r="B66" s="324"/>
      <c r="C66" s="324"/>
      <c r="D66" s="324"/>
      <c r="E66" s="324"/>
      <c r="F66" s="187"/>
      <c r="G66" s="123"/>
      <c r="H66" s="298" t="s">
        <v>371</v>
      </c>
      <c r="I66" s="298"/>
      <c r="J66" s="298"/>
      <c r="K66" s="298"/>
      <c r="L66" s="298"/>
      <c r="M66" s="117">
        <f>M4+M7+M10+M13+M16+M19+M22+M25+M28+M31</f>
        <v>143855528.03639999</v>
      </c>
    </row>
    <row r="67" spans="1:13" ht="16.2" customHeight="1" x14ac:dyDescent="0.3">
      <c r="A67" s="324"/>
      <c r="B67" s="324"/>
      <c r="C67" s="324"/>
      <c r="D67" s="324"/>
      <c r="E67" s="324"/>
      <c r="F67" s="187"/>
      <c r="G67" s="123"/>
      <c r="H67" s="298" t="s">
        <v>372</v>
      </c>
      <c r="I67" s="298"/>
      <c r="J67" s="298"/>
      <c r="K67" s="298"/>
      <c r="L67" s="298"/>
      <c r="M67" s="117">
        <f>M5+M8+M11+M14+M17+M20+M23+M26+M29+M32</f>
        <v>38841357.963600002</v>
      </c>
    </row>
    <row r="68" spans="1:13" s="52" customFormat="1" ht="14.4" x14ac:dyDescent="0.3">
      <c r="A68" s="299" t="s">
        <v>464</v>
      </c>
      <c r="B68" s="299"/>
      <c r="C68" s="299"/>
      <c r="D68" s="299"/>
      <c r="E68" s="299"/>
      <c r="F68" s="187">
        <f>SUM(F62:F67)</f>
        <v>169108706</v>
      </c>
      <c r="G68" s="123"/>
      <c r="H68" s="305" t="s">
        <v>471</v>
      </c>
      <c r="I68" s="305"/>
      <c r="J68" s="305"/>
      <c r="K68" s="305"/>
      <c r="L68" s="305"/>
      <c r="M68" s="120">
        <f>SUM(M62:M67)</f>
        <v>193210334</v>
      </c>
    </row>
    <row r="69" spans="1:13" x14ac:dyDescent="0.25">
      <c r="J69" s="89"/>
      <c r="K69" s="90"/>
      <c r="L69" s="89"/>
    </row>
    <row r="70" spans="1:13" x14ac:dyDescent="0.25">
      <c r="J70" s="89"/>
      <c r="K70" s="89"/>
      <c r="L70" s="89"/>
    </row>
    <row r="73" spans="1:13" x14ac:dyDescent="0.25">
      <c r="H73" s="53"/>
    </row>
  </sheetData>
  <sheetProtection sheet="1" objects="1" scenarios="1"/>
  <mergeCells count="59">
    <mergeCell ref="H2:M2"/>
    <mergeCell ref="A38:F38"/>
    <mergeCell ref="A19:D21"/>
    <mergeCell ref="H19:K21"/>
    <mergeCell ref="A16:D18"/>
    <mergeCell ref="H16:K18"/>
    <mergeCell ref="A10:D12"/>
    <mergeCell ref="H10:K12"/>
    <mergeCell ref="A13:D15"/>
    <mergeCell ref="H13:K15"/>
    <mergeCell ref="H25:K27"/>
    <mergeCell ref="H28:K30"/>
    <mergeCell ref="H31:K33"/>
    <mergeCell ref="A4:D6"/>
    <mergeCell ref="A7:D9"/>
    <mergeCell ref="A22:D24"/>
    <mergeCell ref="H4:K6"/>
    <mergeCell ref="H7:K9"/>
    <mergeCell ref="H22:K24"/>
    <mergeCell ref="A25:D27"/>
    <mergeCell ref="A36:E36"/>
    <mergeCell ref="H35:L35"/>
    <mergeCell ref="H55:K57"/>
    <mergeCell ref="H59:L59"/>
    <mergeCell ref="A49:D51"/>
    <mergeCell ref="A52:D54"/>
    <mergeCell ref="A55:D57"/>
    <mergeCell ref="A67:E67"/>
    <mergeCell ref="A2:F2"/>
    <mergeCell ref="A1:M1"/>
    <mergeCell ref="H40:K42"/>
    <mergeCell ref="H43:K45"/>
    <mergeCell ref="H46:K48"/>
    <mergeCell ref="A43:D45"/>
    <mergeCell ref="A46:D48"/>
    <mergeCell ref="A35:E35"/>
    <mergeCell ref="H38:M38"/>
    <mergeCell ref="A40:D42"/>
    <mergeCell ref="A28:D30"/>
    <mergeCell ref="A31:D33"/>
    <mergeCell ref="A59:E59"/>
    <mergeCell ref="H49:K51"/>
    <mergeCell ref="H52:K54"/>
    <mergeCell ref="A60:E60"/>
    <mergeCell ref="A61:F61"/>
    <mergeCell ref="H61:M61"/>
    <mergeCell ref="A68:E68"/>
    <mergeCell ref="H62:L62"/>
    <mergeCell ref="H63:L63"/>
    <mergeCell ref="H64:L64"/>
    <mergeCell ref="H65:L65"/>
    <mergeCell ref="H66:L66"/>
    <mergeCell ref="H67:L67"/>
    <mergeCell ref="H68:L68"/>
    <mergeCell ref="A62:E62"/>
    <mergeCell ref="A63:E63"/>
    <mergeCell ref="A64:E64"/>
    <mergeCell ref="A65:E65"/>
    <mergeCell ref="A66:E6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 xml:space="preserve">&amp;R1./c. sz. melléklet Ft-ban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79998168889431442"/>
  </sheetPr>
  <dimension ref="A2:C13"/>
  <sheetViews>
    <sheetView zoomScaleNormal="100" workbookViewId="0">
      <selection activeCell="E5" sqref="E5"/>
    </sheetView>
  </sheetViews>
  <sheetFormatPr defaultRowHeight="13.2" x14ac:dyDescent="0.25"/>
  <cols>
    <col min="1" max="1" width="4" customWidth="1"/>
    <col min="2" max="2" width="49.33203125" customWidth="1"/>
  </cols>
  <sheetData>
    <row r="2" spans="1:3" ht="37.5" customHeight="1" x14ac:dyDescent="0.25">
      <c r="A2" s="331" t="s">
        <v>566</v>
      </c>
      <c r="B2" s="331"/>
      <c r="C2" s="331"/>
    </row>
    <row r="3" spans="1:3" ht="14.4" x14ac:dyDescent="0.25">
      <c r="A3" s="123"/>
      <c r="B3" s="123"/>
      <c r="C3" s="123"/>
    </row>
    <row r="4" spans="1:3" ht="14.4" x14ac:dyDescent="0.25">
      <c r="A4" s="123"/>
      <c r="B4" s="123"/>
      <c r="C4" s="123"/>
    </row>
    <row r="5" spans="1:3" ht="14.4" x14ac:dyDescent="0.25">
      <c r="A5" s="324" t="s">
        <v>85</v>
      </c>
      <c r="B5" s="324"/>
      <c r="C5" s="123"/>
    </row>
    <row r="6" spans="1:3" ht="14.4" x14ac:dyDescent="0.25">
      <c r="A6" s="123"/>
      <c r="B6" s="123"/>
      <c r="C6" s="123"/>
    </row>
    <row r="7" spans="1:3" ht="14.4" x14ac:dyDescent="0.3">
      <c r="A7" s="123" t="s">
        <v>86</v>
      </c>
      <c r="B7" s="123" t="s">
        <v>87</v>
      </c>
      <c r="C7" s="127">
        <v>0</v>
      </c>
    </row>
    <row r="8" spans="1:3" ht="14.4" x14ac:dyDescent="0.25">
      <c r="A8" s="123"/>
      <c r="B8" s="123"/>
      <c r="C8" s="123"/>
    </row>
    <row r="9" spans="1:3" ht="14.4" x14ac:dyDescent="0.25">
      <c r="A9" s="324" t="s">
        <v>88</v>
      </c>
      <c r="B9" s="324"/>
      <c r="C9" s="123"/>
    </row>
    <row r="10" spans="1:3" ht="14.4" x14ac:dyDescent="0.25">
      <c r="A10" s="123"/>
      <c r="B10" s="123"/>
      <c r="C10" s="123"/>
    </row>
    <row r="11" spans="1:3" ht="28.8" x14ac:dyDescent="0.3">
      <c r="A11" s="123" t="s">
        <v>86</v>
      </c>
      <c r="B11" s="123" t="s">
        <v>89</v>
      </c>
      <c r="C11" s="127">
        <v>0</v>
      </c>
    </row>
    <row r="12" spans="1:3" ht="14.4" x14ac:dyDescent="0.25">
      <c r="A12" s="123"/>
      <c r="B12" s="123"/>
      <c r="C12" s="123"/>
    </row>
    <row r="13" spans="1:3" ht="14.4" x14ac:dyDescent="0.3">
      <c r="A13" s="327" t="s">
        <v>90</v>
      </c>
      <c r="B13" s="327"/>
      <c r="C13" s="120">
        <f>SUM(C7:C12)</f>
        <v>0</v>
      </c>
    </row>
  </sheetData>
  <sheetProtection sheet="1" objects="1" scenarios="1"/>
  <mergeCells count="4">
    <mergeCell ref="A2:C2"/>
    <mergeCell ref="A5:B5"/>
    <mergeCell ref="A9:B9"/>
    <mergeCell ref="A13:B13"/>
  </mergeCells>
  <phoneticPr fontId="16" type="noConversion"/>
  <pageMargins left="1.07" right="0.75" top="1" bottom="1" header="0.5" footer="0.5"/>
  <pageSetup paperSize="9" orientation="portrait" r:id="rId1"/>
  <headerFooter alignWithMargins="0">
    <oddHeader>&amp;R8.sz. melléklet
Ft -ban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4" tint="0.79998168889431442"/>
  </sheetPr>
  <dimension ref="A1:F15"/>
  <sheetViews>
    <sheetView zoomScaleNormal="100" workbookViewId="0">
      <selection activeCell="I17" sqref="I17"/>
    </sheetView>
  </sheetViews>
  <sheetFormatPr defaultColWidth="8.88671875" defaultRowHeight="13.2" x14ac:dyDescent="0.25"/>
  <cols>
    <col min="1" max="1" width="6.33203125" customWidth="1"/>
    <col min="2" max="2" width="23.6640625" customWidth="1"/>
    <col min="3" max="6" width="10.21875" customWidth="1"/>
  </cols>
  <sheetData>
    <row r="1" spans="1:6" ht="34.799999999999997" customHeight="1" x14ac:dyDescent="0.25">
      <c r="A1" s="331" t="s">
        <v>567</v>
      </c>
      <c r="B1" s="331"/>
      <c r="C1" s="331"/>
      <c r="D1" s="331"/>
      <c r="E1" s="331"/>
      <c r="F1" s="331"/>
    </row>
    <row r="2" spans="1:6" ht="14.4" customHeight="1" x14ac:dyDescent="0.25">
      <c r="A2" s="298" t="s">
        <v>91</v>
      </c>
      <c r="B2" s="298" t="s">
        <v>94</v>
      </c>
      <c r="C2" s="324">
        <v>2018</v>
      </c>
      <c r="D2" s="324">
        <v>2019</v>
      </c>
      <c r="E2" s="324">
        <v>2020</v>
      </c>
      <c r="F2" s="324">
        <v>2021</v>
      </c>
    </row>
    <row r="3" spans="1:6" ht="14.4" customHeight="1" x14ac:dyDescent="0.25">
      <c r="A3" s="298"/>
      <c r="B3" s="298"/>
      <c r="C3" s="324"/>
      <c r="D3" s="324"/>
      <c r="E3" s="324"/>
      <c r="F3" s="324"/>
    </row>
    <row r="4" spans="1:6" ht="14.4" customHeight="1" x14ac:dyDescent="0.25">
      <c r="A4" s="298"/>
      <c r="B4" s="298"/>
      <c r="C4" s="324"/>
      <c r="D4" s="324"/>
      <c r="E4" s="324"/>
      <c r="F4" s="324"/>
    </row>
    <row r="5" spans="1:6" ht="14.4" x14ac:dyDescent="0.25">
      <c r="A5" s="123">
        <v>1</v>
      </c>
      <c r="B5" s="123" t="s">
        <v>92</v>
      </c>
      <c r="C5" s="189">
        <v>712500</v>
      </c>
      <c r="D5" s="189">
        <v>175000</v>
      </c>
      <c r="E5" s="189">
        <v>50000</v>
      </c>
      <c r="F5" s="189">
        <v>0</v>
      </c>
    </row>
    <row r="6" spans="1:6" ht="14.4" x14ac:dyDescent="0.25">
      <c r="A6" s="123">
        <v>2</v>
      </c>
      <c r="B6" s="123"/>
      <c r="C6" s="123"/>
      <c r="D6" s="123"/>
      <c r="E6" s="123"/>
      <c r="F6" s="123"/>
    </row>
    <row r="7" spans="1:6" ht="14.4" x14ac:dyDescent="0.25">
      <c r="A7" s="123">
        <v>3</v>
      </c>
      <c r="B7" s="123"/>
      <c r="C7" s="123"/>
      <c r="D7" s="123"/>
      <c r="E7" s="123"/>
      <c r="F7" s="123"/>
    </row>
    <row r="8" spans="1:6" ht="14.4" x14ac:dyDescent="0.25">
      <c r="A8" s="123">
        <v>4</v>
      </c>
      <c r="B8" s="123"/>
      <c r="C8" s="123"/>
      <c r="D8" s="123"/>
      <c r="E8" s="123"/>
      <c r="F8" s="123"/>
    </row>
    <row r="9" spans="1:6" ht="14.4" x14ac:dyDescent="0.25">
      <c r="A9" s="123">
        <v>5</v>
      </c>
      <c r="B9" s="123"/>
      <c r="C9" s="123"/>
      <c r="D9" s="123"/>
      <c r="E9" s="123"/>
      <c r="F9" s="123"/>
    </row>
    <row r="10" spans="1:6" ht="14.4" x14ac:dyDescent="0.25">
      <c r="A10" s="123">
        <v>6</v>
      </c>
      <c r="B10" s="123"/>
      <c r="C10" s="123"/>
      <c r="D10" s="123"/>
      <c r="E10" s="123"/>
      <c r="F10" s="123"/>
    </row>
    <row r="11" spans="1:6" ht="14.4" x14ac:dyDescent="0.25">
      <c r="A11" s="123">
        <v>7</v>
      </c>
      <c r="B11" s="123"/>
      <c r="C11" s="123"/>
      <c r="D11" s="123"/>
      <c r="E11" s="123"/>
      <c r="F11" s="123"/>
    </row>
    <row r="12" spans="1:6" ht="14.4" x14ac:dyDescent="0.25">
      <c r="A12" s="123">
        <v>8</v>
      </c>
      <c r="B12" s="123"/>
      <c r="C12" s="123"/>
      <c r="D12" s="123"/>
      <c r="E12" s="123"/>
      <c r="F12" s="123"/>
    </row>
    <row r="13" spans="1:6" ht="14.4" x14ac:dyDescent="0.25">
      <c r="A13" s="123">
        <v>9</v>
      </c>
      <c r="B13" s="123"/>
      <c r="C13" s="123"/>
      <c r="D13" s="123"/>
      <c r="E13" s="123"/>
      <c r="F13" s="123"/>
    </row>
    <row r="14" spans="1:6" ht="14.4" x14ac:dyDescent="0.25">
      <c r="A14" s="123">
        <v>10</v>
      </c>
      <c r="B14" s="123"/>
      <c r="C14" s="123"/>
      <c r="D14" s="123"/>
      <c r="E14" s="123"/>
      <c r="F14" s="123"/>
    </row>
    <row r="15" spans="1:6" ht="16.5" customHeight="1" x14ac:dyDescent="0.3">
      <c r="A15" s="125">
        <v>11</v>
      </c>
      <c r="B15" s="125" t="s">
        <v>93</v>
      </c>
      <c r="C15" s="120">
        <f>SUM(C5:C14)</f>
        <v>712500</v>
      </c>
      <c r="D15" s="120">
        <f>SUM(D5:D14)</f>
        <v>175000</v>
      </c>
      <c r="E15" s="120">
        <f>SUM(E5:E14)</f>
        <v>50000</v>
      </c>
      <c r="F15" s="120">
        <f>SUM(F5:F14)</f>
        <v>0</v>
      </c>
    </row>
  </sheetData>
  <sheetProtection sheet="1" objects="1" scenarios="1"/>
  <mergeCells count="7">
    <mergeCell ref="B2:B4"/>
    <mergeCell ref="A2:A4"/>
    <mergeCell ref="A1:F1"/>
    <mergeCell ref="C2:C4"/>
    <mergeCell ref="D2:D4"/>
    <mergeCell ref="E2:E4"/>
    <mergeCell ref="F2:F4"/>
  </mergeCells>
  <phoneticPr fontId="16" type="noConversion"/>
  <pageMargins left="0.75" right="0.75" top="1" bottom="1" header="0.5" footer="0.5"/>
  <pageSetup paperSize="9" orientation="landscape" r:id="rId1"/>
  <headerFooter alignWithMargins="0">
    <oddHeader>&amp;R9.sz. melléklet
Ft- ban</oddHeader>
  </headerFooter>
  <ignoredErrors>
    <ignoredError sqref="C15:F15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4" tint="0.79998168889431442"/>
  </sheetPr>
  <dimension ref="A1:B19"/>
  <sheetViews>
    <sheetView zoomScaleNormal="100" workbookViewId="0">
      <selection activeCell="A16" sqref="A16"/>
    </sheetView>
  </sheetViews>
  <sheetFormatPr defaultRowHeight="13.2" x14ac:dyDescent="0.25"/>
  <cols>
    <col min="1" max="1" width="42.5546875" customWidth="1"/>
    <col min="2" max="2" width="16.6640625" customWidth="1"/>
  </cols>
  <sheetData>
    <row r="1" spans="1:2" ht="15.6" x14ac:dyDescent="0.25">
      <c r="A1" s="323" t="s">
        <v>59</v>
      </c>
      <c r="B1" s="323"/>
    </row>
    <row r="2" spans="1:2" ht="15.6" x14ac:dyDescent="0.25">
      <c r="A2" s="323" t="s">
        <v>539</v>
      </c>
      <c r="B2" s="323"/>
    </row>
    <row r="3" spans="1:2" ht="14.4" x14ac:dyDescent="0.25">
      <c r="A3" s="115"/>
      <c r="B3" s="115" t="s">
        <v>60</v>
      </c>
    </row>
    <row r="4" spans="1:2" ht="14.4" x14ac:dyDescent="0.3">
      <c r="A4" s="115" t="s">
        <v>61</v>
      </c>
      <c r="B4" s="88">
        <v>50000</v>
      </c>
    </row>
    <row r="5" spans="1:2" ht="14.4" x14ac:dyDescent="0.3">
      <c r="A5" s="263" t="s">
        <v>746</v>
      </c>
      <c r="B5" s="88">
        <v>1000000</v>
      </c>
    </row>
    <row r="6" spans="1:2" s="109" customFormat="1" ht="14.4" x14ac:dyDescent="0.3">
      <c r="A6" s="263" t="s">
        <v>745</v>
      </c>
      <c r="B6" s="88">
        <v>3000000</v>
      </c>
    </row>
    <row r="7" spans="1:2" ht="14.4" x14ac:dyDescent="0.3">
      <c r="A7" s="115" t="s">
        <v>62</v>
      </c>
      <c r="B7" s="88">
        <v>250000</v>
      </c>
    </row>
    <row r="8" spans="1:2" ht="14.4" x14ac:dyDescent="0.3">
      <c r="A8" s="115" t="s">
        <v>63</v>
      </c>
      <c r="B8" s="88">
        <v>900000</v>
      </c>
    </row>
    <row r="9" spans="1:2" ht="14.4" x14ac:dyDescent="0.3">
      <c r="A9" s="115" t="s">
        <v>64</v>
      </c>
      <c r="B9" s="88">
        <v>200000</v>
      </c>
    </row>
    <row r="10" spans="1:2" ht="14.4" x14ac:dyDescent="0.3">
      <c r="A10" s="263" t="s">
        <v>747</v>
      </c>
      <c r="B10" s="88">
        <v>200000</v>
      </c>
    </row>
    <row r="11" spans="1:2" ht="14.4" x14ac:dyDescent="0.3">
      <c r="A11" s="115" t="s">
        <v>485</v>
      </c>
      <c r="B11" s="88">
        <v>60000</v>
      </c>
    </row>
    <row r="12" spans="1:2" ht="14.4" x14ac:dyDescent="0.25">
      <c r="A12" s="115"/>
      <c r="B12" s="115"/>
    </row>
    <row r="13" spans="1:2" ht="14.4" x14ac:dyDescent="0.25">
      <c r="A13" s="115"/>
      <c r="B13" s="115"/>
    </row>
    <row r="14" spans="1:2" ht="14.4" x14ac:dyDescent="0.3">
      <c r="A14" s="115" t="s">
        <v>65</v>
      </c>
      <c r="B14" s="190">
        <v>150000</v>
      </c>
    </row>
    <row r="15" spans="1:2" ht="14.4" x14ac:dyDescent="0.3">
      <c r="A15" s="270" t="s">
        <v>764</v>
      </c>
      <c r="B15" s="88">
        <v>150000</v>
      </c>
    </row>
    <row r="16" spans="1:2" ht="14.4" x14ac:dyDescent="0.3">
      <c r="A16" s="114" t="s">
        <v>1</v>
      </c>
      <c r="B16" s="84">
        <f>SUM(B4:B15)</f>
        <v>5960000</v>
      </c>
    </row>
    <row r="18" spans="1:1" ht="14.4" x14ac:dyDescent="0.25">
      <c r="A18" s="262"/>
    </row>
    <row r="19" spans="1:1" x14ac:dyDescent="0.25">
      <c r="A19" s="3"/>
    </row>
  </sheetData>
  <sheetProtection sheet="1" objects="1" scenarios="1"/>
  <mergeCells count="2">
    <mergeCell ref="A1:B1"/>
    <mergeCell ref="A2:B2"/>
  </mergeCells>
  <phoneticPr fontId="16" type="noConversion"/>
  <pageMargins left="0.75" right="0.75" top="1" bottom="1" header="0.5" footer="0.5"/>
  <pageSetup paperSize="9" orientation="portrait" r:id="rId1"/>
  <headerFooter alignWithMargins="0">
    <oddHeader>&amp;R11.számú melléklet
Ft-ban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79998168889431442"/>
    <pageSetUpPr fitToPage="1"/>
  </sheetPr>
  <dimension ref="A1:I65"/>
  <sheetViews>
    <sheetView zoomScaleNormal="100" workbookViewId="0">
      <selection activeCell="D4" sqref="D4"/>
    </sheetView>
  </sheetViews>
  <sheetFormatPr defaultColWidth="9.109375" defaultRowHeight="13.2" x14ac:dyDescent="0.25"/>
  <cols>
    <col min="1" max="1" width="9.44140625" style="55" bestFit="1" customWidth="1"/>
    <col min="2" max="2" width="56.88671875" style="55" customWidth="1"/>
    <col min="3" max="7" width="16.77734375" style="55" customWidth="1"/>
    <col min="8" max="16384" width="9.109375" style="55"/>
  </cols>
  <sheetData>
    <row r="1" spans="1:9" ht="15.6" x14ac:dyDescent="0.25">
      <c r="A1" s="284" t="s">
        <v>84</v>
      </c>
      <c r="B1" s="284"/>
      <c r="C1" s="284"/>
      <c r="D1" s="284"/>
      <c r="E1" s="284"/>
      <c r="F1" s="284"/>
      <c r="G1" s="284"/>
    </row>
    <row r="2" spans="1:9" ht="15.6" x14ac:dyDescent="0.25">
      <c r="A2" s="284" t="s">
        <v>539</v>
      </c>
      <c r="B2" s="284"/>
      <c r="C2" s="284"/>
      <c r="D2" s="284"/>
      <c r="E2" s="284"/>
      <c r="F2" s="284"/>
      <c r="G2" s="284"/>
    </row>
    <row r="3" spans="1:9" ht="31.2" x14ac:dyDescent="0.25">
      <c r="A3" s="289" t="s">
        <v>9</v>
      </c>
      <c r="B3" s="289"/>
      <c r="C3" s="188" t="s">
        <v>518</v>
      </c>
      <c r="D3" s="139" t="s">
        <v>514</v>
      </c>
      <c r="E3" s="139" t="s">
        <v>515</v>
      </c>
      <c r="F3" s="139" t="s">
        <v>516</v>
      </c>
      <c r="G3" s="139" t="s">
        <v>517</v>
      </c>
      <c r="H3" s="131"/>
      <c r="I3" s="131"/>
    </row>
    <row r="4" spans="1:9" ht="14.4" x14ac:dyDescent="0.3">
      <c r="A4" s="140" t="s">
        <v>155</v>
      </c>
      <c r="B4" s="140" t="s">
        <v>45</v>
      </c>
      <c r="C4" s="195">
        <v>62885731</v>
      </c>
      <c r="D4" s="195">
        <f>('7(3a).Személyi jutt intézmény'!$F23)</f>
        <v>64149231</v>
      </c>
      <c r="E4" s="195"/>
      <c r="F4" s="195"/>
      <c r="G4" s="195"/>
    </row>
    <row r="5" spans="1:9" ht="14.4" x14ac:dyDescent="0.3">
      <c r="A5" s="140" t="s">
        <v>154</v>
      </c>
      <c r="B5" s="140" t="s">
        <v>156</v>
      </c>
      <c r="C5" s="195">
        <v>8283446</v>
      </c>
      <c r="D5" s="195">
        <f>('7(3a).Személyi jutt intézmény'!$F30)</f>
        <v>8529828.625</v>
      </c>
      <c r="E5" s="195"/>
      <c r="F5" s="195"/>
      <c r="G5" s="195"/>
    </row>
    <row r="6" spans="1:9" ht="14.4" x14ac:dyDescent="0.3">
      <c r="A6" s="140" t="s">
        <v>157</v>
      </c>
      <c r="B6" s="140" t="s">
        <v>46</v>
      </c>
      <c r="C6" s="195">
        <v>70410000</v>
      </c>
      <c r="D6" s="195">
        <f>('8(3b).Dologi kiad intézmény'!$F25)</f>
        <v>68951500</v>
      </c>
      <c r="E6" s="195"/>
      <c r="F6" s="195"/>
      <c r="G6" s="195"/>
    </row>
    <row r="7" spans="1:9" ht="14.4" x14ac:dyDescent="0.3">
      <c r="A7" s="140" t="s">
        <v>160</v>
      </c>
      <c r="B7" s="140" t="s">
        <v>161</v>
      </c>
      <c r="C7" s="127">
        <v>300000</v>
      </c>
      <c r="D7" s="127">
        <v>300000</v>
      </c>
      <c r="E7" s="127"/>
      <c r="F7" s="127"/>
      <c r="G7" s="127"/>
    </row>
    <row r="8" spans="1:9" ht="14.4" x14ac:dyDescent="0.3">
      <c r="A8" s="140" t="s">
        <v>162</v>
      </c>
      <c r="B8" s="140" t="s">
        <v>163</v>
      </c>
      <c r="C8" s="127">
        <v>500000</v>
      </c>
      <c r="D8" s="127">
        <v>500000</v>
      </c>
      <c r="E8" s="127"/>
      <c r="F8" s="127"/>
      <c r="G8" s="127"/>
    </row>
    <row r="9" spans="1:9" ht="14.4" x14ac:dyDescent="0.3">
      <c r="A9" s="140" t="s">
        <v>164</v>
      </c>
      <c r="B9" s="140" t="s">
        <v>216</v>
      </c>
      <c r="C9" s="127">
        <v>0</v>
      </c>
      <c r="D9" s="127">
        <v>0</v>
      </c>
      <c r="E9" s="127"/>
      <c r="F9" s="127"/>
      <c r="G9" s="127"/>
    </row>
    <row r="10" spans="1:9" ht="14.4" x14ac:dyDescent="0.3">
      <c r="A10" s="140" t="s">
        <v>166</v>
      </c>
      <c r="B10" s="140" t="s">
        <v>167</v>
      </c>
      <c r="C10" s="127">
        <v>7200000</v>
      </c>
      <c r="D10" s="127">
        <v>7200000</v>
      </c>
      <c r="E10" s="127"/>
      <c r="F10" s="127"/>
      <c r="G10" s="127"/>
    </row>
    <row r="11" spans="1:9" ht="14.4" x14ac:dyDescent="0.3">
      <c r="A11" s="141" t="s">
        <v>158</v>
      </c>
      <c r="B11" s="141" t="s">
        <v>159</v>
      </c>
      <c r="C11" s="120">
        <f>SUM(C7:C10)</f>
        <v>8000000</v>
      </c>
      <c r="D11" s="120">
        <f t="shared" ref="D11:G11" si="0">SUM(D7:D10)</f>
        <v>8000000</v>
      </c>
      <c r="E11" s="120">
        <f t="shared" si="0"/>
        <v>0</v>
      </c>
      <c r="F11" s="120">
        <f t="shared" si="0"/>
        <v>0</v>
      </c>
      <c r="G11" s="120">
        <f t="shared" si="0"/>
        <v>0</v>
      </c>
    </row>
    <row r="12" spans="1:9" ht="14.4" x14ac:dyDescent="0.3">
      <c r="A12" s="140" t="s">
        <v>417</v>
      </c>
      <c r="B12" s="140" t="s">
        <v>418</v>
      </c>
      <c r="C12" s="127">
        <v>0</v>
      </c>
      <c r="D12" s="127">
        <v>0</v>
      </c>
      <c r="E12" s="127"/>
      <c r="F12" s="127"/>
      <c r="G12" s="127"/>
    </row>
    <row r="13" spans="1:9" ht="14.4" x14ac:dyDescent="0.3">
      <c r="A13" s="140" t="s">
        <v>483</v>
      </c>
      <c r="B13" s="140" t="s">
        <v>484</v>
      </c>
      <c r="C13" s="144">
        <v>712500</v>
      </c>
      <c r="D13" s="144">
        <f>('11(9).Több éves kihat. döntések'!$C5)</f>
        <v>712500</v>
      </c>
      <c r="E13" s="127"/>
      <c r="F13" s="127"/>
      <c r="G13" s="127"/>
    </row>
    <row r="14" spans="1:9" ht="14.4" x14ac:dyDescent="0.3">
      <c r="A14" s="140" t="s">
        <v>456</v>
      </c>
      <c r="B14" s="140" t="s">
        <v>227</v>
      </c>
      <c r="C14" s="144">
        <v>5960000</v>
      </c>
      <c r="D14" s="144">
        <f>('12(11).Adott támogatások'!$B16)</f>
        <v>5960000</v>
      </c>
      <c r="E14" s="144"/>
      <c r="F14" s="144"/>
      <c r="G14" s="144"/>
    </row>
    <row r="15" spans="1:9" ht="14.4" x14ac:dyDescent="0.3">
      <c r="A15" s="140" t="s">
        <v>456</v>
      </c>
      <c r="B15" s="140" t="s">
        <v>332</v>
      </c>
      <c r="C15" s="127">
        <v>0</v>
      </c>
      <c r="D15" s="127">
        <v>0</v>
      </c>
      <c r="E15" s="127"/>
      <c r="F15" s="127"/>
      <c r="G15" s="127"/>
    </row>
    <row r="16" spans="1:9" ht="14.4" x14ac:dyDescent="0.3">
      <c r="A16" s="141" t="s">
        <v>457</v>
      </c>
      <c r="B16" s="141" t="s">
        <v>174</v>
      </c>
      <c r="C16" s="120">
        <f>SUM(C14:C15)</f>
        <v>5960000</v>
      </c>
      <c r="D16" s="120">
        <f t="shared" ref="D16:G16" si="1">SUM(D14:D15)</f>
        <v>5960000</v>
      </c>
      <c r="E16" s="120">
        <f t="shared" si="1"/>
        <v>0</v>
      </c>
      <c r="F16" s="120">
        <f t="shared" si="1"/>
        <v>0</v>
      </c>
      <c r="G16" s="120">
        <f t="shared" si="1"/>
        <v>0</v>
      </c>
    </row>
    <row r="17" spans="1:7" ht="14.4" x14ac:dyDescent="0.3">
      <c r="A17" s="159" t="s">
        <v>458</v>
      </c>
      <c r="B17" s="199" t="s">
        <v>407</v>
      </c>
      <c r="C17" s="197">
        <v>86925027</v>
      </c>
      <c r="D17" s="197">
        <v>87970882</v>
      </c>
      <c r="E17" s="197"/>
      <c r="F17" s="197"/>
      <c r="G17" s="197"/>
    </row>
    <row r="18" spans="1:7" ht="14.4" x14ac:dyDescent="0.3">
      <c r="A18" s="141" t="s">
        <v>168</v>
      </c>
      <c r="B18" s="141" t="s">
        <v>169</v>
      </c>
      <c r="C18" s="120">
        <f>(C12+C13+C16+C17)</f>
        <v>93597527</v>
      </c>
      <c r="D18" s="120">
        <f t="shared" ref="D18:G18" si="2">(D12+D13+D16+D17)</f>
        <v>94643382</v>
      </c>
      <c r="E18" s="120">
        <f t="shared" si="2"/>
        <v>0</v>
      </c>
      <c r="F18" s="120">
        <f t="shared" si="2"/>
        <v>0</v>
      </c>
      <c r="G18" s="120">
        <f t="shared" si="2"/>
        <v>0</v>
      </c>
    </row>
    <row r="19" spans="1:7" ht="14.4" x14ac:dyDescent="0.3">
      <c r="A19" s="140" t="s">
        <v>170</v>
      </c>
      <c r="B19" s="140" t="s">
        <v>48</v>
      </c>
      <c r="C19" s="195">
        <v>1051344</v>
      </c>
      <c r="D19" s="195">
        <f>('9(1c).Beruházás felújítás'!$M59)</f>
        <v>10513448</v>
      </c>
      <c r="E19" s="195"/>
      <c r="F19" s="195"/>
      <c r="G19" s="195"/>
    </row>
    <row r="20" spans="1:7" ht="14.4" x14ac:dyDescent="0.3">
      <c r="A20" s="140" t="s">
        <v>171</v>
      </c>
      <c r="B20" s="140" t="s">
        <v>47</v>
      </c>
      <c r="C20" s="195">
        <v>168144986</v>
      </c>
      <c r="D20" s="195">
        <f>('9(1c).Beruházás felújítás'!$M35)</f>
        <v>182696886</v>
      </c>
      <c r="E20" s="195"/>
      <c r="F20" s="195"/>
      <c r="G20" s="195"/>
    </row>
    <row r="21" spans="1:7" ht="14.4" x14ac:dyDescent="0.3">
      <c r="A21" s="140" t="s">
        <v>486</v>
      </c>
      <c r="B21" s="140" t="s">
        <v>487</v>
      </c>
      <c r="C21" s="127">
        <v>2000000</v>
      </c>
      <c r="D21" s="127">
        <v>2000000</v>
      </c>
      <c r="E21" s="127"/>
      <c r="F21" s="127"/>
      <c r="G21" s="127"/>
    </row>
    <row r="22" spans="1:7" ht="14.4" x14ac:dyDescent="0.3">
      <c r="A22" s="141" t="s">
        <v>172</v>
      </c>
      <c r="B22" s="141" t="s">
        <v>173</v>
      </c>
      <c r="C22" s="120">
        <f>C21</f>
        <v>2000000</v>
      </c>
      <c r="D22" s="120">
        <f t="shared" ref="D22:G22" si="3">D21</f>
        <v>2000000</v>
      </c>
      <c r="E22" s="120">
        <f t="shared" si="3"/>
        <v>0</v>
      </c>
      <c r="F22" s="120">
        <f t="shared" si="3"/>
        <v>0</v>
      </c>
      <c r="G22" s="120">
        <f t="shared" si="3"/>
        <v>0</v>
      </c>
    </row>
    <row r="23" spans="1:7" s="56" customFormat="1" ht="15.6" x14ac:dyDescent="0.3">
      <c r="A23" s="145" t="s">
        <v>398</v>
      </c>
      <c r="B23" s="145" t="s">
        <v>397</v>
      </c>
      <c r="C23" s="129">
        <f>(C4+C5+C6+C11+C18+C19+C20+C22)</f>
        <v>414373034</v>
      </c>
      <c r="D23" s="129">
        <f t="shared" ref="D23:G23" si="4">(D4+D5+D6+D11+D18+D19+D20+D22)</f>
        <v>439484275.625</v>
      </c>
      <c r="E23" s="129">
        <f t="shared" si="4"/>
        <v>0</v>
      </c>
      <c r="F23" s="129">
        <f t="shared" si="4"/>
        <v>0</v>
      </c>
      <c r="G23" s="129">
        <f t="shared" si="4"/>
        <v>0</v>
      </c>
    </row>
    <row r="24" spans="1:7" ht="14.4" x14ac:dyDescent="0.3">
      <c r="A24" s="140" t="s">
        <v>395</v>
      </c>
      <c r="B24" s="140" t="s">
        <v>396</v>
      </c>
      <c r="C24" s="195">
        <f>('3(2).Bevétel intézmény'!E28)</f>
        <v>5982029</v>
      </c>
      <c r="D24" s="195">
        <f>('3(2).Bevétel intézmény'!F28)</f>
        <v>5982029</v>
      </c>
      <c r="E24" s="195"/>
      <c r="F24" s="195"/>
      <c r="G24" s="195"/>
    </row>
    <row r="25" spans="1:7" ht="14.4" x14ac:dyDescent="0.3">
      <c r="A25" s="194" t="s">
        <v>400</v>
      </c>
      <c r="B25" s="140" t="s">
        <v>367</v>
      </c>
      <c r="C25" s="195">
        <f>('5 (1).Bevételek összesen'!E32)</f>
        <v>138168131</v>
      </c>
      <c r="D25" s="195">
        <f>('5 (1).Bevételek összesen'!F32)</f>
        <v>138168131</v>
      </c>
      <c r="E25" s="195"/>
      <c r="F25" s="195"/>
      <c r="G25" s="195"/>
    </row>
    <row r="26" spans="1:7" ht="14.4" x14ac:dyDescent="0.3">
      <c r="A26" s="141" t="s">
        <v>176</v>
      </c>
      <c r="B26" s="141" t="s">
        <v>177</v>
      </c>
      <c r="C26" s="120">
        <f>SUM(C24:C25)</f>
        <v>144150160</v>
      </c>
      <c r="D26" s="120">
        <f t="shared" ref="D26:G26" si="5">SUM(D24:D25)</f>
        <v>144150160</v>
      </c>
      <c r="E26" s="120">
        <f t="shared" si="5"/>
        <v>0</v>
      </c>
      <c r="F26" s="120">
        <f t="shared" si="5"/>
        <v>0</v>
      </c>
      <c r="G26" s="120">
        <f t="shared" si="5"/>
        <v>0</v>
      </c>
    </row>
    <row r="27" spans="1:7" ht="14.25" customHeight="1" x14ac:dyDescent="0.3">
      <c r="A27" s="145" t="s">
        <v>399</v>
      </c>
      <c r="B27" s="145" t="s">
        <v>493</v>
      </c>
      <c r="C27" s="129">
        <f>C23+C26</f>
        <v>558523194</v>
      </c>
      <c r="D27" s="129">
        <f t="shared" ref="D27:G27" si="6">D23+D26</f>
        <v>583634435.625</v>
      </c>
      <c r="E27" s="129">
        <f t="shared" si="6"/>
        <v>0</v>
      </c>
      <c r="F27" s="129">
        <f t="shared" si="6"/>
        <v>0</v>
      </c>
      <c r="G27" s="129">
        <f t="shared" si="6"/>
        <v>0</v>
      </c>
    </row>
    <row r="28" spans="1:7" x14ac:dyDescent="0.25">
      <c r="B28" s="57"/>
      <c r="C28" s="57"/>
      <c r="E28" s="58"/>
    </row>
    <row r="29" spans="1:7" ht="31.2" x14ac:dyDescent="0.25">
      <c r="A29" s="292" t="s">
        <v>521</v>
      </c>
      <c r="B29" s="292"/>
      <c r="C29" s="188" t="s">
        <v>518</v>
      </c>
      <c r="D29" s="139" t="s">
        <v>514</v>
      </c>
      <c r="E29" s="139" t="s">
        <v>515</v>
      </c>
      <c r="F29" s="139" t="s">
        <v>516</v>
      </c>
      <c r="G29" s="139" t="s">
        <v>517</v>
      </c>
    </row>
    <row r="30" spans="1:7" ht="14.4" x14ac:dyDescent="0.3">
      <c r="A30" s="140" t="s">
        <v>155</v>
      </c>
      <c r="B30" s="140" t="s">
        <v>45</v>
      </c>
      <c r="C30" s="195">
        <v>41268400</v>
      </c>
      <c r="D30" s="195">
        <f>('7(3a).Személyi jutt intézmény'!C23)</f>
        <v>41268400</v>
      </c>
      <c r="E30" s="195"/>
      <c r="F30" s="195"/>
      <c r="G30" s="195"/>
    </row>
    <row r="31" spans="1:7" ht="14.4" x14ac:dyDescent="0.3">
      <c r="A31" s="140" t="s">
        <v>154</v>
      </c>
      <c r="B31" s="140" t="s">
        <v>156</v>
      </c>
      <c r="C31" s="195">
        <v>7963349</v>
      </c>
      <c r="D31" s="195">
        <f>('7(3a).Személyi jutt intézmény'!$C30)</f>
        <v>7963348.5</v>
      </c>
      <c r="E31" s="195"/>
      <c r="F31" s="195"/>
      <c r="G31" s="195"/>
    </row>
    <row r="32" spans="1:7" ht="14.4" x14ac:dyDescent="0.3">
      <c r="A32" s="140" t="s">
        <v>157</v>
      </c>
      <c r="B32" s="140" t="s">
        <v>46</v>
      </c>
      <c r="C32" s="195">
        <v>23568251</v>
      </c>
      <c r="D32" s="195">
        <f>('8(3b).Dologi kiad intézmény'!$C25)</f>
        <v>23568251</v>
      </c>
      <c r="E32" s="195"/>
      <c r="F32" s="195"/>
      <c r="G32" s="195"/>
    </row>
    <row r="33" spans="1:7" ht="13.5" customHeight="1" x14ac:dyDescent="0.3">
      <c r="A33" s="140" t="s">
        <v>158</v>
      </c>
      <c r="B33" s="140" t="s">
        <v>159</v>
      </c>
      <c r="C33" s="127"/>
      <c r="D33" s="127"/>
      <c r="E33" s="127"/>
      <c r="F33" s="127"/>
      <c r="G33" s="127"/>
    </row>
    <row r="34" spans="1:7" ht="14.4" x14ac:dyDescent="0.3">
      <c r="A34" s="140" t="s">
        <v>168</v>
      </c>
      <c r="B34" s="140" t="s">
        <v>169</v>
      </c>
      <c r="C34" s="127"/>
      <c r="D34" s="127"/>
      <c r="E34" s="127"/>
      <c r="F34" s="127"/>
      <c r="G34" s="127"/>
    </row>
    <row r="35" spans="1:7" ht="14.4" x14ac:dyDescent="0.3">
      <c r="A35" s="140" t="s">
        <v>170</v>
      </c>
      <c r="B35" s="140" t="s">
        <v>48</v>
      </c>
      <c r="C35" s="127"/>
      <c r="D35" s="127"/>
      <c r="E35" s="127"/>
      <c r="F35" s="127"/>
      <c r="G35" s="127"/>
    </row>
    <row r="36" spans="1:7" ht="14.4" x14ac:dyDescent="0.3">
      <c r="A36" s="140" t="s">
        <v>171</v>
      </c>
      <c r="B36" s="140" t="s">
        <v>47</v>
      </c>
      <c r="C36" s="127"/>
      <c r="D36" s="127"/>
      <c r="E36" s="127"/>
      <c r="F36" s="127"/>
      <c r="G36" s="127"/>
    </row>
    <row r="37" spans="1:7" ht="14.4" x14ac:dyDescent="0.3">
      <c r="A37" s="140" t="s">
        <v>172</v>
      </c>
      <c r="B37" s="140" t="s">
        <v>173</v>
      </c>
      <c r="C37" s="127"/>
      <c r="D37" s="127"/>
      <c r="E37" s="127"/>
      <c r="F37" s="127"/>
      <c r="G37" s="127"/>
    </row>
    <row r="38" spans="1:7" ht="14.4" x14ac:dyDescent="0.3">
      <c r="A38" s="140" t="s">
        <v>176</v>
      </c>
      <c r="B38" s="140" t="s">
        <v>177</v>
      </c>
      <c r="C38" s="127"/>
      <c r="D38" s="127"/>
      <c r="E38" s="127"/>
      <c r="F38" s="127"/>
      <c r="G38" s="127"/>
    </row>
    <row r="39" spans="1:7" ht="14.4" x14ac:dyDescent="0.3">
      <c r="A39" s="288" t="s">
        <v>49</v>
      </c>
      <c r="B39" s="288"/>
      <c r="C39" s="120">
        <f>SUM(C30:C38)</f>
        <v>72800000</v>
      </c>
      <c r="D39" s="120">
        <f t="shared" ref="D39:G39" si="7">SUM(D30:D38)</f>
        <v>72799999.5</v>
      </c>
      <c r="E39" s="120">
        <f t="shared" si="7"/>
        <v>0</v>
      </c>
      <c r="F39" s="120">
        <f t="shared" si="7"/>
        <v>0</v>
      </c>
      <c r="G39" s="120">
        <f t="shared" si="7"/>
        <v>0</v>
      </c>
    </row>
    <row r="41" spans="1:7" ht="31.2" x14ac:dyDescent="0.25">
      <c r="A41" s="291" t="s">
        <v>523</v>
      </c>
      <c r="B41" s="291"/>
      <c r="C41" s="188" t="s">
        <v>518</v>
      </c>
      <c r="D41" s="139" t="s">
        <v>514</v>
      </c>
      <c r="E41" s="139" t="s">
        <v>515</v>
      </c>
      <c r="F41" s="139" t="s">
        <v>516</v>
      </c>
      <c r="G41" s="139" t="s">
        <v>517</v>
      </c>
    </row>
    <row r="42" spans="1:7" ht="14.4" x14ac:dyDescent="0.3">
      <c r="A42" s="140" t="s">
        <v>155</v>
      </c>
      <c r="B42" s="140" t="s">
        <v>45</v>
      </c>
      <c r="C42" s="195">
        <v>20387141</v>
      </c>
      <c r="D42" s="195">
        <f>('7(3a).Személyi jutt intézmény'!$D23)</f>
        <v>20387141</v>
      </c>
      <c r="E42" s="195"/>
      <c r="F42" s="195"/>
      <c r="G42" s="195"/>
    </row>
    <row r="43" spans="1:7" ht="14.4" x14ac:dyDescent="0.3">
      <c r="A43" s="140" t="s">
        <v>154</v>
      </c>
      <c r="B43" s="140" t="s">
        <v>156</v>
      </c>
      <c r="C43" s="195">
        <v>3863826</v>
      </c>
      <c r="D43" s="195">
        <f>('7(3a).Személyi jutt intézmény'!$D30)</f>
        <v>3863825.64</v>
      </c>
      <c r="E43" s="195"/>
      <c r="F43" s="195"/>
      <c r="G43" s="195"/>
    </row>
    <row r="44" spans="1:7" ht="14.4" x14ac:dyDescent="0.3">
      <c r="A44" s="140" t="s">
        <v>157</v>
      </c>
      <c r="B44" s="140" t="s">
        <v>46</v>
      </c>
      <c r="C44" s="195">
        <v>2949033</v>
      </c>
      <c r="D44" s="195">
        <f>('8(3b).Dologi kiad intézmény'!$E25)</f>
        <v>2949033</v>
      </c>
      <c r="E44" s="195"/>
      <c r="F44" s="195"/>
      <c r="G44" s="195"/>
    </row>
    <row r="45" spans="1:7" ht="14.4" x14ac:dyDescent="0.3">
      <c r="A45" s="140" t="s">
        <v>158</v>
      </c>
      <c r="B45" s="140" t="s">
        <v>159</v>
      </c>
      <c r="C45" s="127"/>
      <c r="D45" s="127"/>
      <c r="E45" s="127"/>
      <c r="F45" s="127"/>
      <c r="G45" s="127"/>
    </row>
    <row r="46" spans="1:7" ht="14.4" x14ac:dyDescent="0.3">
      <c r="A46" s="140" t="s">
        <v>168</v>
      </c>
      <c r="B46" s="140" t="s">
        <v>169</v>
      </c>
      <c r="C46" s="127"/>
      <c r="D46" s="127"/>
      <c r="E46" s="127"/>
      <c r="F46" s="127"/>
      <c r="G46" s="127"/>
    </row>
    <row r="47" spans="1:7" ht="14.4" x14ac:dyDescent="0.3">
      <c r="A47" s="140" t="s">
        <v>170</v>
      </c>
      <c r="B47" s="140" t="s">
        <v>48</v>
      </c>
      <c r="C47" s="127"/>
      <c r="D47" s="127"/>
      <c r="E47" s="127"/>
      <c r="F47" s="127"/>
      <c r="G47" s="127"/>
    </row>
    <row r="48" spans="1:7" ht="14.4" x14ac:dyDescent="0.3">
      <c r="A48" s="140" t="s">
        <v>171</v>
      </c>
      <c r="B48" s="140" t="s">
        <v>47</v>
      </c>
      <c r="C48" s="127"/>
      <c r="D48" s="127"/>
      <c r="E48" s="127"/>
      <c r="F48" s="127"/>
      <c r="G48" s="127"/>
    </row>
    <row r="49" spans="1:7" ht="14.4" x14ac:dyDescent="0.3">
      <c r="A49" s="140" t="s">
        <v>172</v>
      </c>
      <c r="B49" s="140" t="s">
        <v>173</v>
      </c>
      <c r="C49" s="127"/>
      <c r="D49" s="127"/>
      <c r="E49" s="127"/>
      <c r="F49" s="127"/>
      <c r="G49" s="127"/>
    </row>
    <row r="50" spans="1:7" ht="14.4" x14ac:dyDescent="0.3">
      <c r="A50" s="140" t="s">
        <v>176</v>
      </c>
      <c r="B50" s="140" t="s">
        <v>177</v>
      </c>
      <c r="C50" s="127"/>
      <c r="D50" s="127"/>
      <c r="E50" s="127"/>
      <c r="F50" s="127"/>
      <c r="G50" s="127"/>
    </row>
    <row r="51" spans="1:7" ht="14.4" x14ac:dyDescent="0.3">
      <c r="A51" s="288" t="s">
        <v>49</v>
      </c>
      <c r="B51" s="288"/>
      <c r="C51" s="120">
        <f>SUM(C42:C50)</f>
        <v>27200000</v>
      </c>
      <c r="D51" s="120">
        <f t="shared" ref="D51" si="8">SUM(D42:D50)</f>
        <v>27199999.640000001</v>
      </c>
      <c r="E51" s="120">
        <f t="shared" ref="E51" si="9">SUM(E42:E50)</f>
        <v>0</v>
      </c>
      <c r="F51" s="120">
        <f t="shared" ref="F51" si="10">SUM(F42:F50)</f>
        <v>0</v>
      </c>
      <c r="G51" s="120">
        <f t="shared" ref="G51" si="11">SUM(G42:G50)</f>
        <v>0</v>
      </c>
    </row>
    <row r="53" spans="1:7" ht="31.2" x14ac:dyDescent="0.25">
      <c r="A53" s="290" t="s">
        <v>522</v>
      </c>
      <c r="B53" s="290"/>
      <c r="C53" s="188" t="s">
        <v>518</v>
      </c>
      <c r="D53" s="139" t="s">
        <v>514</v>
      </c>
      <c r="E53" s="139" t="s">
        <v>515</v>
      </c>
      <c r="F53" s="139" t="s">
        <v>516</v>
      </c>
      <c r="G53" s="139" t="s">
        <v>517</v>
      </c>
    </row>
    <row r="54" spans="1:7" ht="14.4" x14ac:dyDescent="0.3">
      <c r="A54" s="140" t="s">
        <v>155</v>
      </c>
      <c r="B54" s="140" t="s">
        <v>45</v>
      </c>
      <c r="C54" s="195">
        <v>41038332</v>
      </c>
      <c r="D54" s="195">
        <f>('7(3a).Személyi jutt intézmény'!$E23)</f>
        <v>41038332</v>
      </c>
      <c r="E54" s="195"/>
      <c r="F54" s="195"/>
      <c r="G54" s="195"/>
    </row>
    <row r="55" spans="1:7" ht="14.4" x14ac:dyDescent="0.3">
      <c r="A55" s="140" t="s">
        <v>154</v>
      </c>
      <c r="B55" s="140" t="s">
        <v>156</v>
      </c>
      <c r="C55" s="195">
        <v>7857969</v>
      </c>
      <c r="D55" s="195">
        <f>('7(3a).Személyi jutt intézmény'!$E30)</f>
        <v>7857968.7650000015</v>
      </c>
      <c r="E55" s="195"/>
      <c r="F55" s="195"/>
      <c r="G55" s="195"/>
    </row>
    <row r="56" spans="1:7" ht="14.4" x14ac:dyDescent="0.3">
      <c r="A56" s="140" t="s">
        <v>157</v>
      </c>
      <c r="B56" s="140" t="s">
        <v>46</v>
      </c>
      <c r="C56" s="195">
        <v>4703699</v>
      </c>
      <c r="D56" s="195">
        <f>('8(3b).Dologi kiad intézmény'!$D25)</f>
        <v>4703699</v>
      </c>
      <c r="E56" s="195"/>
      <c r="F56" s="195"/>
      <c r="G56" s="195"/>
    </row>
    <row r="57" spans="1:7" ht="14.4" x14ac:dyDescent="0.3">
      <c r="A57" s="140" t="s">
        <v>158</v>
      </c>
      <c r="B57" s="140" t="s">
        <v>159</v>
      </c>
      <c r="C57" s="127"/>
      <c r="D57" s="127"/>
      <c r="E57" s="127"/>
      <c r="F57" s="127"/>
      <c r="G57" s="127"/>
    </row>
    <row r="58" spans="1:7" ht="14.4" x14ac:dyDescent="0.3">
      <c r="A58" s="140" t="s">
        <v>168</v>
      </c>
      <c r="B58" s="140" t="s">
        <v>169</v>
      </c>
      <c r="C58" s="127"/>
      <c r="D58" s="127"/>
      <c r="E58" s="127"/>
      <c r="F58" s="127"/>
      <c r="G58" s="127"/>
    </row>
    <row r="59" spans="1:7" ht="14.4" x14ac:dyDescent="0.3">
      <c r="A59" s="140" t="s">
        <v>170</v>
      </c>
      <c r="B59" s="140" t="s">
        <v>48</v>
      </c>
      <c r="C59" s="127"/>
      <c r="D59" s="127"/>
      <c r="E59" s="127"/>
      <c r="F59" s="127"/>
      <c r="G59" s="127"/>
    </row>
    <row r="60" spans="1:7" ht="14.4" x14ac:dyDescent="0.3">
      <c r="A60" s="140" t="s">
        <v>171</v>
      </c>
      <c r="B60" s="140" t="s">
        <v>47</v>
      </c>
      <c r="C60" s="127"/>
      <c r="D60" s="127"/>
      <c r="E60" s="127"/>
      <c r="F60" s="127"/>
      <c r="G60" s="127"/>
    </row>
    <row r="61" spans="1:7" ht="14.4" x14ac:dyDescent="0.3">
      <c r="A61" s="140" t="s">
        <v>172</v>
      </c>
      <c r="B61" s="140" t="s">
        <v>173</v>
      </c>
      <c r="C61" s="127"/>
      <c r="D61" s="127"/>
      <c r="E61" s="127"/>
      <c r="F61" s="127"/>
      <c r="G61" s="127"/>
    </row>
    <row r="62" spans="1:7" ht="14.4" x14ac:dyDescent="0.3">
      <c r="A62" s="140" t="s">
        <v>176</v>
      </c>
      <c r="B62" s="140" t="s">
        <v>177</v>
      </c>
      <c r="C62" s="127"/>
      <c r="D62" s="127"/>
      <c r="E62" s="127"/>
      <c r="F62" s="127"/>
      <c r="G62" s="127"/>
    </row>
    <row r="63" spans="1:7" ht="14.4" x14ac:dyDescent="0.3">
      <c r="A63" s="288" t="s">
        <v>49</v>
      </c>
      <c r="B63" s="288"/>
      <c r="C63" s="120">
        <f>SUM(C54:C62)</f>
        <v>53600000</v>
      </c>
      <c r="D63" s="120">
        <f t="shared" ref="D63" si="12">SUM(D54:D62)</f>
        <v>53599999.765000001</v>
      </c>
      <c r="E63" s="120">
        <f t="shared" ref="E63" si="13">SUM(E54:E62)</f>
        <v>0</v>
      </c>
      <c r="F63" s="120">
        <f t="shared" ref="F63" si="14">SUM(F54:F62)</f>
        <v>0</v>
      </c>
      <c r="G63" s="120">
        <f t="shared" ref="G63" si="15">SUM(G54:G62)</f>
        <v>0</v>
      </c>
    </row>
    <row r="65" spans="3:3" x14ac:dyDescent="0.25">
      <c r="C65" s="59"/>
    </row>
  </sheetData>
  <sheetProtection sheet="1" objects="1" scenarios="1"/>
  <mergeCells count="9">
    <mergeCell ref="A1:G1"/>
    <mergeCell ref="A2:G2"/>
    <mergeCell ref="A39:B39"/>
    <mergeCell ref="A51:B51"/>
    <mergeCell ref="A63:B63"/>
    <mergeCell ref="A53:B53"/>
    <mergeCell ref="A3:B3"/>
    <mergeCell ref="A29:B29"/>
    <mergeCell ref="A41:B41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58" orientation="portrait" r:id="rId1"/>
  <headerFooter alignWithMargins="0">
    <oddHeader>&amp;R4.sz. melléklet
Ft-ban</oddHeader>
  </headerFooter>
  <ignoredErrors>
    <ignoredError sqref="C11 C16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4" tint="0.79998168889431442"/>
    <pageSetUpPr fitToPage="1"/>
  </sheetPr>
  <dimension ref="A1:K67"/>
  <sheetViews>
    <sheetView zoomScaleNormal="100" zoomScalePageLayoutView="90" workbookViewId="0">
      <selection activeCell="F9" sqref="F9"/>
    </sheetView>
  </sheetViews>
  <sheetFormatPr defaultColWidth="9.109375" defaultRowHeight="13.2" x14ac:dyDescent="0.25"/>
  <cols>
    <col min="1" max="1" width="6.33203125" style="9" customWidth="1"/>
    <col min="2" max="2" width="30.88671875" style="9" customWidth="1"/>
    <col min="3" max="3" width="6.109375" style="9" customWidth="1"/>
    <col min="4" max="8" width="17" style="9" customWidth="1"/>
    <col min="9" max="16384" width="9.109375" style="9"/>
  </cols>
  <sheetData>
    <row r="1" spans="1:10" ht="15.6" x14ac:dyDescent="0.25">
      <c r="A1" s="323" t="s">
        <v>568</v>
      </c>
      <c r="B1" s="323"/>
      <c r="C1" s="323"/>
      <c r="D1" s="323"/>
      <c r="E1" s="323"/>
      <c r="F1" s="323"/>
      <c r="G1" s="323"/>
      <c r="H1" s="323"/>
    </row>
    <row r="2" spans="1:10" ht="15.6" x14ac:dyDescent="0.25">
      <c r="A2" s="323" t="s">
        <v>98</v>
      </c>
      <c r="B2" s="323"/>
      <c r="C2" s="323"/>
      <c r="D2" s="323"/>
      <c r="E2" s="323"/>
      <c r="F2" s="323"/>
      <c r="G2" s="323"/>
      <c r="H2" s="323"/>
    </row>
    <row r="3" spans="1:10" ht="51" customHeight="1" x14ac:dyDescent="0.25">
      <c r="A3" s="298" t="s">
        <v>99</v>
      </c>
      <c r="B3" s="140"/>
      <c r="C3" s="339" t="s">
        <v>589</v>
      </c>
      <c r="D3" s="180" t="s">
        <v>45</v>
      </c>
      <c r="E3" s="180" t="s">
        <v>100</v>
      </c>
      <c r="F3" s="196" t="s">
        <v>46</v>
      </c>
      <c r="G3" s="180" t="s">
        <v>394</v>
      </c>
      <c r="H3" s="180" t="s">
        <v>101</v>
      </c>
    </row>
    <row r="4" spans="1:10" ht="18" customHeight="1" x14ac:dyDescent="0.25">
      <c r="A4" s="298"/>
      <c r="B4" s="140" t="s">
        <v>69</v>
      </c>
      <c r="C4" s="298"/>
      <c r="D4" s="324" t="s">
        <v>102</v>
      </c>
      <c r="E4" s="324"/>
      <c r="F4" s="324"/>
      <c r="G4" s="324"/>
      <c r="H4" s="324"/>
    </row>
    <row r="5" spans="1:10" ht="21" customHeight="1" x14ac:dyDescent="0.25">
      <c r="A5" s="140"/>
      <c r="B5" s="318" t="s">
        <v>118</v>
      </c>
      <c r="C5" s="318"/>
      <c r="D5" s="318"/>
      <c r="E5" s="318"/>
      <c r="F5" s="318"/>
      <c r="G5" s="318"/>
      <c r="H5" s="318"/>
    </row>
    <row r="6" spans="1:10" ht="18" customHeight="1" x14ac:dyDescent="0.25">
      <c r="A6" s="140"/>
      <c r="B6" s="298" t="s">
        <v>103</v>
      </c>
      <c r="C6" s="298"/>
      <c r="D6" s="140"/>
      <c r="E6" s="140"/>
      <c r="F6" s="140"/>
      <c r="G6" s="140"/>
      <c r="H6" s="140"/>
    </row>
    <row r="7" spans="1:10" ht="18" customHeight="1" x14ac:dyDescent="0.25">
      <c r="A7" s="140" t="s">
        <v>10</v>
      </c>
      <c r="B7" s="140" t="s">
        <v>119</v>
      </c>
      <c r="C7" s="210"/>
      <c r="D7" s="157">
        <v>11000000</v>
      </c>
      <c r="E7" s="157">
        <v>2050000</v>
      </c>
      <c r="F7" s="157"/>
      <c r="G7" s="157"/>
      <c r="H7" s="151">
        <f>SUM(D7:G7)</f>
        <v>13050000</v>
      </c>
    </row>
    <row r="8" spans="1:10" ht="18" customHeight="1" x14ac:dyDescent="0.25">
      <c r="A8" s="202" t="s">
        <v>11</v>
      </c>
      <c r="B8" s="140" t="s">
        <v>219</v>
      </c>
      <c r="C8" s="207">
        <v>3</v>
      </c>
      <c r="D8" s="157">
        <v>9585900</v>
      </c>
      <c r="E8" s="157">
        <v>1445318</v>
      </c>
      <c r="F8" s="157">
        <v>18941500</v>
      </c>
      <c r="G8" s="157"/>
      <c r="H8" s="151">
        <f>SUM(D8:G8)</f>
        <v>29972718</v>
      </c>
      <c r="J8" s="38"/>
    </row>
    <row r="9" spans="1:10" ht="18" customHeight="1" x14ac:dyDescent="0.25">
      <c r="A9" s="202" t="s">
        <v>13</v>
      </c>
      <c r="B9" s="140" t="s">
        <v>362</v>
      </c>
      <c r="C9" s="210"/>
      <c r="D9" s="157"/>
      <c r="E9" s="157"/>
      <c r="F9" s="157">
        <v>5150000</v>
      </c>
      <c r="G9" s="157"/>
      <c r="H9" s="151">
        <f t="shared" ref="H9:H19" si="0">SUM(D9:G9)</f>
        <v>5150000</v>
      </c>
      <c r="J9" s="38"/>
    </row>
    <row r="10" spans="1:10" ht="18" customHeight="1" x14ac:dyDescent="0.25">
      <c r="A10" s="202" t="s">
        <v>364</v>
      </c>
      <c r="B10" s="140" t="s">
        <v>431</v>
      </c>
      <c r="C10" s="207"/>
      <c r="D10" s="157"/>
      <c r="E10" s="157"/>
      <c r="F10" s="157">
        <v>5500000</v>
      </c>
      <c r="G10" s="157"/>
      <c r="H10" s="151">
        <f t="shared" si="0"/>
        <v>5500000</v>
      </c>
      <c r="J10" s="38"/>
    </row>
    <row r="11" spans="1:10" ht="18" customHeight="1" x14ac:dyDescent="0.25">
      <c r="A11" s="202" t="s">
        <v>15</v>
      </c>
      <c r="B11" s="265" t="s">
        <v>750</v>
      </c>
      <c r="C11" s="210"/>
      <c r="D11" s="157"/>
      <c r="E11" s="157"/>
      <c r="F11" s="157">
        <v>4500000</v>
      </c>
      <c r="G11" s="157"/>
      <c r="H11" s="151">
        <f t="shared" si="0"/>
        <v>4500000</v>
      </c>
    </row>
    <row r="12" spans="1:10" ht="18" customHeight="1" x14ac:dyDescent="0.25">
      <c r="A12" s="202" t="s">
        <v>16</v>
      </c>
      <c r="B12" s="140" t="s">
        <v>104</v>
      </c>
      <c r="C12" s="210"/>
      <c r="D12" s="157"/>
      <c r="E12" s="157"/>
      <c r="F12" s="157">
        <v>5700000</v>
      </c>
      <c r="G12" s="157"/>
      <c r="H12" s="151">
        <f t="shared" si="0"/>
        <v>5700000</v>
      </c>
    </row>
    <row r="13" spans="1:10" ht="18" customHeight="1" x14ac:dyDescent="0.25">
      <c r="A13" s="202" t="s">
        <v>17</v>
      </c>
      <c r="B13" s="140" t="s">
        <v>120</v>
      </c>
      <c r="C13" s="210"/>
      <c r="D13" s="157"/>
      <c r="E13" s="157"/>
      <c r="F13" s="157">
        <v>5300000</v>
      </c>
      <c r="G13" s="157"/>
      <c r="H13" s="151">
        <f t="shared" si="0"/>
        <v>5300000</v>
      </c>
    </row>
    <row r="14" spans="1:10" ht="18" customHeight="1" x14ac:dyDescent="0.25">
      <c r="A14" s="202" t="s">
        <v>18</v>
      </c>
      <c r="B14" s="140" t="s">
        <v>106</v>
      </c>
      <c r="C14" s="207">
        <v>1</v>
      </c>
      <c r="D14" s="157">
        <v>4063500</v>
      </c>
      <c r="E14" s="157">
        <v>626383</v>
      </c>
      <c r="F14" s="157">
        <v>2500000</v>
      </c>
      <c r="G14" s="157"/>
      <c r="H14" s="151">
        <f t="shared" si="0"/>
        <v>7189883</v>
      </c>
    </row>
    <row r="15" spans="1:10" ht="18" customHeight="1" x14ac:dyDescent="0.25">
      <c r="A15" s="202" t="s">
        <v>19</v>
      </c>
      <c r="B15" s="140" t="s">
        <v>218</v>
      </c>
      <c r="C15" s="210"/>
      <c r="D15" s="157"/>
      <c r="E15" s="157"/>
      <c r="F15" s="157"/>
      <c r="G15" s="157"/>
      <c r="H15" s="151">
        <f t="shared" si="0"/>
        <v>0</v>
      </c>
    </row>
    <row r="16" spans="1:10" ht="18" customHeight="1" x14ac:dyDescent="0.25">
      <c r="A16" s="202" t="s">
        <v>20</v>
      </c>
      <c r="B16" s="140" t="s">
        <v>107</v>
      </c>
      <c r="C16" s="210"/>
      <c r="D16" s="157"/>
      <c r="E16" s="157"/>
      <c r="F16" s="157">
        <v>1000000</v>
      </c>
      <c r="G16" s="157"/>
      <c r="H16" s="151">
        <f t="shared" si="0"/>
        <v>1000000</v>
      </c>
    </row>
    <row r="17" spans="1:8" ht="28.8" x14ac:dyDescent="0.25">
      <c r="A17" s="202" t="s">
        <v>21</v>
      </c>
      <c r="B17" s="194" t="s">
        <v>588</v>
      </c>
      <c r="C17" s="210"/>
      <c r="D17" s="157"/>
      <c r="E17" s="157"/>
      <c r="F17" s="157"/>
      <c r="G17" s="157">
        <v>10712500</v>
      </c>
      <c r="H17" s="151">
        <f t="shared" si="0"/>
        <v>10712500</v>
      </c>
    </row>
    <row r="18" spans="1:8" ht="18" customHeight="1" x14ac:dyDescent="0.25">
      <c r="A18" s="202" t="s">
        <v>22</v>
      </c>
      <c r="B18" s="140" t="s">
        <v>392</v>
      </c>
      <c r="C18" s="210"/>
      <c r="D18" s="157"/>
      <c r="E18" s="157"/>
      <c r="F18" s="157">
        <v>1500000</v>
      </c>
      <c r="G18" s="157"/>
      <c r="H18" s="151">
        <f t="shared" si="0"/>
        <v>1500000</v>
      </c>
    </row>
    <row r="19" spans="1:8" ht="18" customHeight="1" x14ac:dyDescent="0.25">
      <c r="A19" s="202" t="s">
        <v>223</v>
      </c>
      <c r="B19" s="140" t="s">
        <v>224</v>
      </c>
      <c r="C19" s="210"/>
      <c r="D19" s="157"/>
      <c r="E19" s="157"/>
      <c r="F19" s="157"/>
      <c r="G19" s="157"/>
      <c r="H19" s="151">
        <f t="shared" si="0"/>
        <v>0</v>
      </c>
    </row>
    <row r="20" spans="1:8" ht="15.75" customHeight="1" x14ac:dyDescent="0.25">
      <c r="A20" s="203" t="s">
        <v>36</v>
      </c>
      <c r="B20" s="204" t="s">
        <v>108</v>
      </c>
      <c r="C20" s="211">
        <f>SUM(C7:C17)</f>
        <v>4</v>
      </c>
      <c r="D20" s="205">
        <f>SUM(D7:D19)</f>
        <v>24649400</v>
      </c>
      <c r="E20" s="205">
        <f>SUM(E7:E19)</f>
        <v>4121701</v>
      </c>
      <c r="F20" s="205">
        <f>SUM(F7:F19)</f>
        <v>50091500</v>
      </c>
      <c r="G20" s="205">
        <f>SUM(G7:G19)</f>
        <v>10712500</v>
      </c>
      <c r="H20" s="205">
        <f>SUM(D20:G20)</f>
        <v>89575101</v>
      </c>
    </row>
    <row r="21" spans="1:8" ht="18" customHeight="1" x14ac:dyDescent="0.3">
      <c r="A21" s="140" t="s">
        <v>10</v>
      </c>
      <c r="B21" s="140" t="s">
        <v>366</v>
      </c>
      <c r="C21" s="207"/>
      <c r="D21" s="88"/>
      <c r="E21" s="88"/>
      <c r="F21" s="88"/>
      <c r="G21" s="144">
        <f>('12(11).Adott támogatások'!B16)</f>
        <v>5960000</v>
      </c>
      <c r="H21" s="83">
        <f>SUM(D21:G21)</f>
        <v>5960000</v>
      </c>
    </row>
    <row r="22" spans="1:8" ht="18" customHeight="1" x14ac:dyDescent="0.25">
      <c r="A22" s="140" t="s">
        <v>11</v>
      </c>
      <c r="B22" s="140" t="s">
        <v>430</v>
      </c>
      <c r="C22" s="207">
        <v>1</v>
      </c>
      <c r="D22" s="157">
        <v>2800000</v>
      </c>
      <c r="E22" s="157">
        <v>460000</v>
      </c>
      <c r="F22" s="157">
        <v>5860000</v>
      </c>
      <c r="G22" s="157"/>
      <c r="H22" s="151">
        <f>SUM(D22:G22)</f>
        <v>9120000</v>
      </c>
    </row>
    <row r="23" spans="1:8" ht="18" customHeight="1" x14ac:dyDescent="0.25">
      <c r="A23" s="140" t="s">
        <v>12</v>
      </c>
      <c r="B23" s="140" t="s">
        <v>220</v>
      </c>
      <c r="C23" s="207"/>
      <c r="D23" s="157"/>
      <c r="E23" s="157"/>
      <c r="F23" s="157">
        <v>2000000</v>
      </c>
      <c r="G23" s="157"/>
      <c r="H23" s="151">
        <f>SUM(D23:G23)</f>
        <v>2000000</v>
      </c>
    </row>
    <row r="24" spans="1:8" ht="18" customHeight="1" x14ac:dyDescent="0.25">
      <c r="A24" s="140" t="s">
        <v>13</v>
      </c>
      <c r="B24" s="140" t="s">
        <v>117</v>
      </c>
      <c r="C24" s="207">
        <v>1</v>
      </c>
      <c r="D24" s="157">
        <v>1950000</v>
      </c>
      <c r="E24" s="157">
        <v>330270</v>
      </c>
      <c r="F24" s="157">
        <v>1500000</v>
      </c>
      <c r="G24" s="157"/>
      <c r="H24" s="151">
        <f>SUM(D24:G24)</f>
        <v>3780270</v>
      </c>
    </row>
    <row r="25" spans="1:8" ht="18" customHeight="1" x14ac:dyDescent="0.25">
      <c r="A25" s="140" t="s">
        <v>14</v>
      </c>
      <c r="B25" s="140" t="s">
        <v>221</v>
      </c>
      <c r="C25" s="207"/>
      <c r="D25" s="157"/>
      <c r="E25" s="157"/>
      <c r="F25" s="157">
        <v>3000000</v>
      </c>
      <c r="G25" s="157"/>
      <c r="H25" s="151">
        <f t="shared" ref="H25:H33" si="1">SUM(D25:G25)</f>
        <v>3000000</v>
      </c>
    </row>
    <row r="26" spans="1:8" ht="18" customHeight="1" x14ac:dyDescent="0.25">
      <c r="A26" s="140" t="s">
        <v>15</v>
      </c>
      <c r="B26" s="140" t="s">
        <v>105</v>
      </c>
      <c r="C26" s="212">
        <f>('7(3a).Személyi jutt intézmény'!G35)</f>
        <v>37</v>
      </c>
      <c r="D26" s="150">
        <f>('segédtábla közfoglalkoztatás'!G6)+('segédtábla közfoglalkoztatás'!G16)</f>
        <v>33849831</v>
      </c>
      <c r="E26" s="150">
        <f>('segédtábla közfoglalkoztatás'!G7)+('segédtábla közfoglalkoztatás'!G17)</f>
        <v>3451375</v>
      </c>
      <c r="F26" s="150">
        <f>('segédtábla közfoglalkoztatás'!G9)+('segédtábla közfoglalkoztatás'!G19)</f>
        <v>8078448</v>
      </c>
      <c r="G26" s="157"/>
      <c r="H26" s="151">
        <f t="shared" si="1"/>
        <v>45379654</v>
      </c>
    </row>
    <row r="27" spans="1:8" ht="18" customHeight="1" x14ac:dyDescent="0.25">
      <c r="A27" s="140" t="s">
        <v>16</v>
      </c>
      <c r="B27" s="140" t="s">
        <v>363</v>
      </c>
      <c r="C27" s="207">
        <v>1</v>
      </c>
      <c r="D27" s="157">
        <v>900000</v>
      </c>
      <c r="E27" s="157">
        <v>166483</v>
      </c>
      <c r="F27" s="157"/>
      <c r="G27" s="157"/>
      <c r="H27" s="151">
        <f t="shared" si="1"/>
        <v>1066483</v>
      </c>
    </row>
    <row r="28" spans="1:8" ht="18" customHeight="1" x14ac:dyDescent="0.25">
      <c r="A28" s="140" t="s">
        <v>17</v>
      </c>
      <c r="B28" s="140" t="s">
        <v>365</v>
      </c>
      <c r="C28" s="210"/>
      <c r="D28" s="157"/>
      <c r="E28" s="157"/>
      <c r="F28" s="157">
        <v>500000</v>
      </c>
      <c r="G28" s="157"/>
      <c r="H28" s="151">
        <f t="shared" si="1"/>
        <v>500000</v>
      </c>
    </row>
    <row r="29" spans="1:8" ht="18" customHeight="1" x14ac:dyDescent="0.25">
      <c r="A29" s="140" t="s">
        <v>18</v>
      </c>
      <c r="B29" s="140" t="s">
        <v>343</v>
      </c>
      <c r="C29" s="210"/>
      <c r="D29" s="157"/>
      <c r="E29" s="157"/>
      <c r="F29" s="157">
        <v>2000000</v>
      </c>
      <c r="G29" s="157"/>
      <c r="H29" s="151">
        <f t="shared" si="1"/>
        <v>2000000</v>
      </c>
    </row>
    <row r="30" spans="1:8" ht="18" customHeight="1" x14ac:dyDescent="0.25">
      <c r="A30" s="140" t="s">
        <v>19</v>
      </c>
      <c r="B30" s="140" t="s">
        <v>360</v>
      </c>
      <c r="C30" s="210"/>
      <c r="D30" s="157"/>
      <c r="E30" s="157"/>
      <c r="F30" s="157">
        <v>4000000</v>
      </c>
      <c r="G30" s="157"/>
      <c r="H30" s="151">
        <f t="shared" si="1"/>
        <v>4000000</v>
      </c>
    </row>
    <row r="31" spans="1:8" ht="18" customHeight="1" x14ac:dyDescent="0.25">
      <c r="A31" s="140" t="s">
        <v>20</v>
      </c>
      <c r="B31" s="140" t="s">
        <v>393</v>
      </c>
      <c r="C31" s="210"/>
      <c r="D31" s="157"/>
      <c r="E31" s="157"/>
      <c r="F31" s="157"/>
      <c r="G31" s="157"/>
      <c r="H31" s="151">
        <f t="shared" si="1"/>
        <v>0</v>
      </c>
    </row>
    <row r="32" spans="1:8" ht="18" customHeight="1" x14ac:dyDescent="0.25">
      <c r="A32" s="141" t="s">
        <v>40</v>
      </c>
      <c r="B32" s="141" t="s">
        <v>109</v>
      </c>
      <c r="C32" s="213">
        <f>SUM(C21:C31)</f>
        <v>40</v>
      </c>
      <c r="D32" s="151">
        <f>SUM(D21:D31)</f>
        <v>39499831</v>
      </c>
      <c r="E32" s="151">
        <f>SUM(E21:E31)</f>
        <v>4408128</v>
      </c>
      <c r="F32" s="151">
        <f>SUM(F21:F31)</f>
        <v>26938448</v>
      </c>
      <c r="G32" s="151">
        <f>SUM(G21:G31)</f>
        <v>5960000</v>
      </c>
      <c r="H32" s="151">
        <f>SUM(D32:G32)</f>
        <v>76806407</v>
      </c>
    </row>
    <row r="33" spans="1:11" ht="15" customHeight="1" x14ac:dyDescent="0.25">
      <c r="A33" s="140" t="s">
        <v>41</v>
      </c>
      <c r="B33" s="140" t="s">
        <v>110</v>
      </c>
      <c r="C33" s="210"/>
      <c r="D33" s="157"/>
      <c r="E33" s="157"/>
      <c r="F33" s="157"/>
      <c r="G33" s="157"/>
      <c r="H33" s="151">
        <f t="shared" si="1"/>
        <v>0</v>
      </c>
    </row>
    <row r="34" spans="1:11" ht="18" customHeight="1" x14ac:dyDescent="0.25">
      <c r="A34" s="303" t="s">
        <v>591</v>
      </c>
      <c r="B34" s="303"/>
      <c r="C34" s="219">
        <f>C32+C20+C33</f>
        <v>44</v>
      </c>
      <c r="D34" s="220">
        <f>D32+D20+D33</f>
        <v>64149231</v>
      </c>
      <c r="E34" s="220">
        <f t="shared" ref="E34:H34" si="2">E32+E20+E33</f>
        <v>8529829</v>
      </c>
      <c r="F34" s="220">
        <f t="shared" si="2"/>
        <v>77029948</v>
      </c>
      <c r="G34" s="220">
        <f t="shared" si="2"/>
        <v>16672500</v>
      </c>
      <c r="H34" s="220">
        <f t="shared" si="2"/>
        <v>166381508</v>
      </c>
    </row>
    <row r="35" spans="1:11" ht="18" customHeight="1" x14ac:dyDescent="0.25">
      <c r="A35" s="298" t="s">
        <v>443</v>
      </c>
      <c r="B35" s="298"/>
      <c r="C35" s="214"/>
      <c r="D35" s="150">
        <f>('7(3a).Személyi jutt intézmény'!F23)</f>
        <v>64149231</v>
      </c>
      <c r="E35" s="150">
        <f>('7(3a).Személyi jutt intézmény'!F30)</f>
        <v>8529828.625</v>
      </c>
      <c r="F35" s="150">
        <f>('8(3b).Dologi kiad intézmény'!F25)+('9(1c).Beruházás felújítás'!M54)</f>
        <v>77029948</v>
      </c>
      <c r="G35" s="151">
        <f>G34</f>
        <v>16672500</v>
      </c>
      <c r="H35" s="151">
        <f>SUM(D35:G35)</f>
        <v>166381507.625</v>
      </c>
    </row>
    <row r="36" spans="1:11" s="79" customFormat="1" ht="18" customHeight="1" x14ac:dyDescent="0.25">
      <c r="A36" s="222"/>
      <c r="B36" s="223"/>
      <c r="C36" s="66"/>
      <c r="D36" s="40"/>
      <c r="E36" s="40"/>
      <c r="F36" s="40"/>
      <c r="G36" s="40"/>
      <c r="H36" s="40"/>
    </row>
    <row r="37" spans="1:11" ht="17.25" customHeight="1" x14ac:dyDescent="0.25">
      <c r="A37" s="315" t="s">
        <v>113</v>
      </c>
      <c r="B37" s="315"/>
      <c r="C37" s="315"/>
      <c r="D37" s="315"/>
      <c r="E37" s="315"/>
      <c r="F37" s="315"/>
      <c r="G37" s="315"/>
      <c r="H37" s="315"/>
    </row>
    <row r="38" spans="1:11" ht="17.25" customHeight="1" x14ac:dyDescent="0.25">
      <c r="A38" s="140" t="s">
        <v>10</v>
      </c>
      <c r="B38" s="140" t="s">
        <v>453</v>
      </c>
      <c r="C38" s="215">
        <v>9</v>
      </c>
      <c r="D38" s="157">
        <v>36586400</v>
      </c>
      <c r="E38" s="157">
        <v>7041209</v>
      </c>
      <c r="F38" s="157">
        <v>7818251</v>
      </c>
      <c r="G38" s="157"/>
      <c r="H38" s="151">
        <f>SUM(D38:G38)</f>
        <v>51445860</v>
      </c>
      <c r="J38" s="39"/>
    </row>
    <row r="39" spans="1:11" ht="17.25" customHeight="1" x14ac:dyDescent="0.25">
      <c r="A39" s="140" t="s">
        <v>11</v>
      </c>
      <c r="B39" s="140" t="s">
        <v>454</v>
      </c>
      <c r="C39" s="215">
        <v>2</v>
      </c>
      <c r="D39" s="157">
        <v>4682000</v>
      </c>
      <c r="E39" s="157">
        <v>922140</v>
      </c>
      <c r="F39" s="157">
        <v>15750000</v>
      </c>
      <c r="G39" s="157"/>
      <c r="H39" s="151">
        <f>SUM(D39:G39)</f>
        <v>21354140</v>
      </c>
      <c r="J39" s="39"/>
    </row>
    <row r="40" spans="1:11" ht="17.25" customHeight="1" x14ac:dyDescent="0.25">
      <c r="A40" s="141" t="s">
        <v>36</v>
      </c>
      <c r="B40" s="217" t="s">
        <v>103</v>
      </c>
      <c r="C40" s="218">
        <f>SUM(C38:C39)</f>
        <v>11</v>
      </c>
      <c r="D40" s="151">
        <f>SUM(D38:D39)</f>
        <v>41268400</v>
      </c>
      <c r="E40" s="151">
        <f t="shared" ref="E40:H40" si="3">SUM(E38:E39)</f>
        <v>7963349</v>
      </c>
      <c r="F40" s="151">
        <f t="shared" si="3"/>
        <v>23568251</v>
      </c>
      <c r="G40" s="151">
        <f t="shared" si="3"/>
        <v>0</v>
      </c>
      <c r="H40" s="151">
        <f t="shared" si="3"/>
        <v>72800000</v>
      </c>
      <c r="J40" s="39"/>
    </row>
    <row r="41" spans="1:11" ht="17.25" customHeight="1" x14ac:dyDescent="0.25">
      <c r="A41" s="140" t="s">
        <v>40</v>
      </c>
      <c r="B41" s="202" t="s">
        <v>128</v>
      </c>
      <c r="C41" s="215"/>
      <c r="D41" s="157"/>
      <c r="E41" s="157"/>
      <c r="F41" s="157"/>
      <c r="G41" s="157"/>
      <c r="H41" s="151">
        <f>SUM(D41:G41)</f>
        <v>0</v>
      </c>
      <c r="J41" s="39"/>
    </row>
    <row r="42" spans="1:11" ht="17.25" customHeight="1" x14ac:dyDescent="0.25">
      <c r="A42" s="140" t="s">
        <v>41</v>
      </c>
      <c r="B42" s="202" t="s">
        <v>222</v>
      </c>
      <c r="C42" s="215"/>
      <c r="D42" s="157"/>
      <c r="E42" s="157"/>
      <c r="F42" s="157"/>
      <c r="G42" s="157"/>
      <c r="H42" s="151">
        <f>SUM(D42:G42)</f>
        <v>0</v>
      </c>
      <c r="K42" s="8"/>
    </row>
    <row r="43" spans="1:11" ht="17.25" customHeight="1" x14ac:dyDescent="0.25">
      <c r="A43" s="332" t="s">
        <v>452</v>
      </c>
      <c r="B43" s="333"/>
      <c r="C43" s="221">
        <f>SUM(C41:C42)</f>
        <v>0</v>
      </c>
      <c r="D43" s="152">
        <f>SUM(D40:D42)</f>
        <v>41268400</v>
      </c>
      <c r="E43" s="152">
        <f t="shared" ref="E43:H43" si="4">SUM(E40:E42)</f>
        <v>7963349</v>
      </c>
      <c r="F43" s="152">
        <f t="shared" si="4"/>
        <v>23568251</v>
      </c>
      <c r="G43" s="152">
        <f t="shared" si="4"/>
        <v>0</v>
      </c>
      <c r="H43" s="152">
        <f t="shared" si="4"/>
        <v>72800000</v>
      </c>
    </row>
    <row r="44" spans="1:11" ht="17.25" customHeight="1" x14ac:dyDescent="0.25">
      <c r="A44" s="334" t="s">
        <v>445</v>
      </c>
      <c r="B44" s="335"/>
      <c r="C44" s="206">
        <f>('7(3a).Személyi jutt intézmény'!C34)</f>
        <v>11</v>
      </c>
      <c r="D44" s="150">
        <f>('7(3a).Személyi jutt intézmény'!C23)</f>
        <v>41268400</v>
      </c>
      <c r="E44" s="150">
        <f>('7(3a).Személyi jutt intézmény'!C30)</f>
        <v>7963348.5</v>
      </c>
      <c r="F44" s="150">
        <f>('8(3b).Dologi kiad intézmény'!C25)</f>
        <v>23568251</v>
      </c>
      <c r="G44" s="86">
        <f>G43</f>
        <v>0</v>
      </c>
      <c r="H44" s="86">
        <f>SUM(D44:G44)</f>
        <v>72799999.5</v>
      </c>
    </row>
    <row r="45" spans="1:11" ht="17.25" customHeight="1" x14ac:dyDescent="0.25">
      <c r="A45" s="63"/>
      <c r="B45" s="62"/>
      <c r="C45" s="63"/>
      <c r="D45" s="64"/>
      <c r="E45" s="64"/>
      <c r="F45" s="64"/>
      <c r="G45" s="64"/>
      <c r="H45" s="64"/>
      <c r="I45" s="65"/>
    </row>
    <row r="46" spans="1:11" ht="16.5" customHeight="1" x14ac:dyDescent="0.25">
      <c r="A46" s="336" t="s">
        <v>114</v>
      </c>
      <c r="B46" s="337"/>
      <c r="C46" s="337"/>
      <c r="D46" s="337"/>
      <c r="E46" s="337"/>
      <c r="F46" s="337"/>
      <c r="G46" s="337"/>
      <c r="H46" s="338"/>
    </row>
    <row r="47" spans="1:11" ht="15.75" customHeight="1" x14ac:dyDescent="0.25">
      <c r="A47" s="140"/>
      <c r="B47" s="140" t="s">
        <v>111</v>
      </c>
      <c r="C47" s="224">
        <v>11</v>
      </c>
      <c r="D47" s="200">
        <v>31796880</v>
      </c>
      <c r="E47" s="200">
        <v>6036633</v>
      </c>
      <c r="F47" s="200">
        <v>4139255</v>
      </c>
      <c r="G47" s="200"/>
      <c r="H47" s="86">
        <f>SUM(D47:G47)</f>
        <v>41972768</v>
      </c>
    </row>
    <row r="48" spans="1:11" ht="18" customHeight="1" x14ac:dyDescent="0.25">
      <c r="A48" s="114" t="s">
        <v>36</v>
      </c>
      <c r="B48" s="114" t="s">
        <v>108</v>
      </c>
      <c r="C48" s="225">
        <f>C47</f>
        <v>11</v>
      </c>
      <c r="D48" s="86">
        <f>D47</f>
        <v>31796880</v>
      </c>
      <c r="E48" s="86">
        <f t="shared" ref="E48:G48" si="5">E47</f>
        <v>6036633</v>
      </c>
      <c r="F48" s="86">
        <f t="shared" si="5"/>
        <v>4139255</v>
      </c>
      <c r="G48" s="86">
        <f t="shared" si="5"/>
        <v>0</v>
      </c>
      <c r="H48" s="86">
        <f t="shared" ref="H48:H52" si="6">SUM(D48:G48)</f>
        <v>41972768</v>
      </c>
    </row>
    <row r="49" spans="1:10" ht="18" customHeight="1" x14ac:dyDescent="0.25">
      <c r="A49" s="140" t="s">
        <v>10</v>
      </c>
      <c r="B49" s="140" t="s">
        <v>455</v>
      </c>
      <c r="C49" s="224">
        <v>3</v>
      </c>
      <c r="D49" s="200">
        <v>9241452</v>
      </c>
      <c r="E49" s="200">
        <v>1821336</v>
      </c>
      <c r="F49" s="200">
        <v>564444</v>
      </c>
      <c r="G49" s="200"/>
      <c r="H49" s="86">
        <f t="shared" si="6"/>
        <v>11627232</v>
      </c>
    </row>
    <row r="50" spans="1:10" ht="18" customHeight="1" x14ac:dyDescent="0.25">
      <c r="A50" s="114" t="s">
        <v>40</v>
      </c>
      <c r="B50" s="114" t="s">
        <v>109</v>
      </c>
      <c r="C50" s="225">
        <f>C49</f>
        <v>3</v>
      </c>
      <c r="D50" s="86">
        <f>SUM(D49)</f>
        <v>9241452</v>
      </c>
      <c r="E50" s="86">
        <f t="shared" ref="E50:G50" si="7">SUM(E49)</f>
        <v>1821336</v>
      </c>
      <c r="F50" s="86">
        <f t="shared" si="7"/>
        <v>564444</v>
      </c>
      <c r="G50" s="86">
        <f t="shared" si="7"/>
        <v>0</v>
      </c>
      <c r="H50" s="86">
        <f t="shared" si="6"/>
        <v>11627232</v>
      </c>
    </row>
    <row r="51" spans="1:10" ht="18" customHeight="1" x14ac:dyDescent="0.25">
      <c r="A51" s="140" t="s">
        <v>41</v>
      </c>
      <c r="B51" s="140" t="s">
        <v>222</v>
      </c>
      <c r="C51" s="208"/>
      <c r="D51" s="200"/>
      <c r="E51" s="200"/>
      <c r="F51" s="200"/>
      <c r="G51" s="200"/>
      <c r="H51" s="86">
        <f t="shared" si="6"/>
        <v>0</v>
      </c>
    </row>
    <row r="52" spans="1:10" ht="18" customHeight="1" x14ac:dyDescent="0.25">
      <c r="A52" s="332" t="s">
        <v>452</v>
      </c>
      <c r="B52" s="333"/>
      <c r="C52" s="226">
        <f>C48+C50+C51</f>
        <v>14</v>
      </c>
      <c r="D52" s="227">
        <f>D48+D50+D51</f>
        <v>41038332</v>
      </c>
      <c r="E52" s="227">
        <f t="shared" ref="E52:G52" si="8">E48+E50+E51</f>
        <v>7857969</v>
      </c>
      <c r="F52" s="227">
        <f t="shared" si="8"/>
        <v>4703699</v>
      </c>
      <c r="G52" s="227">
        <f t="shared" si="8"/>
        <v>0</v>
      </c>
      <c r="H52" s="227">
        <f t="shared" si="6"/>
        <v>53600000</v>
      </c>
    </row>
    <row r="53" spans="1:10" ht="18" customHeight="1" x14ac:dyDescent="0.25">
      <c r="A53" s="334" t="s">
        <v>443</v>
      </c>
      <c r="B53" s="335"/>
      <c r="C53" s="212">
        <f>('7(3a).Személyi jutt intézmény'!E34)</f>
        <v>14</v>
      </c>
      <c r="D53" s="150">
        <f>('7(3a).Személyi jutt intézmény'!E23)</f>
        <v>41038332</v>
      </c>
      <c r="E53" s="150">
        <f>('7(3a).Személyi jutt intézmény'!E30)</f>
        <v>7857968.7650000015</v>
      </c>
      <c r="F53" s="150">
        <f>('8(3b).Dologi kiad intézmény'!D25)</f>
        <v>4703699</v>
      </c>
      <c r="G53" s="86">
        <f>G52</f>
        <v>0</v>
      </c>
      <c r="H53" s="86">
        <f>SUM(D53:G53)</f>
        <v>53599999.765000001</v>
      </c>
    </row>
    <row r="54" spans="1:10" ht="18" customHeight="1" x14ac:dyDescent="0.25">
      <c r="A54" s="66"/>
      <c r="B54" s="67"/>
      <c r="C54" s="68"/>
      <c r="D54" s="69"/>
      <c r="E54" s="69"/>
      <c r="F54" s="70"/>
      <c r="G54" s="70"/>
      <c r="H54" s="69"/>
      <c r="I54" s="65"/>
    </row>
    <row r="55" spans="1:10" ht="18" customHeight="1" x14ac:dyDescent="0.25">
      <c r="A55" s="340" t="s">
        <v>116</v>
      </c>
      <c r="B55" s="340"/>
      <c r="C55" s="340"/>
      <c r="D55" s="340"/>
      <c r="E55" s="340"/>
      <c r="F55" s="340"/>
      <c r="G55" s="340"/>
      <c r="H55" s="340"/>
    </row>
    <row r="56" spans="1:10" ht="17.25" customHeight="1" x14ac:dyDescent="0.25">
      <c r="A56" s="140" t="s">
        <v>10</v>
      </c>
      <c r="B56" s="140" t="s">
        <v>446</v>
      </c>
      <c r="C56" s="207">
        <v>1</v>
      </c>
      <c r="D56" s="157">
        <v>3671473</v>
      </c>
      <c r="E56" s="157">
        <v>647771</v>
      </c>
      <c r="F56" s="157">
        <v>1474033</v>
      </c>
      <c r="G56" s="157"/>
      <c r="H56" s="151">
        <f t="shared" ref="H56:H64" si="9">SUM(D56:G56)</f>
        <v>5793277</v>
      </c>
    </row>
    <row r="57" spans="1:10" ht="17.25" customHeight="1" x14ac:dyDescent="0.25">
      <c r="A57" s="140" t="s">
        <v>11</v>
      </c>
      <c r="B57" s="140" t="s">
        <v>451</v>
      </c>
      <c r="C57" s="207"/>
      <c r="D57" s="157"/>
      <c r="E57" s="157"/>
      <c r="F57" s="157">
        <v>280000</v>
      </c>
      <c r="G57" s="157"/>
      <c r="H57" s="151">
        <f t="shared" si="9"/>
        <v>280000</v>
      </c>
    </row>
    <row r="58" spans="1:10" ht="17.25" customHeight="1" x14ac:dyDescent="0.25">
      <c r="A58" s="140" t="s">
        <v>12</v>
      </c>
      <c r="B58" s="140" t="s">
        <v>447</v>
      </c>
      <c r="C58" s="207">
        <v>3</v>
      </c>
      <c r="D58" s="157">
        <v>6966280</v>
      </c>
      <c r="E58" s="157">
        <v>1294613</v>
      </c>
      <c r="F58" s="157">
        <v>130000</v>
      </c>
      <c r="G58" s="157"/>
      <c r="H58" s="151">
        <f t="shared" si="9"/>
        <v>8390893</v>
      </c>
    </row>
    <row r="59" spans="1:10" ht="17.25" customHeight="1" x14ac:dyDescent="0.25">
      <c r="A59" s="140" t="s">
        <v>13</v>
      </c>
      <c r="B59" s="140" t="s">
        <v>448</v>
      </c>
      <c r="C59" s="207">
        <v>1</v>
      </c>
      <c r="D59" s="157">
        <v>3895188</v>
      </c>
      <c r="E59" s="157">
        <v>767677</v>
      </c>
      <c r="F59" s="157">
        <v>805000</v>
      </c>
      <c r="G59" s="157"/>
      <c r="H59" s="151">
        <f t="shared" si="9"/>
        <v>5467865</v>
      </c>
    </row>
    <row r="60" spans="1:10" ht="17.25" customHeight="1" x14ac:dyDescent="0.25">
      <c r="A60" s="140" t="s">
        <v>14</v>
      </c>
      <c r="B60" s="140" t="s">
        <v>449</v>
      </c>
      <c r="C60" s="207">
        <v>1</v>
      </c>
      <c r="D60" s="157">
        <v>2712000</v>
      </c>
      <c r="E60" s="157">
        <v>534490</v>
      </c>
      <c r="F60" s="157">
        <v>130000</v>
      </c>
      <c r="G60" s="157"/>
      <c r="H60" s="151">
        <f t="shared" si="9"/>
        <v>3376490</v>
      </c>
    </row>
    <row r="61" spans="1:10" ht="17.25" customHeight="1" x14ac:dyDescent="0.25">
      <c r="A61" s="140" t="s">
        <v>15</v>
      </c>
      <c r="B61" s="140" t="s">
        <v>450</v>
      </c>
      <c r="C61" s="207">
        <v>1</v>
      </c>
      <c r="D61" s="157">
        <v>3142200</v>
      </c>
      <c r="E61" s="157">
        <v>619275</v>
      </c>
      <c r="F61" s="157">
        <v>130000</v>
      </c>
      <c r="G61" s="157"/>
      <c r="H61" s="151">
        <f t="shared" si="9"/>
        <v>3891475</v>
      </c>
    </row>
    <row r="62" spans="1:10" ht="15.75" customHeight="1" x14ac:dyDescent="0.25">
      <c r="A62" s="299" t="s">
        <v>115</v>
      </c>
      <c r="B62" s="299"/>
      <c r="C62" s="209">
        <f t="shared" ref="C62:G62" si="10">SUM(C56:C61)</f>
        <v>7</v>
      </c>
      <c r="D62" s="151">
        <f t="shared" si="10"/>
        <v>20387141</v>
      </c>
      <c r="E62" s="151">
        <f t="shared" si="10"/>
        <v>3863826</v>
      </c>
      <c r="F62" s="151">
        <f t="shared" si="10"/>
        <v>2949033</v>
      </c>
      <c r="G62" s="151">
        <f t="shared" si="10"/>
        <v>0</v>
      </c>
      <c r="H62" s="151">
        <f t="shared" si="9"/>
        <v>27200000</v>
      </c>
      <c r="J62" s="40"/>
    </row>
    <row r="63" spans="1:10" ht="15.75" customHeight="1" x14ac:dyDescent="0.25">
      <c r="A63" s="303" t="s">
        <v>452</v>
      </c>
      <c r="B63" s="303"/>
      <c r="C63" s="228">
        <f t="shared" ref="C63:G63" si="11">C62</f>
        <v>7</v>
      </c>
      <c r="D63" s="152">
        <f t="shared" si="11"/>
        <v>20387141</v>
      </c>
      <c r="E63" s="152">
        <f t="shared" si="11"/>
        <v>3863826</v>
      </c>
      <c r="F63" s="152">
        <f t="shared" si="11"/>
        <v>2949033</v>
      </c>
      <c r="G63" s="152">
        <f t="shared" si="11"/>
        <v>0</v>
      </c>
      <c r="H63" s="152">
        <f t="shared" si="9"/>
        <v>27200000</v>
      </c>
    </row>
    <row r="64" spans="1:10" ht="15.75" customHeight="1" x14ac:dyDescent="0.25">
      <c r="A64" s="304" t="s">
        <v>445</v>
      </c>
      <c r="B64" s="304"/>
      <c r="C64" s="212">
        <f>('7(3a).Személyi jutt intézmény'!D34)</f>
        <v>7</v>
      </c>
      <c r="D64" s="150">
        <f>('7(3a).Személyi jutt intézmény'!D23)</f>
        <v>20387141</v>
      </c>
      <c r="E64" s="150">
        <f>('7(3a).Személyi jutt intézmény'!D30)</f>
        <v>3863825.64</v>
      </c>
      <c r="F64" s="150">
        <f>('8(3b).Dologi kiad intézmény'!E25)</f>
        <v>2949033</v>
      </c>
      <c r="G64" s="151">
        <f>G63</f>
        <v>0</v>
      </c>
      <c r="H64" s="151">
        <f t="shared" si="9"/>
        <v>27199999.640000001</v>
      </c>
    </row>
    <row r="65" spans="1:9" ht="15.75" customHeight="1" x14ac:dyDescent="0.25">
      <c r="A65" s="76"/>
      <c r="B65" s="77"/>
      <c r="C65" s="76"/>
      <c r="D65" s="74"/>
      <c r="E65" s="74"/>
      <c r="F65" s="74"/>
      <c r="G65" s="74"/>
      <c r="H65" s="74"/>
      <c r="I65" s="79"/>
    </row>
    <row r="66" spans="1:9" ht="14.4" x14ac:dyDescent="0.25">
      <c r="A66" s="288" t="s">
        <v>112</v>
      </c>
      <c r="B66" s="288"/>
      <c r="C66" s="288"/>
      <c r="D66" s="152">
        <f>D63+D52+D43+D34</f>
        <v>166843104</v>
      </c>
      <c r="E66" s="152">
        <f t="shared" ref="E66:H66" si="12">E63+E52+E43+E34</f>
        <v>28214973</v>
      </c>
      <c r="F66" s="152">
        <f t="shared" si="12"/>
        <v>108250931</v>
      </c>
      <c r="G66" s="152">
        <f t="shared" si="12"/>
        <v>16672500</v>
      </c>
      <c r="H66" s="152">
        <f t="shared" si="12"/>
        <v>319981508</v>
      </c>
    </row>
    <row r="67" spans="1:9" ht="15.6" x14ac:dyDescent="0.3">
      <c r="A67" s="41"/>
    </row>
  </sheetData>
  <sheetProtection sheet="1" objects="1" scenarios="1"/>
  <mergeCells count="20">
    <mergeCell ref="A66:C66"/>
    <mergeCell ref="A53:B53"/>
    <mergeCell ref="A55:H55"/>
    <mergeCell ref="A62:B62"/>
    <mergeCell ref="A63:B63"/>
    <mergeCell ref="A64:B64"/>
    <mergeCell ref="B5:H5"/>
    <mergeCell ref="A37:H37"/>
    <mergeCell ref="A1:H1"/>
    <mergeCell ref="A2:H2"/>
    <mergeCell ref="A3:A4"/>
    <mergeCell ref="C3:C4"/>
    <mergeCell ref="D4:H4"/>
    <mergeCell ref="A43:B43"/>
    <mergeCell ref="A44:B44"/>
    <mergeCell ref="A46:H46"/>
    <mergeCell ref="A52:B52"/>
    <mergeCell ref="B6:C6"/>
    <mergeCell ref="A34:B34"/>
    <mergeCell ref="A35:B35"/>
  </mergeCells>
  <pageMargins left="0.70866141732283472" right="0.70866141732283472" top="0.55118110236220474" bottom="0.15748031496062992" header="0.11811023622047245" footer="0.11811023622047245"/>
  <pageSetup paperSize="9" scale="69" orientation="portrait" r:id="rId1"/>
  <headerFooter>
    <oddHeader>&amp;R4./a szamú melléklet
Ft-ban</oddHeader>
  </headerFooter>
  <ignoredErrors>
    <ignoredError sqref="H56:H61 H47 H38:H39 H49 H22:H24 H27 H14 H10 H8" formulaRange="1"/>
    <ignoredError sqref="H34 H40 H43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4" tint="0.79998168889431442"/>
    <pageSetUpPr fitToPage="1"/>
  </sheetPr>
  <dimension ref="A1:I36"/>
  <sheetViews>
    <sheetView zoomScaleNormal="100" workbookViewId="0">
      <selection activeCell="D12" sqref="D12"/>
    </sheetView>
  </sheetViews>
  <sheetFormatPr defaultRowHeight="13.2" x14ac:dyDescent="0.25"/>
  <cols>
    <col min="1" max="1" width="10.109375" customWidth="1"/>
    <col min="2" max="2" width="62.33203125" customWidth="1"/>
    <col min="3" max="7" width="20.77734375" customWidth="1"/>
  </cols>
  <sheetData>
    <row r="1" spans="1:9" ht="24" customHeight="1" x14ac:dyDescent="0.25">
      <c r="A1" s="284" t="s">
        <v>592</v>
      </c>
      <c r="B1" s="284"/>
      <c r="C1" s="284"/>
      <c r="D1" s="284"/>
      <c r="E1" s="284"/>
      <c r="F1" s="284"/>
      <c r="G1" s="284"/>
      <c r="H1" s="229"/>
      <c r="I1" s="229"/>
    </row>
    <row r="2" spans="1:9" ht="31.2" x14ac:dyDescent="0.25">
      <c r="A2" s="284" t="s">
        <v>542</v>
      </c>
      <c r="B2" s="284"/>
      <c r="C2" s="188" t="s">
        <v>518</v>
      </c>
      <c r="D2" s="139" t="s">
        <v>514</v>
      </c>
      <c r="E2" s="139" t="s">
        <v>515</v>
      </c>
      <c r="F2" s="139" t="s">
        <v>516</v>
      </c>
      <c r="G2" s="139" t="s">
        <v>517</v>
      </c>
      <c r="H2" s="131"/>
      <c r="I2" s="131"/>
    </row>
    <row r="3" spans="1:9" ht="14.4" x14ac:dyDescent="0.3">
      <c r="A3" s="141" t="s">
        <v>155</v>
      </c>
      <c r="B3" s="141" t="s">
        <v>45</v>
      </c>
      <c r="C3" s="195">
        <v>165579604</v>
      </c>
      <c r="D3" s="195">
        <f>('7(3a).Személyi jutt intézmény'!$G23)</f>
        <v>166843104</v>
      </c>
      <c r="E3" s="144"/>
      <c r="F3" s="144"/>
      <c r="G3" s="144"/>
    </row>
    <row r="4" spans="1:9" ht="14.4" x14ac:dyDescent="0.3">
      <c r="A4" s="141" t="s">
        <v>154</v>
      </c>
      <c r="B4" s="141" t="s">
        <v>156</v>
      </c>
      <c r="C4" s="195">
        <v>27968589</v>
      </c>
      <c r="D4" s="195">
        <f>('7(3a).Személyi jutt intézmény'!$G30)</f>
        <v>28214971.530000001</v>
      </c>
      <c r="E4" s="144"/>
      <c r="F4" s="144"/>
      <c r="G4" s="144"/>
    </row>
    <row r="5" spans="1:9" ht="14.4" x14ac:dyDescent="0.3">
      <c r="A5" s="141" t="s">
        <v>157</v>
      </c>
      <c r="B5" s="141" t="s">
        <v>46</v>
      </c>
      <c r="C5" s="195">
        <v>101630983</v>
      </c>
      <c r="D5" s="195">
        <f>('8(3b).Dologi kiad intézmény'!$G25)</f>
        <v>100172483</v>
      </c>
      <c r="E5" s="144"/>
      <c r="F5" s="144"/>
      <c r="G5" s="144"/>
    </row>
    <row r="6" spans="1:9" ht="14.4" x14ac:dyDescent="0.3">
      <c r="A6" s="140" t="s">
        <v>160</v>
      </c>
      <c r="B6" s="140" t="s">
        <v>161</v>
      </c>
      <c r="C6" s="195">
        <f>('13(4).Kiadás intézmény'!C7)</f>
        <v>300000</v>
      </c>
      <c r="D6" s="195">
        <f>('13(4).Kiadás intézmény'!D7)</f>
        <v>300000</v>
      </c>
      <c r="E6" s="195"/>
      <c r="F6" s="195"/>
      <c r="G6" s="195"/>
    </row>
    <row r="7" spans="1:9" ht="14.4" x14ac:dyDescent="0.3">
      <c r="A7" s="140" t="s">
        <v>162</v>
      </c>
      <c r="B7" s="140" t="s">
        <v>163</v>
      </c>
      <c r="C7" s="195">
        <f>('13(4).Kiadás intézmény'!C8)</f>
        <v>500000</v>
      </c>
      <c r="D7" s="195">
        <f>('13(4).Kiadás intézmény'!D8)</f>
        <v>500000</v>
      </c>
      <c r="E7" s="195"/>
      <c r="F7" s="195"/>
      <c r="G7" s="195"/>
    </row>
    <row r="8" spans="1:9" ht="14.4" x14ac:dyDescent="0.3">
      <c r="A8" s="140" t="s">
        <v>164</v>
      </c>
      <c r="B8" s="140" t="s">
        <v>165</v>
      </c>
      <c r="C8" s="195">
        <f>('13(4).Kiadás intézmény'!C9)</f>
        <v>0</v>
      </c>
      <c r="D8" s="195">
        <f>('13(4).Kiadás intézmény'!D9)</f>
        <v>0</v>
      </c>
      <c r="E8" s="195"/>
      <c r="F8" s="195"/>
      <c r="G8" s="195"/>
    </row>
    <row r="9" spans="1:9" s="1" customFormat="1" ht="14.4" x14ac:dyDescent="0.3">
      <c r="A9" s="140" t="s">
        <v>166</v>
      </c>
      <c r="B9" s="140" t="s">
        <v>167</v>
      </c>
      <c r="C9" s="144">
        <f>('13(4).Kiadás intézmény'!C10)</f>
        <v>7200000</v>
      </c>
      <c r="D9" s="144">
        <f>('13(4).Kiadás intézmény'!D10)</f>
        <v>7200000</v>
      </c>
      <c r="E9" s="144"/>
      <c r="F9" s="144"/>
      <c r="G9" s="144"/>
    </row>
    <row r="10" spans="1:9" s="109" customFormat="1" ht="14.4" x14ac:dyDescent="0.3">
      <c r="A10" s="141" t="s">
        <v>158</v>
      </c>
      <c r="B10" s="141" t="s">
        <v>159</v>
      </c>
      <c r="C10" s="120">
        <f>SUM(C6:C9)</f>
        <v>8000000</v>
      </c>
      <c r="D10" s="120">
        <f t="shared" ref="D10:G10" si="0">SUM(D6:D9)</f>
        <v>8000000</v>
      </c>
      <c r="E10" s="120">
        <f t="shared" si="0"/>
        <v>0</v>
      </c>
      <c r="F10" s="120">
        <f t="shared" si="0"/>
        <v>0</v>
      </c>
      <c r="G10" s="120">
        <f t="shared" si="0"/>
        <v>0</v>
      </c>
    </row>
    <row r="11" spans="1:9" ht="14.4" x14ac:dyDescent="0.3">
      <c r="A11" s="180" t="s">
        <v>417</v>
      </c>
      <c r="B11" s="140" t="s">
        <v>418</v>
      </c>
      <c r="C11" s="127">
        <v>0</v>
      </c>
      <c r="D11" s="127">
        <v>0</v>
      </c>
      <c r="E11" s="127"/>
      <c r="F11" s="127"/>
      <c r="G11" s="127"/>
      <c r="H11" s="3" t="s">
        <v>442</v>
      </c>
    </row>
    <row r="12" spans="1:9" ht="14.4" x14ac:dyDescent="0.3">
      <c r="A12" s="180" t="s">
        <v>483</v>
      </c>
      <c r="B12" s="140" t="s">
        <v>353</v>
      </c>
      <c r="C12" s="144">
        <f>('13(4).Kiadás intézmény'!C13)</f>
        <v>712500</v>
      </c>
      <c r="D12" s="144">
        <f>('13(4).Kiadás intézmény'!D13)</f>
        <v>712500</v>
      </c>
      <c r="E12" s="144"/>
      <c r="F12" s="144"/>
      <c r="G12" s="144"/>
      <c r="H12" s="3"/>
    </row>
    <row r="13" spans="1:9" s="13" customFormat="1" ht="15.6" x14ac:dyDescent="0.3">
      <c r="A13" s="180" t="s">
        <v>421</v>
      </c>
      <c r="B13" s="140" t="s">
        <v>422</v>
      </c>
      <c r="C13" s="127">
        <v>0</v>
      </c>
      <c r="D13" s="127">
        <v>200000</v>
      </c>
      <c r="E13" s="127"/>
      <c r="F13" s="127"/>
      <c r="G13" s="127"/>
    </row>
    <row r="14" spans="1:9" ht="14.4" x14ac:dyDescent="0.3">
      <c r="A14" s="180" t="s">
        <v>456</v>
      </c>
      <c r="B14" s="140" t="s">
        <v>174</v>
      </c>
      <c r="C14" s="144">
        <v>5960000</v>
      </c>
      <c r="D14" s="144">
        <f>('12(11).Adott támogatások'!$B16)</f>
        <v>5960000</v>
      </c>
      <c r="E14" s="144"/>
      <c r="F14" s="144"/>
      <c r="G14" s="144"/>
    </row>
    <row r="15" spans="1:9" ht="14.4" x14ac:dyDescent="0.3">
      <c r="A15" s="180"/>
      <c r="B15" s="140" t="s">
        <v>593</v>
      </c>
      <c r="C15" s="127">
        <v>5960000</v>
      </c>
      <c r="D15" s="127">
        <v>5960000</v>
      </c>
      <c r="E15" s="127"/>
      <c r="F15" s="127"/>
      <c r="G15" s="127"/>
    </row>
    <row r="16" spans="1:9" ht="14.4" x14ac:dyDescent="0.3">
      <c r="A16" s="180"/>
      <c r="B16" s="140" t="s">
        <v>594</v>
      </c>
      <c r="C16" s="127">
        <v>0</v>
      </c>
      <c r="D16" s="127">
        <v>0</v>
      </c>
      <c r="E16" s="127"/>
      <c r="F16" s="127"/>
      <c r="G16" s="127"/>
    </row>
    <row r="17" spans="1:7" s="1" customFormat="1" ht="14.4" x14ac:dyDescent="0.3">
      <c r="A17" s="180" t="s">
        <v>458</v>
      </c>
      <c r="B17" s="194" t="s">
        <v>595</v>
      </c>
      <c r="C17" s="144">
        <f>('13(4).Kiadás intézmény'!C17)</f>
        <v>86925027</v>
      </c>
      <c r="D17" s="144">
        <f>('13(4).Kiadás intézmény'!D17)</f>
        <v>87970882</v>
      </c>
      <c r="E17" s="144"/>
      <c r="F17" s="144"/>
      <c r="G17" s="144"/>
    </row>
    <row r="18" spans="1:7" s="1" customFormat="1" ht="14.4" x14ac:dyDescent="0.3">
      <c r="A18" s="141" t="s">
        <v>168</v>
      </c>
      <c r="B18" s="141" t="s">
        <v>169</v>
      </c>
      <c r="C18" s="120">
        <f>(C11+C12+C13+C14+C17)</f>
        <v>93597527</v>
      </c>
      <c r="D18" s="120">
        <f t="shared" ref="D18:G18" si="1">(D11+D12+D13+D14+D17)</f>
        <v>94843382</v>
      </c>
      <c r="E18" s="120">
        <f t="shared" si="1"/>
        <v>0</v>
      </c>
      <c r="F18" s="120">
        <f t="shared" si="1"/>
        <v>0</v>
      </c>
      <c r="G18" s="120">
        <f t="shared" si="1"/>
        <v>0</v>
      </c>
    </row>
    <row r="19" spans="1:7" ht="14.4" x14ac:dyDescent="0.3">
      <c r="A19" s="196" t="s">
        <v>596</v>
      </c>
      <c r="B19" s="140" t="s">
        <v>495</v>
      </c>
      <c r="C19" s="127">
        <v>0</v>
      </c>
      <c r="D19" s="127">
        <v>0</v>
      </c>
      <c r="E19" s="127"/>
      <c r="F19" s="127"/>
      <c r="G19" s="127"/>
    </row>
    <row r="20" spans="1:7" ht="14.4" x14ac:dyDescent="0.3">
      <c r="A20" s="196" t="s">
        <v>597</v>
      </c>
      <c r="B20" s="140" t="s">
        <v>228</v>
      </c>
      <c r="C20" s="195">
        <v>0</v>
      </c>
      <c r="D20" s="195">
        <f>('9(1c).Beruházás felújítás'!$M62)</f>
        <v>0</v>
      </c>
      <c r="E20" s="127"/>
      <c r="F20" s="127"/>
      <c r="G20" s="127"/>
    </row>
    <row r="21" spans="1:7" ht="14.4" x14ac:dyDescent="0.3">
      <c r="A21" s="196" t="s">
        <v>598</v>
      </c>
      <c r="B21" s="140" t="s">
        <v>432</v>
      </c>
      <c r="C21" s="195">
        <v>1917320</v>
      </c>
      <c r="D21" s="195">
        <f>('9(1c).Beruházás felújítás'!$M63)</f>
        <v>1917320</v>
      </c>
      <c r="E21" s="127"/>
      <c r="F21" s="127"/>
      <c r="G21" s="127"/>
    </row>
    <row r="22" spans="1:7" ht="14.4" x14ac:dyDescent="0.3">
      <c r="A22" s="196" t="s">
        <v>599</v>
      </c>
      <c r="B22" s="140" t="s">
        <v>229</v>
      </c>
      <c r="C22" s="195">
        <v>6360970</v>
      </c>
      <c r="D22" s="195">
        <f>('9(1c).Beruházás felújítás'!$M64)</f>
        <v>6360969.9551999997</v>
      </c>
      <c r="E22" s="127"/>
      <c r="F22" s="127"/>
      <c r="G22" s="127"/>
    </row>
    <row r="23" spans="1:7" ht="14.4" x14ac:dyDescent="0.3">
      <c r="A23" s="196" t="s">
        <v>600</v>
      </c>
      <c r="B23" s="140" t="s">
        <v>230</v>
      </c>
      <c r="C23" s="195">
        <v>2235158</v>
      </c>
      <c r="D23" s="195">
        <f>('9(1c).Beruházás felújítás'!$M65)</f>
        <v>2235158.0448000003</v>
      </c>
      <c r="E23" s="127"/>
      <c r="F23" s="127"/>
      <c r="G23" s="127"/>
    </row>
    <row r="24" spans="1:7" s="109" customFormat="1" ht="14.4" x14ac:dyDescent="0.3">
      <c r="A24" s="141" t="s">
        <v>170</v>
      </c>
      <c r="B24" s="141" t="s">
        <v>44</v>
      </c>
      <c r="C24" s="120">
        <f>SUM(C19:C23)</f>
        <v>10513448</v>
      </c>
      <c r="D24" s="120">
        <f t="shared" ref="D24:G24" si="2">SUM(D19:D23)</f>
        <v>10513448</v>
      </c>
      <c r="E24" s="120">
        <f t="shared" si="2"/>
        <v>0</v>
      </c>
      <c r="F24" s="120">
        <f t="shared" si="2"/>
        <v>0</v>
      </c>
      <c r="G24" s="120">
        <f t="shared" si="2"/>
        <v>0</v>
      </c>
    </row>
    <row r="25" spans="1:7" ht="14.4" x14ac:dyDescent="0.3">
      <c r="A25" s="180" t="s">
        <v>601</v>
      </c>
      <c r="B25" s="140" t="s">
        <v>231</v>
      </c>
      <c r="C25" s="195">
        <v>132397362</v>
      </c>
      <c r="D25" s="195">
        <f>('9(1c).Beruházás felújítás'!$M66)</f>
        <v>143855528.03639999</v>
      </c>
      <c r="E25" s="127"/>
      <c r="F25" s="127"/>
      <c r="G25" s="127"/>
    </row>
    <row r="26" spans="1:7" ht="14.4" x14ac:dyDescent="0.3">
      <c r="A26" s="180" t="s">
        <v>602</v>
      </c>
      <c r="B26" s="140" t="s">
        <v>232</v>
      </c>
      <c r="C26" s="127">
        <v>0</v>
      </c>
      <c r="D26" s="127">
        <v>0</v>
      </c>
      <c r="E26" s="127"/>
      <c r="F26" s="127"/>
      <c r="G26" s="127"/>
    </row>
    <row r="27" spans="1:7" ht="14.4" x14ac:dyDescent="0.3">
      <c r="A27" s="180" t="s">
        <v>603</v>
      </c>
      <c r="B27" s="140" t="s">
        <v>233</v>
      </c>
      <c r="C27" s="195">
        <v>35747624</v>
      </c>
      <c r="D27" s="195">
        <f>('9(1c).Beruházás felújítás'!$M67)</f>
        <v>38841357.963600002</v>
      </c>
      <c r="E27" s="127"/>
      <c r="F27" s="127"/>
      <c r="G27" s="127"/>
    </row>
    <row r="28" spans="1:7" s="109" customFormat="1" ht="14.4" x14ac:dyDescent="0.3">
      <c r="A28" s="141" t="s">
        <v>171</v>
      </c>
      <c r="B28" s="141" t="s">
        <v>47</v>
      </c>
      <c r="C28" s="120">
        <f>SUM(C25:C27)</f>
        <v>168144986</v>
      </c>
      <c r="D28" s="120">
        <f t="shared" ref="D28:G28" si="3">SUM(D25:D27)</f>
        <v>182696886</v>
      </c>
      <c r="E28" s="120">
        <f t="shared" si="3"/>
        <v>0</v>
      </c>
      <c r="F28" s="120">
        <f t="shared" si="3"/>
        <v>0</v>
      </c>
      <c r="G28" s="120">
        <f t="shared" si="3"/>
        <v>0</v>
      </c>
    </row>
    <row r="29" spans="1:7" ht="14.4" x14ac:dyDescent="0.3">
      <c r="A29" s="180" t="s">
        <v>604</v>
      </c>
      <c r="B29" s="140" t="s">
        <v>175</v>
      </c>
      <c r="C29" s="195">
        <f>('13(4).Kiadás intézmény'!C21)</f>
        <v>2000000</v>
      </c>
      <c r="D29" s="195">
        <f>('13(4).Kiadás intézmény'!D21)</f>
        <v>2000000</v>
      </c>
      <c r="E29" s="127"/>
      <c r="F29" s="127"/>
      <c r="G29" s="127"/>
    </row>
    <row r="30" spans="1:7" s="109" customFormat="1" ht="14.4" x14ac:dyDescent="0.3">
      <c r="A30" s="141" t="s">
        <v>172</v>
      </c>
      <c r="B30" s="141" t="s">
        <v>173</v>
      </c>
      <c r="C30" s="120">
        <f>C29</f>
        <v>2000000</v>
      </c>
      <c r="D30" s="120">
        <f t="shared" ref="D30:G30" si="4">D29</f>
        <v>2000000</v>
      </c>
      <c r="E30" s="120">
        <f t="shared" si="4"/>
        <v>0</v>
      </c>
      <c r="F30" s="120">
        <f t="shared" si="4"/>
        <v>0</v>
      </c>
      <c r="G30" s="120">
        <f t="shared" si="4"/>
        <v>0</v>
      </c>
    </row>
    <row r="31" spans="1:7" s="2" customFormat="1" ht="21.6" customHeight="1" x14ac:dyDescent="0.3">
      <c r="A31" s="145" t="s">
        <v>398</v>
      </c>
      <c r="B31" s="145" t="s">
        <v>403</v>
      </c>
      <c r="C31" s="129">
        <f>(C3+C4+C5+C10+C18+C24+C28+C30)</f>
        <v>577435137</v>
      </c>
      <c r="D31" s="129">
        <f t="shared" ref="D31:G31" si="5">(D3+D4+D5+D10+D18+D24+D28+D30)</f>
        <v>593284274.52999997</v>
      </c>
      <c r="E31" s="129">
        <f t="shared" si="5"/>
        <v>0</v>
      </c>
      <c r="F31" s="129">
        <f t="shared" si="5"/>
        <v>0</v>
      </c>
      <c r="G31" s="129">
        <f t="shared" si="5"/>
        <v>0</v>
      </c>
    </row>
    <row r="32" spans="1:7" ht="21.6" customHeight="1" x14ac:dyDescent="0.3">
      <c r="A32" s="180" t="s">
        <v>395</v>
      </c>
      <c r="B32" s="140" t="s">
        <v>396</v>
      </c>
      <c r="C32" s="144">
        <f>('3(2).Bevétel intézmény'!E28)</f>
        <v>5982029</v>
      </c>
      <c r="D32" s="144">
        <f>('3(2).Bevétel intézmény'!F28)</f>
        <v>5982029</v>
      </c>
      <c r="E32" s="144"/>
      <c r="F32" s="144"/>
      <c r="G32" s="144"/>
    </row>
    <row r="33" spans="1:7" s="109" customFormat="1" ht="19.8" customHeight="1" x14ac:dyDescent="0.3">
      <c r="A33" s="141" t="s">
        <v>176</v>
      </c>
      <c r="B33" s="141" t="s">
        <v>177</v>
      </c>
      <c r="C33" s="120">
        <f>C32</f>
        <v>5982029</v>
      </c>
      <c r="D33" s="120">
        <f t="shared" ref="D33:G33" si="6">D32</f>
        <v>5982029</v>
      </c>
      <c r="E33" s="120">
        <f t="shared" si="6"/>
        <v>0</v>
      </c>
      <c r="F33" s="120">
        <f t="shared" si="6"/>
        <v>0</v>
      </c>
      <c r="G33" s="120">
        <f t="shared" si="6"/>
        <v>0</v>
      </c>
    </row>
    <row r="34" spans="1:7" s="18" customFormat="1" ht="18" x14ac:dyDescent="0.35">
      <c r="A34" s="322" t="s">
        <v>405</v>
      </c>
      <c r="B34" s="322"/>
      <c r="C34" s="162">
        <f>(C31+C33)</f>
        <v>583417166</v>
      </c>
      <c r="D34" s="162">
        <f t="shared" ref="D34:G34" si="7">(D31+D33)</f>
        <v>599266303.52999997</v>
      </c>
      <c r="E34" s="162">
        <f t="shared" si="7"/>
        <v>0</v>
      </c>
      <c r="F34" s="162">
        <f t="shared" si="7"/>
        <v>0</v>
      </c>
      <c r="G34" s="162">
        <f t="shared" si="7"/>
        <v>0</v>
      </c>
    </row>
    <row r="35" spans="1:7" ht="19.2" customHeight="1" x14ac:dyDescent="0.3">
      <c r="A35" s="140" t="s">
        <v>400</v>
      </c>
      <c r="B35" s="140" t="s">
        <v>367</v>
      </c>
      <c r="C35" s="195">
        <f>('5 (1).Bevételek összesen'!E32)</f>
        <v>138168131</v>
      </c>
      <c r="D35" s="195">
        <f>('5 (1).Bevételek összesen'!F32)</f>
        <v>138168131</v>
      </c>
      <c r="E35" s="195"/>
      <c r="F35" s="195"/>
      <c r="G35" s="195"/>
    </row>
    <row r="36" spans="1:7" s="13" customFormat="1" ht="19.5" customHeight="1" x14ac:dyDescent="0.3">
      <c r="A36" s="341" t="s">
        <v>49</v>
      </c>
      <c r="B36" s="341"/>
      <c r="C36" s="137">
        <f>SUM(C34:C35)</f>
        <v>721585297</v>
      </c>
      <c r="D36" s="137">
        <f t="shared" ref="D36:G36" si="8">SUM(D34:D35)</f>
        <v>737434434.52999997</v>
      </c>
      <c r="E36" s="137">
        <f t="shared" si="8"/>
        <v>0</v>
      </c>
      <c r="F36" s="137">
        <f t="shared" si="8"/>
        <v>0</v>
      </c>
      <c r="G36" s="137">
        <f t="shared" si="8"/>
        <v>0</v>
      </c>
    </row>
  </sheetData>
  <sheetProtection sheet="1" objects="1" scenarios="1"/>
  <mergeCells count="4">
    <mergeCell ref="A34:B34"/>
    <mergeCell ref="A2:B2"/>
    <mergeCell ref="A1:G1"/>
    <mergeCell ref="A36:B36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71" orientation="landscape" r:id="rId1"/>
  <headerFooter alignWithMargins="0">
    <oddHeader>&amp;R3.sz. melléklet
Ft- ban</oddHeader>
  </headerFooter>
  <ignoredErrors>
    <ignoredError sqref="C1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4" tint="0.79998168889431442"/>
    <pageSetUpPr fitToPage="1"/>
  </sheetPr>
  <dimension ref="A1:Q14"/>
  <sheetViews>
    <sheetView zoomScaleNormal="100" workbookViewId="0">
      <selection activeCell="N14" sqref="N14"/>
    </sheetView>
  </sheetViews>
  <sheetFormatPr defaultColWidth="9.109375" defaultRowHeight="13.2" x14ac:dyDescent="0.25"/>
  <cols>
    <col min="1" max="1" width="19.88671875" style="8" customWidth="1"/>
    <col min="2" max="15" width="12.77734375" style="8" customWidth="1"/>
    <col min="16" max="16" width="10.33203125" style="8" bestFit="1" customWidth="1"/>
    <col min="17" max="16384" width="9.109375" style="8"/>
  </cols>
  <sheetData>
    <row r="1" spans="1:17" ht="15.6" x14ac:dyDescent="0.25">
      <c r="A1" s="323" t="s">
        <v>74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</row>
    <row r="2" spans="1:17" ht="15.6" x14ac:dyDescent="0.25">
      <c r="A2" s="323" t="s">
        <v>605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</row>
    <row r="3" spans="1:17" ht="16.8" x14ac:dyDescent="0.3">
      <c r="A3" s="43"/>
    </row>
    <row r="4" spans="1:17" ht="14.4" x14ac:dyDescent="0.25">
      <c r="A4" s="180" t="s">
        <v>69</v>
      </c>
      <c r="B4" s="180" t="s">
        <v>548</v>
      </c>
      <c r="C4" s="180" t="s">
        <v>549</v>
      </c>
      <c r="D4" s="180" t="s">
        <v>550</v>
      </c>
      <c r="E4" s="180" t="s">
        <v>514</v>
      </c>
      <c r="F4" s="180" t="s">
        <v>551</v>
      </c>
      <c r="G4" s="180" t="s">
        <v>552</v>
      </c>
      <c r="H4" s="180" t="s">
        <v>553</v>
      </c>
      <c r="I4" s="180" t="s">
        <v>554</v>
      </c>
      <c r="J4" s="180" t="s">
        <v>515</v>
      </c>
      <c r="K4" s="180" t="s">
        <v>555</v>
      </c>
      <c r="L4" s="180" t="s">
        <v>516</v>
      </c>
      <c r="M4" s="180" t="s">
        <v>517</v>
      </c>
      <c r="N4" s="180" t="s">
        <v>556</v>
      </c>
      <c r="O4" s="180" t="s">
        <v>462</v>
      </c>
    </row>
    <row r="5" spans="1:17" ht="14.4" x14ac:dyDescent="0.25">
      <c r="A5" s="140" t="s">
        <v>45</v>
      </c>
      <c r="B5" s="189">
        <v>13903592</v>
      </c>
      <c r="C5" s="189">
        <v>13903592</v>
      </c>
      <c r="D5" s="189">
        <v>13903592</v>
      </c>
      <c r="E5" s="189">
        <v>13903592</v>
      </c>
      <c r="F5" s="189">
        <v>13903592</v>
      </c>
      <c r="G5" s="189">
        <v>13903592</v>
      </c>
      <c r="H5" s="189">
        <v>13903592</v>
      </c>
      <c r="I5" s="189">
        <v>13903592</v>
      </c>
      <c r="J5" s="189">
        <v>13903592</v>
      </c>
      <c r="K5" s="189">
        <v>13903592</v>
      </c>
      <c r="L5" s="189">
        <v>13903592</v>
      </c>
      <c r="M5" s="189">
        <v>13903592</v>
      </c>
      <c r="N5" s="231">
        <f>SUM(B5:M5)</f>
        <v>166843104</v>
      </c>
      <c r="O5" s="233">
        <f>('15(3).Kiadások összesen'!D3)</f>
        <v>166843104</v>
      </c>
    </row>
    <row r="6" spans="1:17" ht="28.8" x14ac:dyDescent="0.25">
      <c r="A6" s="140" t="s">
        <v>606</v>
      </c>
      <c r="B6" s="189">
        <v>2351248</v>
      </c>
      <c r="C6" s="189">
        <v>2351247</v>
      </c>
      <c r="D6" s="189">
        <v>2351248</v>
      </c>
      <c r="E6" s="189">
        <v>2351247</v>
      </c>
      <c r="F6" s="189">
        <v>2351248</v>
      </c>
      <c r="G6" s="189">
        <v>2351247</v>
      </c>
      <c r="H6" s="189">
        <v>2351248</v>
      </c>
      <c r="I6" s="189">
        <v>2351248</v>
      </c>
      <c r="J6" s="189">
        <v>2351247</v>
      </c>
      <c r="K6" s="189">
        <v>2351248</v>
      </c>
      <c r="L6" s="189">
        <v>2351248</v>
      </c>
      <c r="M6" s="189">
        <v>2351248</v>
      </c>
      <c r="N6" s="231">
        <f t="shared" ref="N6:N11" si="0">SUM(B6:M6)</f>
        <v>28214972</v>
      </c>
      <c r="O6" s="233">
        <f>('15(3).Kiadások összesen'!D4)</f>
        <v>28214971.530000001</v>
      </c>
    </row>
    <row r="7" spans="1:17" ht="14.4" x14ac:dyDescent="0.25">
      <c r="A7" s="140" t="s">
        <v>46</v>
      </c>
      <c r="B7" s="189">
        <v>8347707</v>
      </c>
      <c r="C7" s="189">
        <v>8347707</v>
      </c>
      <c r="D7" s="189">
        <v>8347707</v>
      </c>
      <c r="E7" s="189">
        <v>8347707</v>
      </c>
      <c r="F7" s="189">
        <v>8347707</v>
      </c>
      <c r="G7" s="189">
        <v>8347707</v>
      </c>
      <c r="H7" s="189">
        <v>8347706</v>
      </c>
      <c r="I7" s="189">
        <v>8347707</v>
      </c>
      <c r="J7" s="189">
        <v>8347707</v>
      </c>
      <c r="K7" s="189">
        <v>8347707</v>
      </c>
      <c r="L7" s="189">
        <v>8347707</v>
      </c>
      <c r="M7" s="189">
        <v>8347707</v>
      </c>
      <c r="N7" s="231">
        <f t="shared" si="0"/>
        <v>100172483</v>
      </c>
      <c r="O7" s="233">
        <f>('15(3).Kiadások összesen'!D5)</f>
        <v>100172483</v>
      </c>
    </row>
    <row r="8" spans="1:17" ht="28.8" x14ac:dyDescent="0.25">
      <c r="A8" s="140" t="s">
        <v>159</v>
      </c>
      <c r="B8" s="189">
        <v>666666</v>
      </c>
      <c r="C8" s="189">
        <v>666667</v>
      </c>
      <c r="D8" s="189">
        <v>666667</v>
      </c>
      <c r="E8" s="189">
        <v>666666</v>
      </c>
      <c r="F8" s="189">
        <v>666667</v>
      </c>
      <c r="G8" s="189">
        <v>666667</v>
      </c>
      <c r="H8" s="189">
        <v>666666</v>
      </c>
      <c r="I8" s="189">
        <v>666667</v>
      </c>
      <c r="J8" s="189">
        <v>666667</v>
      </c>
      <c r="K8" s="189">
        <v>666666</v>
      </c>
      <c r="L8" s="189">
        <v>666667</v>
      </c>
      <c r="M8" s="189">
        <v>666667</v>
      </c>
      <c r="N8" s="231">
        <f t="shared" si="0"/>
        <v>8000000</v>
      </c>
      <c r="O8" s="233">
        <f>('15(3).Kiadások összesen'!D10)</f>
        <v>8000000</v>
      </c>
    </row>
    <row r="9" spans="1:17" ht="28.8" x14ac:dyDescent="0.25">
      <c r="A9" s="140" t="s">
        <v>169</v>
      </c>
      <c r="B9" s="189">
        <v>572708</v>
      </c>
      <c r="C9" s="189">
        <v>572708</v>
      </c>
      <c r="D9" s="189">
        <v>572709</v>
      </c>
      <c r="E9" s="189">
        <v>572708</v>
      </c>
      <c r="F9" s="189">
        <v>572709</v>
      </c>
      <c r="G9" s="189">
        <v>572708</v>
      </c>
      <c r="H9" s="189">
        <v>572708</v>
      </c>
      <c r="I9" s="189">
        <v>572709</v>
      </c>
      <c r="J9" s="189">
        <v>572708</v>
      </c>
      <c r="K9" s="189">
        <v>572708</v>
      </c>
      <c r="L9" s="189">
        <v>572709</v>
      </c>
      <c r="M9" s="189">
        <v>572708</v>
      </c>
      <c r="N9" s="231">
        <f>SUM(B9:M9)</f>
        <v>6872500</v>
      </c>
      <c r="O9" s="233">
        <f>('15(3).Kiadások összesen'!D18)-('15(3).Kiadások összesen'!D17)</f>
        <v>6872500</v>
      </c>
    </row>
    <row r="10" spans="1:17" ht="14.4" x14ac:dyDescent="0.25">
      <c r="A10" s="140" t="s">
        <v>44</v>
      </c>
      <c r="B10" s="189"/>
      <c r="C10" s="189"/>
      <c r="D10" s="189"/>
      <c r="E10" s="189">
        <v>2435000</v>
      </c>
      <c r="F10" s="189"/>
      <c r="G10" s="189">
        <v>4000000</v>
      </c>
      <c r="H10" s="189">
        <v>4078448</v>
      </c>
      <c r="I10" s="189"/>
      <c r="J10" s="189"/>
      <c r="K10" s="189"/>
      <c r="L10" s="189"/>
      <c r="M10" s="189"/>
      <c r="N10" s="231">
        <f t="shared" si="0"/>
        <v>10513448</v>
      </c>
      <c r="O10" s="233">
        <f>('15(3).Kiadások összesen'!D24)</f>
        <v>10513448</v>
      </c>
    </row>
    <row r="11" spans="1:17" ht="14.4" x14ac:dyDescent="0.25">
      <c r="A11" s="140" t="s">
        <v>47</v>
      </c>
      <c r="B11" s="189"/>
      <c r="C11" s="189"/>
      <c r="D11" s="189"/>
      <c r="E11" s="189">
        <v>30449481</v>
      </c>
      <c r="F11" s="189">
        <v>30449481</v>
      </c>
      <c r="G11" s="189">
        <v>30449481</v>
      </c>
      <c r="H11" s="189">
        <v>30449481</v>
      </c>
      <c r="I11" s="189">
        <v>30449481</v>
      </c>
      <c r="J11" s="189">
        <v>30449481</v>
      </c>
      <c r="K11" s="189"/>
      <c r="L11" s="189"/>
      <c r="M11" s="189"/>
      <c r="N11" s="231">
        <f t="shared" si="0"/>
        <v>182696886</v>
      </c>
      <c r="O11" s="233">
        <f>('15(3).Kiadások összesen'!D28)</f>
        <v>182696886</v>
      </c>
    </row>
    <row r="12" spans="1:17" ht="28.8" x14ac:dyDescent="0.25">
      <c r="A12" s="140" t="s">
        <v>173</v>
      </c>
      <c r="B12" s="189">
        <v>166666</v>
      </c>
      <c r="C12" s="189">
        <v>166667</v>
      </c>
      <c r="D12" s="189">
        <v>166666</v>
      </c>
      <c r="E12" s="189">
        <v>166667</v>
      </c>
      <c r="F12" s="189">
        <v>166667</v>
      </c>
      <c r="G12" s="189">
        <v>166666</v>
      </c>
      <c r="H12" s="189">
        <v>166667</v>
      </c>
      <c r="I12" s="189">
        <v>166667</v>
      </c>
      <c r="J12" s="189">
        <v>166666</v>
      </c>
      <c r="K12" s="189">
        <v>166667</v>
      </c>
      <c r="L12" s="189">
        <v>166667</v>
      </c>
      <c r="M12" s="189">
        <v>166667</v>
      </c>
      <c r="N12" s="231">
        <f>SUM(B12:M12)</f>
        <v>2000000</v>
      </c>
      <c r="O12" s="233">
        <f>('15(3).Kiadások összesen'!D30)</f>
        <v>2000000</v>
      </c>
    </row>
    <row r="13" spans="1:17" ht="14.4" x14ac:dyDescent="0.25">
      <c r="A13" s="140" t="s">
        <v>407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232">
        <f>('15(3).Kiadások összesen'!D17)</f>
        <v>87970882</v>
      </c>
      <c r="O13" s="233">
        <f>('15(3).Kiadások összesen'!D17)</f>
        <v>87970882</v>
      </c>
    </row>
    <row r="14" spans="1:17" ht="14.4" x14ac:dyDescent="0.25">
      <c r="A14" s="141" t="s">
        <v>1</v>
      </c>
      <c r="B14" s="231">
        <f t="shared" ref="B14:M14" si="1">SUM(B5:B12)</f>
        <v>26008587</v>
      </c>
      <c r="C14" s="231">
        <f t="shared" si="1"/>
        <v>26008588</v>
      </c>
      <c r="D14" s="231">
        <f t="shared" si="1"/>
        <v>26008589</v>
      </c>
      <c r="E14" s="231">
        <f t="shared" si="1"/>
        <v>58893068</v>
      </c>
      <c r="F14" s="231">
        <f t="shared" si="1"/>
        <v>56458071</v>
      </c>
      <c r="G14" s="231">
        <f t="shared" si="1"/>
        <v>60458068</v>
      </c>
      <c r="H14" s="231">
        <f t="shared" si="1"/>
        <v>60536516</v>
      </c>
      <c r="I14" s="231">
        <f t="shared" si="1"/>
        <v>56458071</v>
      </c>
      <c r="J14" s="231">
        <f t="shared" si="1"/>
        <v>56458068</v>
      </c>
      <c r="K14" s="231">
        <f t="shared" si="1"/>
        <v>26008588</v>
      </c>
      <c r="L14" s="231">
        <f t="shared" si="1"/>
        <v>26008590</v>
      </c>
      <c r="M14" s="231">
        <f t="shared" si="1"/>
        <v>26008589</v>
      </c>
      <c r="N14" s="231">
        <f>SUM(N5:N13)</f>
        <v>593284275</v>
      </c>
      <c r="O14" s="233">
        <f>('15(3).Kiadások összesen'!D31)</f>
        <v>593284274.52999997</v>
      </c>
      <c r="Q14" s="91"/>
    </row>
  </sheetData>
  <sheetProtection sheet="1" objects="1" scenarios="1"/>
  <mergeCells count="2">
    <mergeCell ref="A1:O1"/>
    <mergeCell ref="A2:O2"/>
  </mergeCells>
  <pageMargins left="0.35433070866141736" right="0.19685039370078741" top="0.98425196850393704" bottom="0.98425196850393704" header="0.51181102362204722" footer="0.51181102362204722"/>
  <pageSetup paperSize="9" scale="73" orientation="landscape" r:id="rId1"/>
  <headerFooter alignWithMargins="0">
    <oddHeader xml:space="preserve">&amp;R6.sz . melléklet
Ft-  ban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02"/>
  <sheetViews>
    <sheetView workbookViewId="0">
      <selection activeCell="F102" sqref="F102"/>
    </sheetView>
  </sheetViews>
  <sheetFormatPr defaultRowHeight="13.2" x14ac:dyDescent="0.25"/>
  <cols>
    <col min="1" max="1" width="26.33203125" bestFit="1" customWidth="1"/>
    <col min="2" max="2" width="14" bestFit="1" customWidth="1"/>
    <col min="3" max="3" width="10.109375" bestFit="1" customWidth="1"/>
    <col min="4" max="4" width="11.88671875" bestFit="1" customWidth="1"/>
    <col min="5" max="5" width="9.44140625" bestFit="1" customWidth="1"/>
    <col min="6" max="6" width="11.88671875" bestFit="1" customWidth="1"/>
    <col min="7" max="7" width="2.5546875" customWidth="1"/>
    <col min="8" max="8" width="26.33203125" bestFit="1" customWidth="1"/>
    <col min="9" max="9" width="15.44140625" bestFit="1" customWidth="1"/>
    <col min="10" max="10" width="10.109375" bestFit="1" customWidth="1"/>
    <col min="11" max="11" width="11.88671875" bestFit="1" customWidth="1"/>
    <col min="12" max="12" width="9.44140625" bestFit="1" customWidth="1"/>
    <col min="13" max="13" width="12.88671875" bestFit="1" customWidth="1"/>
  </cols>
  <sheetData>
    <row r="1" spans="1:13" ht="15.6" x14ac:dyDescent="0.25">
      <c r="A1" s="284" t="s">
        <v>611</v>
      </c>
      <c r="B1" s="284"/>
      <c r="C1" s="284"/>
      <c r="D1" s="284"/>
      <c r="E1" s="284"/>
      <c r="F1" s="284"/>
      <c r="H1" s="284" t="s">
        <v>611</v>
      </c>
      <c r="I1" s="284"/>
      <c r="J1" s="284"/>
      <c r="K1" s="284"/>
      <c r="L1" s="284"/>
      <c r="M1" s="284"/>
    </row>
    <row r="2" spans="1:13" x14ac:dyDescent="0.25">
      <c r="H2" s="109"/>
      <c r="I2" s="109"/>
      <c r="J2" s="109"/>
      <c r="K2" s="109"/>
      <c r="L2" s="109"/>
      <c r="M2" s="109"/>
    </row>
    <row r="3" spans="1:13" s="109" customFormat="1" ht="14.4" customHeight="1" x14ac:dyDescent="0.3">
      <c r="A3" s="287" t="s">
        <v>643</v>
      </c>
      <c r="B3" s="282"/>
      <c r="C3" s="282"/>
      <c r="D3" s="282"/>
      <c r="E3" s="283"/>
      <c r="F3" s="127">
        <v>45045000</v>
      </c>
      <c r="H3" s="287" t="s">
        <v>643</v>
      </c>
      <c r="I3" s="282"/>
      <c r="J3" s="282"/>
      <c r="K3" s="282"/>
      <c r="L3" s="283"/>
      <c r="M3" s="127">
        <v>37233979</v>
      </c>
    </row>
    <row r="4" spans="1:13" ht="15.6" x14ac:dyDescent="0.25">
      <c r="A4" s="284" t="s">
        <v>612</v>
      </c>
      <c r="B4" s="284"/>
      <c r="C4" s="284"/>
      <c r="D4" s="284"/>
      <c r="E4" s="284"/>
      <c r="F4" s="284"/>
      <c r="H4" s="284" t="s">
        <v>642</v>
      </c>
      <c r="I4" s="284"/>
      <c r="J4" s="284"/>
      <c r="K4" s="284"/>
      <c r="L4" s="284"/>
      <c r="M4" s="284"/>
    </row>
    <row r="5" spans="1:13" ht="14.4" x14ac:dyDescent="0.25">
      <c r="A5" s="248" t="s">
        <v>615</v>
      </c>
      <c r="B5" s="248" t="s">
        <v>616</v>
      </c>
      <c r="C5" s="248" t="s">
        <v>617</v>
      </c>
      <c r="D5" s="248" t="s">
        <v>618</v>
      </c>
      <c r="E5" s="248" t="s">
        <v>619</v>
      </c>
      <c r="F5" s="248" t="s">
        <v>620</v>
      </c>
      <c r="H5" s="248" t="s">
        <v>615</v>
      </c>
      <c r="I5" s="248" t="s">
        <v>616</v>
      </c>
      <c r="J5" s="248" t="s">
        <v>617</v>
      </c>
      <c r="K5" s="248" t="s">
        <v>618</v>
      </c>
      <c r="L5" s="248" t="s">
        <v>619</v>
      </c>
      <c r="M5" s="248" t="s">
        <v>620</v>
      </c>
    </row>
    <row r="6" spans="1:13" ht="14.4" x14ac:dyDescent="0.3">
      <c r="A6" s="127" t="s">
        <v>613</v>
      </c>
      <c r="B6" s="127" t="s">
        <v>614</v>
      </c>
      <c r="C6" s="251">
        <v>42563</v>
      </c>
      <c r="D6" s="127">
        <v>60000</v>
      </c>
      <c r="E6" s="127">
        <v>0</v>
      </c>
      <c r="F6" s="120">
        <f>SUM(D6:E6)</f>
        <v>60000</v>
      </c>
      <c r="H6" s="127" t="s">
        <v>648</v>
      </c>
      <c r="I6" s="127" t="s">
        <v>649</v>
      </c>
      <c r="J6" s="251">
        <v>42698</v>
      </c>
      <c r="K6" s="127">
        <v>231102</v>
      </c>
      <c r="L6" s="127">
        <v>62398</v>
      </c>
      <c r="M6" s="120">
        <f>SUM(K6:L6)</f>
        <v>293500</v>
      </c>
    </row>
    <row r="7" spans="1:13" ht="14.4" x14ac:dyDescent="0.3">
      <c r="A7" s="127" t="s">
        <v>621</v>
      </c>
      <c r="B7" s="127" t="s">
        <v>622</v>
      </c>
      <c r="C7" s="251">
        <v>42563</v>
      </c>
      <c r="D7" s="127">
        <v>45000</v>
      </c>
      <c r="E7" s="127">
        <v>12150</v>
      </c>
      <c r="F7" s="120">
        <f>SUM(D7:E7)</f>
        <v>57150</v>
      </c>
      <c r="H7" s="127" t="s">
        <v>648</v>
      </c>
      <c r="I7" s="127" t="s">
        <v>650</v>
      </c>
      <c r="J7" s="251">
        <v>42560</v>
      </c>
      <c r="K7" s="127">
        <v>950000</v>
      </c>
      <c r="L7" s="127">
        <v>256500</v>
      </c>
      <c r="M7" s="120">
        <f>SUM(K7:L7)</f>
        <v>1206500</v>
      </c>
    </row>
    <row r="8" spans="1:13" ht="14.4" x14ac:dyDescent="0.3">
      <c r="A8" s="127" t="s">
        <v>623</v>
      </c>
      <c r="B8" s="127" t="s">
        <v>624</v>
      </c>
      <c r="C8" s="251">
        <v>42486</v>
      </c>
      <c r="D8" s="127">
        <v>40000</v>
      </c>
      <c r="E8" s="127">
        <v>0</v>
      </c>
      <c r="F8" s="120">
        <f t="shared" ref="F8:F11" si="0">SUM(D8:E8)</f>
        <v>40000</v>
      </c>
      <c r="H8" s="127" t="s">
        <v>651</v>
      </c>
      <c r="I8" s="127" t="s">
        <v>652</v>
      </c>
      <c r="J8" s="251">
        <v>42551</v>
      </c>
      <c r="K8" s="127">
        <v>100000</v>
      </c>
      <c r="L8" s="127">
        <v>0</v>
      </c>
      <c r="M8" s="120">
        <f t="shared" ref="M8:M11" si="1">SUM(K8:L8)</f>
        <v>100000</v>
      </c>
    </row>
    <row r="9" spans="1:13" ht="14.4" x14ac:dyDescent="0.3">
      <c r="A9" s="127" t="s">
        <v>625</v>
      </c>
      <c r="B9" s="183" t="s">
        <v>626</v>
      </c>
      <c r="C9" s="251">
        <v>42690</v>
      </c>
      <c r="D9" s="127">
        <v>280000</v>
      </c>
      <c r="E9" s="127">
        <v>0</v>
      </c>
      <c r="F9" s="120">
        <f t="shared" si="0"/>
        <v>280000</v>
      </c>
      <c r="H9" s="127"/>
      <c r="I9" s="183"/>
      <c r="J9" s="251"/>
      <c r="K9" s="127"/>
      <c r="L9" s="127"/>
      <c r="M9" s="120">
        <f t="shared" si="1"/>
        <v>0</v>
      </c>
    </row>
    <row r="10" spans="1:13" ht="14.4" x14ac:dyDescent="0.3">
      <c r="A10" s="127" t="s">
        <v>625</v>
      </c>
      <c r="B10" s="183" t="s">
        <v>627</v>
      </c>
      <c r="C10" s="251">
        <v>42507</v>
      </c>
      <c r="D10" s="127">
        <v>220000</v>
      </c>
      <c r="E10" s="127">
        <v>0</v>
      </c>
      <c r="F10" s="120">
        <f t="shared" si="0"/>
        <v>220000</v>
      </c>
      <c r="H10" s="127"/>
      <c r="I10" s="183"/>
      <c r="J10" s="251"/>
      <c r="K10" s="127"/>
      <c r="L10" s="127"/>
      <c r="M10" s="120">
        <f t="shared" si="1"/>
        <v>0</v>
      </c>
    </row>
    <row r="11" spans="1:13" ht="14.4" x14ac:dyDescent="0.3">
      <c r="A11" s="127" t="s">
        <v>628</v>
      </c>
      <c r="B11" s="127" t="s">
        <v>629</v>
      </c>
      <c r="C11" s="251">
        <v>42677</v>
      </c>
      <c r="D11" s="127">
        <v>160000</v>
      </c>
      <c r="E11" s="127">
        <v>0</v>
      </c>
      <c r="F11" s="120">
        <f t="shared" si="0"/>
        <v>160000</v>
      </c>
      <c r="H11" s="127"/>
      <c r="I11" s="127"/>
      <c r="J11" s="251"/>
      <c r="K11" s="127"/>
      <c r="L11" s="127"/>
      <c r="M11" s="120">
        <f t="shared" si="1"/>
        <v>0</v>
      </c>
    </row>
    <row r="12" spans="1:13" ht="14.4" x14ac:dyDescent="0.3">
      <c r="A12" s="286" t="s">
        <v>630</v>
      </c>
      <c r="B12" s="286"/>
      <c r="C12" s="286"/>
      <c r="D12" s="120">
        <f>SUM(D6:D11)</f>
        <v>805000</v>
      </c>
      <c r="E12" s="120">
        <f>SUM(E6:E11)</f>
        <v>12150</v>
      </c>
      <c r="F12" s="120">
        <f>SUM(F6:F11)</f>
        <v>817150</v>
      </c>
      <c r="H12" s="286" t="s">
        <v>630</v>
      </c>
      <c r="I12" s="286"/>
      <c r="J12" s="286"/>
      <c r="K12" s="120">
        <f>SUM(K6:K11)</f>
        <v>1281102</v>
      </c>
      <c r="L12" s="120">
        <f>SUM(L6:L11)</f>
        <v>318898</v>
      </c>
      <c r="M12" s="120">
        <f>SUM(M6:M11)</f>
        <v>1600000</v>
      </c>
    </row>
    <row r="13" spans="1:13" ht="14.4" x14ac:dyDescent="0.3">
      <c r="A13" s="127" t="s">
        <v>623</v>
      </c>
      <c r="B13" s="127" t="s">
        <v>631</v>
      </c>
      <c r="C13" s="251">
        <v>43000</v>
      </c>
      <c r="D13" s="127">
        <v>150000</v>
      </c>
      <c r="E13" s="127">
        <v>0</v>
      </c>
      <c r="F13" s="120">
        <f>SUM(D13:E13)</f>
        <v>150000</v>
      </c>
      <c r="H13" s="127" t="s">
        <v>646</v>
      </c>
      <c r="I13" s="127" t="s">
        <v>647</v>
      </c>
      <c r="J13" s="251">
        <v>43006</v>
      </c>
      <c r="K13" s="127">
        <v>3500</v>
      </c>
      <c r="L13" s="127">
        <v>945</v>
      </c>
      <c r="M13" s="120">
        <f>SUM(K13:L13)</f>
        <v>4445</v>
      </c>
    </row>
    <row r="14" spans="1:13" ht="14.4" x14ac:dyDescent="0.3">
      <c r="A14" s="127" t="s">
        <v>625</v>
      </c>
      <c r="B14" s="127" t="s">
        <v>632</v>
      </c>
      <c r="C14" s="251">
        <v>42998</v>
      </c>
      <c r="D14" s="127">
        <v>450000</v>
      </c>
      <c r="E14" s="127">
        <v>0</v>
      </c>
      <c r="F14" s="120">
        <f t="shared" ref="F14:F16" si="2">SUM(D14:E14)</f>
        <v>450000</v>
      </c>
      <c r="H14" s="127"/>
      <c r="I14" s="127"/>
      <c r="J14" s="251"/>
      <c r="K14" s="127"/>
      <c r="L14" s="127"/>
      <c r="M14" s="120">
        <f t="shared" ref="M14:M16" si="3">SUM(K14:L14)</f>
        <v>0</v>
      </c>
    </row>
    <row r="15" spans="1:13" ht="14.4" x14ac:dyDescent="0.3">
      <c r="A15" s="127" t="s">
        <v>633</v>
      </c>
      <c r="B15" s="127" t="s">
        <v>634</v>
      </c>
      <c r="C15" s="251">
        <v>43005</v>
      </c>
      <c r="D15" s="127">
        <v>120000</v>
      </c>
      <c r="E15" s="127">
        <v>0</v>
      </c>
      <c r="F15" s="120">
        <f t="shared" si="2"/>
        <v>120000</v>
      </c>
      <c r="H15" s="127"/>
      <c r="I15" s="127"/>
      <c r="J15" s="251"/>
      <c r="K15" s="127"/>
      <c r="L15" s="127"/>
      <c r="M15" s="120">
        <f t="shared" si="3"/>
        <v>0</v>
      </c>
    </row>
    <row r="16" spans="1:13" ht="14.4" x14ac:dyDescent="0.3">
      <c r="A16" s="127" t="s">
        <v>635</v>
      </c>
      <c r="B16" s="127" t="s">
        <v>636</v>
      </c>
      <c r="C16" s="251">
        <v>43053</v>
      </c>
      <c r="D16" s="127">
        <v>80000</v>
      </c>
      <c r="E16" s="127">
        <v>0</v>
      </c>
      <c r="F16" s="120">
        <f t="shared" si="2"/>
        <v>80000</v>
      </c>
      <c r="H16" s="127"/>
      <c r="I16" s="127"/>
      <c r="J16" s="251"/>
      <c r="K16" s="127"/>
      <c r="L16" s="127"/>
      <c r="M16" s="120">
        <f t="shared" si="3"/>
        <v>0</v>
      </c>
    </row>
    <row r="17" spans="1:13" ht="14.4" x14ac:dyDescent="0.3">
      <c r="A17" s="286" t="s">
        <v>637</v>
      </c>
      <c r="B17" s="286"/>
      <c r="C17" s="286"/>
      <c r="D17" s="120">
        <f>SUM(D13:D16)</f>
        <v>800000</v>
      </c>
      <c r="E17" s="120">
        <f>SUM(E13:E16)</f>
        <v>0</v>
      </c>
      <c r="F17" s="120">
        <f>SUM(F13:F16)</f>
        <v>800000</v>
      </c>
      <c r="H17" s="286" t="s">
        <v>637</v>
      </c>
      <c r="I17" s="286"/>
      <c r="J17" s="286"/>
      <c r="K17" s="120">
        <f>SUM(K13:K16)</f>
        <v>3500</v>
      </c>
      <c r="L17" s="120">
        <f>SUM(L13:L16)</f>
        <v>945</v>
      </c>
      <c r="M17" s="120">
        <f>SUM(M13:M16)</f>
        <v>4445</v>
      </c>
    </row>
    <row r="18" spans="1:13" ht="14.4" x14ac:dyDescent="0.3">
      <c r="A18" s="127" t="s">
        <v>755</v>
      </c>
      <c r="B18" s="127"/>
      <c r="C18" s="251">
        <v>43115</v>
      </c>
      <c r="D18" s="127">
        <v>47200</v>
      </c>
      <c r="E18" s="127">
        <v>12744</v>
      </c>
      <c r="F18" s="120">
        <f>SUM(D18:E18)</f>
        <v>59944</v>
      </c>
      <c r="G18" s="109"/>
      <c r="H18" s="127"/>
      <c r="I18" s="127"/>
      <c r="J18" s="251"/>
      <c r="K18" s="127"/>
      <c r="L18" s="127"/>
      <c r="M18" s="120">
        <f>SUM(K18:L18)</f>
        <v>0</v>
      </c>
    </row>
    <row r="19" spans="1:13" ht="14.4" x14ac:dyDescent="0.3">
      <c r="A19" s="127"/>
      <c r="B19" s="127"/>
      <c r="C19" s="251"/>
      <c r="D19" s="127"/>
      <c r="E19" s="127"/>
      <c r="F19" s="120">
        <f t="shared" ref="F19:F21" si="4">SUM(D19:E19)</f>
        <v>0</v>
      </c>
      <c r="G19" s="109"/>
      <c r="H19" s="127"/>
      <c r="I19" s="127"/>
      <c r="J19" s="251"/>
      <c r="K19" s="127"/>
      <c r="L19" s="127"/>
      <c r="M19" s="120">
        <f t="shared" ref="M19:M21" si="5">SUM(K19:L19)</f>
        <v>0</v>
      </c>
    </row>
    <row r="20" spans="1:13" ht="14.4" x14ac:dyDescent="0.3">
      <c r="A20" s="127"/>
      <c r="B20" s="127"/>
      <c r="C20" s="251"/>
      <c r="D20" s="127"/>
      <c r="E20" s="127"/>
      <c r="F20" s="120">
        <f t="shared" si="4"/>
        <v>0</v>
      </c>
      <c r="G20" s="109"/>
      <c r="H20" s="127"/>
      <c r="I20" s="127"/>
      <c r="J20" s="251"/>
      <c r="K20" s="127"/>
      <c r="L20" s="127"/>
      <c r="M20" s="120">
        <f t="shared" si="5"/>
        <v>0</v>
      </c>
    </row>
    <row r="21" spans="1:13" ht="14.4" x14ac:dyDescent="0.3">
      <c r="A21" s="127"/>
      <c r="B21" s="127"/>
      <c r="C21" s="251"/>
      <c r="D21" s="127"/>
      <c r="E21" s="127"/>
      <c r="F21" s="120">
        <f t="shared" si="4"/>
        <v>0</v>
      </c>
      <c r="G21" s="109"/>
      <c r="H21" s="127"/>
      <c r="I21" s="127"/>
      <c r="J21" s="251"/>
      <c r="K21" s="127"/>
      <c r="L21" s="127"/>
      <c r="M21" s="120">
        <f t="shared" si="5"/>
        <v>0</v>
      </c>
    </row>
    <row r="22" spans="1:13" ht="14.4" x14ac:dyDescent="0.3">
      <c r="A22" s="286" t="s">
        <v>644</v>
      </c>
      <c r="B22" s="286"/>
      <c r="C22" s="286"/>
      <c r="D22" s="120">
        <f>SUM(D18:D21)</f>
        <v>47200</v>
      </c>
      <c r="E22" s="120">
        <f>SUM(E18:E21)</f>
        <v>12744</v>
      </c>
      <c r="F22" s="120">
        <f>SUM(F18:F21)</f>
        <v>59944</v>
      </c>
      <c r="G22" s="109"/>
      <c r="H22" s="286" t="s">
        <v>644</v>
      </c>
      <c r="I22" s="286"/>
      <c r="J22" s="286"/>
      <c r="K22" s="120">
        <f>SUM(K18:K21)</f>
        <v>0</v>
      </c>
      <c r="L22" s="120">
        <f>SUM(L18:L21)</f>
        <v>0</v>
      </c>
      <c r="M22" s="120">
        <f>SUM(M18:M21)</f>
        <v>0</v>
      </c>
    </row>
    <row r="23" spans="1:13" s="109" customFormat="1" ht="14.4" x14ac:dyDescent="0.3">
      <c r="A23" s="277" t="s">
        <v>653</v>
      </c>
      <c r="B23" s="277"/>
      <c r="C23" s="277"/>
      <c r="D23" s="120">
        <f>D12+D17+D22</f>
        <v>1652200</v>
      </c>
      <c r="E23" s="120">
        <f>E12+E17+E22</f>
        <v>24894</v>
      </c>
      <c r="F23" s="120">
        <f>F12+F17+F22</f>
        <v>1677094</v>
      </c>
      <c r="H23" s="277" t="s">
        <v>653</v>
      </c>
      <c r="I23" s="277"/>
      <c r="J23" s="277"/>
      <c r="K23" s="120">
        <f>K12+K17+K22</f>
        <v>1284602</v>
      </c>
      <c r="L23" s="120">
        <f>L12+L17+L22</f>
        <v>319843</v>
      </c>
      <c r="M23" s="120">
        <f>M12+M17+M22</f>
        <v>1604445</v>
      </c>
    </row>
    <row r="24" spans="1:13" ht="14.4" customHeight="1" x14ac:dyDescent="0.3">
      <c r="A24" s="278" t="s">
        <v>645</v>
      </c>
      <c r="B24" s="279"/>
      <c r="C24" s="279"/>
      <c r="D24" s="279"/>
      <c r="E24" s="280"/>
      <c r="F24" s="120">
        <f>F3-F12-F17-F22</f>
        <v>43367906</v>
      </c>
      <c r="H24" s="278" t="s">
        <v>645</v>
      </c>
      <c r="I24" s="279"/>
      <c r="J24" s="279"/>
      <c r="K24" s="279"/>
      <c r="L24" s="280"/>
      <c r="M24" s="120">
        <f>M3-M12-M17-M22</f>
        <v>35629534</v>
      </c>
    </row>
    <row r="26" spans="1:13" ht="14.4" x14ac:dyDescent="0.3">
      <c r="A26" s="281" t="s">
        <v>659</v>
      </c>
      <c r="B26" s="282"/>
      <c r="C26" s="282"/>
      <c r="D26" s="282"/>
      <c r="E26" s="283"/>
      <c r="F26" s="127">
        <v>40000000</v>
      </c>
      <c r="H26" s="281" t="s">
        <v>659</v>
      </c>
      <c r="I26" s="282"/>
      <c r="J26" s="282"/>
      <c r="K26" s="282"/>
      <c r="L26" s="283"/>
      <c r="M26" s="127">
        <v>30000000</v>
      </c>
    </row>
    <row r="27" spans="1:13" ht="15.6" x14ac:dyDescent="0.25">
      <c r="A27" s="284" t="s">
        <v>654</v>
      </c>
      <c r="B27" s="284"/>
      <c r="C27" s="284"/>
      <c r="D27" s="284"/>
      <c r="E27" s="284"/>
      <c r="F27" s="284"/>
      <c r="H27" s="284" t="s">
        <v>660</v>
      </c>
      <c r="I27" s="284"/>
      <c r="J27" s="284"/>
      <c r="K27" s="284"/>
      <c r="L27" s="284"/>
      <c r="M27" s="284"/>
    </row>
    <row r="28" spans="1:13" ht="14.4" x14ac:dyDescent="0.25">
      <c r="A28" s="249" t="s">
        <v>615</v>
      </c>
      <c r="B28" s="249" t="s">
        <v>616</v>
      </c>
      <c r="C28" s="249" t="s">
        <v>617</v>
      </c>
      <c r="D28" s="249" t="s">
        <v>618</v>
      </c>
      <c r="E28" s="249" t="s">
        <v>619</v>
      </c>
      <c r="F28" s="249" t="s">
        <v>620</v>
      </c>
      <c r="H28" s="249" t="s">
        <v>615</v>
      </c>
      <c r="I28" s="249" t="s">
        <v>616</v>
      </c>
      <c r="J28" s="249" t="s">
        <v>617</v>
      </c>
      <c r="K28" s="249" t="s">
        <v>618</v>
      </c>
      <c r="L28" s="249" t="s">
        <v>619</v>
      </c>
      <c r="M28" s="249" t="s">
        <v>620</v>
      </c>
    </row>
    <row r="29" spans="1:13" ht="14.4" x14ac:dyDescent="0.3">
      <c r="A29" s="127"/>
      <c r="B29" s="127"/>
      <c r="C29" s="251"/>
      <c r="D29" s="127"/>
      <c r="E29" s="127"/>
      <c r="F29" s="120">
        <f>SUM(D29:E29)</f>
        <v>0</v>
      </c>
      <c r="H29" s="127"/>
      <c r="I29" s="127"/>
      <c r="J29" s="251"/>
      <c r="K29" s="127"/>
      <c r="L29" s="127"/>
      <c r="M29" s="120">
        <f>SUM(K29:L29)</f>
        <v>0</v>
      </c>
    </row>
    <row r="30" spans="1:13" ht="14.4" x14ac:dyDescent="0.3">
      <c r="A30" s="127"/>
      <c r="B30" s="127"/>
      <c r="C30" s="251"/>
      <c r="D30" s="127"/>
      <c r="E30" s="127"/>
      <c r="F30" s="120">
        <f t="shared" ref="F30" si="6">SUM(D30:E30)</f>
        <v>0</v>
      </c>
      <c r="H30" s="127"/>
      <c r="I30" s="127"/>
      <c r="J30" s="251"/>
      <c r="K30" s="127"/>
      <c r="L30" s="127"/>
      <c r="M30" s="120">
        <f t="shared" ref="M30" si="7">SUM(K30:L30)</f>
        <v>0</v>
      </c>
    </row>
    <row r="31" spans="1:13" ht="14.4" x14ac:dyDescent="0.3">
      <c r="A31" s="286" t="s">
        <v>630</v>
      </c>
      <c r="B31" s="286"/>
      <c r="C31" s="286"/>
      <c r="D31" s="120">
        <f>SUM(D29:D30)</f>
        <v>0</v>
      </c>
      <c r="E31" s="120">
        <f>SUM(E29:E30)</f>
        <v>0</v>
      </c>
      <c r="F31" s="120">
        <f>SUM(F29:F30)</f>
        <v>0</v>
      </c>
      <c r="H31" s="286" t="s">
        <v>630</v>
      </c>
      <c r="I31" s="286"/>
      <c r="J31" s="286"/>
      <c r="K31" s="120">
        <f>SUM(K29:K30)</f>
        <v>0</v>
      </c>
      <c r="L31" s="120">
        <f>SUM(L29:L30)</f>
        <v>0</v>
      </c>
      <c r="M31" s="120">
        <f>SUM(M29:M30)</f>
        <v>0</v>
      </c>
    </row>
    <row r="32" spans="1:13" ht="14.4" x14ac:dyDescent="0.3">
      <c r="A32" s="127" t="s">
        <v>655</v>
      </c>
      <c r="B32" s="127" t="s">
        <v>656</v>
      </c>
      <c r="C32" s="251">
        <v>42998</v>
      </c>
      <c r="D32" s="127">
        <v>314960</v>
      </c>
      <c r="E32" s="127">
        <v>85039</v>
      </c>
      <c r="F32" s="120">
        <f>SUM(D32:E32)</f>
        <v>399999</v>
      </c>
      <c r="H32" s="127" t="s">
        <v>655</v>
      </c>
      <c r="I32" s="127" t="s">
        <v>661</v>
      </c>
      <c r="J32" s="251">
        <v>43019</v>
      </c>
      <c r="K32" s="127">
        <v>236220</v>
      </c>
      <c r="L32" s="127">
        <v>63779</v>
      </c>
      <c r="M32" s="120">
        <f>SUM(K32:L32)</f>
        <v>299999</v>
      </c>
    </row>
    <row r="33" spans="1:13" ht="14.4" x14ac:dyDescent="0.3">
      <c r="A33" s="127" t="s">
        <v>657</v>
      </c>
      <c r="B33" s="127" t="s">
        <v>658</v>
      </c>
      <c r="C33" s="251">
        <v>42986</v>
      </c>
      <c r="D33" s="127">
        <v>120000</v>
      </c>
      <c r="E33" s="127">
        <v>32400</v>
      </c>
      <c r="F33" s="120">
        <f t="shared" ref="F33:F35" si="8">SUM(D33:E33)</f>
        <v>152400</v>
      </c>
      <c r="H33" s="127" t="s">
        <v>662</v>
      </c>
      <c r="I33" s="127" t="s">
        <v>663</v>
      </c>
      <c r="J33" s="251">
        <v>42961</v>
      </c>
      <c r="K33" s="127">
        <v>60000</v>
      </c>
      <c r="L33" s="127">
        <v>0</v>
      </c>
      <c r="M33" s="120">
        <f t="shared" ref="M33:M35" si="9">SUM(K33:L33)</f>
        <v>60000</v>
      </c>
    </row>
    <row r="34" spans="1:13" ht="14.4" x14ac:dyDescent="0.3">
      <c r="A34" s="127"/>
      <c r="B34" s="127"/>
      <c r="C34" s="251"/>
      <c r="D34" s="127"/>
      <c r="E34" s="127"/>
      <c r="F34" s="120">
        <f t="shared" si="8"/>
        <v>0</v>
      </c>
      <c r="H34" s="127"/>
      <c r="I34" s="127"/>
      <c r="J34" s="251"/>
      <c r="K34" s="127"/>
      <c r="L34" s="127"/>
      <c r="M34" s="120">
        <f t="shared" si="9"/>
        <v>0</v>
      </c>
    </row>
    <row r="35" spans="1:13" ht="14.4" x14ac:dyDescent="0.3">
      <c r="A35" s="127"/>
      <c r="B35" s="127"/>
      <c r="C35" s="251"/>
      <c r="D35" s="127"/>
      <c r="E35" s="127"/>
      <c r="F35" s="120">
        <f t="shared" si="8"/>
        <v>0</v>
      </c>
      <c r="H35" s="127"/>
      <c r="I35" s="127"/>
      <c r="J35" s="251"/>
      <c r="K35" s="127"/>
      <c r="L35" s="127"/>
      <c r="M35" s="120">
        <f t="shared" si="9"/>
        <v>0</v>
      </c>
    </row>
    <row r="36" spans="1:13" ht="14.4" x14ac:dyDescent="0.3">
      <c r="A36" s="286" t="s">
        <v>637</v>
      </c>
      <c r="B36" s="286"/>
      <c r="C36" s="286"/>
      <c r="D36" s="120">
        <f>SUM(D32:D35)</f>
        <v>434960</v>
      </c>
      <c r="E36" s="120">
        <f>SUM(E32:E35)</f>
        <v>117439</v>
      </c>
      <c r="F36" s="120">
        <f>SUM(F32:F35)</f>
        <v>552399</v>
      </c>
      <c r="H36" s="286" t="s">
        <v>637</v>
      </c>
      <c r="I36" s="286"/>
      <c r="J36" s="286"/>
      <c r="K36" s="120">
        <f>SUM(K32:K35)</f>
        <v>296220</v>
      </c>
      <c r="L36" s="120">
        <f>SUM(L32:L35)</f>
        <v>63779</v>
      </c>
      <c r="M36" s="120">
        <f>SUM(M32:M35)</f>
        <v>359999</v>
      </c>
    </row>
    <row r="37" spans="1:13" ht="14.4" x14ac:dyDescent="0.3">
      <c r="A37" s="127"/>
      <c r="B37" s="127"/>
      <c r="C37" s="251"/>
      <c r="D37" s="127"/>
      <c r="E37" s="127"/>
      <c r="F37" s="120">
        <f>SUM(D37:E37)</f>
        <v>0</v>
      </c>
      <c r="H37" s="127"/>
      <c r="I37" s="127"/>
      <c r="J37" s="251"/>
      <c r="K37" s="127"/>
      <c r="L37" s="127"/>
      <c r="M37" s="120">
        <f>SUM(K37:L37)</f>
        <v>0</v>
      </c>
    </row>
    <row r="38" spans="1:13" ht="14.4" x14ac:dyDescent="0.3">
      <c r="A38" s="127"/>
      <c r="B38" s="127"/>
      <c r="C38" s="251"/>
      <c r="D38" s="127"/>
      <c r="E38" s="127"/>
      <c r="F38" s="120">
        <f t="shared" ref="F38:F40" si="10">SUM(D38:E38)</f>
        <v>0</v>
      </c>
      <c r="H38" s="127"/>
      <c r="I38" s="127"/>
      <c r="J38" s="251"/>
      <c r="K38" s="127"/>
      <c r="L38" s="127"/>
      <c r="M38" s="120">
        <f t="shared" ref="M38:M40" si="11">SUM(K38:L38)</f>
        <v>0</v>
      </c>
    </row>
    <row r="39" spans="1:13" ht="14.4" x14ac:dyDescent="0.3">
      <c r="A39" s="127"/>
      <c r="B39" s="127"/>
      <c r="C39" s="251"/>
      <c r="D39" s="127"/>
      <c r="E39" s="127"/>
      <c r="F39" s="120">
        <f t="shared" si="10"/>
        <v>0</v>
      </c>
      <c r="H39" s="127"/>
      <c r="I39" s="127"/>
      <c r="J39" s="251"/>
      <c r="K39" s="127"/>
      <c r="L39" s="127"/>
      <c r="M39" s="120">
        <f t="shared" si="11"/>
        <v>0</v>
      </c>
    </row>
    <row r="40" spans="1:13" ht="14.4" x14ac:dyDescent="0.3">
      <c r="A40" s="127"/>
      <c r="B40" s="127"/>
      <c r="C40" s="251"/>
      <c r="D40" s="127"/>
      <c r="E40" s="127"/>
      <c r="F40" s="120">
        <f t="shared" si="10"/>
        <v>0</v>
      </c>
      <c r="H40" s="127"/>
      <c r="I40" s="127"/>
      <c r="J40" s="251"/>
      <c r="K40" s="127"/>
      <c r="L40" s="127"/>
      <c r="M40" s="120">
        <f t="shared" si="11"/>
        <v>0</v>
      </c>
    </row>
    <row r="41" spans="1:13" ht="14.4" x14ac:dyDescent="0.3">
      <c r="A41" s="286" t="s">
        <v>644</v>
      </c>
      <c r="B41" s="286"/>
      <c r="C41" s="286"/>
      <c r="D41" s="120">
        <f>SUM(D37:D40)</f>
        <v>0</v>
      </c>
      <c r="E41" s="120">
        <f>SUM(E37:E40)</f>
        <v>0</v>
      </c>
      <c r="F41" s="120">
        <f>SUM(F37:F40)</f>
        <v>0</v>
      </c>
      <c r="H41" s="286" t="s">
        <v>644</v>
      </c>
      <c r="I41" s="286"/>
      <c r="J41" s="286"/>
      <c r="K41" s="120">
        <f>SUM(K37:K40)</f>
        <v>0</v>
      </c>
      <c r="L41" s="120">
        <f>SUM(L37:L40)</f>
        <v>0</v>
      </c>
      <c r="M41" s="120">
        <f>SUM(M37:M40)</f>
        <v>0</v>
      </c>
    </row>
    <row r="42" spans="1:13" ht="14.4" x14ac:dyDescent="0.3">
      <c r="A42" s="277" t="s">
        <v>653</v>
      </c>
      <c r="B42" s="277"/>
      <c r="C42" s="277"/>
      <c r="D42" s="120">
        <f>D31+D36+D41</f>
        <v>434960</v>
      </c>
      <c r="E42" s="120">
        <f>E31+E36+E41</f>
        <v>117439</v>
      </c>
      <c r="F42" s="120">
        <f>F31+F36+F41</f>
        <v>552399</v>
      </c>
      <c r="H42" s="277" t="s">
        <v>653</v>
      </c>
      <c r="I42" s="277"/>
      <c r="J42" s="277"/>
      <c r="K42" s="120">
        <f>K31+K36+K41</f>
        <v>296220</v>
      </c>
      <c r="L42" s="120">
        <f>L31+L36+L41</f>
        <v>63779</v>
      </c>
      <c r="M42" s="120">
        <f>M31+M36+M41</f>
        <v>359999</v>
      </c>
    </row>
    <row r="43" spans="1:13" ht="14.4" x14ac:dyDescent="0.3">
      <c r="A43" s="278" t="s">
        <v>645</v>
      </c>
      <c r="B43" s="279"/>
      <c r="C43" s="279"/>
      <c r="D43" s="279"/>
      <c r="E43" s="280"/>
      <c r="F43" s="120">
        <f>F26-F31-F36-F41</f>
        <v>39447601</v>
      </c>
      <c r="H43" s="278" t="s">
        <v>645</v>
      </c>
      <c r="I43" s="279"/>
      <c r="J43" s="279"/>
      <c r="K43" s="279"/>
      <c r="L43" s="280"/>
      <c r="M43" s="120">
        <f>M26-M31-M36-M41</f>
        <v>29640001</v>
      </c>
    </row>
    <row r="45" spans="1:13" ht="14.4" x14ac:dyDescent="0.3">
      <c r="A45" s="281" t="s">
        <v>659</v>
      </c>
      <c r="B45" s="282"/>
      <c r="C45" s="282"/>
      <c r="D45" s="282"/>
      <c r="E45" s="283"/>
      <c r="F45" s="127"/>
      <c r="H45" s="281" t="s">
        <v>659</v>
      </c>
      <c r="I45" s="282"/>
      <c r="J45" s="282"/>
      <c r="K45" s="282"/>
      <c r="L45" s="283"/>
      <c r="M45" s="127"/>
    </row>
    <row r="46" spans="1:13" ht="15.6" x14ac:dyDescent="0.25">
      <c r="A46" s="284" t="s">
        <v>664</v>
      </c>
      <c r="B46" s="284"/>
      <c r="C46" s="284"/>
      <c r="D46" s="284"/>
      <c r="E46" s="284"/>
      <c r="F46" s="284"/>
      <c r="H46" s="284" t="s">
        <v>668</v>
      </c>
      <c r="I46" s="284"/>
      <c r="J46" s="284"/>
      <c r="K46" s="284"/>
      <c r="L46" s="284"/>
      <c r="M46" s="284"/>
    </row>
    <row r="47" spans="1:13" ht="14.4" x14ac:dyDescent="0.25">
      <c r="A47" s="249" t="s">
        <v>615</v>
      </c>
      <c r="B47" s="249" t="s">
        <v>616</v>
      </c>
      <c r="C47" s="249" t="s">
        <v>617</v>
      </c>
      <c r="D47" s="249" t="s">
        <v>618</v>
      </c>
      <c r="E47" s="249" t="s">
        <v>619</v>
      </c>
      <c r="F47" s="249" t="s">
        <v>620</v>
      </c>
      <c r="H47" s="249" t="s">
        <v>615</v>
      </c>
      <c r="I47" s="249" t="s">
        <v>616</v>
      </c>
      <c r="J47" s="249" t="s">
        <v>617</v>
      </c>
      <c r="K47" s="249" t="s">
        <v>618</v>
      </c>
      <c r="L47" s="249" t="s">
        <v>619</v>
      </c>
      <c r="M47" s="249" t="s">
        <v>620</v>
      </c>
    </row>
    <row r="48" spans="1:13" ht="14.4" x14ac:dyDescent="0.3">
      <c r="A48" s="127"/>
      <c r="B48" s="127"/>
      <c r="C48" s="251"/>
      <c r="D48" s="127"/>
      <c r="E48" s="127"/>
      <c r="F48" s="120">
        <f>SUM(D48:E48)</f>
        <v>0</v>
      </c>
      <c r="H48" s="127"/>
      <c r="I48" s="127"/>
      <c r="J48" s="251"/>
      <c r="K48" s="127"/>
      <c r="L48" s="127"/>
      <c r="M48" s="120">
        <f>SUM(K48:L48)</f>
        <v>0</v>
      </c>
    </row>
    <row r="49" spans="1:13" ht="14.4" x14ac:dyDescent="0.3">
      <c r="A49" s="127"/>
      <c r="B49" s="127"/>
      <c r="C49" s="251"/>
      <c r="D49" s="127"/>
      <c r="E49" s="127"/>
      <c r="F49" s="120">
        <f t="shared" ref="F49" si="12">SUM(D49:E49)</f>
        <v>0</v>
      </c>
      <c r="H49" s="127"/>
      <c r="I49" s="127"/>
      <c r="J49" s="251"/>
      <c r="K49" s="127"/>
      <c r="L49" s="127"/>
      <c r="M49" s="120">
        <f t="shared" ref="M49" si="13">SUM(K49:L49)</f>
        <v>0</v>
      </c>
    </row>
    <row r="50" spans="1:13" ht="14.4" x14ac:dyDescent="0.3">
      <c r="A50" s="286" t="s">
        <v>630</v>
      </c>
      <c r="B50" s="286"/>
      <c r="C50" s="286"/>
      <c r="D50" s="120">
        <f>SUM(D48:D49)</f>
        <v>0</v>
      </c>
      <c r="E50" s="120">
        <f>SUM(E48:E49)</f>
        <v>0</v>
      </c>
      <c r="F50" s="120">
        <f>SUM(F48:F49)</f>
        <v>0</v>
      </c>
      <c r="H50" s="286" t="s">
        <v>630</v>
      </c>
      <c r="I50" s="286"/>
      <c r="J50" s="286"/>
      <c r="K50" s="120">
        <f>SUM(K48:K49)</f>
        <v>0</v>
      </c>
      <c r="L50" s="120">
        <f>SUM(L48:L49)</f>
        <v>0</v>
      </c>
      <c r="M50" s="120">
        <f>SUM(M48:M49)</f>
        <v>0</v>
      </c>
    </row>
    <row r="51" spans="1:13" ht="14.4" x14ac:dyDescent="0.3">
      <c r="A51" s="127" t="s">
        <v>665</v>
      </c>
      <c r="B51" s="253" t="s">
        <v>666</v>
      </c>
      <c r="C51" s="251">
        <v>43041</v>
      </c>
      <c r="D51" s="127">
        <v>444227</v>
      </c>
      <c r="E51" s="127">
        <v>119941</v>
      </c>
      <c r="F51" s="120">
        <f>SUM(D51:E51)</f>
        <v>564168</v>
      </c>
      <c r="H51" s="127" t="s">
        <v>669</v>
      </c>
      <c r="I51" s="253" t="s">
        <v>670</v>
      </c>
      <c r="J51" s="251">
        <v>42779</v>
      </c>
      <c r="K51" s="127">
        <v>1389000</v>
      </c>
      <c r="L51" s="127">
        <v>375030</v>
      </c>
      <c r="M51" s="120">
        <f>SUM(K51:L51)</f>
        <v>1764030</v>
      </c>
    </row>
    <row r="52" spans="1:13" ht="14.4" x14ac:dyDescent="0.3">
      <c r="A52" s="127" t="s">
        <v>665</v>
      </c>
      <c r="B52" s="253" t="s">
        <v>667</v>
      </c>
      <c r="C52" s="251">
        <v>43041</v>
      </c>
      <c r="D52" s="127">
        <v>444227</v>
      </c>
      <c r="E52" s="127">
        <v>119941</v>
      </c>
      <c r="F52" s="120">
        <f t="shared" ref="F52:F54" si="14">SUM(D52:E52)</f>
        <v>564168</v>
      </c>
      <c r="H52" s="127"/>
      <c r="I52" s="253"/>
      <c r="J52" s="251"/>
      <c r="K52" s="127"/>
      <c r="L52" s="127"/>
      <c r="M52" s="120">
        <f t="shared" ref="M52:M54" si="15">SUM(K52:L52)</f>
        <v>0</v>
      </c>
    </row>
    <row r="53" spans="1:13" ht="14.4" x14ac:dyDescent="0.3">
      <c r="A53" s="127"/>
      <c r="B53" s="127"/>
      <c r="C53" s="251"/>
      <c r="D53" s="127"/>
      <c r="E53" s="127"/>
      <c r="F53" s="120">
        <f t="shared" si="14"/>
        <v>0</v>
      </c>
      <c r="H53" s="127"/>
      <c r="I53" s="127"/>
      <c r="J53" s="251"/>
      <c r="K53" s="127"/>
      <c r="L53" s="127"/>
      <c r="M53" s="120">
        <f t="shared" si="15"/>
        <v>0</v>
      </c>
    </row>
    <row r="54" spans="1:13" ht="14.4" x14ac:dyDescent="0.3">
      <c r="A54" s="127"/>
      <c r="B54" s="127"/>
      <c r="C54" s="251"/>
      <c r="D54" s="127"/>
      <c r="E54" s="127"/>
      <c r="F54" s="120">
        <f t="shared" si="14"/>
        <v>0</v>
      </c>
      <c r="H54" s="127"/>
      <c r="I54" s="127"/>
      <c r="J54" s="251"/>
      <c r="K54" s="127"/>
      <c r="L54" s="127"/>
      <c r="M54" s="120">
        <f t="shared" si="15"/>
        <v>0</v>
      </c>
    </row>
    <row r="55" spans="1:13" ht="14.4" x14ac:dyDescent="0.3">
      <c r="A55" s="286" t="s">
        <v>637</v>
      </c>
      <c r="B55" s="286"/>
      <c r="C55" s="286"/>
      <c r="D55" s="120">
        <f>SUM(D51:D54)</f>
        <v>888454</v>
      </c>
      <c r="E55" s="120">
        <f>SUM(E51:E54)</f>
        <v>239882</v>
      </c>
      <c r="F55" s="120">
        <f>SUM(F51:F54)</f>
        <v>1128336</v>
      </c>
      <c r="H55" s="286" t="s">
        <v>637</v>
      </c>
      <c r="I55" s="286"/>
      <c r="J55" s="286"/>
      <c r="K55" s="120">
        <f>SUM(K51:K54)</f>
        <v>1389000</v>
      </c>
      <c r="L55" s="120">
        <f>SUM(L51:L54)</f>
        <v>375030</v>
      </c>
      <c r="M55" s="120">
        <f>SUM(M51:M54)</f>
        <v>1764030</v>
      </c>
    </row>
    <row r="56" spans="1:13" ht="14.4" x14ac:dyDescent="0.3">
      <c r="A56" s="127"/>
      <c r="B56" s="127"/>
      <c r="C56" s="251"/>
      <c r="D56" s="127"/>
      <c r="E56" s="127"/>
      <c r="F56" s="120">
        <f>SUM(D56:E56)</f>
        <v>0</v>
      </c>
      <c r="H56" s="127"/>
      <c r="I56" s="127"/>
      <c r="J56" s="251"/>
      <c r="K56" s="127"/>
      <c r="L56" s="127"/>
      <c r="M56" s="120">
        <f>SUM(K56:L56)</f>
        <v>0</v>
      </c>
    </row>
    <row r="57" spans="1:13" ht="14.4" x14ac:dyDescent="0.3">
      <c r="A57" s="127"/>
      <c r="B57" s="127"/>
      <c r="C57" s="251"/>
      <c r="D57" s="127"/>
      <c r="E57" s="127"/>
      <c r="F57" s="120">
        <f t="shared" ref="F57:F59" si="16">SUM(D57:E57)</f>
        <v>0</v>
      </c>
      <c r="H57" s="127"/>
      <c r="I57" s="127"/>
      <c r="J57" s="251"/>
      <c r="K57" s="127"/>
      <c r="L57" s="127"/>
      <c r="M57" s="120">
        <f t="shared" ref="M57:M59" si="17">SUM(K57:L57)</f>
        <v>0</v>
      </c>
    </row>
    <row r="58" spans="1:13" ht="14.4" x14ac:dyDescent="0.3">
      <c r="A58" s="127"/>
      <c r="B58" s="127"/>
      <c r="C58" s="251"/>
      <c r="D58" s="127"/>
      <c r="E58" s="127"/>
      <c r="F58" s="120">
        <f t="shared" si="16"/>
        <v>0</v>
      </c>
      <c r="H58" s="127"/>
      <c r="I58" s="127"/>
      <c r="J58" s="251"/>
      <c r="K58" s="127"/>
      <c r="L58" s="127"/>
      <c r="M58" s="120">
        <f t="shared" si="17"/>
        <v>0</v>
      </c>
    </row>
    <row r="59" spans="1:13" ht="14.4" x14ac:dyDescent="0.3">
      <c r="A59" s="127"/>
      <c r="B59" s="127"/>
      <c r="C59" s="251"/>
      <c r="D59" s="127"/>
      <c r="E59" s="127"/>
      <c r="F59" s="120">
        <f t="shared" si="16"/>
        <v>0</v>
      </c>
      <c r="H59" s="127"/>
      <c r="I59" s="127"/>
      <c r="J59" s="251"/>
      <c r="K59" s="127"/>
      <c r="L59" s="127"/>
      <c r="M59" s="120">
        <f t="shared" si="17"/>
        <v>0</v>
      </c>
    </row>
    <row r="60" spans="1:13" ht="14.4" x14ac:dyDescent="0.3">
      <c r="A60" s="286" t="s">
        <v>644</v>
      </c>
      <c r="B60" s="286"/>
      <c r="C60" s="286"/>
      <c r="D60" s="120">
        <f>SUM(D56:D59)</f>
        <v>0</v>
      </c>
      <c r="E60" s="120">
        <f>SUM(E56:E59)</f>
        <v>0</v>
      </c>
      <c r="F60" s="120">
        <f>SUM(F56:F59)</f>
        <v>0</v>
      </c>
      <c r="H60" s="286" t="s">
        <v>644</v>
      </c>
      <c r="I60" s="286"/>
      <c r="J60" s="286"/>
      <c r="K60" s="120">
        <f>SUM(K56:K59)</f>
        <v>0</v>
      </c>
      <c r="L60" s="120">
        <f>SUM(L56:L59)</f>
        <v>0</v>
      </c>
      <c r="M60" s="120">
        <f>SUM(M56:M59)</f>
        <v>0</v>
      </c>
    </row>
    <row r="61" spans="1:13" ht="14.4" x14ac:dyDescent="0.3">
      <c r="A61" s="277" t="s">
        <v>653</v>
      </c>
      <c r="B61" s="277"/>
      <c r="C61" s="277"/>
      <c r="D61" s="120">
        <f>D50+D55+D60</f>
        <v>888454</v>
      </c>
      <c r="E61" s="120">
        <f>E50+E55+E60</f>
        <v>239882</v>
      </c>
      <c r="F61" s="120">
        <f>F50+F55+F60</f>
        <v>1128336</v>
      </c>
      <c r="H61" s="277" t="s">
        <v>653</v>
      </c>
      <c r="I61" s="277"/>
      <c r="J61" s="277"/>
      <c r="K61" s="120">
        <f>K50+K55+K60</f>
        <v>1389000</v>
      </c>
      <c r="L61" s="120">
        <f>L50+L55+L60</f>
        <v>375030</v>
      </c>
      <c r="M61" s="120">
        <f>M50+M55+M60</f>
        <v>1764030</v>
      </c>
    </row>
    <row r="62" spans="1:13" ht="14.4" x14ac:dyDescent="0.3">
      <c r="A62" s="278" t="s">
        <v>645</v>
      </c>
      <c r="B62" s="279"/>
      <c r="C62" s="279"/>
      <c r="D62" s="279"/>
      <c r="E62" s="280"/>
      <c r="F62" s="120">
        <f>F45-F50-F55-F60</f>
        <v>-1128336</v>
      </c>
      <c r="H62" s="278" t="s">
        <v>645</v>
      </c>
      <c r="I62" s="279"/>
      <c r="J62" s="279"/>
      <c r="K62" s="279"/>
      <c r="L62" s="280"/>
      <c r="M62" s="120">
        <f>M45-M50-M55-M60</f>
        <v>-1764030</v>
      </c>
    </row>
    <row r="64" spans="1:13" ht="14.4" x14ac:dyDescent="0.3">
      <c r="A64" s="281" t="s">
        <v>659</v>
      </c>
      <c r="B64" s="282"/>
      <c r="C64" s="282"/>
      <c r="D64" s="282"/>
      <c r="E64" s="283"/>
      <c r="F64" s="127">
        <v>0</v>
      </c>
      <c r="H64" s="281" t="s">
        <v>659</v>
      </c>
      <c r="I64" s="282"/>
      <c r="J64" s="282"/>
      <c r="K64" s="282"/>
      <c r="L64" s="283"/>
      <c r="M64" s="127">
        <v>14964138</v>
      </c>
    </row>
    <row r="65" spans="1:13" ht="15.6" x14ac:dyDescent="0.25">
      <c r="A65" s="284" t="s">
        <v>671</v>
      </c>
      <c r="B65" s="284"/>
      <c r="C65" s="284"/>
      <c r="D65" s="284"/>
      <c r="E65" s="284"/>
      <c r="F65" s="284"/>
      <c r="H65" s="284" t="s">
        <v>672</v>
      </c>
      <c r="I65" s="284"/>
      <c r="J65" s="284"/>
      <c r="K65" s="284"/>
      <c r="L65" s="284"/>
      <c r="M65" s="284"/>
    </row>
    <row r="66" spans="1:13" ht="14.4" x14ac:dyDescent="0.25">
      <c r="A66" s="249" t="s">
        <v>615</v>
      </c>
      <c r="B66" s="249" t="s">
        <v>616</v>
      </c>
      <c r="C66" s="249" t="s">
        <v>617</v>
      </c>
      <c r="D66" s="249" t="s">
        <v>618</v>
      </c>
      <c r="E66" s="249" t="s">
        <v>619</v>
      </c>
      <c r="F66" s="249" t="s">
        <v>620</v>
      </c>
      <c r="H66" s="249" t="s">
        <v>615</v>
      </c>
      <c r="I66" s="249" t="s">
        <v>616</v>
      </c>
      <c r="J66" s="249" t="s">
        <v>617</v>
      </c>
      <c r="K66" s="249" t="s">
        <v>618</v>
      </c>
      <c r="L66" s="249" t="s">
        <v>619</v>
      </c>
      <c r="M66" s="249" t="s">
        <v>620</v>
      </c>
    </row>
    <row r="67" spans="1:13" ht="14.4" x14ac:dyDescent="0.3">
      <c r="A67" s="127" t="s">
        <v>657</v>
      </c>
      <c r="B67" s="127"/>
      <c r="C67" s="251">
        <v>43152</v>
      </c>
      <c r="D67" s="127">
        <v>80000</v>
      </c>
      <c r="E67" s="127">
        <v>21600</v>
      </c>
      <c r="F67" s="120">
        <f>SUM(D67:E67)</f>
        <v>101600</v>
      </c>
      <c r="H67" s="127" t="s">
        <v>761</v>
      </c>
      <c r="I67" s="127"/>
      <c r="J67" s="251">
        <v>43111</v>
      </c>
      <c r="K67" s="127">
        <v>92200</v>
      </c>
      <c r="L67" s="127">
        <v>24894</v>
      </c>
      <c r="M67" s="120">
        <f>SUM(K67:L67)</f>
        <v>117094</v>
      </c>
    </row>
    <row r="68" spans="1:13" ht="14.4" x14ac:dyDescent="0.3">
      <c r="A68" s="127"/>
      <c r="B68" s="127"/>
      <c r="C68" s="251"/>
      <c r="D68" s="127"/>
      <c r="E68" s="127"/>
      <c r="F68" s="120">
        <f t="shared" ref="F68" si="18">SUM(D68:E68)</f>
        <v>0</v>
      </c>
      <c r="H68" s="127" t="s">
        <v>757</v>
      </c>
      <c r="I68" s="127"/>
      <c r="J68" s="251">
        <v>43136</v>
      </c>
      <c r="K68" s="127">
        <v>6600</v>
      </c>
      <c r="L68" s="127">
        <v>0</v>
      </c>
      <c r="M68" s="120">
        <f t="shared" ref="M68" si="19">SUM(K68:L68)</f>
        <v>6600</v>
      </c>
    </row>
    <row r="69" spans="1:13" ht="14.4" x14ac:dyDescent="0.3">
      <c r="A69" s="285" t="s">
        <v>644</v>
      </c>
      <c r="B69" s="286"/>
      <c r="C69" s="286"/>
      <c r="D69" s="120">
        <f>SUM(D67:D68)</f>
        <v>80000</v>
      </c>
      <c r="E69" s="120">
        <f>SUM(E67:E68)</f>
        <v>21600</v>
      </c>
      <c r="F69" s="120">
        <f>SUM(F67:F68)</f>
        <v>101600</v>
      </c>
      <c r="H69" s="127" t="s">
        <v>657</v>
      </c>
      <c r="I69" s="253"/>
      <c r="J69" s="251">
        <v>43152</v>
      </c>
      <c r="K69" s="127">
        <v>50000</v>
      </c>
      <c r="L69" s="127">
        <v>13500</v>
      </c>
      <c r="M69" s="120">
        <f>SUM(K69:L69)</f>
        <v>63500</v>
      </c>
    </row>
    <row r="70" spans="1:13" ht="14.4" x14ac:dyDescent="0.3">
      <c r="A70" s="127"/>
      <c r="B70" s="253"/>
      <c r="C70" s="251"/>
      <c r="D70" s="127"/>
      <c r="E70" s="127"/>
      <c r="F70" s="120">
        <f>SUM(D70:E70)</f>
        <v>0</v>
      </c>
      <c r="H70" s="127"/>
      <c r="I70" s="253"/>
      <c r="J70" s="251"/>
      <c r="K70" s="127"/>
      <c r="L70" s="127"/>
      <c r="M70" s="120">
        <f>SUM(K70:L70)</f>
        <v>0</v>
      </c>
    </row>
    <row r="71" spans="1:13" ht="14.4" x14ac:dyDescent="0.3">
      <c r="A71" s="127"/>
      <c r="B71" s="253"/>
      <c r="C71" s="251"/>
      <c r="D71" s="127"/>
      <c r="E71" s="127"/>
      <c r="F71" s="120">
        <f t="shared" ref="F71:F73" si="20">SUM(D71:E71)</f>
        <v>0</v>
      </c>
      <c r="H71" s="127"/>
      <c r="I71" s="253"/>
      <c r="J71" s="251"/>
      <c r="K71" s="127"/>
      <c r="L71" s="127"/>
      <c r="M71" s="120">
        <f t="shared" ref="M71:M73" si="21">SUM(K71:L71)</f>
        <v>0</v>
      </c>
    </row>
    <row r="72" spans="1:13" ht="14.4" x14ac:dyDescent="0.3">
      <c r="A72" s="127"/>
      <c r="B72" s="127"/>
      <c r="C72" s="251"/>
      <c r="D72" s="127"/>
      <c r="E72" s="127"/>
      <c r="F72" s="120">
        <f t="shared" si="20"/>
        <v>0</v>
      </c>
      <c r="H72" s="127"/>
      <c r="I72" s="127"/>
      <c r="J72" s="251"/>
      <c r="K72" s="127"/>
      <c r="L72" s="127"/>
      <c r="M72" s="120">
        <f t="shared" si="21"/>
        <v>0</v>
      </c>
    </row>
    <row r="73" spans="1:13" ht="14.4" x14ac:dyDescent="0.3">
      <c r="A73" s="127"/>
      <c r="B73" s="127"/>
      <c r="C73" s="251"/>
      <c r="D73" s="127"/>
      <c r="E73" s="127"/>
      <c r="F73" s="120">
        <f t="shared" si="20"/>
        <v>0</v>
      </c>
      <c r="H73" s="127"/>
      <c r="I73" s="127"/>
      <c r="J73" s="251"/>
      <c r="K73" s="127"/>
      <c r="L73" s="127"/>
      <c r="M73" s="120">
        <f t="shared" si="21"/>
        <v>0</v>
      </c>
    </row>
    <row r="74" spans="1:13" ht="14.4" x14ac:dyDescent="0.3">
      <c r="A74" s="286"/>
      <c r="B74" s="286"/>
      <c r="C74" s="286"/>
      <c r="D74" s="120">
        <f>SUM(D70:D73)</f>
        <v>0</v>
      </c>
      <c r="E74" s="120">
        <f>SUM(E70:E73)</f>
        <v>0</v>
      </c>
      <c r="F74" s="120">
        <f>SUM(F70:F73)</f>
        <v>0</v>
      </c>
      <c r="H74" s="285" t="s">
        <v>644</v>
      </c>
      <c r="I74" s="286"/>
      <c r="J74" s="286"/>
      <c r="K74" s="120">
        <f>SUM(K67:K73)</f>
        <v>148800</v>
      </c>
      <c r="L74" s="120">
        <f>SUM(L67:L73)</f>
        <v>38394</v>
      </c>
      <c r="M74" s="120">
        <f>SUM(M67:M73)</f>
        <v>187194</v>
      </c>
    </row>
    <row r="75" spans="1:13" ht="14.4" x14ac:dyDescent="0.3">
      <c r="A75" s="127"/>
      <c r="B75" s="127"/>
      <c r="C75" s="251"/>
      <c r="D75" s="127"/>
      <c r="E75" s="127"/>
      <c r="F75" s="120">
        <f>SUM(D75:E75)</f>
        <v>0</v>
      </c>
      <c r="H75" s="127"/>
      <c r="I75" s="127"/>
      <c r="J75" s="251"/>
      <c r="K75" s="127"/>
      <c r="L75" s="127"/>
      <c r="M75" s="120">
        <f>SUM(K75:L75)</f>
        <v>0</v>
      </c>
    </row>
    <row r="76" spans="1:13" ht="14.4" x14ac:dyDescent="0.3">
      <c r="A76" s="127"/>
      <c r="B76" s="127"/>
      <c r="C76" s="251"/>
      <c r="D76" s="127"/>
      <c r="E76" s="127"/>
      <c r="F76" s="120">
        <f t="shared" ref="F76:F78" si="22">SUM(D76:E76)</f>
        <v>0</v>
      </c>
      <c r="H76" s="127"/>
      <c r="I76" s="127"/>
      <c r="J76" s="251"/>
      <c r="K76" s="127"/>
      <c r="L76" s="127"/>
      <c r="M76" s="120">
        <f t="shared" ref="M76:M78" si="23">SUM(K76:L76)</f>
        <v>0</v>
      </c>
    </row>
    <row r="77" spans="1:13" ht="14.4" x14ac:dyDescent="0.3">
      <c r="A77" s="127"/>
      <c r="B77" s="127"/>
      <c r="C77" s="251"/>
      <c r="D77" s="127"/>
      <c r="E77" s="127"/>
      <c r="F77" s="120">
        <f t="shared" si="22"/>
        <v>0</v>
      </c>
      <c r="H77" s="127"/>
      <c r="I77" s="127"/>
      <c r="J77" s="251"/>
      <c r="K77" s="127"/>
      <c r="L77" s="127"/>
      <c r="M77" s="120">
        <f t="shared" si="23"/>
        <v>0</v>
      </c>
    </row>
    <row r="78" spans="1:13" ht="14.4" x14ac:dyDescent="0.3">
      <c r="A78" s="127"/>
      <c r="B78" s="127"/>
      <c r="C78" s="251"/>
      <c r="D78" s="127"/>
      <c r="E78" s="127"/>
      <c r="F78" s="120">
        <f t="shared" si="22"/>
        <v>0</v>
      </c>
      <c r="H78" s="127"/>
      <c r="I78" s="127"/>
      <c r="J78" s="251"/>
      <c r="K78" s="127"/>
      <c r="L78" s="127"/>
      <c r="M78" s="120">
        <f t="shared" si="23"/>
        <v>0</v>
      </c>
    </row>
    <row r="79" spans="1:13" ht="14.4" x14ac:dyDescent="0.3">
      <c r="A79" s="286"/>
      <c r="B79" s="286"/>
      <c r="C79" s="286"/>
      <c r="D79" s="120">
        <f>SUM(D75:D78)</f>
        <v>0</v>
      </c>
      <c r="E79" s="120">
        <f>SUM(E75:E78)</f>
        <v>0</v>
      </c>
      <c r="F79" s="120">
        <f>SUM(F75:F78)</f>
        <v>0</v>
      </c>
      <c r="H79" s="286"/>
      <c r="I79" s="286"/>
      <c r="J79" s="286"/>
      <c r="K79" s="120">
        <f>SUM(K75:K78)</f>
        <v>0</v>
      </c>
      <c r="L79" s="120">
        <f>SUM(L75:L78)</f>
        <v>0</v>
      </c>
      <c r="M79" s="120">
        <f>SUM(M75:M78)</f>
        <v>0</v>
      </c>
    </row>
    <row r="80" spans="1:13" ht="14.4" x14ac:dyDescent="0.3">
      <c r="A80" s="277" t="s">
        <v>653</v>
      </c>
      <c r="B80" s="277"/>
      <c r="C80" s="277"/>
      <c r="D80" s="120">
        <f>D69+D74+D79</f>
        <v>80000</v>
      </c>
      <c r="E80" s="120">
        <f>E69+E74+E79</f>
        <v>21600</v>
      </c>
      <c r="F80" s="120">
        <f>F69+F74+F79</f>
        <v>101600</v>
      </c>
      <c r="H80" s="277" t="s">
        <v>653</v>
      </c>
      <c r="I80" s="277"/>
      <c r="J80" s="277"/>
      <c r="K80" s="120">
        <f>K74+K79</f>
        <v>148800</v>
      </c>
      <c r="L80" s="120">
        <f>L74+L79</f>
        <v>38394</v>
      </c>
      <c r="M80" s="120">
        <f>M74+M79</f>
        <v>187194</v>
      </c>
    </row>
    <row r="81" spans="1:13" ht="14.4" x14ac:dyDescent="0.3">
      <c r="A81" s="278" t="s">
        <v>645</v>
      </c>
      <c r="B81" s="279"/>
      <c r="C81" s="279"/>
      <c r="D81" s="279"/>
      <c r="E81" s="280"/>
      <c r="F81" s="120">
        <f>F64-F69-F74-F79</f>
        <v>-101600</v>
      </c>
      <c r="H81" s="278" t="s">
        <v>645</v>
      </c>
      <c r="I81" s="279"/>
      <c r="J81" s="279"/>
      <c r="K81" s="279"/>
      <c r="L81" s="280"/>
      <c r="M81" s="120">
        <f>M64-M69-M74-M79</f>
        <v>14713444</v>
      </c>
    </row>
    <row r="83" spans="1:13" ht="14.4" x14ac:dyDescent="0.3">
      <c r="A83" s="281" t="s">
        <v>659</v>
      </c>
      <c r="B83" s="282"/>
      <c r="C83" s="282"/>
      <c r="D83" s="282"/>
      <c r="E83" s="283"/>
      <c r="F83" s="127">
        <v>62000000</v>
      </c>
    </row>
    <row r="84" spans="1:13" ht="15.6" x14ac:dyDescent="0.25">
      <c r="A84" s="284" t="s">
        <v>756</v>
      </c>
      <c r="B84" s="284"/>
      <c r="C84" s="284"/>
      <c r="D84" s="284"/>
      <c r="E84" s="284"/>
      <c r="F84" s="284"/>
    </row>
    <row r="85" spans="1:13" ht="14.4" x14ac:dyDescent="0.25">
      <c r="A85" s="268" t="s">
        <v>615</v>
      </c>
      <c r="B85" s="268" t="s">
        <v>616</v>
      </c>
      <c r="C85" s="268" t="s">
        <v>617</v>
      </c>
      <c r="D85" s="268" t="s">
        <v>618</v>
      </c>
      <c r="E85" s="268" t="s">
        <v>619</v>
      </c>
      <c r="F85" s="268" t="s">
        <v>620</v>
      </c>
    </row>
    <row r="86" spans="1:13" ht="14.4" x14ac:dyDescent="0.3">
      <c r="A86" s="127" t="s">
        <v>757</v>
      </c>
      <c r="B86" s="127"/>
      <c r="C86" s="251">
        <v>43136</v>
      </c>
      <c r="D86" s="127">
        <v>36000</v>
      </c>
      <c r="E86" s="127">
        <v>0</v>
      </c>
      <c r="F86" s="120">
        <f>SUM(D86:E86)</f>
        <v>36000</v>
      </c>
    </row>
    <row r="87" spans="1:13" s="109" customFormat="1" ht="14.4" x14ac:dyDescent="0.3">
      <c r="A87" s="127" t="s">
        <v>758</v>
      </c>
      <c r="B87" s="127"/>
      <c r="C87" s="251">
        <v>43139</v>
      </c>
      <c r="D87" s="127">
        <v>92200</v>
      </c>
      <c r="E87" s="127">
        <v>24894</v>
      </c>
      <c r="F87" s="120">
        <f t="shared" ref="F87:F88" si="24">SUM(D87:E87)</f>
        <v>117094</v>
      </c>
    </row>
    <row r="88" spans="1:13" s="109" customFormat="1" ht="14.4" x14ac:dyDescent="0.3">
      <c r="A88" s="127"/>
      <c r="B88" s="127"/>
      <c r="C88" s="251"/>
      <c r="D88" s="127"/>
      <c r="E88" s="127"/>
      <c r="F88" s="120">
        <f t="shared" si="24"/>
        <v>0</v>
      </c>
    </row>
    <row r="89" spans="1:13" ht="14.4" x14ac:dyDescent="0.3">
      <c r="A89" s="127"/>
      <c r="B89" s="127"/>
      <c r="C89" s="251"/>
      <c r="D89" s="127"/>
      <c r="E89" s="127"/>
      <c r="F89" s="120">
        <f t="shared" ref="F89" si="25">SUM(D89:E89)</f>
        <v>0</v>
      </c>
    </row>
    <row r="90" spans="1:13" ht="14.4" x14ac:dyDescent="0.3">
      <c r="A90" s="285" t="s">
        <v>644</v>
      </c>
      <c r="B90" s="286"/>
      <c r="C90" s="286"/>
      <c r="D90" s="120">
        <f>SUM(D86:D89)</f>
        <v>128200</v>
      </c>
      <c r="E90" s="120">
        <f>SUM(E86:E89)</f>
        <v>24894</v>
      </c>
      <c r="F90" s="120">
        <f>SUM(F86:F89)</f>
        <v>153094</v>
      </c>
    </row>
    <row r="91" spans="1:13" ht="14.4" x14ac:dyDescent="0.3">
      <c r="A91" s="127"/>
      <c r="B91" s="253"/>
      <c r="C91" s="251"/>
      <c r="D91" s="127"/>
      <c r="E91" s="127"/>
      <c r="F91" s="120">
        <f>SUM(D91:E91)</f>
        <v>0</v>
      </c>
    </row>
    <row r="92" spans="1:13" ht="14.4" x14ac:dyDescent="0.3">
      <c r="A92" s="127"/>
      <c r="B92" s="253"/>
      <c r="C92" s="251"/>
      <c r="D92" s="127"/>
      <c r="E92" s="127"/>
      <c r="F92" s="120">
        <f t="shared" ref="F92:F94" si="26">SUM(D92:E92)</f>
        <v>0</v>
      </c>
    </row>
    <row r="93" spans="1:13" ht="14.4" x14ac:dyDescent="0.3">
      <c r="A93" s="127"/>
      <c r="B93" s="127"/>
      <c r="C93" s="251"/>
      <c r="D93" s="127"/>
      <c r="E93" s="127"/>
      <c r="F93" s="120">
        <f t="shared" si="26"/>
        <v>0</v>
      </c>
    </row>
    <row r="94" spans="1:13" ht="14.4" x14ac:dyDescent="0.3">
      <c r="A94" s="127"/>
      <c r="B94" s="127"/>
      <c r="C94" s="251"/>
      <c r="D94" s="127"/>
      <c r="E94" s="127"/>
      <c r="F94" s="120">
        <f t="shared" si="26"/>
        <v>0</v>
      </c>
    </row>
    <row r="95" spans="1:13" ht="14.4" x14ac:dyDescent="0.3">
      <c r="A95" s="285" t="s">
        <v>759</v>
      </c>
      <c r="B95" s="286"/>
      <c r="C95" s="286"/>
      <c r="D95" s="120">
        <f>SUM(D91:D94)</f>
        <v>0</v>
      </c>
      <c r="E95" s="120">
        <f>SUM(E91:E94)</f>
        <v>0</v>
      </c>
      <c r="F95" s="120">
        <f>SUM(F91:F94)</f>
        <v>0</v>
      </c>
    </row>
    <row r="96" spans="1:13" ht="14.4" x14ac:dyDescent="0.3">
      <c r="A96" s="127"/>
      <c r="B96" s="127"/>
      <c r="C96" s="251"/>
      <c r="D96" s="127"/>
      <c r="E96" s="127"/>
      <c r="F96" s="120">
        <f>SUM(D96:E96)</f>
        <v>0</v>
      </c>
    </row>
    <row r="97" spans="1:6" ht="14.4" x14ac:dyDescent="0.3">
      <c r="A97" s="127"/>
      <c r="B97" s="127"/>
      <c r="C97" s="251"/>
      <c r="D97" s="127"/>
      <c r="E97" s="127"/>
      <c r="F97" s="120">
        <f t="shared" ref="F97:F99" si="27">SUM(D97:E97)</f>
        <v>0</v>
      </c>
    </row>
    <row r="98" spans="1:6" ht="14.4" x14ac:dyDescent="0.3">
      <c r="A98" s="127"/>
      <c r="B98" s="127"/>
      <c r="C98" s="251"/>
      <c r="D98" s="127"/>
      <c r="E98" s="127"/>
      <c r="F98" s="120">
        <f t="shared" si="27"/>
        <v>0</v>
      </c>
    </row>
    <row r="99" spans="1:6" ht="14.4" x14ac:dyDescent="0.3">
      <c r="A99" s="127"/>
      <c r="B99" s="127"/>
      <c r="C99" s="251"/>
      <c r="D99" s="127"/>
      <c r="E99" s="127"/>
      <c r="F99" s="120">
        <f t="shared" si="27"/>
        <v>0</v>
      </c>
    </row>
    <row r="100" spans="1:6" ht="14.4" x14ac:dyDescent="0.3">
      <c r="A100" s="285" t="s">
        <v>760</v>
      </c>
      <c r="B100" s="286"/>
      <c r="C100" s="286"/>
      <c r="D100" s="120">
        <f>SUM(D96:D99)</f>
        <v>0</v>
      </c>
      <c r="E100" s="120">
        <f>SUM(E96:E99)</f>
        <v>0</v>
      </c>
      <c r="F100" s="120">
        <f>SUM(F96:F99)</f>
        <v>0</v>
      </c>
    </row>
    <row r="101" spans="1:6" ht="14.4" x14ac:dyDescent="0.3">
      <c r="A101" s="277" t="s">
        <v>653</v>
      </c>
      <c r="B101" s="277"/>
      <c r="C101" s="277"/>
      <c r="D101" s="120">
        <f>D90+D95+D100</f>
        <v>128200</v>
      </c>
      <c r="E101" s="120">
        <f>E90+E95+E100</f>
        <v>24894</v>
      </c>
      <c r="F101" s="120">
        <f>F90+F95+F100</f>
        <v>153094</v>
      </c>
    </row>
    <row r="102" spans="1:6" ht="14.4" x14ac:dyDescent="0.3">
      <c r="A102" s="278" t="s">
        <v>645</v>
      </c>
      <c r="B102" s="279"/>
      <c r="C102" s="279"/>
      <c r="D102" s="279"/>
      <c r="E102" s="280"/>
      <c r="F102" s="120">
        <f>F83-F90-F95-F100</f>
        <v>61846906</v>
      </c>
    </row>
  </sheetData>
  <sheetProtection sheet="1" objects="1" scenarios="1"/>
  <mergeCells count="64">
    <mergeCell ref="A80:C80"/>
    <mergeCell ref="A81:E81"/>
    <mergeCell ref="H64:L64"/>
    <mergeCell ref="H65:M65"/>
    <mergeCell ref="H74:J74"/>
    <mergeCell ref="H79:J79"/>
    <mergeCell ref="H80:J80"/>
    <mergeCell ref="H81:L81"/>
    <mergeCell ref="A64:E64"/>
    <mergeCell ref="A65:F65"/>
    <mergeCell ref="A69:C69"/>
    <mergeCell ref="A74:C74"/>
    <mergeCell ref="A79:C79"/>
    <mergeCell ref="A61:C61"/>
    <mergeCell ref="A62:E62"/>
    <mergeCell ref="H45:L45"/>
    <mergeCell ref="H46:M46"/>
    <mergeCell ref="H50:J50"/>
    <mergeCell ref="H55:J55"/>
    <mergeCell ref="H60:J60"/>
    <mergeCell ref="H61:J61"/>
    <mergeCell ref="H62:L62"/>
    <mergeCell ref="A45:E45"/>
    <mergeCell ref="A46:F46"/>
    <mergeCell ref="A50:C50"/>
    <mergeCell ref="A55:C55"/>
    <mergeCell ref="A60:C60"/>
    <mergeCell ref="A42:C42"/>
    <mergeCell ref="A43:E43"/>
    <mergeCell ref="H26:L26"/>
    <mergeCell ref="H27:M27"/>
    <mergeCell ref="H31:J31"/>
    <mergeCell ref="H36:J36"/>
    <mergeCell ref="H41:J41"/>
    <mergeCell ref="H42:J42"/>
    <mergeCell ref="H43:L43"/>
    <mergeCell ref="A26:E26"/>
    <mergeCell ref="A27:F27"/>
    <mergeCell ref="A31:C31"/>
    <mergeCell ref="A36:C36"/>
    <mergeCell ref="A41:C41"/>
    <mergeCell ref="A1:F1"/>
    <mergeCell ref="A12:C12"/>
    <mergeCell ref="H1:M1"/>
    <mergeCell ref="H4:M4"/>
    <mergeCell ref="H12:J12"/>
    <mergeCell ref="A3:E3"/>
    <mergeCell ref="H3:L3"/>
    <mergeCell ref="A4:F4"/>
    <mergeCell ref="A24:E24"/>
    <mergeCell ref="H24:L24"/>
    <mergeCell ref="A17:C17"/>
    <mergeCell ref="H17:J17"/>
    <mergeCell ref="A22:C22"/>
    <mergeCell ref="H22:J22"/>
    <mergeCell ref="A23:C23"/>
    <mergeCell ref="H23:J23"/>
    <mergeCell ref="A101:C101"/>
    <mergeCell ref="A102:E102"/>
    <mergeCell ref="A83:E83"/>
    <mergeCell ref="A84:F84"/>
    <mergeCell ref="A90:C90"/>
    <mergeCell ref="A95:C95"/>
    <mergeCell ref="A100:C100"/>
  </mergeCells>
  <pageMargins left="0.70866141732283472" right="0.70866141732283472" top="0.74803149606299213" bottom="0.74803149606299213" header="0.31496062992125984" footer="0.31496062992125984"/>
  <pageSetup paperSize="9" scale="78" fitToHeight="2" orientation="landscape" r:id="rId1"/>
  <ignoredErrors>
    <ignoredError sqref="F6:F7 F8:F11 F13:F16 M6:M11 M13:M16 M18 F29 F32:F35 F37 F30 F18 F86:F87 F67 M67:M69" formulaRange="1"/>
    <ignoredError sqref="F12 F17 M17 M31 M34:M36 F50 F53:F55 M50 M52:M55 F69 F72:F74 M70:M74 F90 F95" formula="1"/>
    <ignoredError sqref="M12 F31 F36 M32:M33 F51:F52 M51 F70:F71" formula="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4" tint="0.79998168889431442"/>
    <pageSetUpPr fitToPage="1"/>
  </sheetPr>
  <dimension ref="A1:V26"/>
  <sheetViews>
    <sheetView zoomScale="85" zoomScaleNormal="85" zoomScalePageLayoutView="7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V20" sqref="V20"/>
    </sheetView>
  </sheetViews>
  <sheetFormatPr defaultColWidth="1.6640625" defaultRowHeight="13.2" x14ac:dyDescent="0.25"/>
  <cols>
    <col min="1" max="1" width="6.44140625" style="8" customWidth="1"/>
    <col min="2" max="2" width="41.77734375" style="8" bestFit="1" customWidth="1"/>
    <col min="3" max="21" width="12.77734375" style="8" customWidth="1"/>
    <col min="22" max="22" width="12.77734375" style="8" bestFit="1" customWidth="1"/>
    <col min="23" max="16384" width="1.6640625" style="8"/>
  </cols>
  <sheetData>
    <row r="1" spans="1:22" ht="27.6" customHeight="1" x14ac:dyDescent="0.25">
      <c r="A1" s="342" t="s">
        <v>607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2"/>
      <c r="U1" s="342"/>
    </row>
    <row r="2" spans="1:22" s="36" customFormat="1" ht="14.4" x14ac:dyDescent="0.25">
      <c r="A2" s="140"/>
      <c r="B2" s="180" t="s">
        <v>373</v>
      </c>
      <c r="C2" s="180" t="s">
        <v>374</v>
      </c>
      <c r="D2" s="180" t="s">
        <v>376</v>
      </c>
      <c r="E2" s="180" t="s">
        <v>375</v>
      </c>
      <c r="F2" s="180" t="s">
        <v>501</v>
      </c>
      <c r="G2" s="180" t="s">
        <v>497</v>
      </c>
      <c r="H2" s="180" t="s">
        <v>377</v>
      </c>
      <c r="I2" s="180" t="s">
        <v>385</v>
      </c>
      <c r="J2" s="180" t="s">
        <v>500</v>
      </c>
      <c r="K2" s="180" t="s">
        <v>378</v>
      </c>
      <c r="L2" s="180" t="s">
        <v>379</v>
      </c>
      <c r="M2" s="180" t="s">
        <v>380</v>
      </c>
      <c r="N2" s="180" t="s">
        <v>381</v>
      </c>
      <c r="O2" s="180" t="s">
        <v>382</v>
      </c>
      <c r="P2" s="180" t="s">
        <v>375</v>
      </c>
      <c r="Q2" s="180" t="s">
        <v>383</v>
      </c>
      <c r="R2" s="180" t="s">
        <v>387</v>
      </c>
      <c r="S2" s="180" t="s">
        <v>375</v>
      </c>
      <c r="T2" s="180" t="s">
        <v>384</v>
      </c>
      <c r="U2" s="180"/>
    </row>
    <row r="3" spans="1:22" s="24" customFormat="1" ht="43.2" x14ac:dyDescent="0.25">
      <c r="A3" s="140"/>
      <c r="B3" s="140"/>
      <c r="C3" s="180" t="s">
        <v>340</v>
      </c>
      <c r="D3" s="180" t="s">
        <v>347</v>
      </c>
      <c r="E3" s="180" t="s">
        <v>341</v>
      </c>
      <c r="F3" s="180" t="s">
        <v>502</v>
      </c>
      <c r="G3" s="180" t="s">
        <v>430</v>
      </c>
      <c r="H3" s="180" t="s">
        <v>342</v>
      </c>
      <c r="I3" s="180" t="s">
        <v>498</v>
      </c>
      <c r="J3" s="180" t="s">
        <v>499</v>
      </c>
      <c r="K3" s="180" t="s">
        <v>344</v>
      </c>
      <c r="L3" s="180" t="s">
        <v>345</v>
      </c>
      <c r="M3" s="180" t="s">
        <v>346</v>
      </c>
      <c r="N3" s="180" t="s">
        <v>120</v>
      </c>
      <c r="O3" s="180" t="s">
        <v>348</v>
      </c>
      <c r="P3" s="180" t="s">
        <v>349</v>
      </c>
      <c r="Q3" s="180" t="s">
        <v>354</v>
      </c>
      <c r="R3" s="180" t="s">
        <v>388</v>
      </c>
      <c r="S3" s="180" t="s">
        <v>350</v>
      </c>
      <c r="T3" s="180" t="s">
        <v>351</v>
      </c>
      <c r="U3" s="180" t="s">
        <v>23</v>
      </c>
      <c r="V3" s="230" t="s">
        <v>462</v>
      </c>
    </row>
    <row r="4" spans="1:22" s="37" customFormat="1" ht="17.399999999999999" x14ac:dyDescent="0.3">
      <c r="A4" s="115" t="s">
        <v>292</v>
      </c>
      <c r="B4" s="115" t="s">
        <v>293</v>
      </c>
      <c r="C4" s="88">
        <v>691000</v>
      </c>
      <c r="D4" s="88"/>
      <c r="E4" s="88"/>
      <c r="F4" s="88"/>
      <c r="G4" s="88">
        <v>10000</v>
      </c>
      <c r="H4" s="88"/>
      <c r="I4" s="235">
        <v>170000</v>
      </c>
      <c r="J4" s="235"/>
      <c r="K4" s="88"/>
      <c r="L4" s="88">
        <v>131000</v>
      </c>
      <c r="M4" s="88"/>
      <c r="N4" s="88"/>
      <c r="O4" s="88">
        <v>98000</v>
      </c>
      <c r="P4" s="88"/>
      <c r="Q4" s="88"/>
      <c r="R4" s="88"/>
      <c r="S4" s="88"/>
      <c r="T4" s="88"/>
      <c r="U4" s="84">
        <f t="shared" ref="U4:U25" si="0">SUM(C4:T4)</f>
        <v>1100000</v>
      </c>
      <c r="V4" s="195">
        <f>('8(3b).Dologi kiad intézmény'!F3)</f>
        <v>1100000</v>
      </c>
    </row>
    <row r="5" spans="1:22" s="37" customFormat="1" ht="17.399999999999999" x14ac:dyDescent="0.3">
      <c r="A5" s="115" t="s">
        <v>294</v>
      </c>
      <c r="B5" s="115" t="s">
        <v>295</v>
      </c>
      <c r="C5" s="88">
        <v>9142000</v>
      </c>
      <c r="D5" s="88">
        <v>10000</v>
      </c>
      <c r="E5" s="88"/>
      <c r="F5" s="88"/>
      <c r="G5" s="88">
        <v>154000</v>
      </c>
      <c r="H5" s="88">
        <v>98000</v>
      </c>
      <c r="I5" s="88"/>
      <c r="J5" s="88">
        <v>3000000</v>
      </c>
      <c r="K5" s="88"/>
      <c r="L5" s="88">
        <v>1300000</v>
      </c>
      <c r="M5" s="88"/>
      <c r="N5" s="88"/>
      <c r="O5" s="88">
        <v>687500</v>
      </c>
      <c r="P5" s="88">
        <v>150000</v>
      </c>
      <c r="Q5" s="88">
        <v>31000</v>
      </c>
      <c r="R5" s="88"/>
      <c r="S5" s="88"/>
      <c r="T5" s="88">
        <v>6219000</v>
      </c>
      <c r="U5" s="84">
        <f t="shared" si="0"/>
        <v>20791500</v>
      </c>
      <c r="V5" s="195">
        <f>('8(3b).Dologi kiad intézmény'!F4)</f>
        <v>20791500</v>
      </c>
    </row>
    <row r="6" spans="1:22" s="37" customFormat="1" ht="17.399999999999999" x14ac:dyDescent="0.3">
      <c r="A6" s="114" t="s">
        <v>296</v>
      </c>
      <c r="B6" s="114" t="s">
        <v>0</v>
      </c>
      <c r="C6" s="84">
        <f t="shared" ref="C6:T6" si="1">SUM(C4:C5)</f>
        <v>9833000</v>
      </c>
      <c r="D6" s="84">
        <f t="shared" si="1"/>
        <v>10000</v>
      </c>
      <c r="E6" s="84">
        <f t="shared" si="1"/>
        <v>0</v>
      </c>
      <c r="F6" s="84">
        <f t="shared" si="1"/>
        <v>0</v>
      </c>
      <c r="G6" s="84">
        <f t="shared" si="1"/>
        <v>164000</v>
      </c>
      <c r="H6" s="84">
        <f t="shared" si="1"/>
        <v>98000</v>
      </c>
      <c r="I6" s="84">
        <f t="shared" si="1"/>
        <v>170000</v>
      </c>
      <c r="J6" s="84">
        <f t="shared" si="1"/>
        <v>3000000</v>
      </c>
      <c r="K6" s="84">
        <f t="shared" si="1"/>
        <v>0</v>
      </c>
      <c r="L6" s="84">
        <f t="shared" si="1"/>
        <v>1431000</v>
      </c>
      <c r="M6" s="84">
        <f t="shared" si="1"/>
        <v>0</v>
      </c>
      <c r="N6" s="84">
        <f t="shared" si="1"/>
        <v>0</v>
      </c>
      <c r="O6" s="84">
        <f t="shared" si="1"/>
        <v>785500</v>
      </c>
      <c r="P6" s="84">
        <f t="shared" si="1"/>
        <v>150000</v>
      </c>
      <c r="Q6" s="84">
        <f t="shared" si="1"/>
        <v>31000</v>
      </c>
      <c r="R6" s="84">
        <f t="shared" si="1"/>
        <v>0</v>
      </c>
      <c r="S6" s="84">
        <f t="shared" si="1"/>
        <v>0</v>
      </c>
      <c r="T6" s="84">
        <f t="shared" si="1"/>
        <v>6219000</v>
      </c>
      <c r="U6" s="84">
        <f t="shared" si="0"/>
        <v>21891500</v>
      </c>
      <c r="V6" s="195">
        <f>('8(3b).Dologi kiad intézmény'!F5)</f>
        <v>21891500</v>
      </c>
    </row>
    <row r="7" spans="1:22" s="37" customFormat="1" ht="17.399999999999999" x14ac:dyDescent="0.3">
      <c r="A7" s="115" t="s">
        <v>297</v>
      </c>
      <c r="B7" s="115" t="s">
        <v>336</v>
      </c>
      <c r="C7" s="88"/>
      <c r="D7" s="88"/>
      <c r="E7" s="88"/>
      <c r="F7" s="88"/>
      <c r="G7" s="88">
        <v>13000</v>
      </c>
      <c r="H7" s="88"/>
      <c r="I7" s="88"/>
      <c r="J7" s="88"/>
      <c r="K7" s="88"/>
      <c r="L7" s="88"/>
      <c r="M7" s="88"/>
      <c r="N7" s="88"/>
      <c r="O7" s="88">
        <v>444000</v>
      </c>
      <c r="P7" s="88"/>
      <c r="Q7" s="88"/>
      <c r="R7" s="88"/>
      <c r="S7" s="88"/>
      <c r="T7" s="88">
        <v>108000</v>
      </c>
      <c r="U7" s="84">
        <f t="shared" si="0"/>
        <v>565000</v>
      </c>
      <c r="V7" s="195">
        <f>('8(3b).Dologi kiad intézmény'!F6)</f>
        <v>565000</v>
      </c>
    </row>
    <row r="8" spans="1:22" s="37" customFormat="1" ht="17.399999999999999" x14ac:dyDescent="0.3">
      <c r="A8" s="115" t="s">
        <v>298</v>
      </c>
      <c r="B8" s="115" t="s">
        <v>3</v>
      </c>
      <c r="C8" s="88"/>
      <c r="D8" s="88">
        <v>60000</v>
      </c>
      <c r="E8" s="88"/>
      <c r="F8" s="88"/>
      <c r="G8" s="88">
        <v>35000</v>
      </c>
      <c r="H8" s="88"/>
      <c r="I8" s="88"/>
      <c r="J8" s="88"/>
      <c r="K8" s="88"/>
      <c r="L8" s="88"/>
      <c r="M8" s="88"/>
      <c r="N8" s="88"/>
      <c r="O8" s="88"/>
      <c r="P8" s="88">
        <v>30000</v>
      </c>
      <c r="Q8" s="88"/>
      <c r="R8" s="88"/>
      <c r="S8" s="88"/>
      <c r="T8" s="88">
        <v>235000</v>
      </c>
      <c r="U8" s="84">
        <f t="shared" si="0"/>
        <v>360000</v>
      </c>
      <c r="V8" s="195">
        <f>('8(3b).Dologi kiad intézmény'!F7)</f>
        <v>360000</v>
      </c>
    </row>
    <row r="9" spans="1:22" s="37" customFormat="1" ht="17.399999999999999" x14ac:dyDescent="0.3">
      <c r="A9" s="114" t="s">
        <v>299</v>
      </c>
      <c r="B9" s="114" t="s">
        <v>2</v>
      </c>
      <c r="C9" s="84">
        <f t="shared" ref="C9:T9" si="2">SUM(C7:C8)</f>
        <v>0</v>
      </c>
      <c r="D9" s="84">
        <f t="shared" si="2"/>
        <v>60000</v>
      </c>
      <c r="E9" s="84">
        <f t="shared" si="2"/>
        <v>0</v>
      </c>
      <c r="F9" s="84">
        <f t="shared" si="2"/>
        <v>0</v>
      </c>
      <c r="G9" s="84">
        <f t="shared" si="2"/>
        <v>48000</v>
      </c>
      <c r="H9" s="84">
        <f t="shared" si="2"/>
        <v>0</v>
      </c>
      <c r="I9" s="84">
        <f t="shared" si="2"/>
        <v>0</v>
      </c>
      <c r="J9" s="84">
        <f t="shared" si="2"/>
        <v>0</v>
      </c>
      <c r="K9" s="84">
        <f t="shared" si="2"/>
        <v>0</v>
      </c>
      <c r="L9" s="84">
        <f t="shared" si="2"/>
        <v>0</v>
      </c>
      <c r="M9" s="84">
        <f t="shared" si="2"/>
        <v>0</v>
      </c>
      <c r="N9" s="84">
        <f t="shared" si="2"/>
        <v>0</v>
      </c>
      <c r="O9" s="84">
        <f t="shared" si="2"/>
        <v>444000</v>
      </c>
      <c r="P9" s="84">
        <f t="shared" si="2"/>
        <v>30000</v>
      </c>
      <c r="Q9" s="84">
        <f t="shared" si="2"/>
        <v>0</v>
      </c>
      <c r="R9" s="84">
        <f t="shared" si="2"/>
        <v>0</v>
      </c>
      <c r="S9" s="84">
        <f t="shared" si="2"/>
        <v>0</v>
      </c>
      <c r="T9" s="84">
        <f t="shared" si="2"/>
        <v>343000</v>
      </c>
      <c r="U9" s="84">
        <f t="shared" si="0"/>
        <v>925000</v>
      </c>
      <c r="V9" s="195">
        <f>('8(3b).Dologi kiad intézmény'!F8)</f>
        <v>925000</v>
      </c>
    </row>
    <row r="10" spans="1:22" s="37" customFormat="1" ht="17.399999999999999" x14ac:dyDescent="0.3">
      <c r="A10" s="115" t="s">
        <v>300</v>
      </c>
      <c r="B10" s="115" t="s">
        <v>301</v>
      </c>
      <c r="C10" s="88"/>
      <c r="D10" s="88">
        <v>654000</v>
      </c>
      <c r="E10" s="88">
        <v>3000</v>
      </c>
      <c r="F10" s="88"/>
      <c r="G10" s="88">
        <v>353000</v>
      </c>
      <c r="H10" s="88">
        <v>194000</v>
      </c>
      <c r="I10" s="88"/>
      <c r="J10" s="88">
        <v>1000</v>
      </c>
      <c r="K10" s="88">
        <v>10000</v>
      </c>
      <c r="L10" s="88">
        <v>3000</v>
      </c>
      <c r="M10" s="88">
        <v>7000</v>
      </c>
      <c r="N10" s="88">
        <v>2741000</v>
      </c>
      <c r="O10" s="88">
        <v>1459000</v>
      </c>
      <c r="P10" s="88">
        <v>1168000</v>
      </c>
      <c r="Q10" s="88">
        <v>328000</v>
      </c>
      <c r="R10" s="88"/>
      <c r="S10" s="88"/>
      <c r="T10" s="88">
        <v>2599000</v>
      </c>
      <c r="U10" s="84">
        <f t="shared" si="0"/>
        <v>9520000</v>
      </c>
      <c r="V10" s="195">
        <f>('8(3b).Dologi kiad intézmény'!F9)</f>
        <v>9520000</v>
      </c>
    </row>
    <row r="11" spans="1:22" s="37" customFormat="1" ht="17.399999999999999" x14ac:dyDescent="0.3">
      <c r="A11" s="115" t="s">
        <v>302</v>
      </c>
      <c r="B11" s="115" t="s">
        <v>4</v>
      </c>
      <c r="C11" s="88">
        <v>16000</v>
      </c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>
        <v>2000</v>
      </c>
      <c r="P11" s="88"/>
      <c r="Q11" s="88"/>
      <c r="R11" s="88"/>
      <c r="S11" s="88"/>
      <c r="T11" s="88">
        <v>77000</v>
      </c>
      <c r="U11" s="84">
        <f t="shared" si="0"/>
        <v>95000</v>
      </c>
      <c r="V11" s="195">
        <f>('8(3b).Dologi kiad intézmény'!F10)</f>
        <v>95000</v>
      </c>
    </row>
    <row r="12" spans="1:22" s="37" customFormat="1" ht="17.399999999999999" x14ac:dyDescent="0.3">
      <c r="A12" s="115" t="s">
        <v>303</v>
      </c>
      <c r="B12" s="115" t="s">
        <v>5</v>
      </c>
      <c r="C12" s="88"/>
      <c r="D12" s="88"/>
      <c r="E12" s="88"/>
      <c r="F12" s="88">
        <v>52000</v>
      </c>
      <c r="G12" s="88">
        <v>30000</v>
      </c>
      <c r="H12" s="88"/>
      <c r="I12" s="88"/>
      <c r="J12" s="88"/>
      <c r="K12" s="88"/>
      <c r="L12" s="88"/>
      <c r="M12" s="88"/>
      <c r="N12" s="88"/>
      <c r="O12" s="88">
        <v>520000</v>
      </c>
      <c r="P12" s="88"/>
      <c r="Q12" s="88"/>
      <c r="R12" s="88"/>
      <c r="S12" s="88"/>
      <c r="T12" s="88">
        <v>198000</v>
      </c>
      <c r="U12" s="84">
        <f t="shared" si="0"/>
        <v>800000</v>
      </c>
      <c r="V12" s="195">
        <f>('8(3b).Dologi kiad intézmény'!F11)</f>
        <v>800000</v>
      </c>
    </row>
    <row r="13" spans="1:22" s="37" customFormat="1" ht="17.399999999999999" x14ac:dyDescent="0.3">
      <c r="A13" s="115" t="s">
        <v>304</v>
      </c>
      <c r="B13" s="115" t="s">
        <v>306</v>
      </c>
      <c r="C13" s="88"/>
      <c r="D13" s="88">
        <v>71000</v>
      </c>
      <c r="E13" s="88"/>
      <c r="F13" s="88"/>
      <c r="G13" s="88">
        <v>20000</v>
      </c>
      <c r="H13" s="88"/>
      <c r="I13" s="88"/>
      <c r="J13" s="88"/>
      <c r="K13" s="88"/>
      <c r="L13" s="88">
        <v>230000</v>
      </c>
      <c r="M13" s="88"/>
      <c r="N13" s="88"/>
      <c r="O13" s="88">
        <v>50000</v>
      </c>
      <c r="P13" s="88">
        <v>200000</v>
      </c>
      <c r="Q13" s="88"/>
      <c r="R13" s="88"/>
      <c r="S13" s="88"/>
      <c r="T13" s="88">
        <v>1929000</v>
      </c>
      <c r="U13" s="84">
        <f t="shared" si="0"/>
        <v>2500000</v>
      </c>
      <c r="V13" s="195">
        <f>('8(3b).Dologi kiad intézmény'!F12)</f>
        <v>2500000</v>
      </c>
    </row>
    <row r="14" spans="1:22" s="37" customFormat="1" ht="17.399999999999999" x14ac:dyDescent="0.3">
      <c r="A14" s="115" t="s">
        <v>305</v>
      </c>
      <c r="B14" s="115" t="s">
        <v>307</v>
      </c>
      <c r="C14" s="88"/>
      <c r="D14" s="88">
        <v>2150000</v>
      </c>
      <c r="E14" s="88"/>
      <c r="F14" s="88"/>
      <c r="G14" s="88"/>
      <c r="H14" s="88">
        <v>25000</v>
      </c>
      <c r="I14" s="88"/>
      <c r="J14" s="88"/>
      <c r="K14" s="88"/>
      <c r="L14" s="88"/>
      <c r="M14" s="88"/>
      <c r="N14" s="88"/>
      <c r="O14" s="88"/>
      <c r="P14" s="88">
        <v>25000</v>
      </c>
      <c r="Q14" s="88"/>
      <c r="R14" s="88"/>
      <c r="S14" s="88"/>
      <c r="T14" s="88"/>
      <c r="U14" s="84">
        <f t="shared" si="0"/>
        <v>2200000</v>
      </c>
      <c r="V14" s="195">
        <f>('8(3b).Dologi kiad intézmény'!F13)</f>
        <v>2200000</v>
      </c>
    </row>
    <row r="15" spans="1:22" s="37" customFormat="1" ht="17.399999999999999" x14ac:dyDescent="0.3">
      <c r="A15" s="115" t="s">
        <v>308</v>
      </c>
      <c r="B15" s="115" t="s">
        <v>309</v>
      </c>
      <c r="C15" s="88">
        <v>10000</v>
      </c>
      <c r="D15" s="88"/>
      <c r="E15" s="88"/>
      <c r="F15" s="88"/>
      <c r="G15" s="88">
        <v>3560000</v>
      </c>
      <c r="H15" s="88"/>
      <c r="I15" s="88"/>
      <c r="J15" s="88"/>
      <c r="K15" s="88"/>
      <c r="L15" s="88">
        <v>800000</v>
      </c>
      <c r="M15" s="88"/>
      <c r="N15" s="88"/>
      <c r="O15" s="88">
        <v>15000</v>
      </c>
      <c r="P15" s="88"/>
      <c r="Q15" s="88"/>
      <c r="R15" s="88"/>
      <c r="S15" s="88"/>
      <c r="T15" s="88">
        <v>175000</v>
      </c>
      <c r="U15" s="84">
        <f t="shared" si="0"/>
        <v>4560000</v>
      </c>
      <c r="V15" s="195">
        <f>('8(3b).Dologi kiad intézmény'!F14)</f>
        <v>4560000</v>
      </c>
    </row>
    <row r="16" spans="1:22" s="37" customFormat="1" ht="17.399999999999999" x14ac:dyDescent="0.3">
      <c r="A16" s="115" t="s">
        <v>310</v>
      </c>
      <c r="B16" s="115" t="s">
        <v>311</v>
      </c>
      <c r="C16" s="88">
        <v>9000</v>
      </c>
      <c r="D16" s="88">
        <v>165000</v>
      </c>
      <c r="E16" s="88"/>
      <c r="F16" s="88">
        <v>300000</v>
      </c>
      <c r="G16" s="88">
        <v>1648000</v>
      </c>
      <c r="H16" s="88">
        <v>8000</v>
      </c>
      <c r="I16" s="88"/>
      <c r="J16" s="88">
        <v>733000</v>
      </c>
      <c r="K16" s="88">
        <v>125000</v>
      </c>
      <c r="L16" s="88">
        <v>132000</v>
      </c>
      <c r="M16" s="88">
        <v>2910000</v>
      </c>
      <c r="N16" s="88"/>
      <c r="O16" s="88">
        <v>3851000</v>
      </c>
      <c r="P16" s="88">
        <v>688000</v>
      </c>
      <c r="Q16" s="88">
        <v>33000</v>
      </c>
      <c r="R16" s="88"/>
      <c r="S16" s="88"/>
      <c r="T16" s="88">
        <v>2798000</v>
      </c>
      <c r="U16" s="84">
        <f t="shared" si="0"/>
        <v>13400000</v>
      </c>
      <c r="V16" s="195">
        <f>('8(3b).Dologi kiad intézmény'!F15)</f>
        <v>13400000</v>
      </c>
    </row>
    <row r="17" spans="1:22" s="37" customFormat="1" ht="17.399999999999999" x14ac:dyDescent="0.3">
      <c r="A17" s="114" t="s">
        <v>312</v>
      </c>
      <c r="B17" s="114" t="s">
        <v>313</v>
      </c>
      <c r="C17" s="84">
        <f t="shared" ref="C17:T17" si="3">SUM(C10:C16)</f>
        <v>35000</v>
      </c>
      <c r="D17" s="84">
        <f t="shared" si="3"/>
        <v>3040000</v>
      </c>
      <c r="E17" s="84">
        <f t="shared" si="3"/>
        <v>3000</v>
      </c>
      <c r="F17" s="84">
        <f t="shared" si="3"/>
        <v>352000</v>
      </c>
      <c r="G17" s="84">
        <f t="shared" si="3"/>
        <v>5611000</v>
      </c>
      <c r="H17" s="84">
        <f t="shared" si="3"/>
        <v>227000</v>
      </c>
      <c r="I17" s="84">
        <f t="shared" si="3"/>
        <v>0</v>
      </c>
      <c r="J17" s="84">
        <f t="shared" si="3"/>
        <v>734000</v>
      </c>
      <c r="K17" s="84">
        <f t="shared" si="3"/>
        <v>135000</v>
      </c>
      <c r="L17" s="84">
        <f t="shared" si="3"/>
        <v>1165000</v>
      </c>
      <c r="M17" s="84">
        <f t="shared" si="3"/>
        <v>2917000</v>
      </c>
      <c r="N17" s="84">
        <f t="shared" si="3"/>
        <v>2741000</v>
      </c>
      <c r="O17" s="84">
        <f t="shared" si="3"/>
        <v>5897000</v>
      </c>
      <c r="P17" s="84">
        <f t="shared" si="3"/>
        <v>2081000</v>
      </c>
      <c r="Q17" s="84">
        <f t="shared" si="3"/>
        <v>361000</v>
      </c>
      <c r="R17" s="84">
        <f t="shared" si="3"/>
        <v>0</v>
      </c>
      <c r="S17" s="84">
        <f t="shared" si="3"/>
        <v>0</v>
      </c>
      <c r="T17" s="84">
        <f t="shared" si="3"/>
        <v>7776000</v>
      </c>
      <c r="U17" s="84">
        <f t="shared" si="0"/>
        <v>33075000</v>
      </c>
      <c r="V17" s="195">
        <f>('8(3b).Dologi kiad intézmény'!F16)</f>
        <v>33075000</v>
      </c>
    </row>
    <row r="18" spans="1:22" s="37" customFormat="1" ht="17.399999999999999" x14ac:dyDescent="0.3">
      <c r="A18" s="115" t="s">
        <v>314</v>
      </c>
      <c r="B18" s="115" t="s">
        <v>315</v>
      </c>
      <c r="C18" s="88">
        <v>35000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>
        <v>25000</v>
      </c>
      <c r="U18" s="84">
        <f t="shared" si="0"/>
        <v>60000</v>
      </c>
      <c r="V18" s="195">
        <f>('8(3b).Dologi kiad intézmény'!F17)</f>
        <v>60000</v>
      </c>
    </row>
    <row r="19" spans="1:22" s="37" customFormat="1" ht="17.399999999999999" x14ac:dyDescent="0.3">
      <c r="A19" s="115" t="s">
        <v>316</v>
      </c>
      <c r="B19" s="115" t="s">
        <v>317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4">
        <f t="shared" si="0"/>
        <v>0</v>
      </c>
      <c r="V19" s="195">
        <f>('8(3b).Dologi kiad intézmény'!F18)</f>
        <v>0</v>
      </c>
    </row>
    <row r="20" spans="1:22" s="37" customFormat="1" ht="17.399999999999999" x14ac:dyDescent="0.3">
      <c r="A20" s="114" t="s">
        <v>318</v>
      </c>
      <c r="B20" s="114" t="s">
        <v>319</v>
      </c>
      <c r="C20" s="84">
        <f t="shared" ref="C20:T20" si="4">SUM(C18:C19)</f>
        <v>35000</v>
      </c>
      <c r="D20" s="84">
        <f t="shared" si="4"/>
        <v>0</v>
      </c>
      <c r="E20" s="84">
        <f t="shared" si="4"/>
        <v>0</v>
      </c>
      <c r="F20" s="84">
        <f t="shared" si="4"/>
        <v>0</v>
      </c>
      <c r="G20" s="84">
        <f t="shared" si="4"/>
        <v>0</v>
      </c>
      <c r="H20" s="84">
        <f t="shared" si="4"/>
        <v>0</v>
      </c>
      <c r="I20" s="84">
        <f t="shared" si="4"/>
        <v>0</v>
      </c>
      <c r="J20" s="84">
        <f t="shared" si="4"/>
        <v>0</v>
      </c>
      <c r="K20" s="84">
        <f t="shared" si="4"/>
        <v>0</v>
      </c>
      <c r="L20" s="84">
        <f t="shared" si="4"/>
        <v>0</v>
      </c>
      <c r="M20" s="84">
        <f t="shared" si="4"/>
        <v>0</v>
      </c>
      <c r="N20" s="84">
        <f t="shared" si="4"/>
        <v>0</v>
      </c>
      <c r="O20" s="84">
        <f t="shared" si="4"/>
        <v>0</v>
      </c>
      <c r="P20" s="84">
        <f t="shared" si="4"/>
        <v>0</v>
      </c>
      <c r="Q20" s="84">
        <f t="shared" si="4"/>
        <v>0</v>
      </c>
      <c r="R20" s="84">
        <f t="shared" si="4"/>
        <v>0</v>
      </c>
      <c r="S20" s="84">
        <f t="shared" si="4"/>
        <v>0</v>
      </c>
      <c r="T20" s="84">
        <f t="shared" si="4"/>
        <v>25000</v>
      </c>
      <c r="U20" s="84">
        <f t="shared" si="0"/>
        <v>60000</v>
      </c>
      <c r="V20" s="195">
        <f>('8(3b).Dologi kiad intézmény'!F19)</f>
        <v>60000</v>
      </c>
    </row>
    <row r="21" spans="1:22" s="37" customFormat="1" ht="17.399999999999999" x14ac:dyDescent="0.3">
      <c r="A21" s="115" t="s">
        <v>320</v>
      </c>
      <c r="B21" s="115" t="s">
        <v>321</v>
      </c>
      <c r="C21" s="88">
        <v>2750000</v>
      </c>
      <c r="D21" s="88">
        <v>370000</v>
      </c>
      <c r="E21" s="88"/>
      <c r="F21" s="88">
        <v>95000</v>
      </c>
      <c r="G21" s="88">
        <v>120000</v>
      </c>
      <c r="H21" s="88">
        <v>80000</v>
      </c>
      <c r="I21" s="88"/>
      <c r="J21" s="88">
        <v>5000</v>
      </c>
      <c r="K21" s="88">
        <v>36000</v>
      </c>
      <c r="L21" s="88">
        <v>760000</v>
      </c>
      <c r="M21" s="88">
        <v>5000</v>
      </c>
      <c r="N21" s="88">
        <v>715000</v>
      </c>
      <c r="O21" s="88">
        <v>1340000</v>
      </c>
      <c r="P21" s="88">
        <v>435000</v>
      </c>
      <c r="Q21" s="88">
        <v>105000</v>
      </c>
      <c r="R21" s="88"/>
      <c r="S21" s="88"/>
      <c r="T21" s="88">
        <v>4504000</v>
      </c>
      <c r="U21" s="84">
        <f t="shared" si="0"/>
        <v>11320000</v>
      </c>
      <c r="V21" s="195">
        <f>('8(3b).Dologi kiad intézmény'!F20)</f>
        <v>11320000</v>
      </c>
    </row>
    <row r="22" spans="1:22" s="37" customFormat="1" ht="17.399999999999999" x14ac:dyDescent="0.3">
      <c r="A22" s="115" t="s">
        <v>322</v>
      </c>
      <c r="B22" s="115" t="s">
        <v>323</v>
      </c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>
        <v>1500000</v>
      </c>
      <c r="U22" s="84">
        <f t="shared" si="0"/>
        <v>1500000</v>
      </c>
      <c r="V22" s="195">
        <f>('8(3b).Dologi kiad intézmény'!F21)</f>
        <v>1500000</v>
      </c>
    </row>
    <row r="23" spans="1:22" s="37" customFormat="1" ht="17.399999999999999" x14ac:dyDescent="0.3">
      <c r="A23" s="115" t="s">
        <v>324</v>
      </c>
      <c r="B23" s="115" t="s">
        <v>325</v>
      </c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4">
        <f t="shared" si="0"/>
        <v>0</v>
      </c>
      <c r="V23" s="195">
        <f>('8(3b).Dologi kiad intézmény'!F22)</f>
        <v>0</v>
      </c>
    </row>
    <row r="24" spans="1:22" s="37" customFormat="1" ht="17.399999999999999" x14ac:dyDescent="0.3">
      <c r="A24" s="115" t="s">
        <v>326</v>
      </c>
      <c r="B24" s="115" t="s">
        <v>327</v>
      </c>
      <c r="C24" s="88"/>
      <c r="D24" s="88"/>
      <c r="E24" s="88"/>
      <c r="F24" s="88"/>
      <c r="G24" s="88"/>
      <c r="H24" s="88"/>
      <c r="I24" s="88"/>
      <c r="J24" s="88"/>
      <c r="K24" s="88"/>
      <c r="L24" s="88">
        <v>35000</v>
      </c>
      <c r="M24" s="88"/>
      <c r="N24" s="88"/>
      <c r="O24" s="88">
        <v>10000</v>
      </c>
      <c r="P24" s="88"/>
      <c r="Q24" s="88"/>
      <c r="R24" s="88"/>
      <c r="S24" s="88"/>
      <c r="T24" s="88">
        <v>135000</v>
      </c>
      <c r="U24" s="84">
        <f t="shared" si="0"/>
        <v>180000</v>
      </c>
      <c r="V24" s="195">
        <f>('8(3b).Dologi kiad intézmény'!F23)</f>
        <v>180000</v>
      </c>
    </row>
    <row r="25" spans="1:22" s="37" customFormat="1" ht="17.399999999999999" x14ac:dyDescent="0.3">
      <c r="A25" s="114" t="s">
        <v>328</v>
      </c>
      <c r="B25" s="114" t="s">
        <v>329</v>
      </c>
      <c r="C25" s="84">
        <f t="shared" ref="C25:T25" si="5">SUM(C21:C24)</f>
        <v>2750000</v>
      </c>
      <c r="D25" s="84">
        <f t="shared" si="5"/>
        <v>370000</v>
      </c>
      <c r="E25" s="84">
        <f t="shared" si="5"/>
        <v>0</v>
      </c>
      <c r="F25" s="84">
        <f t="shared" si="5"/>
        <v>95000</v>
      </c>
      <c r="G25" s="84">
        <f t="shared" si="5"/>
        <v>120000</v>
      </c>
      <c r="H25" s="84">
        <f t="shared" si="5"/>
        <v>80000</v>
      </c>
      <c r="I25" s="84">
        <f t="shared" si="5"/>
        <v>0</v>
      </c>
      <c r="J25" s="84">
        <f t="shared" si="5"/>
        <v>5000</v>
      </c>
      <c r="K25" s="84">
        <f t="shared" si="5"/>
        <v>36000</v>
      </c>
      <c r="L25" s="84">
        <f t="shared" si="5"/>
        <v>795000</v>
      </c>
      <c r="M25" s="84">
        <f t="shared" si="5"/>
        <v>5000</v>
      </c>
      <c r="N25" s="84">
        <f t="shared" si="5"/>
        <v>715000</v>
      </c>
      <c r="O25" s="84">
        <f t="shared" si="5"/>
        <v>1350000</v>
      </c>
      <c r="P25" s="84">
        <f t="shared" si="5"/>
        <v>435000</v>
      </c>
      <c r="Q25" s="84">
        <f t="shared" si="5"/>
        <v>105000</v>
      </c>
      <c r="R25" s="84">
        <f t="shared" si="5"/>
        <v>0</v>
      </c>
      <c r="S25" s="84">
        <f t="shared" si="5"/>
        <v>0</v>
      </c>
      <c r="T25" s="84">
        <f t="shared" si="5"/>
        <v>6139000</v>
      </c>
      <c r="U25" s="84">
        <f t="shared" si="0"/>
        <v>13000000</v>
      </c>
      <c r="V25" s="195">
        <f>('8(3b).Dologi kiad intézmény'!F24)</f>
        <v>13000000</v>
      </c>
    </row>
    <row r="26" spans="1:22" ht="14.4" x14ac:dyDescent="0.3">
      <c r="A26" s="108" t="s">
        <v>330</v>
      </c>
      <c r="B26" s="108" t="s">
        <v>46</v>
      </c>
      <c r="C26" s="198">
        <f t="shared" ref="C26:U26" si="6">(C6+C9+C17+C20+C25)</f>
        <v>12653000</v>
      </c>
      <c r="D26" s="198">
        <f t="shared" si="6"/>
        <v>3480000</v>
      </c>
      <c r="E26" s="198">
        <f t="shared" si="6"/>
        <v>3000</v>
      </c>
      <c r="F26" s="198">
        <f t="shared" si="6"/>
        <v>447000</v>
      </c>
      <c r="G26" s="198">
        <f t="shared" si="6"/>
        <v>5943000</v>
      </c>
      <c r="H26" s="198">
        <f t="shared" si="6"/>
        <v>405000</v>
      </c>
      <c r="I26" s="198">
        <f t="shared" si="6"/>
        <v>170000</v>
      </c>
      <c r="J26" s="198">
        <f t="shared" si="6"/>
        <v>3739000</v>
      </c>
      <c r="K26" s="198">
        <f t="shared" si="6"/>
        <v>171000</v>
      </c>
      <c r="L26" s="198">
        <f t="shared" si="6"/>
        <v>3391000</v>
      </c>
      <c r="M26" s="198">
        <f t="shared" si="6"/>
        <v>2922000</v>
      </c>
      <c r="N26" s="198">
        <f t="shared" si="6"/>
        <v>3456000</v>
      </c>
      <c r="O26" s="198">
        <f t="shared" si="6"/>
        <v>8476500</v>
      </c>
      <c r="P26" s="198">
        <f t="shared" si="6"/>
        <v>2696000</v>
      </c>
      <c r="Q26" s="198">
        <f t="shared" si="6"/>
        <v>497000</v>
      </c>
      <c r="R26" s="198">
        <f t="shared" si="6"/>
        <v>0</v>
      </c>
      <c r="S26" s="198">
        <f t="shared" si="6"/>
        <v>0</v>
      </c>
      <c r="T26" s="198">
        <f t="shared" si="6"/>
        <v>20502000</v>
      </c>
      <c r="U26" s="198">
        <f t="shared" si="6"/>
        <v>68951500</v>
      </c>
      <c r="V26" s="195">
        <f>('8(3b).Dologi kiad intézmény'!F25)</f>
        <v>68951500</v>
      </c>
    </row>
  </sheetData>
  <sheetProtection sheet="1" objects="1" scenarios="1"/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>
    <oddHeader xml:space="preserve">&amp;R3./c. sz. melléklet Ft-ban
</oddHeader>
  </headerFooter>
  <ignoredErrors>
    <ignoredError sqref="F2:I2 K2:T2 D2:E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5" tint="-0.249977111117893"/>
    <pageSetUpPr fitToPage="1"/>
  </sheetPr>
  <dimension ref="B1:I18"/>
  <sheetViews>
    <sheetView zoomScaleNormal="100" workbookViewId="0">
      <selection activeCell="H11" sqref="H11"/>
    </sheetView>
  </sheetViews>
  <sheetFormatPr defaultColWidth="9.109375" defaultRowHeight="13.2" x14ac:dyDescent="0.25"/>
  <cols>
    <col min="1" max="1" width="9.109375" style="8"/>
    <col min="2" max="2" width="31.88671875" style="8" customWidth="1"/>
    <col min="3" max="3" width="13.6640625" style="8" customWidth="1"/>
    <col min="4" max="4" width="14" style="8" customWidth="1"/>
    <col min="5" max="5" width="16.88671875" style="8" bestFit="1" customWidth="1"/>
    <col min="6" max="6" width="30.88671875" style="8" customWidth="1"/>
    <col min="7" max="7" width="14.44140625" style="8" customWidth="1"/>
    <col min="8" max="8" width="14" style="8" customWidth="1"/>
    <col min="9" max="9" width="16.88671875" style="8" bestFit="1" customWidth="1"/>
    <col min="10" max="16384" width="9.109375" style="8"/>
  </cols>
  <sheetData>
    <row r="1" spans="2:9" ht="33" customHeight="1" x14ac:dyDescent="0.25">
      <c r="B1" s="273" t="s">
        <v>608</v>
      </c>
      <c r="C1" s="273"/>
      <c r="D1" s="273"/>
      <c r="E1" s="273"/>
      <c r="F1" s="273"/>
      <c r="G1" s="273"/>
      <c r="H1" s="273"/>
      <c r="I1" s="273"/>
    </row>
    <row r="3" spans="2:9" ht="21.75" customHeight="1" x14ac:dyDescent="0.25">
      <c r="B3" s="324" t="s">
        <v>75</v>
      </c>
      <c r="C3" s="324"/>
      <c r="D3" s="324"/>
      <c r="E3" s="324"/>
      <c r="F3" s="324" t="s">
        <v>76</v>
      </c>
      <c r="G3" s="324"/>
      <c r="H3" s="324"/>
      <c r="I3" s="324"/>
    </row>
    <row r="4" spans="2:9" ht="45" customHeight="1" x14ac:dyDescent="0.25">
      <c r="B4" s="180" t="s">
        <v>77</v>
      </c>
      <c r="C4" s="180" t="s">
        <v>78</v>
      </c>
      <c r="D4" s="180" t="s">
        <v>79</v>
      </c>
      <c r="E4" s="180" t="s">
        <v>23</v>
      </c>
      <c r="F4" s="180" t="s">
        <v>77</v>
      </c>
      <c r="G4" s="180" t="s">
        <v>80</v>
      </c>
      <c r="H4" s="180" t="s">
        <v>81</v>
      </c>
      <c r="I4" s="180" t="s">
        <v>23</v>
      </c>
    </row>
    <row r="5" spans="2:9" ht="35.25" customHeight="1" x14ac:dyDescent="0.25">
      <c r="B5" s="140" t="s">
        <v>217</v>
      </c>
      <c r="C5" s="245">
        <f>('5 (1).Bevételek összesen'!F8)</f>
        <v>228984138</v>
      </c>
      <c r="D5" s="143"/>
      <c r="E5" s="246">
        <f>SUM(C5:D5)</f>
        <v>228984138</v>
      </c>
      <c r="F5" s="140" t="s">
        <v>463</v>
      </c>
      <c r="G5" s="245">
        <f>('15(3).Kiadások összesen'!D3)</f>
        <v>166843104</v>
      </c>
      <c r="H5" s="143"/>
      <c r="I5" s="246">
        <f t="shared" ref="I5:I13" si="0">SUM(G5:H5)</f>
        <v>166843104</v>
      </c>
    </row>
    <row r="6" spans="2:9" ht="35.25" customHeight="1" x14ac:dyDescent="0.25">
      <c r="B6" s="140" t="s">
        <v>70</v>
      </c>
      <c r="C6" s="245">
        <f>('5 (1).Bevételek összesen'!F17)</f>
        <v>53000000</v>
      </c>
      <c r="D6" s="143"/>
      <c r="E6" s="246">
        <f t="shared" ref="E6:E16" si="1">SUM(C6:D6)</f>
        <v>53000000</v>
      </c>
      <c r="F6" s="140" t="s">
        <v>335</v>
      </c>
      <c r="G6" s="245">
        <f>('15(3).Kiadások összesen'!D4)</f>
        <v>28214971.530000001</v>
      </c>
      <c r="H6" s="143"/>
      <c r="I6" s="246">
        <f t="shared" si="0"/>
        <v>28214971.530000001</v>
      </c>
    </row>
    <row r="7" spans="2:9" ht="35.25" customHeight="1" x14ac:dyDescent="0.25">
      <c r="B7" s="140" t="s">
        <v>37</v>
      </c>
      <c r="C7" s="245">
        <f>('5 (1).Bevételek összesen'!F18)</f>
        <v>25050000</v>
      </c>
      <c r="D7" s="143"/>
      <c r="E7" s="246">
        <f t="shared" si="1"/>
        <v>25050000</v>
      </c>
      <c r="F7" s="140" t="s">
        <v>46</v>
      </c>
      <c r="G7" s="245">
        <f>('15(3).Kiadások összesen'!D5)</f>
        <v>100172483</v>
      </c>
      <c r="H7" s="143"/>
      <c r="I7" s="246">
        <f t="shared" si="0"/>
        <v>100172483</v>
      </c>
    </row>
    <row r="8" spans="2:9" ht="35.25" customHeight="1" x14ac:dyDescent="0.25">
      <c r="B8" s="140" t="s">
        <v>197</v>
      </c>
      <c r="C8" s="143"/>
      <c r="D8" s="245">
        <f>('5 (1).Bevételek összesen'!F11)</f>
        <v>169108706</v>
      </c>
      <c r="E8" s="246">
        <f t="shared" si="1"/>
        <v>169108706</v>
      </c>
      <c r="F8" s="140" t="s">
        <v>159</v>
      </c>
      <c r="G8" s="245">
        <f>('15(3).Kiadások összesen'!D10)</f>
        <v>8000000</v>
      </c>
      <c r="H8" s="143"/>
      <c r="I8" s="246">
        <f t="shared" si="0"/>
        <v>8000000</v>
      </c>
    </row>
    <row r="9" spans="2:9" ht="35.25" customHeight="1" x14ac:dyDescent="0.25">
      <c r="B9" s="140" t="s">
        <v>201</v>
      </c>
      <c r="C9" s="143"/>
      <c r="D9" s="245">
        <f>('5 (1).Bevételek összesen'!F24)</f>
        <v>40000</v>
      </c>
      <c r="E9" s="246">
        <f t="shared" si="1"/>
        <v>40000</v>
      </c>
      <c r="F9" s="140" t="s">
        <v>169</v>
      </c>
      <c r="G9" s="245">
        <f>('15(3).Kiadások összesen'!D18)-('15(3).Kiadások összesen'!D17)</f>
        <v>6872500</v>
      </c>
      <c r="H9" s="143"/>
      <c r="I9" s="246">
        <f t="shared" si="0"/>
        <v>6872500</v>
      </c>
    </row>
    <row r="10" spans="2:9" ht="35.25" customHeight="1" x14ac:dyDescent="0.25">
      <c r="B10" s="272" t="s">
        <v>766</v>
      </c>
      <c r="C10" s="143"/>
      <c r="D10" s="245">
        <f>('5 (1).Bevételek összesen'!F21)</f>
        <v>600000</v>
      </c>
      <c r="E10" s="246">
        <f t="shared" si="1"/>
        <v>600000</v>
      </c>
      <c r="F10" s="194" t="s">
        <v>407</v>
      </c>
      <c r="G10" s="245">
        <f>('15(3).Kiadások összesen'!D17)-H10</f>
        <v>6878730</v>
      </c>
      <c r="H10" s="264">
        <v>81092152</v>
      </c>
      <c r="I10" s="246">
        <f t="shared" si="0"/>
        <v>87970882</v>
      </c>
    </row>
    <row r="11" spans="2:9" ht="35.25" customHeight="1" x14ac:dyDescent="0.25">
      <c r="B11" s="140" t="s">
        <v>441</v>
      </c>
      <c r="C11" s="143"/>
      <c r="D11" s="245">
        <f>('5 (1).Bevételek összesen'!F26)</f>
        <v>0</v>
      </c>
      <c r="E11" s="246">
        <f t="shared" si="1"/>
        <v>0</v>
      </c>
      <c r="F11" s="140" t="s">
        <v>44</v>
      </c>
      <c r="G11" s="143"/>
      <c r="H11" s="245">
        <f>('15(3).Kiadások összesen'!D24)</f>
        <v>10513448</v>
      </c>
      <c r="I11" s="246">
        <f t="shared" si="0"/>
        <v>10513448</v>
      </c>
    </row>
    <row r="12" spans="2:9" ht="35.25" customHeight="1" x14ac:dyDescent="0.3">
      <c r="B12" s="140"/>
      <c r="C12" s="140"/>
      <c r="D12" s="140"/>
      <c r="E12" s="236"/>
      <c r="F12" s="140" t="s">
        <v>47</v>
      </c>
      <c r="G12" s="143"/>
      <c r="H12" s="245">
        <f>('15(3).Kiadások összesen'!D28)</f>
        <v>182696886</v>
      </c>
      <c r="I12" s="246">
        <f t="shared" si="0"/>
        <v>182696886</v>
      </c>
    </row>
    <row r="13" spans="2:9" ht="35.25" customHeight="1" x14ac:dyDescent="0.3">
      <c r="B13" s="140"/>
      <c r="C13" s="140"/>
      <c r="D13" s="140"/>
      <c r="E13" s="236"/>
      <c r="F13" s="140" t="s">
        <v>173</v>
      </c>
      <c r="G13" s="143"/>
      <c r="H13" s="245">
        <f>('15(3).Kiadások összesen'!D30)</f>
        <v>2000000</v>
      </c>
      <c r="I13" s="246">
        <f t="shared" si="0"/>
        <v>2000000</v>
      </c>
    </row>
    <row r="14" spans="2:9" ht="35.25" customHeight="1" x14ac:dyDescent="0.3">
      <c r="B14" s="140"/>
      <c r="C14" s="140"/>
      <c r="D14" s="140"/>
      <c r="E14" s="236"/>
      <c r="F14" s="140"/>
      <c r="G14" s="140"/>
      <c r="H14" s="140"/>
      <c r="I14" s="87"/>
    </row>
    <row r="15" spans="2:9" ht="35.25" customHeight="1" x14ac:dyDescent="0.25">
      <c r="B15" s="140" t="s">
        <v>209</v>
      </c>
      <c r="C15" s="245">
        <f>('5 (1).Bevételek összesen'!F30)</f>
        <v>122483460</v>
      </c>
      <c r="D15" s="143"/>
      <c r="E15" s="246">
        <f t="shared" si="1"/>
        <v>122483460</v>
      </c>
      <c r="F15" s="143" t="s">
        <v>177</v>
      </c>
      <c r="G15" s="245">
        <f>('15(3).Kiadások összesen'!D33)</f>
        <v>5982029</v>
      </c>
      <c r="H15" s="143"/>
      <c r="I15" s="246">
        <f>SUM(G15:H15)</f>
        <v>5982029</v>
      </c>
    </row>
    <row r="16" spans="2:9" ht="35.25" customHeight="1" thickBot="1" x14ac:dyDescent="0.3">
      <c r="B16" s="140" t="s">
        <v>82</v>
      </c>
      <c r="C16" s="246">
        <f>SUM(C5:C15)</f>
        <v>429517598</v>
      </c>
      <c r="D16" s="246">
        <f>SUM(D5:D15)</f>
        <v>169748706</v>
      </c>
      <c r="E16" s="247">
        <f t="shared" si="1"/>
        <v>599266304</v>
      </c>
      <c r="F16" s="143" t="s">
        <v>83</v>
      </c>
      <c r="G16" s="246">
        <f>SUM(G5:G15)</f>
        <v>322963817.52999997</v>
      </c>
      <c r="H16" s="246">
        <f>SUM(H5:H15)</f>
        <v>276302486</v>
      </c>
      <c r="I16" s="247">
        <f>SUM(I5:I15)</f>
        <v>599266303.52999997</v>
      </c>
    </row>
    <row r="17" spans="4:9" ht="15.6" thickTop="1" thickBot="1" x14ac:dyDescent="0.35">
      <c r="D17" s="115" t="s">
        <v>443</v>
      </c>
      <c r="E17" s="191">
        <f>('5 (1).Bevételek összesen'!F31)</f>
        <v>599266304</v>
      </c>
      <c r="H17" s="115" t="s">
        <v>443</v>
      </c>
      <c r="I17" s="191">
        <f>('15(3).Kiadások összesen'!D34)</f>
        <v>599266303.52999997</v>
      </c>
    </row>
    <row r="18" spans="4:9" ht="13.8" thickTop="1" x14ac:dyDescent="0.25">
      <c r="F18" s="8" t="s">
        <v>765</v>
      </c>
      <c r="G18" s="271">
        <f>E17-I17</f>
        <v>0.47000002861022949</v>
      </c>
    </row>
  </sheetData>
  <sheetProtection sheet="1" objects="1" scenarios="1"/>
  <mergeCells count="3">
    <mergeCell ref="B1:I1"/>
    <mergeCell ref="B3:E3"/>
    <mergeCell ref="F3:I3"/>
  </mergeCells>
  <pageMargins left="0.35433070866141736" right="0.19685039370078741" top="0.62992125984251968" bottom="0.35433070866141736" header="0.23622047244094491" footer="0.15748031496062992"/>
  <pageSetup paperSize="9" scale="89" orientation="landscape" r:id="rId1"/>
  <headerFooter alignWithMargins="0">
    <oddHeader>&amp;R7. sz melléklet
Ft- 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79"/>
  <sheetViews>
    <sheetView workbookViewId="0">
      <selection activeCell="C61" sqref="C61"/>
    </sheetView>
  </sheetViews>
  <sheetFormatPr defaultRowHeight="13.2" x14ac:dyDescent="0.25"/>
  <cols>
    <col min="1" max="1" width="25.33203125" customWidth="1"/>
    <col min="2" max="2" width="11.21875" bestFit="1" customWidth="1"/>
    <col min="3" max="3" width="11.88671875" style="109" bestFit="1" customWidth="1"/>
    <col min="4" max="4" width="20.109375" style="109" bestFit="1" customWidth="1"/>
    <col min="5" max="5" width="12.21875" bestFit="1" customWidth="1"/>
  </cols>
  <sheetData>
    <row r="1" spans="1:5" ht="15.6" x14ac:dyDescent="0.25">
      <c r="A1" s="290" t="s">
        <v>7</v>
      </c>
      <c r="B1" s="290"/>
      <c r="C1" s="290"/>
      <c r="D1" s="290"/>
      <c r="E1" s="290"/>
    </row>
    <row r="2" spans="1:5" s="109" customFormat="1" ht="14.4" x14ac:dyDescent="0.25">
      <c r="A2" s="249" t="s">
        <v>681</v>
      </c>
      <c r="B2" s="249" t="s">
        <v>682</v>
      </c>
      <c r="C2" s="254" t="s">
        <v>700</v>
      </c>
      <c r="D2" s="249" t="s">
        <v>684</v>
      </c>
      <c r="E2" s="249" t="s">
        <v>683</v>
      </c>
    </row>
    <row r="3" spans="1:5" ht="14.4" x14ac:dyDescent="0.3">
      <c r="A3" s="249" t="s">
        <v>680</v>
      </c>
      <c r="B3" s="127">
        <v>193100</v>
      </c>
      <c r="C3" s="120">
        <f>B3*12</f>
        <v>2317200</v>
      </c>
      <c r="D3" s="254" t="s">
        <v>698</v>
      </c>
      <c r="E3" s="120">
        <f>(B3*0.22)+(11*B3*0.195)</f>
        <v>456681.5</v>
      </c>
    </row>
    <row r="4" spans="1:5" ht="14.4" x14ac:dyDescent="0.3">
      <c r="A4" s="249" t="s">
        <v>685</v>
      </c>
      <c r="B4" s="127">
        <v>138000</v>
      </c>
      <c r="C4" s="120">
        <f>B4*2</f>
        <v>276000</v>
      </c>
      <c r="D4" s="265" t="s">
        <v>579</v>
      </c>
      <c r="E4" s="120">
        <f>(B4*0.22)+(1*B4*0.195)</f>
        <v>57270</v>
      </c>
    </row>
    <row r="5" spans="1:5" s="109" customFormat="1" ht="14.4" x14ac:dyDescent="0.3">
      <c r="A5" s="265" t="s">
        <v>685</v>
      </c>
      <c r="B5" s="127">
        <v>140000</v>
      </c>
      <c r="C5" s="120">
        <f>B5*7.5</f>
        <v>1050000</v>
      </c>
      <c r="D5" s="265" t="s">
        <v>748</v>
      </c>
      <c r="E5" s="120">
        <f>(6.5*B5*0.195)</f>
        <v>177450</v>
      </c>
    </row>
    <row r="6" spans="1:5" ht="14.4" x14ac:dyDescent="0.3">
      <c r="A6" s="249" t="s">
        <v>686</v>
      </c>
      <c r="B6" s="127">
        <v>193100</v>
      </c>
      <c r="C6" s="120">
        <f t="shared" ref="C6:C17" si="0">B6*12</f>
        <v>2317200</v>
      </c>
      <c r="D6" s="254" t="s">
        <v>698</v>
      </c>
      <c r="E6" s="120">
        <f t="shared" ref="E6:E17" si="1">(B6*0.22)+(11*B6*0.195)</f>
        <v>456681.5</v>
      </c>
    </row>
    <row r="7" spans="1:5" ht="14.4" x14ac:dyDescent="0.3">
      <c r="A7" s="249" t="s">
        <v>687</v>
      </c>
      <c r="B7" s="127">
        <v>347130</v>
      </c>
      <c r="C7" s="120">
        <f t="shared" si="0"/>
        <v>4165560</v>
      </c>
      <c r="D7" s="254" t="s">
        <v>698</v>
      </c>
      <c r="E7" s="120">
        <f t="shared" si="1"/>
        <v>820962.45</v>
      </c>
    </row>
    <row r="8" spans="1:5" ht="14.4" x14ac:dyDescent="0.3">
      <c r="A8" s="249" t="s">
        <v>688</v>
      </c>
      <c r="B8" s="127">
        <v>274050</v>
      </c>
      <c r="C8" s="120">
        <f t="shared" si="0"/>
        <v>3288600</v>
      </c>
      <c r="D8" s="254" t="s">
        <v>698</v>
      </c>
      <c r="E8" s="120">
        <f t="shared" si="1"/>
        <v>648128.25</v>
      </c>
    </row>
    <row r="9" spans="1:5" ht="14.4" x14ac:dyDescent="0.3">
      <c r="A9" s="249" t="s">
        <v>689</v>
      </c>
      <c r="B9" s="127">
        <v>319725</v>
      </c>
      <c r="C9" s="120">
        <f t="shared" si="0"/>
        <v>3836700</v>
      </c>
      <c r="D9" s="254" t="s">
        <v>698</v>
      </c>
      <c r="E9" s="120">
        <f t="shared" si="1"/>
        <v>756149.625</v>
      </c>
    </row>
    <row r="10" spans="1:5" ht="14.4" x14ac:dyDescent="0.3">
      <c r="A10" s="249" t="s">
        <v>690</v>
      </c>
      <c r="B10" s="127">
        <v>193100</v>
      </c>
      <c r="C10" s="120">
        <f t="shared" si="0"/>
        <v>2317200</v>
      </c>
      <c r="D10" s="254" t="s">
        <v>698</v>
      </c>
      <c r="E10" s="120">
        <f t="shared" si="1"/>
        <v>456681.5</v>
      </c>
    </row>
    <row r="11" spans="1:5" ht="14.4" x14ac:dyDescent="0.3">
      <c r="A11" s="249" t="s">
        <v>691</v>
      </c>
      <c r="B11" s="127">
        <v>255780</v>
      </c>
      <c r="C11" s="120">
        <f t="shared" si="0"/>
        <v>3069360</v>
      </c>
      <c r="D11" s="254" t="s">
        <v>698</v>
      </c>
      <c r="E11" s="120">
        <f t="shared" si="1"/>
        <v>604919.69999999995</v>
      </c>
    </row>
    <row r="12" spans="1:5" ht="14.4" x14ac:dyDescent="0.3">
      <c r="A12" s="249" t="s">
        <v>692</v>
      </c>
      <c r="B12" s="127">
        <v>193100</v>
      </c>
      <c r="C12" s="120">
        <f t="shared" si="0"/>
        <v>2317200</v>
      </c>
      <c r="D12" s="254" t="s">
        <v>698</v>
      </c>
      <c r="E12" s="120">
        <f t="shared" si="1"/>
        <v>456681.5</v>
      </c>
    </row>
    <row r="13" spans="1:5" ht="14.4" x14ac:dyDescent="0.3">
      <c r="A13" s="249" t="s">
        <v>693</v>
      </c>
      <c r="B13" s="127">
        <v>182700</v>
      </c>
      <c r="C13" s="120">
        <f t="shared" si="0"/>
        <v>2192400</v>
      </c>
      <c r="D13" s="254" t="s">
        <v>698</v>
      </c>
      <c r="E13" s="120">
        <f t="shared" si="1"/>
        <v>432085.5</v>
      </c>
    </row>
    <row r="14" spans="1:5" ht="14.4" x14ac:dyDescent="0.3">
      <c r="A14" s="249" t="s">
        <v>694</v>
      </c>
      <c r="B14" s="127">
        <v>301455</v>
      </c>
      <c r="C14" s="120">
        <f t="shared" si="0"/>
        <v>3617460</v>
      </c>
      <c r="D14" s="254" t="s">
        <v>698</v>
      </c>
      <c r="E14" s="120">
        <f t="shared" si="1"/>
        <v>712941.07499999995</v>
      </c>
    </row>
    <row r="15" spans="1:5" ht="14.4" x14ac:dyDescent="0.3">
      <c r="A15" s="249" t="s">
        <v>695</v>
      </c>
      <c r="B15" s="127">
        <v>318385</v>
      </c>
      <c r="C15" s="120">
        <f t="shared" si="0"/>
        <v>3820620</v>
      </c>
      <c r="D15" s="254" t="s">
        <v>698</v>
      </c>
      <c r="E15" s="120">
        <f t="shared" si="1"/>
        <v>752980.52500000002</v>
      </c>
    </row>
    <row r="16" spans="1:5" ht="14.4" x14ac:dyDescent="0.3">
      <c r="A16" s="249" t="s">
        <v>696</v>
      </c>
      <c r="B16" s="127">
        <v>237510</v>
      </c>
      <c r="C16" s="120">
        <f t="shared" si="0"/>
        <v>2850120</v>
      </c>
      <c r="D16" s="254" t="s">
        <v>698</v>
      </c>
      <c r="E16" s="120">
        <f t="shared" si="1"/>
        <v>561711.15</v>
      </c>
    </row>
    <row r="17" spans="1:5" ht="14.4" x14ac:dyDescent="0.3">
      <c r="A17" s="249" t="s">
        <v>697</v>
      </c>
      <c r="B17" s="127">
        <v>214226</v>
      </c>
      <c r="C17" s="120">
        <f t="shared" si="0"/>
        <v>2570712</v>
      </c>
      <c r="D17" s="254" t="s">
        <v>698</v>
      </c>
      <c r="E17" s="120">
        <f t="shared" si="1"/>
        <v>506644.49</v>
      </c>
    </row>
    <row r="18" spans="1:5" ht="14.4" x14ac:dyDescent="0.3">
      <c r="A18" s="250" t="s">
        <v>1</v>
      </c>
      <c r="B18" s="120">
        <f>SUM(B3:B17)</f>
        <v>3501361</v>
      </c>
      <c r="C18" s="120">
        <f>SUM(C3:C17)</f>
        <v>40006332</v>
      </c>
      <c r="D18" s="249"/>
      <c r="E18" s="120">
        <f>SUM(E3:E17)</f>
        <v>7857968.7650000015</v>
      </c>
    </row>
    <row r="19" spans="1:5" ht="14.4" x14ac:dyDescent="0.3">
      <c r="A19" s="288" t="s">
        <v>699</v>
      </c>
      <c r="B19" s="288"/>
      <c r="C19" s="288"/>
      <c r="D19" s="288"/>
      <c r="E19" s="120">
        <f>C18+E18</f>
        <v>47864300.765000001</v>
      </c>
    </row>
    <row r="21" spans="1:5" ht="15.6" x14ac:dyDescent="0.25">
      <c r="A21" s="291" t="s">
        <v>538</v>
      </c>
      <c r="B21" s="291"/>
      <c r="C21" s="291"/>
      <c r="D21" s="291"/>
      <c r="E21" s="291"/>
    </row>
    <row r="22" spans="1:5" ht="14.4" x14ac:dyDescent="0.25">
      <c r="A22" s="249" t="s">
        <v>681</v>
      </c>
      <c r="B22" s="249" t="s">
        <v>682</v>
      </c>
      <c r="C22" s="254" t="s">
        <v>700</v>
      </c>
      <c r="D22" s="249" t="s">
        <v>684</v>
      </c>
      <c r="E22" s="249" t="s">
        <v>683</v>
      </c>
    </row>
    <row r="23" spans="1:5" ht="14.4" x14ac:dyDescent="0.3">
      <c r="A23" s="254" t="s">
        <v>701</v>
      </c>
      <c r="B23" s="127">
        <v>324599</v>
      </c>
      <c r="C23" s="120">
        <f>B23*12</f>
        <v>3895188</v>
      </c>
      <c r="D23" s="254" t="s">
        <v>698</v>
      </c>
      <c r="E23" s="120">
        <f>(B23*0.22)+(11*B23*0.195)</f>
        <v>767676.63500000001</v>
      </c>
    </row>
    <row r="24" spans="1:5" ht="14.4" x14ac:dyDescent="0.3">
      <c r="A24" s="254" t="s">
        <v>702</v>
      </c>
      <c r="B24" s="127">
        <v>221347</v>
      </c>
      <c r="C24" s="120">
        <f>B24*12</f>
        <v>2656164</v>
      </c>
      <c r="D24" s="254" t="s">
        <v>698</v>
      </c>
      <c r="E24" s="120">
        <f>(B24*0.22)+(11*B24*0.195)</f>
        <v>523485.65500000003</v>
      </c>
    </row>
    <row r="25" spans="1:5" ht="14.4" x14ac:dyDescent="0.3">
      <c r="A25" s="254" t="s">
        <v>703</v>
      </c>
      <c r="B25" s="127">
        <v>226000</v>
      </c>
      <c r="C25" s="120">
        <f t="shared" ref="C25:C30" si="2">B25*12</f>
        <v>2712000</v>
      </c>
      <c r="D25" s="254" t="s">
        <v>698</v>
      </c>
      <c r="E25" s="120">
        <f t="shared" ref="E25:E30" si="3">(B25*0.22)+(11*B25*0.195)</f>
        <v>534490</v>
      </c>
    </row>
    <row r="26" spans="1:5" ht="14.4" x14ac:dyDescent="0.3">
      <c r="A26" s="254" t="s">
        <v>704</v>
      </c>
      <c r="B26" s="127">
        <v>191740</v>
      </c>
      <c r="C26" s="120">
        <f>B26*2</f>
        <v>383480</v>
      </c>
      <c r="D26" s="254" t="s">
        <v>579</v>
      </c>
      <c r="E26" s="120">
        <f>(B26*0.22)+(B26*0.195)</f>
        <v>79572.100000000006</v>
      </c>
    </row>
    <row r="27" spans="1:5" ht="14.4" x14ac:dyDescent="0.3">
      <c r="A27" s="254" t="s">
        <v>705</v>
      </c>
      <c r="B27" s="127">
        <v>188000</v>
      </c>
      <c r="C27" s="120">
        <f t="shared" si="2"/>
        <v>2256000</v>
      </c>
      <c r="D27" s="254" t="s">
        <v>582</v>
      </c>
      <c r="E27" s="120">
        <f>(10*B27*0.195)</f>
        <v>366600</v>
      </c>
    </row>
    <row r="28" spans="1:5" ht="14.4" x14ac:dyDescent="0.3">
      <c r="A28" s="254" t="s">
        <v>706</v>
      </c>
      <c r="B28" s="127">
        <v>188600</v>
      </c>
      <c r="C28" s="120">
        <f t="shared" si="2"/>
        <v>2263200</v>
      </c>
      <c r="D28" s="254" t="s">
        <v>698</v>
      </c>
      <c r="E28" s="120">
        <f t="shared" si="3"/>
        <v>446039</v>
      </c>
    </row>
    <row r="29" spans="1:5" s="109" customFormat="1" ht="14.4" x14ac:dyDescent="0.3">
      <c r="A29" s="260" t="s">
        <v>742</v>
      </c>
      <c r="B29" s="127">
        <v>187600</v>
      </c>
      <c r="C29" s="120">
        <f>B29*11</f>
        <v>2063600</v>
      </c>
      <c r="D29" s="260" t="s">
        <v>743</v>
      </c>
      <c r="E29" s="120">
        <f>(11*B29*0.195)</f>
        <v>402402</v>
      </c>
    </row>
    <row r="30" spans="1:5" ht="14.4" x14ac:dyDescent="0.3">
      <c r="A30" s="254" t="s">
        <v>707</v>
      </c>
      <c r="B30" s="127">
        <v>261850</v>
      </c>
      <c r="C30" s="120">
        <f t="shared" si="2"/>
        <v>3142200</v>
      </c>
      <c r="D30" s="254" t="s">
        <v>698</v>
      </c>
      <c r="E30" s="120">
        <f t="shared" si="3"/>
        <v>619275.25</v>
      </c>
    </row>
    <row r="31" spans="1:5" ht="14.4" x14ac:dyDescent="0.3">
      <c r="A31" s="250" t="s">
        <v>1</v>
      </c>
      <c r="B31" s="120">
        <f>SUM(B23:B30)</f>
        <v>1789736</v>
      </c>
      <c r="C31" s="120">
        <f>SUM(C23:C30)</f>
        <v>19371832</v>
      </c>
      <c r="D31" s="249"/>
      <c r="E31" s="120">
        <f>SUM(E23:E30)</f>
        <v>3739540.64</v>
      </c>
    </row>
    <row r="32" spans="1:5" ht="14.4" x14ac:dyDescent="0.3">
      <c r="A32" s="288" t="s">
        <v>699</v>
      </c>
      <c r="B32" s="288"/>
      <c r="C32" s="288"/>
      <c r="D32" s="288"/>
      <c r="E32" s="120">
        <f>C31+E31</f>
        <v>23111372.640000001</v>
      </c>
    </row>
    <row r="34" spans="1:5" ht="15.6" x14ac:dyDescent="0.25">
      <c r="A34" s="292" t="s">
        <v>521</v>
      </c>
      <c r="B34" s="292"/>
      <c r="C34" s="292"/>
      <c r="D34" s="292"/>
      <c r="E34" s="292"/>
    </row>
    <row r="35" spans="1:5" ht="14.4" x14ac:dyDescent="0.25">
      <c r="A35" s="249" t="s">
        <v>681</v>
      </c>
      <c r="B35" s="249" t="s">
        <v>682</v>
      </c>
      <c r="C35" s="254" t="s">
        <v>700</v>
      </c>
      <c r="D35" s="249" t="s">
        <v>684</v>
      </c>
      <c r="E35" s="249" t="s">
        <v>683</v>
      </c>
    </row>
    <row r="36" spans="1:5" ht="14.4" x14ac:dyDescent="0.3">
      <c r="A36" s="254" t="s">
        <v>708</v>
      </c>
      <c r="B36" s="127">
        <v>280000</v>
      </c>
      <c r="C36" s="120">
        <f>B36*12</f>
        <v>3360000</v>
      </c>
      <c r="D36" s="254" t="s">
        <v>698</v>
      </c>
      <c r="E36" s="120">
        <f>(B36*0.22)+(11*B36*0.195)</f>
        <v>662200</v>
      </c>
    </row>
    <row r="37" spans="1:5" ht="14.4" x14ac:dyDescent="0.3">
      <c r="A37" s="254" t="s">
        <v>709</v>
      </c>
      <c r="B37" s="127">
        <v>460000</v>
      </c>
      <c r="C37" s="120">
        <f>B37*12</f>
        <v>5520000</v>
      </c>
      <c r="D37" s="254" t="s">
        <v>698</v>
      </c>
      <c r="E37" s="120">
        <f>(B37*0.22)+(11*B37*0.195)</f>
        <v>1087900</v>
      </c>
    </row>
    <row r="38" spans="1:5" ht="14.4" x14ac:dyDescent="0.3">
      <c r="A38" s="254" t="s">
        <v>710</v>
      </c>
      <c r="B38" s="127">
        <v>181000</v>
      </c>
      <c r="C38" s="120">
        <f>B38*2</f>
        <v>362000</v>
      </c>
      <c r="D38" s="265" t="s">
        <v>579</v>
      </c>
      <c r="E38" s="120">
        <f>(B38*0.22)+(1*B38*0.195)</f>
        <v>75115</v>
      </c>
    </row>
    <row r="39" spans="1:5" s="109" customFormat="1" ht="14.4" x14ac:dyDescent="0.3">
      <c r="A39" s="265" t="s">
        <v>710</v>
      </c>
      <c r="B39" s="127">
        <v>195000</v>
      </c>
      <c r="C39" s="120">
        <f>B39*10</f>
        <v>1950000</v>
      </c>
      <c r="D39" s="265" t="s">
        <v>582</v>
      </c>
      <c r="E39" s="120">
        <f>(10*B39*0.195)</f>
        <v>380250</v>
      </c>
    </row>
    <row r="40" spans="1:5" ht="14.4" x14ac:dyDescent="0.3">
      <c r="A40" s="254" t="s">
        <v>711</v>
      </c>
      <c r="B40" s="127">
        <v>300000</v>
      </c>
      <c r="C40" s="120">
        <f t="shared" ref="C40:C47" si="4">B40*12</f>
        <v>3600000</v>
      </c>
      <c r="D40" s="254" t="s">
        <v>698</v>
      </c>
      <c r="E40" s="120">
        <f t="shared" ref="E40:E47" si="5">(B40*0.22)+(11*B40*0.195)</f>
        <v>709500</v>
      </c>
    </row>
    <row r="41" spans="1:5" ht="14.4" x14ac:dyDescent="0.3">
      <c r="A41" s="254" t="s">
        <v>712</v>
      </c>
      <c r="B41" s="127">
        <v>200000</v>
      </c>
      <c r="C41" s="120">
        <f t="shared" si="4"/>
        <v>2400000</v>
      </c>
      <c r="D41" s="254" t="s">
        <v>698</v>
      </c>
      <c r="E41" s="120">
        <f t="shared" si="5"/>
        <v>473000</v>
      </c>
    </row>
    <row r="42" spans="1:5" ht="14.4" x14ac:dyDescent="0.3">
      <c r="A42" s="259" t="s">
        <v>739</v>
      </c>
      <c r="B42" s="127">
        <v>225000</v>
      </c>
      <c r="C42" s="120">
        <f>B42*5.5</f>
        <v>1237500</v>
      </c>
      <c r="D42" s="254" t="s">
        <v>713</v>
      </c>
      <c r="E42" s="120">
        <f>(B42*0.22)+(4.5*B42*0.195)</f>
        <v>246937.5</v>
      </c>
    </row>
    <row r="43" spans="1:5" ht="14.4" x14ac:dyDescent="0.3">
      <c r="A43" s="254" t="s">
        <v>714</v>
      </c>
      <c r="B43" s="127">
        <v>185000</v>
      </c>
      <c r="C43" s="120">
        <f>B43*2</f>
        <v>370000</v>
      </c>
      <c r="D43" s="265" t="s">
        <v>579</v>
      </c>
      <c r="E43" s="120">
        <f>(B43*0.22)+(1*B43*0.195)</f>
        <v>76775</v>
      </c>
    </row>
    <row r="44" spans="1:5" s="109" customFormat="1" ht="14.4" x14ac:dyDescent="0.3">
      <c r="A44" s="265" t="s">
        <v>714</v>
      </c>
      <c r="B44" s="127">
        <v>200000</v>
      </c>
      <c r="C44" s="120">
        <f>B44*10</f>
        <v>2000000</v>
      </c>
      <c r="D44" s="265" t="s">
        <v>582</v>
      </c>
      <c r="E44" s="120">
        <f>(10*B44*0.195)</f>
        <v>390000</v>
      </c>
    </row>
    <row r="45" spans="1:5" ht="14.4" x14ac:dyDescent="0.3">
      <c r="A45" s="254" t="s">
        <v>715</v>
      </c>
      <c r="B45" s="127">
        <v>200000</v>
      </c>
      <c r="C45" s="120">
        <f t="shared" si="4"/>
        <v>2400000</v>
      </c>
      <c r="D45" s="254" t="s">
        <v>698</v>
      </c>
      <c r="E45" s="120">
        <f t="shared" si="5"/>
        <v>473000</v>
      </c>
    </row>
    <row r="46" spans="1:5" ht="14.4" x14ac:dyDescent="0.3">
      <c r="A46" s="254" t="s">
        <v>716</v>
      </c>
      <c r="B46" s="127">
        <v>410000</v>
      </c>
      <c r="C46" s="120">
        <f t="shared" si="4"/>
        <v>4920000</v>
      </c>
      <c r="D46" s="254" t="s">
        <v>698</v>
      </c>
      <c r="E46" s="120">
        <f t="shared" si="5"/>
        <v>969650</v>
      </c>
    </row>
    <row r="47" spans="1:5" ht="14.4" x14ac:dyDescent="0.3">
      <c r="A47" s="254" t="s">
        <v>717</v>
      </c>
      <c r="B47" s="127">
        <v>310000</v>
      </c>
      <c r="C47" s="120">
        <f t="shared" si="4"/>
        <v>3720000</v>
      </c>
      <c r="D47" s="254" t="s">
        <v>698</v>
      </c>
      <c r="E47" s="120">
        <f t="shared" si="5"/>
        <v>733150</v>
      </c>
    </row>
    <row r="48" spans="1:5" ht="14.4" x14ac:dyDescent="0.3">
      <c r="A48" s="261" t="s">
        <v>744</v>
      </c>
      <c r="B48" s="127">
        <v>300000</v>
      </c>
      <c r="C48" s="120">
        <f>B48*4</f>
        <v>1200000</v>
      </c>
      <c r="D48" s="254" t="s">
        <v>718</v>
      </c>
      <c r="E48" s="120">
        <f>(B48*0.22)+(3*B48*0.195)</f>
        <v>241500</v>
      </c>
    </row>
    <row r="49" spans="1:5" ht="14.4" x14ac:dyDescent="0.3">
      <c r="A49" s="254" t="s">
        <v>719</v>
      </c>
      <c r="B49" s="127">
        <v>180500</v>
      </c>
      <c r="C49" s="120">
        <f>B49*10</f>
        <v>1805000</v>
      </c>
      <c r="D49" s="254" t="s">
        <v>582</v>
      </c>
      <c r="E49" s="120">
        <f>(10*B49*0.195)</f>
        <v>351975</v>
      </c>
    </row>
    <row r="50" spans="1:5" ht="14.4" x14ac:dyDescent="0.3">
      <c r="A50" s="254" t="s">
        <v>720</v>
      </c>
      <c r="B50" s="127">
        <v>180500</v>
      </c>
      <c r="C50" s="120">
        <f>B50*10</f>
        <v>1805000</v>
      </c>
      <c r="D50" s="254" t="s">
        <v>582</v>
      </c>
      <c r="E50" s="120">
        <f>(10*B50*0.195)</f>
        <v>351975</v>
      </c>
    </row>
    <row r="51" spans="1:5" ht="14.4" x14ac:dyDescent="0.3">
      <c r="A51" s="250" t="s">
        <v>1</v>
      </c>
      <c r="B51" s="120">
        <f>SUM(B36:B50)</f>
        <v>3807000</v>
      </c>
      <c r="C51" s="120">
        <f>SUM(C36:C50)</f>
        <v>36649500</v>
      </c>
      <c r="D51" s="249"/>
      <c r="E51" s="120">
        <f>SUM(E36:E50)</f>
        <v>7222927.5</v>
      </c>
    </row>
    <row r="52" spans="1:5" ht="14.4" x14ac:dyDescent="0.3">
      <c r="A52" s="288" t="s">
        <v>699</v>
      </c>
      <c r="B52" s="288"/>
      <c r="C52" s="288"/>
      <c r="D52" s="288"/>
      <c r="E52" s="120">
        <f>C51+E51</f>
        <v>43872427.5</v>
      </c>
    </row>
    <row r="53" spans="1:5" s="97" customFormat="1" ht="14.4" x14ac:dyDescent="0.3">
      <c r="A53" s="244"/>
      <c r="B53" s="244"/>
      <c r="C53" s="244"/>
      <c r="D53" s="244"/>
      <c r="E53" s="267"/>
    </row>
    <row r="55" spans="1:5" ht="15.6" x14ac:dyDescent="0.25">
      <c r="A55" s="289" t="s">
        <v>9</v>
      </c>
      <c r="B55" s="289"/>
      <c r="C55" s="289"/>
      <c r="D55" s="289"/>
      <c r="E55" s="289"/>
    </row>
    <row r="56" spans="1:5" ht="14.4" x14ac:dyDescent="0.25">
      <c r="A56" s="249" t="s">
        <v>681</v>
      </c>
      <c r="B56" s="249" t="s">
        <v>682</v>
      </c>
      <c r="C56" s="254" t="s">
        <v>700</v>
      </c>
      <c r="D56" s="249" t="s">
        <v>684</v>
      </c>
      <c r="E56" s="249" t="s">
        <v>683</v>
      </c>
    </row>
    <row r="57" spans="1:5" ht="14.4" x14ac:dyDescent="0.3">
      <c r="A57" s="254" t="s">
        <v>721</v>
      </c>
      <c r="B57" s="127">
        <v>184500</v>
      </c>
      <c r="C57" s="120">
        <f>B57*12</f>
        <v>2214000</v>
      </c>
      <c r="D57" s="254" t="s">
        <v>698</v>
      </c>
      <c r="E57" s="120">
        <f>(B57*0.22)+(11*B57*0.195)</f>
        <v>436342.5</v>
      </c>
    </row>
    <row r="58" spans="1:5" ht="14.4" x14ac:dyDescent="0.3">
      <c r="A58" s="254" t="s">
        <v>723</v>
      </c>
      <c r="B58" s="127">
        <v>220000</v>
      </c>
      <c r="C58" s="120">
        <f>B58*2</f>
        <v>440000</v>
      </c>
      <c r="D58" s="265" t="s">
        <v>579</v>
      </c>
      <c r="E58" s="120">
        <f>(B58*0.22)+(1*B58*0.195)</f>
        <v>91300</v>
      </c>
    </row>
    <row r="59" spans="1:5" s="109" customFormat="1" ht="14.4" x14ac:dyDescent="0.3">
      <c r="A59" s="265" t="s">
        <v>723</v>
      </c>
      <c r="B59" s="127">
        <v>235000</v>
      </c>
      <c r="C59" s="120">
        <f>B59*10</f>
        <v>2350000</v>
      </c>
      <c r="D59" s="265" t="s">
        <v>582</v>
      </c>
      <c r="E59" s="120">
        <f>(10*B59*0.195)</f>
        <v>458250</v>
      </c>
    </row>
    <row r="60" spans="1:5" ht="14.4" x14ac:dyDescent="0.3">
      <c r="A60" s="254" t="s">
        <v>724</v>
      </c>
      <c r="B60" s="127">
        <v>212500</v>
      </c>
      <c r="C60" s="120">
        <f t="shared" ref="C60:C77" si="6">B60*12</f>
        <v>2550000</v>
      </c>
      <c r="D60" s="254" t="s">
        <v>698</v>
      </c>
      <c r="E60" s="120">
        <f t="shared" ref="E60:E77" si="7">(B60*0.22)+(11*B60*0.195)</f>
        <v>502562.5</v>
      </c>
    </row>
    <row r="61" spans="1:5" s="109" customFormat="1" ht="14.4" x14ac:dyDescent="0.3">
      <c r="A61" s="269" t="s">
        <v>753</v>
      </c>
      <c r="B61" s="127">
        <v>180500</v>
      </c>
      <c r="C61" s="120">
        <f>B61*7</f>
        <v>1263500</v>
      </c>
      <c r="D61" s="269" t="s">
        <v>754</v>
      </c>
      <c r="E61" s="120">
        <f>(7*B61*0.195)</f>
        <v>246382.5</v>
      </c>
    </row>
    <row r="62" spans="1:5" ht="14.4" x14ac:dyDescent="0.3">
      <c r="A62" s="254" t="s">
        <v>725</v>
      </c>
      <c r="B62" s="127">
        <v>138000</v>
      </c>
      <c r="C62" s="120">
        <f>B62*2</f>
        <v>276000</v>
      </c>
      <c r="D62" s="265" t="s">
        <v>579</v>
      </c>
      <c r="E62" s="120">
        <f>(B62*0.22)+(1*B62*0.195)</f>
        <v>57270</v>
      </c>
    </row>
    <row r="63" spans="1:5" s="109" customFormat="1" ht="14.4" x14ac:dyDescent="0.3">
      <c r="A63" s="265" t="s">
        <v>725</v>
      </c>
      <c r="B63" s="127">
        <v>140000</v>
      </c>
      <c r="C63" s="120">
        <f>B63*10</f>
        <v>1400000</v>
      </c>
      <c r="D63" s="265" t="s">
        <v>582</v>
      </c>
      <c r="E63" s="120">
        <f>(10*B63*0.195)</f>
        <v>273000</v>
      </c>
    </row>
    <row r="64" spans="1:5" s="109" customFormat="1" ht="14.4" x14ac:dyDescent="0.3">
      <c r="A64" s="256" t="s">
        <v>736</v>
      </c>
      <c r="B64" s="127">
        <v>95625</v>
      </c>
      <c r="C64" s="120">
        <f>B64*1.3</f>
        <v>124312.5</v>
      </c>
      <c r="D64" s="256" t="s">
        <v>737</v>
      </c>
      <c r="E64" s="120">
        <f>(B64*0.22)+(0.3*B64*0.195)</f>
        <v>26631.5625</v>
      </c>
    </row>
    <row r="65" spans="1:5" s="109" customFormat="1" ht="14.4" x14ac:dyDescent="0.3">
      <c r="A65" s="256" t="s">
        <v>736</v>
      </c>
      <c r="B65" s="127">
        <v>95625</v>
      </c>
      <c r="C65" s="120">
        <f>B65*7.5</f>
        <v>717187.5</v>
      </c>
      <c r="D65" s="256" t="s">
        <v>738</v>
      </c>
      <c r="E65" s="120">
        <f>(7.5*B65*0.195)</f>
        <v>139851.5625</v>
      </c>
    </row>
    <row r="66" spans="1:5" ht="14.4" x14ac:dyDescent="0.3">
      <c r="A66" s="254" t="s">
        <v>726</v>
      </c>
      <c r="B66" s="127">
        <v>151000</v>
      </c>
      <c r="C66" s="120">
        <f>B66*2</f>
        <v>302000</v>
      </c>
      <c r="D66" s="265" t="s">
        <v>579</v>
      </c>
      <c r="E66" s="120">
        <f>(B66*0.22)+(1*B66*0.195)</f>
        <v>62665</v>
      </c>
    </row>
    <row r="67" spans="1:5" s="109" customFormat="1" ht="14.4" x14ac:dyDescent="0.3">
      <c r="A67" s="265" t="s">
        <v>726</v>
      </c>
      <c r="B67" s="127">
        <v>160000</v>
      </c>
      <c r="C67" s="120">
        <f>B67*10</f>
        <v>1600000</v>
      </c>
      <c r="D67" s="265" t="s">
        <v>582</v>
      </c>
      <c r="E67" s="120">
        <f>(10*B67*0.195)</f>
        <v>312000</v>
      </c>
    </row>
    <row r="68" spans="1:5" ht="14.4" x14ac:dyDescent="0.3">
      <c r="A68" s="265" t="s">
        <v>749</v>
      </c>
      <c r="B68" s="127">
        <v>138000</v>
      </c>
      <c r="C68" s="120">
        <f t="shared" si="6"/>
        <v>1656000</v>
      </c>
      <c r="D68" s="254" t="s">
        <v>698</v>
      </c>
      <c r="E68" s="120">
        <f t="shared" si="7"/>
        <v>326370</v>
      </c>
    </row>
    <row r="69" spans="1:5" ht="14.4" x14ac:dyDescent="0.3">
      <c r="A69" s="114" t="s">
        <v>727</v>
      </c>
      <c r="B69" s="84">
        <f>SUM(B57:B68)</f>
        <v>1950750</v>
      </c>
      <c r="C69" s="84">
        <f>SUM(C57:C68)</f>
        <v>14893000</v>
      </c>
      <c r="D69" s="254"/>
      <c r="E69" s="84">
        <f>SUM(E57:E68)</f>
        <v>2932625.625</v>
      </c>
    </row>
    <row r="70" spans="1:5" ht="14.4" x14ac:dyDescent="0.3">
      <c r="A70" s="254" t="s">
        <v>722</v>
      </c>
      <c r="B70" s="127">
        <v>5800</v>
      </c>
      <c r="C70" s="120">
        <f t="shared" si="6"/>
        <v>69600</v>
      </c>
      <c r="D70" s="254" t="s">
        <v>698</v>
      </c>
      <c r="E70" s="120">
        <f t="shared" si="7"/>
        <v>13717</v>
      </c>
    </row>
    <row r="71" spans="1:5" ht="14.4" x14ac:dyDescent="0.3">
      <c r="A71" s="254" t="s">
        <v>728</v>
      </c>
      <c r="B71" s="127">
        <v>100000</v>
      </c>
      <c r="C71" s="120">
        <f t="shared" si="6"/>
        <v>1200000</v>
      </c>
      <c r="D71" s="254" t="s">
        <v>698</v>
      </c>
      <c r="E71" s="120">
        <f t="shared" si="7"/>
        <v>236500</v>
      </c>
    </row>
    <row r="72" spans="1:5" ht="14.4" x14ac:dyDescent="0.3">
      <c r="A72" s="254" t="s">
        <v>729</v>
      </c>
      <c r="B72" s="127">
        <v>35000</v>
      </c>
      <c r="C72" s="120">
        <f t="shared" si="6"/>
        <v>420000</v>
      </c>
      <c r="D72" s="254" t="s">
        <v>698</v>
      </c>
      <c r="E72" s="120">
        <f t="shared" si="7"/>
        <v>82775</v>
      </c>
    </row>
    <row r="73" spans="1:5" ht="14.4" x14ac:dyDescent="0.3">
      <c r="A73" s="254" t="s">
        <v>730</v>
      </c>
      <c r="B73" s="127">
        <v>35000</v>
      </c>
      <c r="C73" s="120">
        <f t="shared" si="6"/>
        <v>420000</v>
      </c>
      <c r="D73" s="254" t="s">
        <v>698</v>
      </c>
      <c r="E73" s="120">
        <f t="shared" si="7"/>
        <v>82775</v>
      </c>
    </row>
    <row r="74" spans="1:5" ht="14.4" x14ac:dyDescent="0.3">
      <c r="A74" s="254" t="s">
        <v>731</v>
      </c>
      <c r="B74" s="127">
        <v>35000</v>
      </c>
      <c r="C74" s="120">
        <f t="shared" si="6"/>
        <v>420000</v>
      </c>
      <c r="D74" s="254" t="s">
        <v>698</v>
      </c>
      <c r="E74" s="120">
        <f t="shared" si="7"/>
        <v>82775</v>
      </c>
    </row>
    <row r="75" spans="1:5" ht="14.4" x14ac:dyDescent="0.3">
      <c r="A75" s="254" t="s">
        <v>732</v>
      </c>
      <c r="B75" s="127">
        <v>548400</v>
      </c>
      <c r="C75" s="120">
        <f t="shared" si="6"/>
        <v>6580800</v>
      </c>
      <c r="D75" s="254" t="s">
        <v>698</v>
      </c>
      <c r="E75" s="120">
        <f t="shared" si="7"/>
        <v>1296966</v>
      </c>
    </row>
    <row r="76" spans="1:5" s="109" customFormat="1" ht="14.4" x14ac:dyDescent="0.3">
      <c r="A76" s="254" t="s">
        <v>733</v>
      </c>
      <c r="B76" s="127">
        <v>65000</v>
      </c>
      <c r="C76" s="120">
        <f t="shared" si="6"/>
        <v>780000</v>
      </c>
      <c r="D76" s="254" t="s">
        <v>698</v>
      </c>
      <c r="E76" s="120">
        <f t="shared" si="7"/>
        <v>153725</v>
      </c>
    </row>
    <row r="77" spans="1:5" ht="14.4" x14ac:dyDescent="0.3">
      <c r="A77" s="254" t="s">
        <v>734</v>
      </c>
      <c r="B77" s="127">
        <v>35000</v>
      </c>
      <c r="C77" s="120">
        <f t="shared" si="6"/>
        <v>420000</v>
      </c>
      <c r="D77" s="254" t="s">
        <v>698</v>
      </c>
      <c r="E77" s="120">
        <f t="shared" si="7"/>
        <v>82775</v>
      </c>
    </row>
    <row r="78" spans="1:5" ht="14.4" x14ac:dyDescent="0.3">
      <c r="A78" s="255" t="s">
        <v>735</v>
      </c>
      <c r="B78" s="120">
        <f>SUM(B70:B77)</f>
        <v>859200</v>
      </c>
      <c r="C78" s="120">
        <f>SUM(C70:C77)</f>
        <v>10310400</v>
      </c>
      <c r="D78" s="249"/>
      <c r="E78" s="120">
        <f>SUM(E70:E77)</f>
        <v>2032008</v>
      </c>
    </row>
    <row r="79" spans="1:5" ht="14.4" x14ac:dyDescent="0.3">
      <c r="A79" s="288" t="s">
        <v>699</v>
      </c>
      <c r="B79" s="288"/>
      <c r="C79" s="288"/>
      <c r="D79" s="288"/>
      <c r="E79" s="120">
        <f>C69+E69+C78+E78</f>
        <v>30168033.625</v>
      </c>
    </row>
  </sheetData>
  <sheetProtection sheet="1" objects="1" scenarios="1"/>
  <mergeCells count="8">
    <mergeCell ref="A52:D52"/>
    <mergeCell ref="A55:E55"/>
    <mergeCell ref="A79:D79"/>
    <mergeCell ref="A1:E1"/>
    <mergeCell ref="A19:D19"/>
    <mergeCell ref="A21:E21"/>
    <mergeCell ref="A32:D32"/>
    <mergeCell ref="A34:E34"/>
  </mergeCells>
  <pageMargins left="0.7" right="0.7" top="0.75" bottom="0.75" header="0.3" footer="0.3"/>
  <pageSetup paperSize="9" orientation="portrait" r:id="rId1"/>
  <ignoredErrors>
    <ignoredError sqref="C26 C42 E42 C48 E48 C69 E69 C64 E64 C29 E29 E6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G82"/>
  <sheetViews>
    <sheetView tabSelected="1" zoomScaleNormal="100" workbookViewId="0">
      <selection activeCell="C80" sqref="C80"/>
    </sheetView>
  </sheetViews>
  <sheetFormatPr defaultColWidth="9.109375" defaultRowHeight="13.2" x14ac:dyDescent="0.25"/>
  <cols>
    <col min="1" max="1" width="76.6640625" style="8" customWidth="1"/>
    <col min="2" max="6" width="15.77734375" style="8" customWidth="1"/>
    <col min="7" max="7" width="78" style="8" bestFit="1" customWidth="1"/>
    <col min="8" max="16384" width="9.109375" style="8"/>
  </cols>
  <sheetData>
    <row r="1" spans="1:6" ht="15" customHeight="1" x14ac:dyDescent="0.25">
      <c r="A1" s="294" t="s">
        <v>503</v>
      </c>
      <c r="B1" s="294"/>
      <c r="C1" s="294"/>
      <c r="D1" s="294"/>
      <c r="E1" s="294"/>
      <c r="F1" s="294"/>
    </row>
    <row r="2" spans="1:6" ht="46.8" x14ac:dyDescent="0.25">
      <c r="A2" s="121" t="s">
        <v>24</v>
      </c>
      <c r="B2" s="122" t="s">
        <v>518</v>
      </c>
      <c r="C2" s="121" t="s">
        <v>514</v>
      </c>
      <c r="D2" s="121" t="s">
        <v>515</v>
      </c>
      <c r="E2" s="121" t="s">
        <v>516</v>
      </c>
      <c r="F2" s="121" t="s">
        <v>517</v>
      </c>
    </row>
    <row r="3" spans="1:6" s="133" customFormat="1" ht="15.6" x14ac:dyDescent="0.25">
      <c r="A3" s="131"/>
      <c r="B3" s="132"/>
      <c r="C3" s="131"/>
      <c r="D3" s="131"/>
      <c r="E3" s="131"/>
      <c r="F3" s="131"/>
    </row>
    <row r="4" spans="1:6" ht="15" customHeight="1" x14ac:dyDescent="0.25">
      <c r="A4" s="123" t="s">
        <v>26</v>
      </c>
      <c r="B4" s="123"/>
      <c r="C4" s="123"/>
      <c r="D4" s="123"/>
      <c r="E4" s="123"/>
      <c r="F4" s="123"/>
    </row>
    <row r="5" spans="1:6" ht="15" customHeight="1" x14ac:dyDescent="0.3">
      <c r="A5" s="123" t="s">
        <v>142</v>
      </c>
      <c r="B5" s="124">
        <v>36731600</v>
      </c>
      <c r="C5" s="124">
        <v>36731600</v>
      </c>
      <c r="D5" s="124"/>
      <c r="E5" s="124"/>
      <c r="F5" s="124"/>
    </row>
    <row r="6" spans="1:6" ht="14.4" x14ac:dyDescent="0.3">
      <c r="A6" s="125" t="s">
        <v>512</v>
      </c>
      <c r="B6" s="120">
        <f>B5</f>
        <v>36731600</v>
      </c>
      <c r="C6" s="120">
        <f>C5</f>
        <v>36731600</v>
      </c>
      <c r="D6" s="120">
        <f>D5</f>
        <v>0</v>
      </c>
      <c r="E6" s="120">
        <f>E5</f>
        <v>0</v>
      </c>
      <c r="F6" s="120">
        <f>F5</f>
        <v>0</v>
      </c>
    </row>
    <row r="7" spans="1:6" ht="15" customHeight="1" x14ac:dyDescent="0.3">
      <c r="A7" s="123" t="s">
        <v>143</v>
      </c>
      <c r="B7" s="124">
        <v>4179020</v>
      </c>
      <c r="C7" s="124">
        <v>4179020</v>
      </c>
      <c r="D7" s="124"/>
      <c r="E7" s="124"/>
      <c r="F7" s="124"/>
    </row>
    <row r="8" spans="1:6" ht="15" customHeight="1" x14ac:dyDescent="0.3">
      <c r="A8" s="123" t="s">
        <v>144</v>
      </c>
      <c r="B8" s="124">
        <v>6144000</v>
      </c>
      <c r="C8" s="124">
        <v>6144000</v>
      </c>
      <c r="D8" s="124"/>
      <c r="E8" s="124"/>
      <c r="F8" s="124"/>
    </row>
    <row r="9" spans="1:6" ht="15" customHeight="1" x14ac:dyDescent="0.3">
      <c r="A9" s="123" t="s">
        <v>240</v>
      </c>
      <c r="B9" s="124">
        <v>3142329</v>
      </c>
      <c r="C9" s="124">
        <v>3142329</v>
      </c>
      <c r="D9" s="124"/>
      <c r="E9" s="124"/>
      <c r="F9" s="124"/>
    </row>
    <row r="10" spans="1:6" ht="15" customHeight="1" x14ac:dyDescent="0.3">
      <c r="A10" s="123" t="s">
        <v>145</v>
      </c>
      <c r="B10" s="124">
        <v>4253980</v>
      </c>
      <c r="C10" s="124">
        <v>4253980</v>
      </c>
      <c r="D10" s="124"/>
      <c r="E10" s="124"/>
      <c r="F10" s="124"/>
    </row>
    <row r="11" spans="1:6" ht="14.4" x14ac:dyDescent="0.3">
      <c r="A11" s="125" t="s">
        <v>27</v>
      </c>
      <c r="B11" s="120">
        <f>SUM(B7:B10)</f>
        <v>17719329</v>
      </c>
      <c r="C11" s="120">
        <f>SUM(C7:C10)</f>
        <v>17719329</v>
      </c>
      <c r="D11" s="120">
        <f>SUM(D7:D10)</f>
        <v>0</v>
      </c>
      <c r="E11" s="120">
        <f>SUM(E7:E10)</f>
        <v>0</v>
      </c>
      <c r="F11" s="120">
        <f>SUM(F7:F10)</f>
        <v>0</v>
      </c>
    </row>
    <row r="12" spans="1:6" ht="15" customHeight="1" x14ac:dyDescent="0.3">
      <c r="A12" s="123" t="s">
        <v>513</v>
      </c>
      <c r="B12" s="126">
        <v>8118900</v>
      </c>
      <c r="C12" s="126">
        <v>8118900</v>
      </c>
      <c r="D12" s="127"/>
      <c r="E12" s="127"/>
      <c r="F12" s="127"/>
    </row>
    <row r="13" spans="1:6" ht="15" customHeight="1" x14ac:dyDescent="0.3">
      <c r="A13" s="123" t="s">
        <v>146</v>
      </c>
      <c r="B13" s="124">
        <v>5120035</v>
      </c>
      <c r="C13" s="124">
        <v>5120035</v>
      </c>
      <c r="D13" s="124"/>
      <c r="E13" s="124"/>
      <c r="F13" s="124"/>
    </row>
    <row r="14" spans="1:6" ht="15" customHeight="1" x14ac:dyDescent="0.3">
      <c r="A14" s="123" t="s">
        <v>239</v>
      </c>
      <c r="B14" s="124">
        <v>63750</v>
      </c>
      <c r="C14" s="124">
        <v>63750</v>
      </c>
      <c r="D14" s="124"/>
      <c r="E14" s="124"/>
      <c r="F14" s="124"/>
    </row>
    <row r="15" spans="1:6" ht="15" customHeight="1" x14ac:dyDescent="0.3">
      <c r="A15" s="123" t="s">
        <v>435</v>
      </c>
      <c r="B15" s="124">
        <v>0</v>
      </c>
      <c r="C15" s="124">
        <v>0</v>
      </c>
      <c r="D15" s="124"/>
      <c r="E15" s="124"/>
      <c r="F15" s="124"/>
    </row>
    <row r="16" spans="1:6" ht="15" customHeight="1" x14ac:dyDescent="0.3">
      <c r="A16" s="123" t="s">
        <v>504</v>
      </c>
      <c r="B16" s="124">
        <v>1041000</v>
      </c>
      <c r="C16" s="124">
        <v>1041000</v>
      </c>
      <c r="D16" s="124"/>
      <c r="E16" s="124"/>
      <c r="F16" s="124"/>
    </row>
    <row r="17" spans="1:6" ht="15" customHeight="1" x14ac:dyDescent="0.3">
      <c r="A17" s="145" t="s">
        <v>25</v>
      </c>
      <c r="B17" s="129">
        <f>SUM(B11:B16)+B6-B12</f>
        <v>60675714</v>
      </c>
      <c r="C17" s="129">
        <f>SUM(C11:C16)+C6-C12</f>
        <v>60675714</v>
      </c>
      <c r="D17" s="129">
        <f>SUM(D11:D16)+D6-D12</f>
        <v>0</v>
      </c>
      <c r="E17" s="129">
        <f>SUM(E11:E16)+E6-E12</f>
        <v>0</v>
      </c>
      <c r="F17" s="129">
        <f>SUM(F11:F16)+F6-F12</f>
        <v>0</v>
      </c>
    </row>
    <row r="18" spans="1:6" s="110" customFormat="1" ht="15" customHeight="1" x14ac:dyDescent="0.3">
      <c r="A18" s="244"/>
      <c r="B18" s="241"/>
      <c r="C18" s="241"/>
      <c r="D18" s="241"/>
      <c r="E18" s="242"/>
      <c r="F18" s="242"/>
    </row>
    <row r="19" spans="1:6" ht="14.4" x14ac:dyDescent="0.3">
      <c r="A19" s="140" t="s">
        <v>29</v>
      </c>
      <c r="B19" s="124">
        <v>19149000</v>
      </c>
      <c r="C19" s="124">
        <v>19149000</v>
      </c>
      <c r="D19" s="124"/>
      <c r="E19" s="124"/>
      <c r="F19" s="124"/>
    </row>
    <row r="20" spans="1:6" ht="28.8" x14ac:dyDescent="0.3">
      <c r="A20" s="123" t="s">
        <v>238</v>
      </c>
      <c r="B20" s="124">
        <v>5880000</v>
      </c>
      <c r="C20" s="124">
        <v>5880000</v>
      </c>
      <c r="D20" s="124"/>
      <c r="E20" s="124"/>
      <c r="F20" s="124"/>
    </row>
    <row r="21" spans="1:6" ht="15" customHeight="1" x14ac:dyDescent="0.3">
      <c r="A21" s="123" t="s">
        <v>30</v>
      </c>
      <c r="B21" s="124">
        <v>8690700</v>
      </c>
      <c r="C21" s="124">
        <v>8690700</v>
      </c>
      <c r="D21" s="124"/>
      <c r="E21" s="124"/>
      <c r="F21" s="124"/>
    </row>
    <row r="22" spans="1:6" ht="15" customHeight="1" x14ac:dyDescent="0.3">
      <c r="A22" s="123" t="s">
        <v>147</v>
      </c>
      <c r="B22" s="124">
        <v>0</v>
      </c>
      <c r="C22" s="124">
        <v>0</v>
      </c>
      <c r="D22" s="124"/>
      <c r="E22" s="124"/>
      <c r="F22" s="124"/>
    </row>
    <row r="23" spans="1:6" ht="28.8" x14ac:dyDescent="0.3">
      <c r="A23" s="123" t="s">
        <v>31</v>
      </c>
      <c r="B23" s="124">
        <v>2940000</v>
      </c>
      <c r="C23" s="124">
        <v>2940000</v>
      </c>
      <c r="D23" s="124"/>
      <c r="E23" s="124"/>
      <c r="F23" s="124"/>
    </row>
    <row r="24" spans="1:6" ht="28.8" x14ac:dyDescent="0.3">
      <c r="A24" s="125" t="s">
        <v>153</v>
      </c>
      <c r="B24" s="120">
        <f>SUM(B19:B23)</f>
        <v>36659700</v>
      </c>
      <c r="C24" s="120">
        <f>SUM(C19:C23)</f>
        <v>36659700</v>
      </c>
      <c r="D24" s="120">
        <f>SUM(D19:D23)</f>
        <v>0</v>
      </c>
      <c r="E24" s="120">
        <f>SUM(E19:E23)</f>
        <v>0</v>
      </c>
      <c r="F24" s="120">
        <f>SUM(F19:F23)</f>
        <v>0</v>
      </c>
    </row>
    <row r="25" spans="1:6" ht="15" customHeight="1" x14ac:dyDescent="0.3">
      <c r="A25" s="123" t="s">
        <v>505</v>
      </c>
      <c r="B25" s="124">
        <v>3431400</v>
      </c>
      <c r="C25" s="124">
        <v>3431400</v>
      </c>
      <c r="D25" s="124"/>
      <c r="E25" s="124"/>
      <c r="F25" s="124"/>
    </row>
    <row r="26" spans="1:6" ht="15" customHeight="1" x14ac:dyDescent="0.3">
      <c r="A26" s="123" t="s">
        <v>506</v>
      </c>
      <c r="B26" s="124"/>
      <c r="C26" s="124"/>
      <c r="D26" s="124"/>
      <c r="E26" s="124"/>
      <c r="F26" s="124"/>
    </row>
    <row r="27" spans="1:6" ht="15" customHeight="1" x14ac:dyDescent="0.3">
      <c r="A27" s="123" t="s">
        <v>507</v>
      </c>
      <c r="B27" s="124">
        <v>1525067</v>
      </c>
      <c r="C27" s="124">
        <v>1525067</v>
      </c>
      <c r="D27" s="124"/>
      <c r="E27" s="124"/>
      <c r="F27" s="124"/>
    </row>
    <row r="28" spans="1:6" ht="15" customHeight="1" x14ac:dyDescent="0.3">
      <c r="A28" s="123" t="s">
        <v>508</v>
      </c>
      <c r="B28" s="124"/>
      <c r="C28" s="124"/>
      <c r="D28" s="124"/>
      <c r="E28" s="124"/>
      <c r="F28" s="124"/>
    </row>
    <row r="29" spans="1:6" s="10" customFormat="1" ht="15" customHeight="1" x14ac:dyDescent="0.3">
      <c r="A29" s="123" t="s">
        <v>368</v>
      </c>
      <c r="B29" s="124"/>
      <c r="C29" s="124"/>
      <c r="D29" s="124"/>
      <c r="E29" s="124"/>
      <c r="F29" s="124"/>
    </row>
    <row r="30" spans="1:6" s="10" customFormat="1" ht="15" customHeight="1" x14ac:dyDescent="0.3">
      <c r="A30" s="125" t="s">
        <v>148</v>
      </c>
      <c r="B30" s="120">
        <f>SUM(B25:B29)</f>
        <v>4956467</v>
      </c>
      <c r="C30" s="120">
        <f>SUM(C25:C29)</f>
        <v>4956467</v>
      </c>
      <c r="D30" s="120">
        <f>SUM(D25:D29)</f>
        <v>0</v>
      </c>
      <c r="E30" s="120">
        <f>SUM(E25:E29)</f>
        <v>0</v>
      </c>
      <c r="F30" s="120">
        <f>SUM(F25:F29)</f>
        <v>0</v>
      </c>
    </row>
    <row r="31" spans="1:6" s="10" customFormat="1" ht="28.8" x14ac:dyDescent="0.3">
      <c r="A31" s="145" t="s">
        <v>28</v>
      </c>
      <c r="B31" s="129">
        <f>B24+B30</f>
        <v>41616167</v>
      </c>
      <c r="C31" s="129">
        <f>C24+C30</f>
        <v>41616167</v>
      </c>
      <c r="D31" s="129">
        <f>D24+D30</f>
        <v>0</v>
      </c>
      <c r="E31" s="129">
        <f>E24+E30</f>
        <v>0</v>
      </c>
      <c r="F31" s="129">
        <f>F24+F30</f>
        <v>0</v>
      </c>
    </row>
    <row r="32" spans="1:6" s="111" customFormat="1" ht="14.4" x14ac:dyDescent="0.3">
      <c r="A32" s="244"/>
      <c r="B32" s="241"/>
      <c r="C32" s="241"/>
      <c r="D32" s="241"/>
      <c r="E32" s="242"/>
      <c r="F32" s="242"/>
    </row>
    <row r="33" spans="1:6" ht="15" customHeight="1" x14ac:dyDescent="0.3">
      <c r="A33" s="140" t="s">
        <v>237</v>
      </c>
      <c r="B33" s="124">
        <v>22239000</v>
      </c>
      <c r="C33" s="124">
        <v>22239000</v>
      </c>
      <c r="D33" s="124"/>
      <c r="E33" s="124"/>
      <c r="F33" s="124"/>
    </row>
    <row r="34" spans="1:6" ht="15" customHeight="1" x14ac:dyDescent="0.25">
      <c r="A34" s="123" t="s">
        <v>236</v>
      </c>
      <c r="B34" s="293">
        <v>3400000</v>
      </c>
      <c r="C34" s="293">
        <v>3400000</v>
      </c>
      <c r="D34" s="295"/>
      <c r="E34" s="293"/>
      <c r="F34" s="293"/>
    </row>
    <row r="35" spans="1:6" ht="15" customHeight="1" x14ac:dyDescent="0.25">
      <c r="A35" s="123" t="s">
        <v>235</v>
      </c>
      <c r="B35" s="293"/>
      <c r="C35" s="293"/>
      <c r="D35" s="296"/>
      <c r="E35" s="293"/>
      <c r="F35" s="293"/>
    </row>
    <row r="36" spans="1:6" ht="15" customHeight="1" x14ac:dyDescent="0.3">
      <c r="A36" s="123" t="s">
        <v>33</v>
      </c>
      <c r="B36" s="124">
        <v>2491200</v>
      </c>
      <c r="C36" s="124">
        <v>2491200</v>
      </c>
      <c r="D36" s="124"/>
      <c r="E36" s="124"/>
      <c r="F36" s="124"/>
    </row>
    <row r="37" spans="1:6" ht="15" customHeight="1" x14ac:dyDescent="0.3">
      <c r="A37" s="123" t="s">
        <v>34</v>
      </c>
      <c r="B37" s="124">
        <f>150000+4290000</f>
        <v>4440000</v>
      </c>
      <c r="C37" s="124">
        <f>150000+4290000</f>
        <v>4440000</v>
      </c>
      <c r="D37" s="124"/>
      <c r="E37" s="124"/>
      <c r="F37" s="124"/>
    </row>
    <row r="38" spans="1:6" ht="15" customHeight="1" x14ac:dyDescent="0.3">
      <c r="A38" s="123" t="s">
        <v>35</v>
      </c>
      <c r="B38" s="124">
        <v>1417000</v>
      </c>
      <c r="C38" s="124">
        <v>1417000</v>
      </c>
      <c r="D38" s="124"/>
      <c r="E38" s="124"/>
      <c r="F38" s="124"/>
    </row>
    <row r="39" spans="1:6" ht="15" customHeight="1" x14ac:dyDescent="0.3">
      <c r="A39" s="123" t="s">
        <v>149</v>
      </c>
      <c r="B39" s="124">
        <v>0</v>
      </c>
      <c r="C39" s="124">
        <v>0</v>
      </c>
      <c r="D39" s="124"/>
      <c r="E39" s="124"/>
      <c r="F39" s="124"/>
    </row>
    <row r="40" spans="1:6" ht="15" customHeight="1" x14ac:dyDescent="0.3">
      <c r="A40" s="123" t="s">
        <v>150</v>
      </c>
      <c r="B40" s="124">
        <v>0</v>
      </c>
      <c r="C40" s="124">
        <v>0</v>
      </c>
      <c r="D40" s="124"/>
      <c r="E40" s="124"/>
      <c r="F40" s="124"/>
    </row>
    <row r="41" spans="1:6" ht="15" customHeight="1" x14ac:dyDescent="0.3">
      <c r="A41" s="123" t="s">
        <v>436</v>
      </c>
      <c r="B41" s="124">
        <v>0</v>
      </c>
      <c r="C41" s="124">
        <v>0</v>
      </c>
      <c r="D41" s="124"/>
      <c r="E41" s="124"/>
      <c r="F41" s="124"/>
    </row>
    <row r="42" spans="1:6" ht="15" customHeight="1" x14ac:dyDescent="0.3">
      <c r="A42" s="123" t="s">
        <v>151</v>
      </c>
      <c r="B42" s="124"/>
      <c r="C42" s="124"/>
      <c r="D42" s="124"/>
      <c r="E42" s="124"/>
      <c r="F42" s="124"/>
    </row>
    <row r="43" spans="1:6" ht="15" customHeight="1" x14ac:dyDescent="0.3">
      <c r="A43" s="123" t="s">
        <v>152</v>
      </c>
      <c r="B43" s="124">
        <v>10355000</v>
      </c>
      <c r="C43" s="124">
        <v>10355000</v>
      </c>
      <c r="D43" s="124"/>
      <c r="E43" s="124"/>
      <c r="F43" s="124"/>
    </row>
    <row r="44" spans="1:6" ht="15" customHeight="1" x14ac:dyDescent="0.3">
      <c r="A44" s="123" t="s">
        <v>234</v>
      </c>
      <c r="B44" s="124">
        <v>0</v>
      </c>
      <c r="C44" s="124">
        <v>0</v>
      </c>
      <c r="D44" s="124"/>
      <c r="E44" s="124"/>
      <c r="F44" s="124"/>
    </row>
    <row r="45" spans="1:6" ht="15" customHeight="1" x14ac:dyDescent="0.3">
      <c r="A45" s="123" t="s">
        <v>369</v>
      </c>
      <c r="B45" s="124">
        <v>373920</v>
      </c>
      <c r="C45" s="124">
        <v>373920</v>
      </c>
      <c r="D45" s="124"/>
      <c r="E45" s="124"/>
      <c r="F45" s="124"/>
    </row>
    <row r="46" spans="1:6" ht="28.8" x14ac:dyDescent="0.3">
      <c r="A46" s="123" t="s">
        <v>509</v>
      </c>
      <c r="B46" s="124">
        <v>8838000</v>
      </c>
      <c r="C46" s="124">
        <v>8838000</v>
      </c>
      <c r="D46" s="124"/>
      <c r="E46" s="124"/>
      <c r="F46" s="124"/>
    </row>
    <row r="47" spans="1:6" ht="28.8" x14ac:dyDescent="0.3">
      <c r="A47" s="123" t="s">
        <v>510</v>
      </c>
      <c r="B47" s="124">
        <v>2993000</v>
      </c>
      <c r="C47" s="124">
        <v>2993000</v>
      </c>
      <c r="D47" s="124"/>
      <c r="E47" s="124"/>
      <c r="F47" s="124"/>
    </row>
    <row r="48" spans="1:6" ht="14.4" x14ac:dyDescent="0.3">
      <c r="A48" s="123" t="s">
        <v>511</v>
      </c>
      <c r="B48" s="124">
        <v>229000</v>
      </c>
      <c r="C48" s="124">
        <v>229000</v>
      </c>
      <c r="D48" s="124"/>
      <c r="E48" s="124"/>
      <c r="F48" s="124"/>
    </row>
    <row r="49" spans="1:6" ht="29.25" customHeight="1" x14ac:dyDescent="0.3">
      <c r="A49" s="128" t="s">
        <v>32</v>
      </c>
      <c r="B49" s="129">
        <f>SUM(B33:B48)</f>
        <v>56776120</v>
      </c>
      <c r="C49" s="129">
        <f>SUM(C33:C48)</f>
        <v>56776120</v>
      </c>
      <c r="D49" s="129">
        <f>SUM(D33:D48)</f>
        <v>0</v>
      </c>
      <c r="E49" s="129">
        <f>SUM(E33:E48)</f>
        <v>0</v>
      </c>
      <c r="F49" s="129">
        <f>SUM(F33:F48)</f>
        <v>0</v>
      </c>
    </row>
    <row r="50" spans="1:6" ht="21" customHeight="1" x14ac:dyDescent="0.3">
      <c r="A50" s="134" t="s">
        <v>66</v>
      </c>
      <c r="B50" s="135">
        <f>B17+B31+B49</f>
        <v>159068001</v>
      </c>
      <c r="C50" s="135">
        <f>C17+C31+C49</f>
        <v>159068001</v>
      </c>
      <c r="D50" s="135">
        <f>D17+D31+D49</f>
        <v>0</v>
      </c>
      <c r="E50" s="135">
        <f>E17+E31+E49</f>
        <v>0</v>
      </c>
      <c r="F50" s="135">
        <f>F17+F31+F49</f>
        <v>0</v>
      </c>
    </row>
    <row r="51" spans="1:6" s="110" customFormat="1" ht="15" customHeight="1" x14ac:dyDescent="0.3">
      <c r="A51" s="243"/>
      <c r="B51" s="241"/>
      <c r="C51" s="241"/>
      <c r="D51" s="241"/>
      <c r="E51" s="242"/>
      <c r="F51" s="242"/>
    </row>
    <row r="52" spans="1:6" ht="15" customHeight="1" x14ac:dyDescent="0.3">
      <c r="A52" s="140" t="s">
        <v>67</v>
      </c>
      <c r="B52" s="124">
        <v>3638470</v>
      </c>
      <c r="C52" s="124">
        <v>3638470</v>
      </c>
      <c r="D52" s="124"/>
      <c r="E52" s="124"/>
      <c r="F52" s="124"/>
    </row>
    <row r="53" spans="1:6" ht="15.6" x14ac:dyDescent="0.3">
      <c r="A53" s="136" t="s">
        <v>68</v>
      </c>
      <c r="B53" s="137">
        <f>SUM(B50:B52)</f>
        <v>162706471</v>
      </c>
      <c r="C53" s="137">
        <f>SUM(C50:C52)</f>
        <v>162706471</v>
      </c>
      <c r="D53" s="137">
        <f>SUM(D50:D52)</f>
        <v>0</v>
      </c>
      <c r="E53" s="137">
        <f>SUM(E50:E52)</f>
        <v>0</v>
      </c>
      <c r="F53" s="137">
        <f>SUM(F50:F52)</f>
        <v>0</v>
      </c>
    </row>
    <row r="54" spans="1:6" ht="15" customHeight="1" x14ac:dyDescent="0.25">
      <c r="A54" s="138"/>
      <c r="B54" s="106"/>
      <c r="C54" s="106"/>
      <c r="D54" s="106"/>
      <c r="E54" s="105"/>
      <c r="F54" s="105"/>
    </row>
    <row r="55" spans="1:6" ht="15" customHeight="1" x14ac:dyDescent="0.3">
      <c r="A55" s="123" t="s">
        <v>530</v>
      </c>
      <c r="B55" s="124"/>
      <c r="C55" s="124"/>
      <c r="D55" s="124"/>
      <c r="E55" s="124"/>
      <c r="F55" s="124"/>
    </row>
    <row r="56" spans="1:6" ht="15" customHeight="1" x14ac:dyDescent="0.3">
      <c r="A56" s="125" t="s">
        <v>529</v>
      </c>
      <c r="B56" s="120">
        <f>B55</f>
        <v>0</v>
      </c>
      <c r="C56" s="120">
        <f t="shared" ref="C56:F56" si="0">C55</f>
        <v>0</v>
      </c>
      <c r="D56" s="120">
        <f t="shared" si="0"/>
        <v>0</v>
      </c>
      <c r="E56" s="120">
        <f t="shared" si="0"/>
        <v>0</v>
      </c>
      <c r="F56" s="120">
        <f t="shared" si="0"/>
        <v>0</v>
      </c>
    </row>
    <row r="57" spans="1:6" ht="15" customHeight="1" x14ac:dyDescent="0.3">
      <c r="A57" s="123" t="s">
        <v>413</v>
      </c>
      <c r="B57" s="124"/>
      <c r="C57" s="124"/>
      <c r="D57" s="124"/>
      <c r="E57" s="124"/>
      <c r="F57" s="124"/>
    </row>
    <row r="58" spans="1:6" ht="15" customHeight="1" x14ac:dyDescent="0.3">
      <c r="A58" s="125" t="s">
        <v>531</v>
      </c>
      <c r="B58" s="120">
        <f>B54</f>
        <v>0</v>
      </c>
      <c r="C58" s="120">
        <f t="shared" ref="C58:F58" si="1">C54</f>
        <v>0</v>
      </c>
      <c r="D58" s="120">
        <f t="shared" si="1"/>
        <v>0</v>
      </c>
      <c r="E58" s="120">
        <f t="shared" si="1"/>
        <v>0</v>
      </c>
      <c r="F58" s="120">
        <f t="shared" si="1"/>
        <v>0</v>
      </c>
    </row>
    <row r="59" spans="1:6" ht="15" customHeight="1" x14ac:dyDescent="0.3">
      <c r="A59" s="123" t="s">
        <v>460</v>
      </c>
      <c r="B59" s="124"/>
      <c r="C59" s="124"/>
      <c r="D59" s="124"/>
      <c r="E59" s="124"/>
      <c r="F59" s="124"/>
    </row>
    <row r="60" spans="1:6" ht="15" customHeight="1" x14ac:dyDescent="0.3">
      <c r="A60" s="125" t="s">
        <v>532</v>
      </c>
      <c r="B60" s="120">
        <f>B59</f>
        <v>0</v>
      </c>
      <c r="C60" s="120">
        <f t="shared" ref="C60:F60" si="2">C59</f>
        <v>0</v>
      </c>
      <c r="D60" s="120">
        <f t="shared" si="2"/>
        <v>0</v>
      </c>
      <c r="E60" s="120">
        <f t="shared" si="2"/>
        <v>0</v>
      </c>
      <c r="F60" s="120">
        <f t="shared" si="2"/>
        <v>0</v>
      </c>
    </row>
    <row r="61" spans="1:6" ht="15" customHeight="1" x14ac:dyDescent="0.3">
      <c r="A61" s="123"/>
      <c r="B61" s="124"/>
      <c r="C61" s="124"/>
      <c r="D61" s="124"/>
      <c r="E61" s="124"/>
      <c r="F61" s="124"/>
    </row>
    <row r="62" spans="1:6" ht="15" customHeight="1" x14ac:dyDescent="0.3">
      <c r="A62" s="123" t="s">
        <v>459</v>
      </c>
      <c r="B62" s="124"/>
      <c r="C62" s="124"/>
      <c r="D62" s="124"/>
      <c r="E62" s="124"/>
      <c r="F62" s="124"/>
    </row>
    <row r="63" spans="1:6" ht="15" customHeight="1" x14ac:dyDescent="0.3">
      <c r="A63" s="123" t="s">
        <v>414</v>
      </c>
      <c r="B63" s="124"/>
      <c r="C63" s="124"/>
      <c r="D63" s="124"/>
      <c r="E63" s="124"/>
      <c r="F63" s="124"/>
    </row>
    <row r="64" spans="1:6" ht="15" customHeight="1" x14ac:dyDescent="0.3">
      <c r="A64" s="123" t="s">
        <v>423</v>
      </c>
      <c r="B64" s="124"/>
      <c r="C64" s="124"/>
      <c r="D64" s="124"/>
      <c r="E64" s="124"/>
      <c r="F64" s="124"/>
    </row>
    <row r="65" spans="1:7" ht="15" customHeight="1" x14ac:dyDescent="0.3">
      <c r="A65" s="125" t="s">
        <v>533</v>
      </c>
      <c r="B65" s="120">
        <f>SUM(B61:B64)</f>
        <v>0</v>
      </c>
      <c r="C65" s="120">
        <f t="shared" ref="C65:F65" si="3">SUM(C61:C64)</f>
        <v>0</v>
      </c>
      <c r="D65" s="120">
        <f t="shared" si="3"/>
        <v>0</v>
      </c>
      <c r="E65" s="120">
        <f t="shared" si="3"/>
        <v>0</v>
      </c>
      <c r="F65" s="120">
        <f t="shared" si="3"/>
        <v>0</v>
      </c>
    </row>
    <row r="66" spans="1:7" ht="15" customHeight="1" x14ac:dyDescent="0.3">
      <c r="A66" s="123" t="s">
        <v>461</v>
      </c>
      <c r="B66" s="124"/>
      <c r="C66" s="124"/>
      <c r="D66" s="124"/>
      <c r="E66" s="124"/>
      <c r="F66" s="124"/>
    </row>
    <row r="67" spans="1:7" ht="15" customHeight="1" x14ac:dyDescent="0.3">
      <c r="A67" s="123"/>
      <c r="B67" s="124"/>
      <c r="C67" s="124"/>
      <c r="D67" s="124"/>
      <c r="E67" s="124"/>
      <c r="F67" s="124"/>
    </row>
    <row r="68" spans="1:7" ht="15" customHeight="1" x14ac:dyDescent="0.3">
      <c r="A68" s="125" t="s">
        <v>534</v>
      </c>
      <c r="B68" s="120">
        <f>SUM(B66:B67)</f>
        <v>0</v>
      </c>
      <c r="C68" s="120">
        <f t="shared" ref="C68:F68" si="4">SUM(C66:C67)</f>
        <v>0</v>
      </c>
      <c r="D68" s="120">
        <f t="shared" si="4"/>
        <v>0</v>
      </c>
      <c r="E68" s="120">
        <f t="shared" si="4"/>
        <v>0</v>
      </c>
      <c r="F68" s="120">
        <f t="shared" si="4"/>
        <v>0</v>
      </c>
    </row>
    <row r="69" spans="1:7" ht="15" customHeight="1" x14ac:dyDescent="0.3">
      <c r="A69" s="145" t="s">
        <v>536</v>
      </c>
      <c r="B69" s="129">
        <f>B56+B58+B60+B65+B68</f>
        <v>0</v>
      </c>
      <c r="C69" s="129">
        <f t="shared" ref="C69:F69" si="5">C56+C58+C60+C65+C68</f>
        <v>0</v>
      </c>
      <c r="D69" s="129">
        <f t="shared" si="5"/>
        <v>0</v>
      </c>
      <c r="E69" s="129">
        <f t="shared" si="5"/>
        <v>0</v>
      </c>
      <c r="F69" s="129">
        <f t="shared" si="5"/>
        <v>0</v>
      </c>
    </row>
    <row r="70" spans="1:7" s="110" customFormat="1" ht="15" customHeight="1" x14ac:dyDescent="0.3">
      <c r="A70" s="240"/>
      <c r="B70" s="241"/>
      <c r="C70" s="241"/>
      <c r="D70" s="241"/>
      <c r="E70" s="242"/>
      <c r="F70" s="242"/>
    </row>
    <row r="71" spans="1:7" s="9" customFormat="1" ht="15" customHeight="1" x14ac:dyDescent="0.3">
      <c r="A71" s="140" t="s">
        <v>535</v>
      </c>
      <c r="B71" s="144">
        <f>('segédtábla közfoglalkoztatás'!G10)+('segédtábla közfoglalkoztatás'!G20)</f>
        <v>45379654</v>
      </c>
      <c r="C71" s="144">
        <f>('segédtábla közfoglalkoztatás'!G10)+('segédtábla közfoglalkoztatás'!G20)</f>
        <v>45379654</v>
      </c>
      <c r="D71" s="144">
        <f>('segédtábla közfoglalkoztatás'!I10)+('segédtábla közfoglalkoztatás'!I20)</f>
        <v>0</v>
      </c>
      <c r="E71" s="144">
        <f>('segédtábla közfoglalkoztatás'!J10)+('segédtábla közfoglalkoztatás'!J20)</f>
        <v>0</v>
      </c>
      <c r="F71" s="144">
        <f>('segédtábla közfoglalkoztatás'!K10)+('segédtábla közfoglalkoztatás'!K20)</f>
        <v>0</v>
      </c>
      <c r="G71" s="50"/>
    </row>
    <row r="72" spans="1:7" s="9" customFormat="1" ht="15" customHeight="1" x14ac:dyDescent="0.3">
      <c r="A72" s="140" t="s">
        <v>472</v>
      </c>
      <c r="B72" s="124"/>
      <c r="C72" s="124">
        <v>45000</v>
      </c>
      <c r="D72" s="124"/>
      <c r="E72" s="124"/>
      <c r="F72" s="124"/>
      <c r="G72" s="50"/>
    </row>
    <row r="73" spans="1:7" s="9" customFormat="1" ht="15" customHeight="1" x14ac:dyDescent="0.3">
      <c r="A73" s="266" t="s">
        <v>752</v>
      </c>
      <c r="B73" s="124">
        <v>950167</v>
      </c>
      <c r="C73" s="124">
        <v>950167</v>
      </c>
      <c r="D73" s="124"/>
      <c r="E73" s="124"/>
      <c r="F73" s="124"/>
      <c r="G73" s="50"/>
    </row>
    <row r="74" spans="1:7" s="9" customFormat="1" ht="15" customHeight="1" x14ac:dyDescent="0.3">
      <c r="A74" s="123" t="s">
        <v>475</v>
      </c>
      <c r="B74" s="124"/>
      <c r="C74" s="124"/>
      <c r="D74" s="124"/>
      <c r="E74" s="124"/>
      <c r="F74" s="124"/>
      <c r="G74" s="50"/>
    </row>
    <row r="75" spans="1:7" s="9" customFormat="1" ht="15" customHeight="1" x14ac:dyDescent="0.3">
      <c r="A75" s="123" t="s">
        <v>476</v>
      </c>
      <c r="B75" s="124"/>
      <c r="C75" s="124"/>
      <c r="D75" s="124"/>
      <c r="E75" s="124"/>
      <c r="F75" s="124"/>
      <c r="G75" s="50"/>
    </row>
    <row r="76" spans="1:7" s="9" customFormat="1" ht="15" customHeight="1" x14ac:dyDescent="0.3">
      <c r="A76" s="123" t="s">
        <v>477</v>
      </c>
      <c r="B76" s="124">
        <f>150610+895636</f>
        <v>1046246</v>
      </c>
      <c r="C76" s="124">
        <f>150610+895636</f>
        <v>1046246</v>
      </c>
      <c r="D76" s="124"/>
      <c r="E76" s="124"/>
      <c r="F76" s="124"/>
      <c r="G76" s="50"/>
    </row>
    <row r="77" spans="1:7" s="9" customFormat="1" ht="15" customHeight="1" x14ac:dyDescent="0.3">
      <c r="A77" s="257" t="s">
        <v>474</v>
      </c>
      <c r="B77" s="124">
        <v>17576600</v>
      </c>
      <c r="C77" s="124">
        <v>17576600</v>
      </c>
      <c r="D77" s="124"/>
      <c r="E77" s="124"/>
      <c r="F77" s="124"/>
    </row>
    <row r="78" spans="1:7" ht="15" customHeight="1" x14ac:dyDescent="0.3">
      <c r="A78" s="123" t="s">
        <v>478</v>
      </c>
      <c r="B78" s="124">
        <v>1080000</v>
      </c>
      <c r="C78" s="124">
        <v>1080000</v>
      </c>
      <c r="D78" s="124"/>
      <c r="E78" s="124"/>
      <c r="F78" s="124"/>
    </row>
    <row r="79" spans="1:7" ht="15" customHeight="1" x14ac:dyDescent="0.3">
      <c r="A79" s="123" t="s">
        <v>473</v>
      </c>
      <c r="B79" s="124"/>
      <c r="C79" s="124">
        <v>200000</v>
      </c>
      <c r="D79" s="124"/>
      <c r="E79" s="124"/>
      <c r="F79" s="124"/>
    </row>
    <row r="80" spans="1:7" s="10" customFormat="1" ht="14.4" x14ac:dyDescent="0.3">
      <c r="A80" s="128" t="s">
        <v>370</v>
      </c>
      <c r="B80" s="129">
        <f>SUM(B71:B79)</f>
        <v>66032667</v>
      </c>
      <c r="C80" s="129">
        <f>SUM(C71:C79)</f>
        <v>66277667</v>
      </c>
      <c r="D80" s="129">
        <f>SUM(D71:D79)</f>
        <v>0</v>
      </c>
      <c r="E80" s="129">
        <f>SUM(E71:E79)</f>
        <v>0</v>
      </c>
      <c r="F80" s="129">
        <f>SUM(F71:F79)</f>
        <v>0</v>
      </c>
    </row>
    <row r="81" spans="2:6" x14ac:dyDescent="0.25">
      <c r="B81" s="49"/>
      <c r="C81" s="49"/>
      <c r="D81" s="49"/>
      <c r="E81" s="49"/>
      <c r="F81" s="49"/>
    </row>
    <row r="82" spans="2:6" x14ac:dyDescent="0.25">
      <c r="E82" s="49"/>
      <c r="F82" s="49"/>
    </row>
  </sheetData>
  <sheetProtection sheet="1" objects="1" scenarios="1"/>
  <mergeCells count="6">
    <mergeCell ref="B34:B35"/>
    <mergeCell ref="C34:C35"/>
    <mergeCell ref="E34:E35"/>
    <mergeCell ref="F34:F35"/>
    <mergeCell ref="A1:F1"/>
    <mergeCell ref="D34:D35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&amp;R1./a sz. melléklet
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Q48"/>
  <sheetViews>
    <sheetView zoomScaleNormal="100" workbookViewId="0">
      <selection activeCell="G36" sqref="G36"/>
    </sheetView>
  </sheetViews>
  <sheetFormatPr defaultRowHeight="13.2" x14ac:dyDescent="0.25"/>
  <cols>
    <col min="1" max="1" width="10.6640625" bestFit="1" customWidth="1"/>
    <col min="2" max="2" width="4.44140625" customWidth="1"/>
    <col min="6" max="10" width="15.77734375" customWidth="1"/>
    <col min="12" max="12" width="12.88671875" customWidth="1"/>
    <col min="13" max="13" width="8.109375" bestFit="1" customWidth="1"/>
    <col min="14" max="14" width="9.44140625" bestFit="1" customWidth="1"/>
    <col min="16" max="16" width="10.5546875" customWidth="1"/>
  </cols>
  <sheetData>
    <row r="1" spans="1:17" ht="18" x14ac:dyDescent="0.25">
      <c r="A1" s="294" t="s">
        <v>525</v>
      </c>
      <c r="B1" s="294"/>
      <c r="C1" s="294"/>
      <c r="D1" s="294"/>
      <c r="E1" s="294"/>
      <c r="F1" s="294"/>
      <c r="G1" s="294"/>
      <c r="H1" s="294"/>
      <c r="I1" s="294"/>
      <c r="J1" s="294"/>
      <c r="K1" s="23"/>
      <c r="L1" s="23"/>
      <c r="M1" s="23"/>
    </row>
    <row r="2" spans="1:17" ht="18" x14ac:dyDescent="0.25">
      <c r="A2" s="294" t="s">
        <v>255</v>
      </c>
      <c r="B2" s="294"/>
      <c r="C2" s="294"/>
      <c r="D2" s="294"/>
      <c r="E2" s="294"/>
      <c r="F2" s="294"/>
      <c r="G2" s="294"/>
      <c r="H2" s="294"/>
      <c r="I2" s="294"/>
      <c r="J2" s="294"/>
      <c r="K2" s="23"/>
      <c r="L2" s="23"/>
      <c r="M2" s="23"/>
    </row>
    <row r="3" spans="1:17" s="97" customFormat="1" ht="13.8" x14ac:dyDescent="0.25">
      <c r="A3" s="112"/>
      <c r="B3" s="112"/>
      <c r="C3" s="112"/>
      <c r="D3" s="112"/>
      <c r="E3" s="112"/>
      <c r="F3" s="113"/>
      <c r="G3" s="113"/>
      <c r="H3" s="113"/>
      <c r="I3" s="113"/>
      <c r="J3" s="113"/>
      <c r="K3" s="113"/>
      <c r="L3" s="113"/>
      <c r="M3" s="113"/>
    </row>
    <row r="4" spans="1:17" ht="46.8" x14ac:dyDescent="0.25">
      <c r="A4" s="284"/>
      <c r="B4" s="284"/>
      <c r="C4" s="284"/>
      <c r="D4" s="284"/>
      <c r="E4" s="284"/>
      <c r="F4" s="122" t="s">
        <v>518</v>
      </c>
      <c r="G4" s="121" t="s">
        <v>514</v>
      </c>
      <c r="H4" s="121" t="s">
        <v>515</v>
      </c>
      <c r="I4" s="121" t="s">
        <v>516</v>
      </c>
      <c r="J4" s="121" t="s">
        <v>517</v>
      </c>
      <c r="L4" s="104"/>
      <c r="M4" s="104"/>
      <c r="N4" s="104"/>
      <c r="O4" s="104"/>
      <c r="P4" s="104"/>
      <c r="Q4" s="80"/>
    </row>
    <row r="5" spans="1:17" ht="15.6" x14ac:dyDescent="0.3">
      <c r="A5" s="123" t="s">
        <v>415</v>
      </c>
      <c r="B5" s="298" t="s">
        <v>416</v>
      </c>
      <c r="C5" s="298"/>
      <c r="D5" s="298"/>
      <c r="E5" s="298"/>
      <c r="F5" s="297" t="s">
        <v>9</v>
      </c>
      <c r="G5" s="297"/>
      <c r="H5" s="297"/>
      <c r="I5" s="297"/>
      <c r="J5" s="297"/>
      <c r="K5" s="95"/>
      <c r="L5" s="98"/>
      <c r="M5" s="99"/>
      <c r="N5" s="100"/>
      <c r="O5" s="101"/>
      <c r="P5" s="102"/>
      <c r="Q5" s="80"/>
    </row>
    <row r="6" spans="1:17" ht="14.4" x14ac:dyDescent="0.3">
      <c r="A6" s="123" t="s">
        <v>241</v>
      </c>
      <c r="B6" s="298" t="s">
        <v>242</v>
      </c>
      <c r="C6" s="298"/>
      <c r="D6" s="298"/>
      <c r="E6" s="298"/>
      <c r="F6" s="116">
        <v>100000</v>
      </c>
      <c r="G6" s="116">
        <v>100000</v>
      </c>
      <c r="H6" s="116"/>
      <c r="I6" s="116"/>
      <c r="J6" s="116"/>
      <c r="K6" s="96"/>
      <c r="L6" s="103"/>
      <c r="M6" s="103"/>
      <c r="N6" s="103"/>
      <c r="O6" s="103"/>
      <c r="P6" s="94"/>
      <c r="Q6" s="80"/>
    </row>
    <row r="7" spans="1:17" ht="14.4" x14ac:dyDescent="0.3">
      <c r="A7" s="123" t="s">
        <v>243</v>
      </c>
      <c r="B7" s="298" t="s">
        <v>244</v>
      </c>
      <c r="C7" s="298"/>
      <c r="D7" s="298"/>
      <c r="E7" s="298"/>
      <c r="F7" s="116">
        <v>6500000</v>
      </c>
      <c r="G7" s="116">
        <v>6500000</v>
      </c>
      <c r="H7" s="116"/>
      <c r="I7" s="116"/>
      <c r="J7" s="116"/>
      <c r="K7" s="96"/>
      <c r="L7" s="103"/>
      <c r="M7" s="103"/>
      <c r="N7" s="103"/>
      <c r="O7" s="103"/>
      <c r="P7" s="94"/>
      <c r="Q7" s="80"/>
    </row>
    <row r="8" spans="1:17" ht="14.4" x14ac:dyDescent="0.3">
      <c r="A8" s="123" t="s">
        <v>245</v>
      </c>
      <c r="B8" s="298" t="s">
        <v>246</v>
      </c>
      <c r="C8" s="298"/>
      <c r="D8" s="298"/>
      <c r="E8" s="298"/>
      <c r="F8" s="116">
        <v>2200000</v>
      </c>
      <c r="G8" s="116">
        <v>2200000</v>
      </c>
      <c r="H8" s="116"/>
      <c r="I8" s="116"/>
      <c r="J8" s="116"/>
      <c r="K8" s="96"/>
      <c r="L8" s="103"/>
      <c r="M8" s="103"/>
      <c r="N8" s="103"/>
      <c r="O8" s="103"/>
      <c r="P8" s="94"/>
      <c r="Q8" s="80"/>
    </row>
    <row r="9" spans="1:17" ht="14.4" x14ac:dyDescent="0.3">
      <c r="A9" s="123" t="s">
        <v>247</v>
      </c>
      <c r="B9" s="298" t="s">
        <v>248</v>
      </c>
      <c r="C9" s="298"/>
      <c r="D9" s="298"/>
      <c r="E9" s="298"/>
      <c r="F9" s="116">
        <v>0</v>
      </c>
      <c r="G9" s="116">
        <v>0</v>
      </c>
      <c r="H9" s="116"/>
      <c r="I9" s="116"/>
      <c r="J9" s="116"/>
      <c r="K9" s="96"/>
      <c r="L9" s="103"/>
      <c r="M9" s="103"/>
      <c r="N9" s="103"/>
      <c r="O9" s="103"/>
      <c r="P9" s="94"/>
      <c r="Q9" s="80"/>
    </row>
    <row r="10" spans="1:17" ht="14.4" x14ac:dyDescent="0.3">
      <c r="A10" s="123" t="s">
        <v>249</v>
      </c>
      <c r="B10" s="298" t="s">
        <v>250</v>
      </c>
      <c r="C10" s="298"/>
      <c r="D10" s="298"/>
      <c r="E10" s="298"/>
      <c r="F10" s="116">
        <v>2400000</v>
      </c>
      <c r="G10" s="116">
        <v>2400000</v>
      </c>
      <c r="H10" s="116"/>
      <c r="I10" s="116"/>
      <c r="J10" s="116"/>
      <c r="K10" s="96"/>
      <c r="L10" s="103"/>
      <c r="M10" s="103"/>
      <c r="N10" s="103"/>
      <c r="O10" s="103"/>
      <c r="P10" s="94"/>
      <c r="Q10" s="80"/>
    </row>
    <row r="11" spans="1:17" ht="14.4" x14ac:dyDescent="0.3">
      <c r="A11" s="123" t="s">
        <v>251</v>
      </c>
      <c r="B11" s="298" t="s">
        <v>252</v>
      </c>
      <c r="C11" s="298"/>
      <c r="D11" s="298"/>
      <c r="E11" s="298"/>
      <c r="F11" s="116">
        <v>100000</v>
      </c>
      <c r="G11" s="116">
        <v>100000</v>
      </c>
      <c r="H11" s="116"/>
      <c r="I11" s="116"/>
      <c r="J11" s="116"/>
      <c r="K11" s="96"/>
      <c r="L11" s="103"/>
      <c r="M11" s="103"/>
      <c r="N11" s="103"/>
      <c r="O11" s="103"/>
      <c r="P11" s="94"/>
      <c r="Q11" s="80"/>
    </row>
    <row r="12" spans="1:17" s="109" customFormat="1" ht="14.4" x14ac:dyDescent="0.3">
      <c r="A12" s="123" t="s">
        <v>519</v>
      </c>
      <c r="B12" s="298" t="s">
        <v>524</v>
      </c>
      <c r="C12" s="298"/>
      <c r="D12" s="298"/>
      <c r="E12" s="298"/>
      <c r="F12" s="116">
        <v>0</v>
      </c>
      <c r="G12" s="116">
        <v>0</v>
      </c>
      <c r="H12" s="116"/>
      <c r="I12" s="116"/>
      <c r="J12" s="116"/>
      <c r="K12" s="96"/>
      <c r="L12" s="103"/>
      <c r="M12" s="103"/>
      <c r="N12" s="103"/>
      <c r="O12" s="103"/>
      <c r="P12" s="94"/>
      <c r="Q12" s="80"/>
    </row>
    <row r="13" spans="1:17" ht="14.4" x14ac:dyDescent="0.3">
      <c r="A13" s="123" t="s">
        <v>520</v>
      </c>
      <c r="B13" s="298" t="s">
        <v>253</v>
      </c>
      <c r="C13" s="298"/>
      <c r="D13" s="298"/>
      <c r="E13" s="298"/>
      <c r="F13" s="116">
        <v>0</v>
      </c>
      <c r="G13" s="116">
        <v>0</v>
      </c>
      <c r="H13" s="116"/>
      <c r="I13" s="116"/>
      <c r="J13" s="116"/>
      <c r="K13" s="96"/>
      <c r="L13" s="103"/>
      <c r="M13" s="103"/>
      <c r="N13" s="103"/>
      <c r="O13" s="103"/>
      <c r="P13" s="94"/>
      <c r="Q13" s="80"/>
    </row>
    <row r="14" spans="1:17" s="1" customFormat="1" ht="14.4" x14ac:dyDescent="0.3">
      <c r="A14" s="125" t="s">
        <v>254</v>
      </c>
      <c r="B14" s="299" t="s">
        <v>225</v>
      </c>
      <c r="C14" s="299"/>
      <c r="D14" s="299"/>
      <c r="E14" s="299"/>
      <c r="F14" s="117">
        <f>SUM(F6:F13)</f>
        <v>11300000</v>
      </c>
      <c r="G14" s="117">
        <f>SUM(G6:G13)</f>
        <v>11300000</v>
      </c>
      <c r="H14" s="117">
        <f>SUM(H9:H13)</f>
        <v>0</v>
      </c>
      <c r="I14" s="117">
        <f>SUM(I9:I13)</f>
        <v>0</v>
      </c>
      <c r="J14" s="117">
        <f>SUM(J9:J13)</f>
        <v>0</v>
      </c>
      <c r="K14" s="94"/>
      <c r="L14" s="94"/>
      <c r="M14" s="94"/>
      <c r="N14" s="94"/>
      <c r="O14" s="94"/>
      <c r="P14" s="94"/>
      <c r="Q14" s="16"/>
    </row>
    <row r="15" spans="1:17" s="1" customFormat="1" ht="14.4" x14ac:dyDescent="0.3">
      <c r="A15" s="92"/>
      <c r="B15" s="93"/>
      <c r="C15" s="93"/>
      <c r="D15" s="93"/>
      <c r="E15" s="93"/>
      <c r="F15" s="118"/>
      <c r="G15" s="118"/>
      <c r="H15" s="118"/>
      <c r="I15" s="118"/>
      <c r="J15" s="118"/>
      <c r="K15" s="94"/>
      <c r="L15" s="94"/>
      <c r="M15" s="94"/>
      <c r="N15" s="94"/>
      <c r="O15" s="94"/>
      <c r="P15" s="94"/>
      <c r="Q15" s="16"/>
    </row>
    <row r="16" spans="1:17" s="1" customFormat="1" ht="15.6" customHeight="1" x14ac:dyDescent="0.3">
      <c r="A16" s="123" t="s">
        <v>415</v>
      </c>
      <c r="B16" s="298" t="s">
        <v>416</v>
      </c>
      <c r="C16" s="298"/>
      <c r="D16" s="298"/>
      <c r="E16" s="298"/>
      <c r="F16" s="300" t="s">
        <v>521</v>
      </c>
      <c r="G16" s="300"/>
      <c r="H16" s="300"/>
      <c r="I16" s="300"/>
      <c r="J16" s="300"/>
      <c r="K16" s="94"/>
      <c r="L16" s="94"/>
      <c r="M16" s="94"/>
      <c r="N16" s="94"/>
      <c r="O16" s="94"/>
      <c r="P16" s="94"/>
      <c r="Q16" s="16"/>
    </row>
    <row r="17" spans="1:17" s="1" customFormat="1" ht="14.4" customHeight="1" x14ac:dyDescent="0.3">
      <c r="A17" s="123" t="s">
        <v>241</v>
      </c>
      <c r="B17" s="298" t="s">
        <v>242</v>
      </c>
      <c r="C17" s="298"/>
      <c r="D17" s="298"/>
      <c r="E17" s="298"/>
      <c r="F17" s="116">
        <v>0</v>
      </c>
      <c r="G17" s="116">
        <v>0</v>
      </c>
      <c r="H17" s="116"/>
      <c r="I17" s="116"/>
      <c r="J17" s="116"/>
      <c r="K17" s="94"/>
      <c r="L17" s="94"/>
      <c r="M17" s="94"/>
      <c r="N17" s="94"/>
      <c r="O17" s="94"/>
      <c r="P17" s="94"/>
      <c r="Q17" s="16"/>
    </row>
    <row r="18" spans="1:17" s="1" customFormat="1" ht="14.4" customHeight="1" x14ac:dyDescent="0.3">
      <c r="A18" s="123" t="s">
        <v>243</v>
      </c>
      <c r="B18" s="298" t="s">
        <v>244</v>
      </c>
      <c r="C18" s="298"/>
      <c r="D18" s="298"/>
      <c r="E18" s="298"/>
      <c r="F18" s="116">
        <v>0</v>
      </c>
      <c r="G18" s="116">
        <v>0</v>
      </c>
      <c r="H18" s="116"/>
      <c r="I18" s="116"/>
      <c r="J18" s="116"/>
      <c r="K18" s="94"/>
      <c r="L18" s="94"/>
      <c r="M18" s="94"/>
      <c r="N18" s="94"/>
      <c r="O18" s="94"/>
      <c r="P18" s="94"/>
      <c r="Q18" s="16"/>
    </row>
    <row r="19" spans="1:17" s="1" customFormat="1" ht="14.4" customHeight="1" x14ac:dyDescent="0.3">
      <c r="A19" s="123" t="s">
        <v>245</v>
      </c>
      <c r="B19" s="298" t="s">
        <v>246</v>
      </c>
      <c r="C19" s="298"/>
      <c r="D19" s="298"/>
      <c r="E19" s="298"/>
      <c r="F19" s="116">
        <v>0</v>
      </c>
      <c r="G19" s="116">
        <v>0</v>
      </c>
      <c r="H19" s="116"/>
      <c r="I19" s="116"/>
      <c r="J19" s="116"/>
      <c r="K19" s="94"/>
      <c r="L19" s="94"/>
      <c r="M19" s="94"/>
      <c r="N19" s="94"/>
      <c r="O19" s="94"/>
      <c r="P19" s="94"/>
      <c r="Q19" s="16"/>
    </row>
    <row r="20" spans="1:17" s="1" customFormat="1" ht="14.4" customHeight="1" x14ac:dyDescent="0.3">
      <c r="A20" s="123" t="s">
        <v>247</v>
      </c>
      <c r="B20" s="298" t="s">
        <v>248</v>
      </c>
      <c r="C20" s="298"/>
      <c r="D20" s="298"/>
      <c r="E20" s="298"/>
      <c r="F20" s="116">
        <v>10500000</v>
      </c>
      <c r="G20" s="116">
        <v>10106300</v>
      </c>
      <c r="H20" s="116"/>
      <c r="I20" s="116"/>
      <c r="J20" s="116"/>
      <c r="K20" s="94"/>
      <c r="L20" s="94"/>
      <c r="M20" s="94"/>
      <c r="N20" s="94"/>
      <c r="O20" s="94"/>
      <c r="P20" s="94"/>
      <c r="Q20" s="16"/>
    </row>
    <row r="21" spans="1:17" s="1" customFormat="1" ht="14.4" customHeight="1" x14ac:dyDescent="0.3">
      <c r="A21" s="123" t="s">
        <v>249</v>
      </c>
      <c r="B21" s="298" t="s">
        <v>250</v>
      </c>
      <c r="C21" s="298"/>
      <c r="D21" s="298"/>
      <c r="E21" s="298"/>
      <c r="F21" s="116">
        <v>2800000</v>
      </c>
      <c r="G21" s="116">
        <v>2693700</v>
      </c>
      <c r="H21" s="116"/>
      <c r="I21" s="116"/>
      <c r="J21" s="116"/>
      <c r="K21" s="94"/>
      <c r="L21" s="94"/>
      <c r="M21" s="94"/>
      <c r="N21" s="94"/>
      <c r="O21" s="94"/>
      <c r="P21" s="94"/>
      <c r="Q21" s="16"/>
    </row>
    <row r="22" spans="1:17" s="1" customFormat="1" ht="14.4" customHeight="1" x14ac:dyDescent="0.3">
      <c r="A22" s="123" t="s">
        <v>251</v>
      </c>
      <c r="B22" s="298" t="s">
        <v>252</v>
      </c>
      <c r="C22" s="298"/>
      <c r="D22" s="298"/>
      <c r="E22" s="298"/>
      <c r="F22" s="116">
        <v>50000</v>
      </c>
      <c r="G22" s="116">
        <v>50000</v>
      </c>
      <c r="H22" s="116"/>
      <c r="I22" s="116"/>
      <c r="J22" s="116"/>
      <c r="K22" s="94"/>
      <c r="L22" s="94"/>
      <c r="M22" s="94"/>
      <c r="N22" s="94"/>
      <c r="O22" s="94"/>
      <c r="P22" s="94"/>
      <c r="Q22" s="16"/>
    </row>
    <row r="23" spans="1:17" s="1" customFormat="1" ht="14.4" customHeight="1" x14ac:dyDescent="0.3">
      <c r="A23" s="123" t="s">
        <v>519</v>
      </c>
      <c r="B23" s="298" t="s">
        <v>524</v>
      </c>
      <c r="C23" s="298"/>
      <c r="D23" s="298"/>
      <c r="E23" s="298"/>
      <c r="F23" s="116">
        <v>0</v>
      </c>
      <c r="G23" s="116">
        <v>0</v>
      </c>
      <c r="H23" s="116"/>
      <c r="I23" s="116"/>
      <c r="J23" s="116"/>
      <c r="K23" s="94"/>
      <c r="L23" s="94"/>
      <c r="M23" s="94"/>
      <c r="N23" s="94"/>
      <c r="O23" s="94"/>
      <c r="P23" s="94"/>
      <c r="Q23" s="16"/>
    </row>
    <row r="24" spans="1:17" s="1" customFormat="1" ht="14.4" customHeight="1" x14ac:dyDescent="0.3">
      <c r="A24" s="123" t="s">
        <v>520</v>
      </c>
      <c r="B24" s="298" t="s">
        <v>253</v>
      </c>
      <c r="C24" s="298"/>
      <c r="D24" s="298"/>
      <c r="E24" s="298"/>
      <c r="F24" s="116">
        <v>0</v>
      </c>
      <c r="G24" s="116">
        <v>0</v>
      </c>
      <c r="H24" s="116"/>
      <c r="I24" s="116"/>
      <c r="J24" s="116"/>
      <c r="K24" s="94"/>
      <c r="L24" s="94"/>
      <c r="M24" s="94"/>
      <c r="N24" s="94"/>
      <c r="O24" s="94"/>
      <c r="P24" s="94"/>
      <c r="Q24" s="16"/>
    </row>
    <row r="25" spans="1:17" s="1" customFormat="1" ht="14.4" customHeight="1" x14ac:dyDescent="0.3">
      <c r="A25" s="125" t="s">
        <v>254</v>
      </c>
      <c r="B25" s="299" t="s">
        <v>225</v>
      </c>
      <c r="C25" s="299"/>
      <c r="D25" s="299"/>
      <c r="E25" s="299"/>
      <c r="F25" s="117">
        <f>SUM(F17:F24)</f>
        <v>13350000</v>
      </c>
      <c r="G25" s="117">
        <f>SUM(G17:G24)</f>
        <v>12850000</v>
      </c>
      <c r="H25" s="117">
        <f>SUM(H20:H24)</f>
        <v>0</v>
      </c>
      <c r="I25" s="117">
        <f>SUM(I20:I24)</f>
        <v>0</v>
      </c>
      <c r="J25" s="117">
        <f>SUM(J20:J24)</f>
        <v>0</v>
      </c>
      <c r="K25" s="94"/>
      <c r="L25" s="94"/>
      <c r="M25" s="94"/>
      <c r="N25" s="94"/>
      <c r="O25" s="94"/>
      <c r="P25" s="94"/>
      <c r="Q25" s="16"/>
    </row>
    <row r="26" spans="1:17" s="1" customFormat="1" ht="14.4" x14ac:dyDescent="0.3">
      <c r="A26" s="92"/>
      <c r="B26" s="93"/>
      <c r="C26" s="93"/>
      <c r="D26" s="93"/>
      <c r="E26" s="93"/>
      <c r="F26" s="118"/>
      <c r="G26" s="118"/>
      <c r="H26" s="118"/>
      <c r="I26" s="118"/>
      <c r="J26" s="118"/>
      <c r="K26" s="94"/>
      <c r="L26" s="94"/>
      <c r="M26" s="94"/>
      <c r="N26" s="94"/>
      <c r="O26" s="94"/>
      <c r="P26" s="94"/>
      <c r="Q26" s="16"/>
    </row>
    <row r="27" spans="1:17" s="1" customFormat="1" ht="15.6" x14ac:dyDescent="0.3">
      <c r="A27" s="123" t="s">
        <v>415</v>
      </c>
      <c r="B27" s="298" t="s">
        <v>416</v>
      </c>
      <c r="C27" s="298"/>
      <c r="D27" s="298"/>
      <c r="E27" s="298"/>
      <c r="F27" s="301" t="s">
        <v>522</v>
      </c>
      <c r="G27" s="301"/>
      <c r="H27" s="301"/>
      <c r="I27" s="301"/>
      <c r="J27" s="301"/>
      <c r="K27" s="94"/>
      <c r="L27" s="94"/>
      <c r="M27" s="94"/>
      <c r="N27" s="94"/>
      <c r="O27" s="94"/>
      <c r="P27" s="94"/>
      <c r="Q27" s="16"/>
    </row>
    <row r="28" spans="1:17" s="1" customFormat="1" ht="14.4" x14ac:dyDescent="0.3">
      <c r="A28" s="123" t="s">
        <v>241</v>
      </c>
      <c r="B28" s="298" t="s">
        <v>242</v>
      </c>
      <c r="C28" s="298"/>
      <c r="D28" s="298"/>
      <c r="E28" s="298"/>
      <c r="F28" s="116">
        <v>0</v>
      </c>
      <c r="G28" s="116">
        <v>0</v>
      </c>
      <c r="H28" s="116"/>
      <c r="I28" s="116"/>
      <c r="J28" s="116"/>
      <c r="K28" s="94"/>
      <c r="L28" s="94"/>
      <c r="M28" s="94"/>
      <c r="N28" s="94"/>
      <c r="O28" s="94"/>
      <c r="P28" s="94"/>
      <c r="Q28" s="16"/>
    </row>
    <row r="29" spans="1:17" s="1" customFormat="1" ht="14.4" x14ac:dyDescent="0.3">
      <c r="A29" s="123" t="s">
        <v>243</v>
      </c>
      <c r="B29" s="298" t="s">
        <v>244</v>
      </c>
      <c r="C29" s="298"/>
      <c r="D29" s="298"/>
      <c r="E29" s="298"/>
      <c r="F29" s="116">
        <v>0</v>
      </c>
      <c r="G29" s="116">
        <v>0</v>
      </c>
      <c r="H29" s="116"/>
      <c r="I29" s="116"/>
      <c r="J29" s="116"/>
      <c r="K29" s="94"/>
      <c r="L29" s="94"/>
      <c r="M29" s="94"/>
      <c r="N29" s="94"/>
      <c r="O29" s="94"/>
      <c r="P29" s="94"/>
      <c r="Q29" s="16"/>
    </row>
    <row r="30" spans="1:17" s="1" customFormat="1" ht="14.4" x14ac:dyDescent="0.3">
      <c r="A30" s="123" t="s">
        <v>245</v>
      </c>
      <c r="B30" s="298" t="s">
        <v>246</v>
      </c>
      <c r="C30" s="298"/>
      <c r="D30" s="298"/>
      <c r="E30" s="298"/>
      <c r="F30" s="116">
        <v>0</v>
      </c>
      <c r="G30" s="116">
        <v>0</v>
      </c>
      <c r="H30" s="116"/>
      <c r="I30" s="116"/>
      <c r="J30" s="116"/>
      <c r="K30" s="94"/>
      <c r="L30" s="94"/>
      <c r="M30" s="94"/>
      <c r="N30" s="94"/>
      <c r="O30" s="94"/>
      <c r="P30" s="94"/>
      <c r="Q30" s="16"/>
    </row>
    <row r="31" spans="1:17" s="1" customFormat="1" ht="14.4" x14ac:dyDescent="0.3">
      <c r="A31" s="123" t="s">
        <v>247</v>
      </c>
      <c r="B31" s="298" t="s">
        <v>248</v>
      </c>
      <c r="C31" s="298"/>
      <c r="D31" s="298"/>
      <c r="E31" s="298"/>
      <c r="F31" s="116">
        <v>0</v>
      </c>
      <c r="G31" s="116">
        <v>0</v>
      </c>
      <c r="H31" s="116"/>
      <c r="I31" s="116"/>
      <c r="J31" s="116"/>
      <c r="K31" s="94"/>
      <c r="L31" s="94"/>
      <c r="M31" s="94"/>
      <c r="N31" s="94"/>
      <c r="O31" s="94"/>
      <c r="P31" s="94"/>
      <c r="Q31" s="16"/>
    </row>
    <row r="32" spans="1:17" s="1" customFormat="1" ht="14.4" x14ac:dyDescent="0.3">
      <c r="A32" s="123" t="s">
        <v>249</v>
      </c>
      <c r="B32" s="298" t="s">
        <v>250</v>
      </c>
      <c r="C32" s="298"/>
      <c r="D32" s="298"/>
      <c r="E32" s="298"/>
      <c r="F32" s="116">
        <v>0</v>
      </c>
      <c r="G32" s="116">
        <v>0</v>
      </c>
      <c r="H32" s="116"/>
      <c r="I32" s="116"/>
      <c r="J32" s="116"/>
      <c r="K32" s="94"/>
      <c r="L32" s="94"/>
      <c r="M32" s="94"/>
      <c r="N32" s="94"/>
      <c r="O32" s="94"/>
      <c r="P32" s="94"/>
      <c r="Q32" s="16"/>
    </row>
    <row r="33" spans="1:17" s="1" customFormat="1" ht="14.4" x14ac:dyDescent="0.3">
      <c r="A33" s="123" t="s">
        <v>251</v>
      </c>
      <c r="B33" s="298" t="s">
        <v>252</v>
      </c>
      <c r="C33" s="298"/>
      <c r="D33" s="298"/>
      <c r="E33" s="298"/>
      <c r="F33" s="116">
        <v>0</v>
      </c>
      <c r="G33" s="116">
        <v>0</v>
      </c>
      <c r="H33" s="116"/>
      <c r="I33" s="116"/>
      <c r="J33" s="116"/>
      <c r="K33" s="94"/>
      <c r="L33" s="94"/>
      <c r="M33" s="94"/>
      <c r="N33" s="94"/>
      <c r="O33" s="94"/>
      <c r="P33" s="94"/>
      <c r="Q33" s="16"/>
    </row>
    <row r="34" spans="1:17" s="1" customFormat="1" ht="14.4" x14ac:dyDescent="0.3">
      <c r="A34" s="123" t="s">
        <v>519</v>
      </c>
      <c r="B34" s="298" t="s">
        <v>524</v>
      </c>
      <c r="C34" s="298"/>
      <c r="D34" s="298"/>
      <c r="E34" s="298"/>
      <c r="F34" s="116">
        <v>0</v>
      </c>
      <c r="G34" s="116">
        <v>0</v>
      </c>
      <c r="H34" s="116"/>
      <c r="I34" s="116"/>
      <c r="J34" s="116"/>
      <c r="K34" s="94"/>
      <c r="L34" s="94"/>
      <c r="M34" s="94"/>
      <c r="N34" s="94"/>
      <c r="O34" s="94"/>
      <c r="P34" s="94"/>
      <c r="Q34" s="16"/>
    </row>
    <row r="35" spans="1:17" s="1" customFormat="1" ht="14.4" x14ac:dyDescent="0.3">
      <c r="A35" s="123" t="s">
        <v>520</v>
      </c>
      <c r="B35" s="298" t="s">
        <v>253</v>
      </c>
      <c r="C35" s="298"/>
      <c r="D35" s="298"/>
      <c r="E35" s="298"/>
      <c r="F35" s="116">
        <v>0</v>
      </c>
      <c r="G35" s="116">
        <v>0</v>
      </c>
      <c r="H35" s="116"/>
      <c r="I35" s="116"/>
      <c r="J35" s="116"/>
      <c r="K35" s="94"/>
      <c r="L35" s="94"/>
      <c r="M35" s="94"/>
      <c r="N35" s="94"/>
      <c r="O35" s="94"/>
      <c r="P35" s="94"/>
      <c r="Q35" s="16"/>
    </row>
    <row r="36" spans="1:17" s="1" customFormat="1" ht="14.4" x14ac:dyDescent="0.3">
      <c r="A36" s="125" t="s">
        <v>254</v>
      </c>
      <c r="B36" s="299" t="s">
        <v>225</v>
      </c>
      <c r="C36" s="299"/>
      <c r="D36" s="299"/>
      <c r="E36" s="299"/>
      <c r="F36" s="117">
        <f>SUM(F28:F35)</f>
        <v>0</v>
      </c>
      <c r="G36" s="117">
        <f>SUM(G31:G35)</f>
        <v>0</v>
      </c>
      <c r="H36" s="117">
        <f>SUM(H31:H35)</f>
        <v>0</v>
      </c>
      <c r="I36" s="117">
        <f>SUM(I31:I35)</f>
        <v>0</v>
      </c>
      <c r="J36" s="117">
        <f>SUM(J31:J35)</f>
        <v>0</v>
      </c>
      <c r="K36" s="94"/>
      <c r="L36" s="94"/>
      <c r="M36" s="94"/>
      <c r="N36" s="94"/>
      <c r="O36" s="94"/>
      <c r="P36" s="94"/>
      <c r="Q36" s="16"/>
    </row>
    <row r="37" spans="1:17" s="1" customFormat="1" ht="14.4" x14ac:dyDescent="0.3">
      <c r="A37" s="92"/>
      <c r="B37" s="93"/>
      <c r="C37" s="93"/>
      <c r="D37" s="93"/>
      <c r="E37" s="93"/>
      <c r="F37" s="118"/>
      <c r="G37" s="118"/>
      <c r="H37" s="118"/>
      <c r="I37" s="118"/>
      <c r="J37" s="118"/>
      <c r="K37" s="94"/>
      <c r="L37" s="94"/>
      <c r="M37" s="94"/>
      <c r="N37" s="94"/>
      <c r="O37" s="94"/>
      <c r="P37" s="94"/>
      <c r="Q37" s="16"/>
    </row>
    <row r="38" spans="1:17" ht="15.6" x14ac:dyDescent="0.25">
      <c r="A38" s="123" t="s">
        <v>415</v>
      </c>
      <c r="B38" s="298" t="s">
        <v>416</v>
      </c>
      <c r="C38" s="298"/>
      <c r="D38" s="298"/>
      <c r="E38" s="298"/>
      <c r="F38" s="302" t="s">
        <v>523</v>
      </c>
      <c r="G38" s="302"/>
      <c r="H38" s="302"/>
      <c r="I38" s="302"/>
      <c r="J38" s="302"/>
      <c r="K38" s="80"/>
      <c r="L38" s="104"/>
      <c r="M38" s="104"/>
      <c r="N38" s="104"/>
      <c r="O38" s="104"/>
      <c r="P38" s="104"/>
      <c r="Q38" s="80"/>
    </row>
    <row r="39" spans="1:17" ht="14.4" x14ac:dyDescent="0.3">
      <c r="A39" s="123" t="s">
        <v>241</v>
      </c>
      <c r="B39" s="298" t="s">
        <v>242</v>
      </c>
      <c r="C39" s="298"/>
      <c r="D39" s="298"/>
      <c r="E39" s="298"/>
      <c r="F39" s="116">
        <v>0</v>
      </c>
      <c r="G39" s="116">
        <v>0</v>
      </c>
      <c r="H39" s="116"/>
      <c r="I39" s="116"/>
      <c r="J39" s="116"/>
      <c r="K39" s="95"/>
      <c r="L39" s="98"/>
      <c r="M39" s="99"/>
      <c r="N39" s="100"/>
      <c r="O39" s="101"/>
      <c r="P39" s="102"/>
      <c r="Q39" s="80"/>
    </row>
    <row r="40" spans="1:17" ht="14.4" x14ac:dyDescent="0.3">
      <c r="A40" s="123" t="s">
        <v>243</v>
      </c>
      <c r="B40" s="298" t="s">
        <v>244</v>
      </c>
      <c r="C40" s="298"/>
      <c r="D40" s="298"/>
      <c r="E40" s="298"/>
      <c r="F40" s="116">
        <v>400000</v>
      </c>
      <c r="G40" s="116">
        <v>400000</v>
      </c>
      <c r="H40" s="116"/>
      <c r="I40" s="116"/>
      <c r="J40" s="116"/>
      <c r="K40" s="96"/>
      <c r="L40" s="103"/>
      <c r="M40" s="103"/>
      <c r="N40" s="103"/>
      <c r="O40" s="103"/>
      <c r="P40" s="94"/>
    </row>
    <row r="41" spans="1:17" ht="14.4" x14ac:dyDescent="0.3">
      <c r="A41" s="123" t="s">
        <v>245</v>
      </c>
      <c r="B41" s="298" t="s">
        <v>246</v>
      </c>
      <c r="C41" s="298"/>
      <c r="D41" s="298"/>
      <c r="E41" s="298"/>
      <c r="F41" s="116">
        <v>0</v>
      </c>
      <c r="G41" s="116">
        <v>0</v>
      </c>
      <c r="H41" s="116"/>
      <c r="I41" s="116"/>
      <c r="J41" s="116"/>
      <c r="K41" s="96"/>
      <c r="L41" s="103"/>
      <c r="M41" s="103"/>
      <c r="N41" s="103"/>
      <c r="O41" s="103"/>
      <c r="P41" s="94"/>
    </row>
    <row r="42" spans="1:17" ht="14.4" x14ac:dyDescent="0.3">
      <c r="A42" s="123" t="s">
        <v>247</v>
      </c>
      <c r="B42" s="298" t="s">
        <v>248</v>
      </c>
      <c r="C42" s="298"/>
      <c r="D42" s="298"/>
      <c r="E42" s="298"/>
      <c r="F42" s="116">
        <v>0</v>
      </c>
      <c r="G42" s="116">
        <v>500000</v>
      </c>
      <c r="H42" s="116"/>
      <c r="I42" s="116"/>
      <c r="J42" s="116"/>
      <c r="K42" s="96"/>
      <c r="L42" s="103"/>
      <c r="M42" s="103"/>
      <c r="N42" s="103"/>
      <c r="O42" s="103"/>
      <c r="P42" s="94"/>
    </row>
    <row r="43" spans="1:17" ht="14.4" x14ac:dyDescent="0.3">
      <c r="A43" s="123" t="s">
        <v>249</v>
      </c>
      <c r="B43" s="298" t="s">
        <v>250</v>
      </c>
      <c r="C43" s="298"/>
      <c r="D43" s="298"/>
      <c r="E43" s="298"/>
      <c r="F43" s="116">
        <v>0</v>
      </c>
      <c r="G43" s="116">
        <v>0</v>
      </c>
      <c r="H43" s="116"/>
      <c r="I43" s="116"/>
      <c r="J43" s="116"/>
      <c r="K43" s="96"/>
      <c r="L43" s="103"/>
      <c r="M43" s="103"/>
      <c r="N43" s="103"/>
      <c r="O43" s="103"/>
      <c r="P43" s="94"/>
    </row>
    <row r="44" spans="1:17" ht="14.4" x14ac:dyDescent="0.3">
      <c r="A44" s="123" t="s">
        <v>251</v>
      </c>
      <c r="B44" s="298" t="s">
        <v>252</v>
      </c>
      <c r="C44" s="298"/>
      <c r="D44" s="298"/>
      <c r="E44" s="298"/>
      <c r="F44" s="116">
        <v>0</v>
      </c>
      <c r="G44" s="116">
        <v>0</v>
      </c>
      <c r="H44" s="116"/>
      <c r="I44" s="116"/>
      <c r="J44" s="116"/>
      <c r="K44" s="96"/>
      <c r="L44" s="103"/>
      <c r="M44" s="103"/>
      <c r="N44" s="103"/>
      <c r="O44" s="103"/>
      <c r="P44" s="94"/>
    </row>
    <row r="45" spans="1:17" ht="14.4" x14ac:dyDescent="0.3">
      <c r="A45" s="123" t="s">
        <v>519</v>
      </c>
      <c r="B45" s="298" t="s">
        <v>524</v>
      </c>
      <c r="C45" s="298"/>
      <c r="D45" s="298"/>
      <c r="E45" s="298"/>
      <c r="F45" s="116">
        <v>0</v>
      </c>
      <c r="G45" s="116">
        <v>0</v>
      </c>
      <c r="H45" s="116"/>
      <c r="I45" s="116"/>
      <c r="J45" s="116"/>
      <c r="K45" s="96"/>
      <c r="L45" s="103"/>
      <c r="M45" s="103"/>
      <c r="N45" s="103"/>
      <c r="O45" s="103"/>
      <c r="P45" s="94"/>
    </row>
    <row r="46" spans="1:17" ht="14.4" x14ac:dyDescent="0.3">
      <c r="A46" s="123" t="s">
        <v>520</v>
      </c>
      <c r="B46" s="298" t="s">
        <v>253</v>
      </c>
      <c r="C46" s="298"/>
      <c r="D46" s="298"/>
      <c r="E46" s="298"/>
      <c r="F46" s="116">
        <v>0</v>
      </c>
      <c r="G46" s="116">
        <v>0</v>
      </c>
      <c r="H46" s="116"/>
      <c r="I46" s="116"/>
      <c r="J46" s="116"/>
      <c r="K46" s="96"/>
      <c r="L46" s="103"/>
      <c r="M46" s="103"/>
      <c r="N46" s="103"/>
      <c r="O46" s="103"/>
      <c r="P46" s="94"/>
    </row>
    <row r="47" spans="1:17" ht="14.4" x14ac:dyDescent="0.3">
      <c r="A47" s="125" t="s">
        <v>254</v>
      </c>
      <c r="B47" s="299" t="s">
        <v>225</v>
      </c>
      <c r="C47" s="299"/>
      <c r="D47" s="299"/>
      <c r="E47" s="299"/>
      <c r="F47" s="117">
        <f>SUM(F39:F46)</f>
        <v>400000</v>
      </c>
      <c r="G47" s="117">
        <f>SUM(G39:G46)</f>
        <v>900000</v>
      </c>
      <c r="H47" s="117">
        <f>SUM(H42:H46)</f>
        <v>0</v>
      </c>
      <c r="I47" s="117">
        <f>SUM(I42:I46)</f>
        <v>0</v>
      </c>
      <c r="J47" s="117">
        <f>SUM(J42:J46)</f>
        <v>0</v>
      </c>
      <c r="K47" s="94"/>
      <c r="L47" s="94"/>
      <c r="M47" s="94"/>
      <c r="N47" s="94"/>
      <c r="O47" s="94"/>
      <c r="P47" s="94"/>
    </row>
    <row r="48" spans="1:17" x14ac:dyDescent="0.25">
      <c r="F48" s="44"/>
      <c r="G48" s="44"/>
      <c r="H48" s="44"/>
      <c r="I48" s="44"/>
      <c r="J48" s="44"/>
      <c r="K48" s="97"/>
      <c r="L48" s="80"/>
      <c r="M48" s="80"/>
      <c r="N48" s="80"/>
      <c r="O48" s="80"/>
      <c r="P48" s="80"/>
    </row>
  </sheetData>
  <sheetProtection sheet="1" objects="1" scenarios="1"/>
  <mergeCells count="47">
    <mergeCell ref="B32:E32"/>
    <mergeCell ref="B45:E45"/>
    <mergeCell ref="B46:E46"/>
    <mergeCell ref="B40:E40"/>
    <mergeCell ref="B41:E41"/>
    <mergeCell ref="B42:E42"/>
    <mergeCell ref="B43:E43"/>
    <mergeCell ref="B44:E44"/>
    <mergeCell ref="F38:J38"/>
    <mergeCell ref="B36:E36"/>
    <mergeCell ref="B38:E38"/>
    <mergeCell ref="B47:E47"/>
    <mergeCell ref="B33:E33"/>
    <mergeCell ref="F16:J16"/>
    <mergeCell ref="B17:E17"/>
    <mergeCell ref="B18:E18"/>
    <mergeCell ref="B39:E39"/>
    <mergeCell ref="B19:E19"/>
    <mergeCell ref="B20:E20"/>
    <mergeCell ref="B21:E21"/>
    <mergeCell ref="B22:E22"/>
    <mergeCell ref="F27:J27"/>
    <mergeCell ref="B34:E34"/>
    <mergeCell ref="B35:E35"/>
    <mergeCell ref="B16:E16"/>
    <mergeCell ref="B25:E25"/>
    <mergeCell ref="B27:E27"/>
    <mergeCell ref="B28:E28"/>
    <mergeCell ref="B29:E29"/>
    <mergeCell ref="B30:E30"/>
    <mergeCell ref="B31:E31"/>
    <mergeCell ref="B9:E9"/>
    <mergeCell ref="B10:E10"/>
    <mergeCell ref="B13:E13"/>
    <mergeCell ref="B11:E11"/>
    <mergeCell ref="B23:E23"/>
    <mergeCell ref="B24:E24"/>
    <mergeCell ref="A1:J1"/>
    <mergeCell ref="A2:J2"/>
    <mergeCell ref="F5:J5"/>
    <mergeCell ref="B12:E12"/>
    <mergeCell ref="B14:E14"/>
    <mergeCell ref="A4:E4"/>
    <mergeCell ref="B6:E6"/>
    <mergeCell ref="B7:E7"/>
    <mergeCell ref="B8:E8"/>
    <mergeCell ref="B5:E5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>
    <oddHeader>&amp;R1./b. sz. melléklet
Ft-ban</oddHeader>
  </headerFooter>
  <ignoredErrors>
    <ignoredError sqref="G3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J74"/>
  <sheetViews>
    <sheetView zoomScaleNormal="100" workbookViewId="0">
      <selection activeCell="F28" sqref="F28"/>
    </sheetView>
  </sheetViews>
  <sheetFormatPr defaultRowHeight="13.2" x14ac:dyDescent="0.25"/>
  <cols>
    <col min="1" max="1" width="6.77734375" customWidth="1"/>
    <col min="2" max="2" width="6.21875" customWidth="1"/>
    <col min="3" max="3" width="4.88671875" customWidth="1"/>
    <col min="4" max="4" width="35.21875" bestFit="1" customWidth="1"/>
    <col min="5" max="6" width="15.77734375" customWidth="1"/>
    <col min="7" max="7" width="15.77734375" style="1" customWidth="1"/>
    <col min="8" max="8" width="15.77734375" customWidth="1"/>
    <col min="9" max="9" width="15.77734375" style="3" customWidth="1"/>
  </cols>
  <sheetData>
    <row r="1" spans="1:10" ht="18" x14ac:dyDescent="0.25">
      <c r="A1" s="316" t="s">
        <v>95</v>
      </c>
      <c r="B1" s="316"/>
      <c r="C1" s="316"/>
      <c r="D1" s="316"/>
      <c r="E1" s="316"/>
      <c r="F1" s="316"/>
      <c r="G1" s="316"/>
      <c r="H1" s="316"/>
      <c r="I1" s="316"/>
    </row>
    <row r="2" spans="1:10" ht="18" x14ac:dyDescent="0.25">
      <c r="A2" s="316" t="s">
        <v>539</v>
      </c>
      <c r="B2" s="316"/>
      <c r="C2" s="316"/>
      <c r="D2" s="316"/>
      <c r="E2" s="316"/>
      <c r="F2" s="316"/>
      <c r="G2" s="316"/>
      <c r="H2" s="316"/>
      <c r="I2" s="316"/>
    </row>
    <row r="3" spans="1:10" s="97" customFormat="1" ht="15.6" x14ac:dyDescent="0.25">
      <c r="A3" s="119"/>
      <c r="B3" s="119"/>
      <c r="C3" s="119"/>
      <c r="D3" s="119"/>
      <c r="E3" s="119"/>
      <c r="F3" s="119"/>
      <c r="G3" s="119"/>
      <c r="H3" s="119"/>
      <c r="I3" s="119"/>
    </row>
    <row r="4" spans="1:10" ht="46.8" x14ac:dyDescent="0.25">
      <c r="A4" s="317" t="s">
        <v>537</v>
      </c>
      <c r="B4" s="318"/>
      <c r="C4" s="318"/>
      <c r="D4" s="318"/>
      <c r="E4" s="122" t="s">
        <v>518</v>
      </c>
      <c r="F4" s="121" t="s">
        <v>514</v>
      </c>
      <c r="G4" s="121" t="s">
        <v>515</v>
      </c>
      <c r="H4" s="121" t="s">
        <v>516</v>
      </c>
      <c r="I4" s="121" t="s">
        <v>517</v>
      </c>
    </row>
    <row r="5" spans="1:10" ht="14.4" x14ac:dyDescent="0.3">
      <c r="A5" s="123"/>
      <c r="B5" s="142" t="s">
        <v>528</v>
      </c>
      <c r="C5" s="304" t="s">
        <v>181</v>
      </c>
      <c r="D5" s="304"/>
      <c r="E5" s="144">
        <f>('1(1a).Normatíva'!B53)+('1(1a).Normatíva'!B69)</f>
        <v>162706471</v>
      </c>
      <c r="F5" s="144">
        <f>('1(1a).Normatíva'!C53)+('1(1a).Normatíva'!C69)</f>
        <v>162706471</v>
      </c>
      <c r="G5" s="144"/>
      <c r="H5" s="144"/>
      <c r="I5" s="144"/>
      <c r="J5" s="44"/>
    </row>
    <row r="6" spans="1:10" ht="14.4" x14ac:dyDescent="0.3">
      <c r="A6" s="123"/>
      <c r="B6" s="142" t="s">
        <v>356</v>
      </c>
      <c r="C6" s="304" t="s">
        <v>357</v>
      </c>
      <c r="D6" s="304"/>
      <c r="E6" s="144">
        <f>('1(1a).Normatíva'!B80)-('1(1a).Normatíva'!B73)</f>
        <v>65082500</v>
      </c>
      <c r="F6" s="144">
        <f>('1(1a).Normatíva'!C80)-('1(1a).Normatíva'!C73)</f>
        <v>65327500</v>
      </c>
      <c r="G6" s="144"/>
      <c r="H6" s="144"/>
      <c r="I6" s="144"/>
      <c r="J6" s="44"/>
    </row>
    <row r="7" spans="1:10" s="109" customFormat="1" ht="14.4" x14ac:dyDescent="0.3">
      <c r="A7" s="125" t="s">
        <v>178</v>
      </c>
      <c r="B7" s="299" t="s">
        <v>179</v>
      </c>
      <c r="C7" s="299"/>
      <c r="D7" s="299"/>
      <c r="E7" s="120">
        <f>SUM(E5:E6)</f>
        <v>227788971</v>
      </c>
      <c r="F7" s="120">
        <f t="shared" ref="F7:I7" si="0">SUM(F5:F6)</f>
        <v>228033971</v>
      </c>
      <c r="G7" s="120">
        <f t="shared" si="0"/>
        <v>0</v>
      </c>
      <c r="H7" s="120">
        <f t="shared" si="0"/>
        <v>0</v>
      </c>
      <c r="I7" s="120">
        <f t="shared" si="0"/>
        <v>0</v>
      </c>
      <c r="J7" s="44"/>
    </row>
    <row r="8" spans="1:10" ht="14.4" x14ac:dyDescent="0.3">
      <c r="A8" s="123"/>
      <c r="B8" s="142" t="s">
        <v>433</v>
      </c>
      <c r="C8" s="304" t="s">
        <v>79</v>
      </c>
      <c r="D8" s="304"/>
      <c r="E8" s="195">
        <f>('9(1c).Beruházás felújítás'!F62)</f>
        <v>37108706</v>
      </c>
      <c r="F8" s="195">
        <f>('9(1c).Beruházás felújítás'!F62)</f>
        <v>37108706</v>
      </c>
      <c r="G8" s="195"/>
      <c r="H8" s="195"/>
      <c r="I8" s="195"/>
      <c r="J8" s="44"/>
    </row>
    <row r="9" spans="1:10" ht="14.4" x14ac:dyDescent="0.3">
      <c r="A9" s="123"/>
      <c r="B9" s="142" t="s">
        <v>205</v>
      </c>
      <c r="C9" s="304" t="s">
        <v>206</v>
      </c>
      <c r="D9" s="304"/>
      <c r="E9" s="195">
        <f>('9(1c).Beruházás felújítás'!F63)</f>
        <v>132000000</v>
      </c>
      <c r="F9" s="195">
        <f>('9(1c).Beruházás felújítás'!F63)</f>
        <v>132000000</v>
      </c>
      <c r="G9" s="195"/>
      <c r="H9" s="195"/>
      <c r="I9" s="195"/>
      <c r="J9" s="44"/>
    </row>
    <row r="10" spans="1:10" s="109" customFormat="1" ht="14.4" x14ac:dyDescent="0.3">
      <c r="A10" s="125" t="s">
        <v>182</v>
      </c>
      <c r="B10" s="299" t="s">
        <v>183</v>
      </c>
      <c r="C10" s="299"/>
      <c r="D10" s="299"/>
      <c r="E10" s="120">
        <f>SUM(E8:E9)</f>
        <v>169108706</v>
      </c>
      <c r="F10" s="120">
        <f t="shared" ref="F10:I10" si="1">SUM(F8:F9)</f>
        <v>169108706</v>
      </c>
      <c r="G10" s="120">
        <f t="shared" si="1"/>
        <v>0</v>
      </c>
      <c r="H10" s="120">
        <f t="shared" si="1"/>
        <v>0</v>
      </c>
      <c r="I10" s="120">
        <f t="shared" si="1"/>
        <v>0</v>
      </c>
      <c r="J10" s="44"/>
    </row>
    <row r="11" spans="1:10" ht="28.8" x14ac:dyDescent="0.3">
      <c r="A11" s="123"/>
      <c r="B11" s="142"/>
      <c r="C11" s="142" t="s">
        <v>187</v>
      </c>
      <c r="D11" s="142" t="s">
        <v>188</v>
      </c>
      <c r="E11" s="127">
        <v>45000000</v>
      </c>
      <c r="F11" s="127">
        <v>45000000</v>
      </c>
      <c r="G11" s="127"/>
      <c r="H11" s="127"/>
      <c r="I11" s="127"/>
      <c r="J11" s="44"/>
    </row>
    <row r="12" spans="1:10" ht="28.8" x14ac:dyDescent="0.3">
      <c r="A12" s="123"/>
      <c r="B12" s="142"/>
      <c r="C12" s="142" t="s">
        <v>189</v>
      </c>
      <c r="D12" s="142" t="s">
        <v>190</v>
      </c>
      <c r="E12" s="127">
        <v>7000000</v>
      </c>
      <c r="F12" s="127">
        <v>7000000</v>
      </c>
      <c r="G12" s="127"/>
      <c r="H12" s="127"/>
      <c r="I12" s="127"/>
      <c r="J12" s="44"/>
    </row>
    <row r="13" spans="1:10" ht="28.8" x14ac:dyDescent="0.3">
      <c r="A13" s="123"/>
      <c r="B13" s="142"/>
      <c r="C13" s="142" t="s">
        <v>191</v>
      </c>
      <c r="D13" s="142" t="s">
        <v>192</v>
      </c>
      <c r="E13" s="127">
        <v>0</v>
      </c>
      <c r="F13" s="127">
        <v>0</v>
      </c>
      <c r="G13" s="127"/>
      <c r="H13" s="127"/>
      <c r="I13" s="127"/>
      <c r="J13" s="44"/>
    </row>
    <row r="14" spans="1:10" s="109" customFormat="1" ht="14.4" x14ac:dyDescent="0.3">
      <c r="A14" s="123"/>
      <c r="B14" s="125" t="s">
        <v>185</v>
      </c>
      <c r="C14" s="299" t="s">
        <v>186</v>
      </c>
      <c r="D14" s="299"/>
      <c r="E14" s="120">
        <f>SUM(E11:E13)</f>
        <v>52000000</v>
      </c>
      <c r="F14" s="120">
        <f t="shared" ref="F14:I14" si="2">SUM(F11:F13)</f>
        <v>52000000</v>
      </c>
      <c r="G14" s="120">
        <f t="shared" si="2"/>
        <v>0</v>
      </c>
      <c r="H14" s="120">
        <f t="shared" si="2"/>
        <v>0</v>
      </c>
      <c r="I14" s="120">
        <f t="shared" si="2"/>
        <v>0</v>
      </c>
      <c r="J14" s="44"/>
    </row>
    <row r="15" spans="1:10" ht="14.4" x14ac:dyDescent="0.3">
      <c r="A15" s="123"/>
      <c r="B15" s="142" t="s">
        <v>193</v>
      </c>
      <c r="C15" s="304" t="s">
        <v>194</v>
      </c>
      <c r="D15" s="304"/>
      <c r="E15" s="127">
        <v>1000000</v>
      </c>
      <c r="F15" s="127">
        <v>1000000</v>
      </c>
      <c r="G15" s="127"/>
      <c r="H15" s="127"/>
      <c r="I15" s="127"/>
      <c r="J15" s="44"/>
    </row>
    <row r="16" spans="1:10" s="109" customFormat="1" ht="14.4" x14ac:dyDescent="0.3">
      <c r="A16" s="125" t="s">
        <v>184</v>
      </c>
      <c r="B16" s="299" t="s">
        <v>70</v>
      </c>
      <c r="C16" s="299"/>
      <c r="D16" s="299"/>
      <c r="E16" s="120">
        <f>SUM(E14:E15)</f>
        <v>53000000</v>
      </c>
      <c r="F16" s="120">
        <f t="shared" ref="F16:I16" si="3">SUM(F14:F15)</f>
        <v>53000000</v>
      </c>
      <c r="G16" s="120">
        <f t="shared" si="3"/>
        <v>0</v>
      </c>
      <c r="H16" s="120">
        <f t="shared" si="3"/>
        <v>0</v>
      </c>
      <c r="I16" s="120">
        <f t="shared" si="3"/>
        <v>0</v>
      </c>
      <c r="J16" s="44"/>
    </row>
    <row r="17" spans="1:10" ht="14.4" x14ac:dyDescent="0.3">
      <c r="A17" s="125" t="s">
        <v>195</v>
      </c>
      <c r="B17" s="299" t="s">
        <v>37</v>
      </c>
      <c r="C17" s="299"/>
      <c r="D17" s="299"/>
      <c r="E17" s="144">
        <f>('2(1b).Működési bevétel int.'!F14)</f>
        <v>11300000</v>
      </c>
      <c r="F17" s="144">
        <f>('2(1b).Működési bevétel int.'!G14)</f>
        <v>11300000</v>
      </c>
      <c r="G17" s="144"/>
      <c r="H17" s="144"/>
      <c r="I17" s="144"/>
      <c r="J17" s="44"/>
    </row>
    <row r="18" spans="1:10" s="109" customFormat="1" ht="14.4" x14ac:dyDescent="0.3">
      <c r="A18" s="123"/>
      <c r="B18" s="142" t="s">
        <v>198</v>
      </c>
      <c r="C18" s="304" t="s">
        <v>199</v>
      </c>
      <c r="D18" s="304"/>
      <c r="E18" s="127">
        <v>0</v>
      </c>
      <c r="F18" s="127">
        <v>600000</v>
      </c>
      <c r="G18" s="127"/>
      <c r="H18" s="127"/>
      <c r="I18" s="127"/>
      <c r="J18" s="44"/>
    </row>
    <row r="19" spans="1:10" ht="14.4" x14ac:dyDescent="0.3">
      <c r="A19" s="123"/>
      <c r="B19" s="142" t="s">
        <v>411</v>
      </c>
      <c r="C19" s="304" t="s">
        <v>434</v>
      </c>
      <c r="D19" s="304"/>
      <c r="E19" s="127">
        <v>0</v>
      </c>
      <c r="F19" s="127">
        <v>0</v>
      </c>
      <c r="G19" s="127"/>
      <c r="H19" s="127"/>
      <c r="I19" s="127"/>
      <c r="J19" s="44"/>
    </row>
    <row r="20" spans="1:10" s="109" customFormat="1" ht="14.4" x14ac:dyDescent="0.3">
      <c r="A20" s="125" t="s">
        <v>196</v>
      </c>
      <c r="B20" s="299" t="s">
        <v>197</v>
      </c>
      <c r="C20" s="299"/>
      <c r="D20" s="299"/>
      <c r="E20" s="120">
        <f>SUM(E18:E19)</f>
        <v>0</v>
      </c>
      <c r="F20" s="120">
        <f t="shared" ref="F20:I20" si="4">SUM(F18:F19)</f>
        <v>600000</v>
      </c>
      <c r="G20" s="120">
        <f t="shared" si="4"/>
        <v>0</v>
      </c>
      <c r="H20" s="120">
        <f t="shared" si="4"/>
        <v>0</v>
      </c>
      <c r="I20" s="120">
        <f t="shared" si="4"/>
        <v>0</v>
      </c>
      <c r="J20" s="44"/>
    </row>
    <row r="21" spans="1:10" ht="14.4" x14ac:dyDescent="0.3">
      <c r="A21" s="123"/>
      <c r="B21" s="142" t="s">
        <v>479</v>
      </c>
      <c r="C21" s="304" t="s">
        <v>480</v>
      </c>
      <c r="D21" s="304"/>
      <c r="E21" s="127">
        <v>0</v>
      </c>
      <c r="F21" s="127">
        <v>40000</v>
      </c>
      <c r="G21" s="127"/>
      <c r="H21" s="127"/>
      <c r="I21" s="127"/>
      <c r="J21" s="44"/>
    </row>
    <row r="22" spans="1:10" ht="14.4" x14ac:dyDescent="0.3">
      <c r="A22" s="123"/>
      <c r="B22" s="142" t="s">
        <v>440</v>
      </c>
      <c r="C22" s="304" t="s">
        <v>202</v>
      </c>
      <c r="D22" s="304"/>
      <c r="E22" s="127">
        <v>0</v>
      </c>
      <c r="F22" s="127">
        <v>0</v>
      </c>
      <c r="G22" s="127"/>
      <c r="H22" s="127"/>
      <c r="I22" s="127"/>
      <c r="J22" s="44"/>
    </row>
    <row r="23" spans="1:10" s="109" customFormat="1" ht="14.4" x14ac:dyDescent="0.3">
      <c r="A23" s="125" t="s">
        <v>200</v>
      </c>
      <c r="B23" s="299" t="s">
        <v>201</v>
      </c>
      <c r="C23" s="299"/>
      <c r="D23" s="299"/>
      <c r="E23" s="120">
        <f>SUM(E21:E22)</f>
        <v>0</v>
      </c>
      <c r="F23" s="120">
        <f t="shared" ref="F23:I23" si="5">SUM(F21:F22)</f>
        <v>40000</v>
      </c>
      <c r="G23" s="120">
        <f t="shared" si="5"/>
        <v>0</v>
      </c>
      <c r="H23" s="120">
        <f t="shared" si="5"/>
        <v>0</v>
      </c>
      <c r="I23" s="120">
        <f t="shared" si="5"/>
        <v>0</v>
      </c>
      <c r="J23" s="44"/>
    </row>
    <row r="24" spans="1:10" ht="14.4" x14ac:dyDescent="0.3">
      <c r="A24" s="123"/>
      <c r="B24" s="142" t="s">
        <v>481</v>
      </c>
      <c r="C24" s="304" t="s">
        <v>207</v>
      </c>
      <c r="D24" s="304"/>
      <c r="E24" s="127">
        <v>0</v>
      </c>
      <c r="F24" s="127">
        <v>0</v>
      </c>
      <c r="G24" s="127"/>
      <c r="H24" s="127"/>
      <c r="I24" s="127"/>
      <c r="J24" s="44"/>
    </row>
    <row r="25" spans="1:10" s="109" customFormat="1" ht="14.4" x14ac:dyDescent="0.3">
      <c r="A25" s="125" t="s">
        <v>203</v>
      </c>
      <c r="B25" s="299" t="s">
        <v>204</v>
      </c>
      <c r="C25" s="299"/>
      <c r="D25" s="299"/>
      <c r="E25" s="120">
        <f>SUM(E24)</f>
        <v>0</v>
      </c>
      <c r="F25" s="120">
        <f t="shared" ref="F25:I25" si="6">SUM(F24)</f>
        <v>0</v>
      </c>
      <c r="G25" s="120">
        <f t="shared" si="6"/>
        <v>0</v>
      </c>
      <c r="H25" s="120">
        <f t="shared" si="6"/>
        <v>0</v>
      </c>
      <c r="I25" s="120">
        <f t="shared" si="6"/>
        <v>0</v>
      </c>
      <c r="J25" s="44"/>
    </row>
    <row r="26" spans="1:10" ht="14.4" x14ac:dyDescent="0.3">
      <c r="A26" s="128" t="s">
        <v>212</v>
      </c>
      <c r="B26" s="288" t="s">
        <v>213</v>
      </c>
      <c r="C26" s="288"/>
      <c r="D26" s="288"/>
      <c r="E26" s="129">
        <f>E7+E10+E16+E17+E20+E23+E25</f>
        <v>461197677</v>
      </c>
      <c r="F26" s="129">
        <f t="shared" ref="F26:I26" si="7">F7+F10+F16+F17+F20+F23+F25</f>
        <v>462082677</v>
      </c>
      <c r="G26" s="129">
        <f t="shared" si="7"/>
        <v>0</v>
      </c>
      <c r="H26" s="129">
        <f t="shared" si="7"/>
        <v>0</v>
      </c>
      <c r="I26" s="129">
        <f t="shared" si="7"/>
        <v>0</v>
      </c>
      <c r="J26" s="44"/>
    </row>
    <row r="27" spans="1:10" ht="14.4" x14ac:dyDescent="0.3">
      <c r="A27" s="123"/>
      <c r="B27" s="142" t="s">
        <v>210</v>
      </c>
      <c r="C27" s="304" t="s">
        <v>211</v>
      </c>
      <c r="D27" s="304"/>
      <c r="E27" s="127">
        <v>115769729</v>
      </c>
      <c r="F27" s="127">
        <v>115769729</v>
      </c>
      <c r="G27" s="127"/>
      <c r="H27" s="127"/>
      <c r="I27" s="127"/>
      <c r="J27" s="44"/>
    </row>
    <row r="28" spans="1:10" ht="14.4" x14ac:dyDescent="0.3">
      <c r="A28" s="123"/>
      <c r="B28" s="142" t="s">
        <v>526</v>
      </c>
      <c r="C28" s="304" t="s">
        <v>527</v>
      </c>
      <c r="D28" s="304"/>
      <c r="E28" s="127">
        <v>5982029</v>
      </c>
      <c r="F28" s="127">
        <v>5982029</v>
      </c>
      <c r="G28" s="127"/>
      <c r="H28" s="127"/>
      <c r="I28" s="127"/>
      <c r="J28" s="44"/>
    </row>
    <row r="29" spans="1:10" s="109" customFormat="1" ht="14.4" x14ac:dyDescent="0.3">
      <c r="A29" s="125" t="s">
        <v>208</v>
      </c>
      <c r="B29" s="299" t="s">
        <v>209</v>
      </c>
      <c r="C29" s="299"/>
      <c r="D29" s="299"/>
      <c r="E29" s="120">
        <f>SUM(E27:E28)</f>
        <v>121751758</v>
      </c>
      <c r="F29" s="120">
        <f t="shared" ref="F29:I29" si="8">SUM(F27:F28)</f>
        <v>121751758</v>
      </c>
      <c r="G29" s="120">
        <f t="shared" si="8"/>
        <v>0</v>
      </c>
      <c r="H29" s="120">
        <f t="shared" si="8"/>
        <v>0</v>
      </c>
      <c r="I29" s="120">
        <f t="shared" si="8"/>
        <v>0</v>
      </c>
      <c r="J29" s="44"/>
    </row>
    <row r="30" spans="1:10" ht="14.4" customHeight="1" x14ac:dyDescent="0.3">
      <c r="A30" s="306" t="s">
        <v>43</v>
      </c>
      <c r="B30" s="306"/>
      <c r="C30" s="306"/>
      <c r="D30" s="306"/>
      <c r="E30" s="146">
        <f>E26+E29</f>
        <v>582949435</v>
      </c>
      <c r="F30" s="146">
        <f t="shared" ref="F30:I30" si="9">F26+F29</f>
        <v>583834435</v>
      </c>
      <c r="G30" s="146">
        <f t="shared" si="9"/>
        <v>0</v>
      </c>
      <c r="H30" s="146">
        <f t="shared" si="9"/>
        <v>0</v>
      </c>
      <c r="I30" s="146">
        <f t="shared" si="9"/>
        <v>0</v>
      </c>
      <c r="J30" s="44"/>
    </row>
    <row r="31" spans="1:10" x14ac:dyDescent="0.25">
      <c r="A31" s="15"/>
      <c r="B31" s="7"/>
      <c r="C31" s="7"/>
      <c r="D31" s="7"/>
      <c r="E31" s="45"/>
      <c r="F31" s="46"/>
      <c r="G31" s="47"/>
      <c r="H31" s="44"/>
      <c r="I31" s="48"/>
      <c r="J31" s="44"/>
    </row>
    <row r="32" spans="1:10" ht="46.8" x14ac:dyDescent="0.25">
      <c r="A32" s="314" t="s">
        <v>521</v>
      </c>
      <c r="B32" s="315"/>
      <c r="C32" s="315"/>
      <c r="D32" s="315"/>
      <c r="E32" s="122" t="s">
        <v>518</v>
      </c>
      <c r="F32" s="121" t="s">
        <v>514</v>
      </c>
      <c r="G32" s="121" t="s">
        <v>515</v>
      </c>
      <c r="H32" s="121" t="s">
        <v>516</v>
      </c>
      <c r="I32" s="121" t="s">
        <v>517</v>
      </c>
      <c r="J32" s="44"/>
    </row>
    <row r="33" spans="1:10" ht="14.4" x14ac:dyDescent="0.3">
      <c r="A33" s="123" t="s">
        <v>178</v>
      </c>
      <c r="B33" s="298" t="s">
        <v>179</v>
      </c>
      <c r="C33" s="298"/>
      <c r="D33" s="298"/>
      <c r="E33" s="144">
        <f>('1(1a).Normatíva'!B73)</f>
        <v>950167</v>
      </c>
      <c r="F33" s="144">
        <f>('1(1a).Normatíva'!C73)</f>
        <v>950167</v>
      </c>
      <c r="G33" s="127"/>
      <c r="H33" s="127"/>
      <c r="I33" s="127"/>
      <c r="J33" s="44"/>
    </row>
    <row r="34" spans="1:10" ht="14.4" x14ac:dyDescent="0.3">
      <c r="A34" s="123" t="s">
        <v>182</v>
      </c>
      <c r="B34" s="298" t="s">
        <v>183</v>
      </c>
      <c r="C34" s="298"/>
      <c r="D34" s="298"/>
      <c r="E34" s="127">
        <v>0</v>
      </c>
      <c r="F34" s="127">
        <v>0</v>
      </c>
      <c r="G34" s="127"/>
      <c r="H34" s="127"/>
      <c r="I34" s="127"/>
      <c r="J34" s="44"/>
    </row>
    <row r="35" spans="1:10" ht="14.4" x14ac:dyDescent="0.3">
      <c r="A35" s="123" t="s">
        <v>184</v>
      </c>
      <c r="B35" s="298" t="s">
        <v>70</v>
      </c>
      <c r="C35" s="298"/>
      <c r="D35" s="298"/>
      <c r="E35" s="127">
        <v>0</v>
      </c>
      <c r="F35" s="127">
        <v>0</v>
      </c>
      <c r="G35" s="127"/>
      <c r="H35" s="127"/>
      <c r="I35" s="127"/>
      <c r="J35" s="44"/>
    </row>
    <row r="36" spans="1:10" ht="16.5" customHeight="1" x14ac:dyDescent="0.3">
      <c r="A36" s="123" t="s">
        <v>195</v>
      </c>
      <c r="B36" s="298" t="s">
        <v>37</v>
      </c>
      <c r="C36" s="298"/>
      <c r="D36" s="298"/>
      <c r="E36" s="144">
        <f>('2(1b).Működési bevétel int.'!F25)</f>
        <v>13350000</v>
      </c>
      <c r="F36" s="144">
        <f>('2(1b).Működési bevétel int.'!G25)</f>
        <v>12850000</v>
      </c>
      <c r="G36" s="144"/>
      <c r="H36" s="144"/>
      <c r="I36" s="144"/>
      <c r="J36" s="44"/>
    </row>
    <row r="37" spans="1:10" ht="14.4" x14ac:dyDescent="0.3">
      <c r="A37" s="123" t="s">
        <v>196</v>
      </c>
      <c r="B37" s="298" t="s">
        <v>197</v>
      </c>
      <c r="C37" s="298"/>
      <c r="D37" s="298"/>
      <c r="E37" s="127">
        <v>0</v>
      </c>
      <c r="F37" s="127">
        <v>0</v>
      </c>
      <c r="G37" s="127"/>
      <c r="H37" s="127"/>
      <c r="I37" s="127"/>
      <c r="J37" s="44"/>
    </row>
    <row r="38" spans="1:10" ht="14.4" x14ac:dyDescent="0.3">
      <c r="A38" s="123" t="s">
        <v>200</v>
      </c>
      <c r="B38" s="298" t="s">
        <v>201</v>
      </c>
      <c r="C38" s="298"/>
      <c r="D38" s="298"/>
      <c r="E38" s="127">
        <v>0</v>
      </c>
      <c r="F38" s="127">
        <v>0</v>
      </c>
      <c r="G38" s="127"/>
      <c r="H38" s="127"/>
      <c r="I38" s="127"/>
      <c r="J38" s="44"/>
    </row>
    <row r="39" spans="1:10" ht="14.4" x14ac:dyDescent="0.3">
      <c r="A39" s="123" t="s">
        <v>203</v>
      </c>
      <c r="B39" s="298" t="s">
        <v>204</v>
      </c>
      <c r="C39" s="298"/>
      <c r="D39" s="298"/>
      <c r="E39" s="127">
        <v>0</v>
      </c>
      <c r="F39" s="127">
        <v>0</v>
      </c>
      <c r="G39" s="127"/>
      <c r="H39" s="127"/>
      <c r="I39" s="127"/>
      <c r="J39" s="44"/>
    </row>
    <row r="40" spans="1:10" ht="14.4" x14ac:dyDescent="0.3">
      <c r="A40" s="128" t="s">
        <v>212</v>
      </c>
      <c r="B40" s="313" t="s">
        <v>213</v>
      </c>
      <c r="C40" s="313"/>
      <c r="D40" s="313"/>
      <c r="E40" s="129">
        <f>SUM(E33:E39)</f>
        <v>14300167</v>
      </c>
      <c r="F40" s="129">
        <f t="shared" ref="F40:I40" si="10">SUM(F33:F39)</f>
        <v>13800167</v>
      </c>
      <c r="G40" s="129">
        <f t="shared" si="10"/>
        <v>0</v>
      </c>
      <c r="H40" s="129">
        <f t="shared" si="10"/>
        <v>0</v>
      </c>
      <c r="I40" s="129">
        <f t="shared" si="10"/>
        <v>0</v>
      </c>
      <c r="J40" s="44"/>
    </row>
    <row r="41" spans="1:10" s="3" customFormat="1" ht="14.4" x14ac:dyDescent="0.3">
      <c r="A41" s="123"/>
      <c r="B41" s="147" t="s">
        <v>210</v>
      </c>
      <c r="C41" s="309" t="s">
        <v>211</v>
      </c>
      <c r="D41" s="304"/>
      <c r="E41" s="127">
        <v>478233</v>
      </c>
      <c r="F41" s="127">
        <v>478233</v>
      </c>
      <c r="G41" s="127"/>
      <c r="H41" s="127"/>
      <c r="I41" s="127"/>
      <c r="J41" s="48"/>
    </row>
    <row r="42" spans="1:10" ht="14.4" x14ac:dyDescent="0.3">
      <c r="A42" s="123"/>
      <c r="B42" s="123" t="s">
        <v>214</v>
      </c>
      <c r="C42" s="304" t="s">
        <v>215</v>
      </c>
      <c r="D42" s="304"/>
      <c r="E42" s="127">
        <v>58021600</v>
      </c>
      <c r="F42" s="127">
        <v>58521600</v>
      </c>
      <c r="G42" s="127"/>
      <c r="H42" s="127"/>
      <c r="I42" s="127"/>
      <c r="J42" s="44"/>
    </row>
    <row r="43" spans="1:10" s="109" customFormat="1" ht="14.4" x14ac:dyDescent="0.3">
      <c r="A43" s="125" t="s">
        <v>208</v>
      </c>
      <c r="B43" s="299" t="s">
        <v>209</v>
      </c>
      <c r="C43" s="299"/>
      <c r="D43" s="299"/>
      <c r="E43" s="120">
        <f>SUM(E41:E42)</f>
        <v>58499833</v>
      </c>
      <c r="F43" s="120">
        <f t="shared" ref="F43:I43" si="11">SUM(F41:F42)</f>
        <v>58999833</v>
      </c>
      <c r="G43" s="120">
        <f t="shared" si="11"/>
        <v>0</v>
      </c>
      <c r="H43" s="120">
        <f t="shared" si="11"/>
        <v>0</v>
      </c>
      <c r="I43" s="120">
        <f t="shared" si="11"/>
        <v>0</v>
      </c>
      <c r="J43" s="44"/>
    </row>
    <row r="44" spans="1:10" ht="15.6" x14ac:dyDescent="0.3">
      <c r="A44" s="310" t="s">
        <v>43</v>
      </c>
      <c r="B44" s="310"/>
      <c r="C44" s="310"/>
      <c r="D44" s="310"/>
      <c r="E44" s="146">
        <f>E40+E43</f>
        <v>72800000</v>
      </c>
      <c r="F44" s="146">
        <f t="shared" ref="F44:I44" si="12">F40+F43</f>
        <v>72800000</v>
      </c>
      <c r="G44" s="146">
        <f t="shared" si="12"/>
        <v>0</v>
      </c>
      <c r="H44" s="146">
        <f t="shared" si="12"/>
        <v>0</v>
      </c>
      <c r="I44" s="146">
        <f t="shared" si="12"/>
        <v>0</v>
      </c>
      <c r="J44" s="44"/>
    </row>
    <row r="45" spans="1:10" x14ac:dyDescent="0.25">
      <c r="E45" s="44"/>
      <c r="F45" s="44"/>
      <c r="G45" s="47"/>
      <c r="H45" s="44"/>
      <c r="I45" s="48"/>
      <c r="J45" s="44"/>
    </row>
    <row r="46" spans="1:10" ht="46.8" x14ac:dyDescent="0.25">
      <c r="A46" s="311" t="s">
        <v>538</v>
      </c>
      <c r="B46" s="312"/>
      <c r="C46" s="312"/>
      <c r="D46" s="312"/>
      <c r="E46" s="122" t="s">
        <v>518</v>
      </c>
      <c r="F46" s="121" t="s">
        <v>514</v>
      </c>
      <c r="G46" s="121" t="s">
        <v>515</v>
      </c>
      <c r="H46" s="121" t="s">
        <v>516</v>
      </c>
      <c r="I46" s="121" t="s">
        <v>517</v>
      </c>
      <c r="J46" s="44"/>
    </row>
    <row r="47" spans="1:10" ht="14.4" x14ac:dyDescent="0.3">
      <c r="A47" s="123" t="s">
        <v>178</v>
      </c>
      <c r="B47" s="304" t="s">
        <v>179</v>
      </c>
      <c r="C47" s="304"/>
      <c r="D47" s="304"/>
      <c r="E47" s="127">
        <v>0</v>
      </c>
      <c r="F47" s="127">
        <v>0</v>
      </c>
      <c r="G47" s="127"/>
      <c r="H47" s="127"/>
      <c r="I47" s="127"/>
      <c r="J47" s="44"/>
    </row>
    <row r="48" spans="1:10" ht="14.4" x14ac:dyDescent="0.3">
      <c r="A48" s="123" t="s">
        <v>182</v>
      </c>
      <c r="B48" s="304" t="s">
        <v>183</v>
      </c>
      <c r="C48" s="304"/>
      <c r="D48" s="304"/>
      <c r="E48" s="127">
        <v>0</v>
      </c>
      <c r="F48" s="127">
        <v>0</v>
      </c>
      <c r="G48" s="127"/>
      <c r="H48" s="127"/>
      <c r="I48" s="127"/>
      <c r="J48" s="44"/>
    </row>
    <row r="49" spans="1:10" ht="14.4" x14ac:dyDescent="0.3">
      <c r="A49" s="123" t="s">
        <v>184</v>
      </c>
      <c r="B49" s="304" t="s">
        <v>70</v>
      </c>
      <c r="C49" s="304"/>
      <c r="D49" s="304"/>
      <c r="E49" s="127">
        <v>0</v>
      </c>
      <c r="F49" s="127">
        <v>0</v>
      </c>
      <c r="G49" s="127"/>
      <c r="H49" s="127"/>
      <c r="I49" s="127"/>
      <c r="J49" s="44"/>
    </row>
    <row r="50" spans="1:10" ht="14.4" x14ac:dyDescent="0.3">
      <c r="A50" s="123" t="s">
        <v>195</v>
      </c>
      <c r="B50" s="304" t="s">
        <v>37</v>
      </c>
      <c r="C50" s="304"/>
      <c r="D50" s="304"/>
      <c r="E50" s="144">
        <f>('2(1b).Működési bevétel int.'!F47)</f>
        <v>400000</v>
      </c>
      <c r="F50" s="144">
        <f>('2(1b).Működési bevétel int.'!G47)</f>
        <v>900000</v>
      </c>
      <c r="G50" s="144"/>
      <c r="H50" s="144"/>
      <c r="I50" s="144"/>
      <c r="J50" s="44"/>
    </row>
    <row r="51" spans="1:10" ht="14.4" x14ac:dyDescent="0.3">
      <c r="A51" s="123" t="s">
        <v>196</v>
      </c>
      <c r="B51" s="304" t="s">
        <v>197</v>
      </c>
      <c r="C51" s="304"/>
      <c r="D51" s="304"/>
      <c r="E51" s="127">
        <v>0</v>
      </c>
      <c r="F51" s="127">
        <v>0</v>
      </c>
      <c r="G51" s="127"/>
      <c r="H51" s="127"/>
      <c r="I51" s="127"/>
      <c r="J51" s="44"/>
    </row>
    <row r="52" spans="1:10" ht="14.4" x14ac:dyDescent="0.3">
      <c r="A52" s="123" t="s">
        <v>200</v>
      </c>
      <c r="B52" s="304" t="s">
        <v>201</v>
      </c>
      <c r="C52" s="304"/>
      <c r="D52" s="304"/>
      <c r="E52" s="127">
        <v>0</v>
      </c>
      <c r="F52" s="127">
        <v>0</v>
      </c>
      <c r="G52" s="127"/>
      <c r="H52" s="127"/>
      <c r="I52" s="127"/>
      <c r="J52" s="44"/>
    </row>
    <row r="53" spans="1:10" ht="14.4" x14ac:dyDescent="0.3">
      <c r="A53" s="123" t="s">
        <v>203</v>
      </c>
      <c r="B53" s="304" t="s">
        <v>204</v>
      </c>
      <c r="C53" s="304"/>
      <c r="D53" s="304"/>
      <c r="E53" s="127">
        <v>0</v>
      </c>
      <c r="F53" s="127">
        <v>0</v>
      </c>
      <c r="G53" s="127"/>
      <c r="H53" s="127"/>
      <c r="I53" s="127"/>
      <c r="J53" s="44"/>
    </row>
    <row r="54" spans="1:10" ht="14.4" customHeight="1" x14ac:dyDescent="0.3">
      <c r="A54" s="128" t="s">
        <v>212</v>
      </c>
      <c r="B54" s="303" t="s">
        <v>213</v>
      </c>
      <c r="C54" s="303"/>
      <c r="D54" s="303"/>
      <c r="E54" s="129">
        <f>SUM(E47:E53)</f>
        <v>400000</v>
      </c>
      <c r="F54" s="129">
        <f t="shared" ref="F54:I54" si="13">SUM(F47:F53)</f>
        <v>900000</v>
      </c>
      <c r="G54" s="129">
        <f t="shared" si="13"/>
        <v>0</v>
      </c>
      <c r="H54" s="129">
        <f t="shared" si="13"/>
        <v>0</v>
      </c>
      <c r="I54" s="129">
        <f t="shared" si="13"/>
        <v>0</v>
      </c>
      <c r="J54" s="44"/>
    </row>
    <row r="55" spans="1:10" s="3" customFormat="1" ht="14.4" x14ac:dyDescent="0.3">
      <c r="A55" s="123"/>
      <c r="B55" s="123" t="s">
        <v>210</v>
      </c>
      <c r="C55" s="304" t="s">
        <v>355</v>
      </c>
      <c r="D55" s="304"/>
      <c r="E55" s="127">
        <v>45255</v>
      </c>
      <c r="F55" s="127">
        <v>45255</v>
      </c>
      <c r="G55" s="127"/>
      <c r="H55" s="127"/>
      <c r="I55" s="127"/>
      <c r="J55" s="48"/>
    </row>
    <row r="56" spans="1:10" ht="14.4" x14ac:dyDescent="0.3">
      <c r="A56" s="123"/>
      <c r="B56" s="123" t="s">
        <v>214</v>
      </c>
      <c r="C56" s="304" t="s">
        <v>215</v>
      </c>
      <c r="D56" s="304"/>
      <c r="E56" s="127">
        <v>26754745</v>
      </c>
      <c r="F56" s="127">
        <v>26254745</v>
      </c>
      <c r="G56" s="127"/>
      <c r="H56" s="127"/>
      <c r="I56" s="127"/>
      <c r="J56" s="44"/>
    </row>
    <row r="57" spans="1:10" s="109" customFormat="1" ht="14.4" x14ac:dyDescent="0.3">
      <c r="A57" s="125" t="s">
        <v>208</v>
      </c>
      <c r="B57" s="305" t="s">
        <v>209</v>
      </c>
      <c r="C57" s="305"/>
      <c r="D57" s="305"/>
      <c r="E57" s="120">
        <f>SUM(E55:E56)</f>
        <v>26800000</v>
      </c>
      <c r="F57" s="120">
        <f t="shared" ref="F57:I57" si="14">SUM(F55:F56)</f>
        <v>26300000</v>
      </c>
      <c r="G57" s="120">
        <f t="shared" si="14"/>
        <v>0</v>
      </c>
      <c r="H57" s="120">
        <f t="shared" si="14"/>
        <v>0</v>
      </c>
      <c r="I57" s="120">
        <f t="shared" si="14"/>
        <v>0</v>
      </c>
      <c r="J57" s="44"/>
    </row>
    <row r="58" spans="1:10" ht="15.6" x14ac:dyDescent="0.3">
      <c r="A58" s="306" t="s">
        <v>43</v>
      </c>
      <c r="B58" s="306"/>
      <c r="C58" s="306"/>
      <c r="D58" s="306"/>
      <c r="E58" s="146">
        <f>E54+E57</f>
        <v>27200000</v>
      </c>
      <c r="F58" s="146">
        <f t="shared" ref="F58:I58" si="15">F54+F57</f>
        <v>27200000</v>
      </c>
      <c r="G58" s="146">
        <f t="shared" si="15"/>
        <v>0</v>
      </c>
      <c r="H58" s="146">
        <f t="shared" si="15"/>
        <v>0</v>
      </c>
      <c r="I58" s="146">
        <f t="shared" si="15"/>
        <v>0</v>
      </c>
      <c r="J58" s="44"/>
    </row>
    <row r="59" spans="1:10" x14ac:dyDescent="0.25">
      <c r="E59" s="44"/>
      <c r="F59" s="44"/>
      <c r="G59" s="47"/>
      <c r="H59" s="44"/>
      <c r="I59" s="48"/>
      <c r="J59" s="44"/>
    </row>
    <row r="60" spans="1:10" ht="46.8" x14ac:dyDescent="0.25">
      <c r="A60" s="307" t="s">
        <v>522</v>
      </c>
      <c r="B60" s="308"/>
      <c r="C60" s="308"/>
      <c r="D60" s="308"/>
      <c r="E60" s="122" t="s">
        <v>518</v>
      </c>
      <c r="F60" s="121" t="s">
        <v>514</v>
      </c>
      <c r="G60" s="121" t="s">
        <v>515</v>
      </c>
      <c r="H60" s="121" t="s">
        <v>516</v>
      </c>
      <c r="I60" s="121" t="s">
        <v>517</v>
      </c>
      <c r="J60" s="44"/>
    </row>
    <row r="61" spans="1:10" ht="14.4" x14ac:dyDescent="0.3">
      <c r="A61" s="123" t="s">
        <v>178</v>
      </c>
      <c r="B61" s="304" t="s">
        <v>179</v>
      </c>
      <c r="C61" s="304"/>
      <c r="D61" s="304"/>
      <c r="E61" s="127">
        <v>0</v>
      </c>
      <c r="F61" s="127">
        <v>0</v>
      </c>
      <c r="G61" s="127"/>
      <c r="H61" s="127"/>
      <c r="I61" s="127"/>
      <c r="J61" s="44"/>
    </row>
    <row r="62" spans="1:10" ht="14.4" x14ac:dyDescent="0.3">
      <c r="A62" s="123" t="s">
        <v>182</v>
      </c>
      <c r="B62" s="304" t="s">
        <v>183</v>
      </c>
      <c r="C62" s="304"/>
      <c r="D62" s="304"/>
      <c r="E62" s="127">
        <v>0</v>
      </c>
      <c r="F62" s="127">
        <v>0</v>
      </c>
      <c r="G62" s="127"/>
      <c r="H62" s="127"/>
      <c r="I62" s="127"/>
      <c r="J62" s="44"/>
    </row>
    <row r="63" spans="1:10" ht="14.4" x14ac:dyDescent="0.3">
      <c r="A63" s="123" t="s">
        <v>184</v>
      </c>
      <c r="B63" s="304" t="s">
        <v>70</v>
      </c>
      <c r="C63" s="304"/>
      <c r="D63" s="304"/>
      <c r="E63" s="127">
        <v>0</v>
      </c>
      <c r="F63" s="127">
        <v>0</v>
      </c>
      <c r="G63" s="127"/>
      <c r="H63" s="127"/>
      <c r="I63" s="127"/>
      <c r="J63" s="44"/>
    </row>
    <row r="64" spans="1:10" ht="14.4" x14ac:dyDescent="0.3">
      <c r="A64" s="123" t="s">
        <v>195</v>
      </c>
      <c r="B64" s="304" t="s">
        <v>37</v>
      </c>
      <c r="C64" s="304"/>
      <c r="D64" s="304"/>
      <c r="E64" s="144">
        <f>('2(1b).Működési bevétel int.'!F36)</f>
        <v>0</v>
      </c>
      <c r="F64" s="144">
        <f>('2(1b).Működési bevétel int.'!G36)</f>
        <v>0</v>
      </c>
      <c r="G64" s="144"/>
      <c r="H64" s="144"/>
      <c r="I64" s="144"/>
      <c r="J64" s="44"/>
    </row>
    <row r="65" spans="1:10" ht="14.4" x14ac:dyDescent="0.3">
      <c r="A65" s="123" t="s">
        <v>196</v>
      </c>
      <c r="B65" s="304" t="s">
        <v>197</v>
      </c>
      <c r="C65" s="304"/>
      <c r="D65" s="304"/>
      <c r="E65" s="127">
        <v>0</v>
      </c>
      <c r="F65" s="127">
        <v>0</v>
      </c>
      <c r="G65" s="127"/>
      <c r="H65" s="127"/>
      <c r="I65" s="127"/>
      <c r="J65" s="44"/>
    </row>
    <row r="66" spans="1:10" ht="14.4" x14ac:dyDescent="0.3">
      <c r="A66" s="123" t="s">
        <v>200</v>
      </c>
      <c r="B66" s="304" t="s">
        <v>201</v>
      </c>
      <c r="C66" s="304"/>
      <c r="D66" s="304"/>
      <c r="E66" s="127">
        <v>0</v>
      </c>
      <c r="F66" s="127">
        <v>0</v>
      </c>
      <c r="G66" s="127"/>
      <c r="H66" s="127"/>
      <c r="I66" s="127"/>
      <c r="J66" s="44"/>
    </row>
    <row r="67" spans="1:10" ht="14.4" x14ac:dyDescent="0.3">
      <c r="A67" s="123" t="s">
        <v>203</v>
      </c>
      <c r="B67" s="304" t="s">
        <v>204</v>
      </c>
      <c r="C67" s="304"/>
      <c r="D67" s="304"/>
      <c r="E67" s="127">
        <v>0</v>
      </c>
      <c r="F67" s="127">
        <v>0</v>
      </c>
      <c r="G67" s="127"/>
      <c r="H67" s="127"/>
      <c r="I67" s="127"/>
      <c r="J67" s="44"/>
    </row>
    <row r="68" spans="1:10" ht="14.4" x14ac:dyDescent="0.3">
      <c r="A68" s="128" t="s">
        <v>212</v>
      </c>
      <c r="B68" s="303" t="s">
        <v>213</v>
      </c>
      <c r="C68" s="303"/>
      <c r="D68" s="303"/>
      <c r="E68" s="129">
        <f>SUM(E61:E67)</f>
        <v>0</v>
      </c>
      <c r="F68" s="129">
        <f t="shared" ref="F68" si="16">SUM(F61:F67)</f>
        <v>0</v>
      </c>
      <c r="G68" s="129">
        <f t="shared" ref="G68" si="17">SUM(G61:G67)</f>
        <v>0</v>
      </c>
      <c r="H68" s="129">
        <f t="shared" ref="H68" si="18">SUM(H61:H67)</f>
        <v>0</v>
      </c>
      <c r="I68" s="129">
        <f t="shared" ref="I68" si="19">SUM(I61:I67)</f>
        <v>0</v>
      </c>
      <c r="J68" s="44"/>
    </row>
    <row r="69" spans="1:10" ht="14.4" x14ac:dyDescent="0.3">
      <c r="A69" s="123"/>
      <c r="B69" s="123" t="s">
        <v>210</v>
      </c>
      <c r="C69" s="304" t="s">
        <v>355</v>
      </c>
      <c r="D69" s="304"/>
      <c r="E69" s="127">
        <v>208214</v>
      </c>
      <c r="F69" s="127">
        <v>208214</v>
      </c>
      <c r="G69" s="127"/>
      <c r="H69" s="127"/>
      <c r="I69" s="127"/>
      <c r="J69" s="44"/>
    </row>
    <row r="70" spans="1:10" s="3" customFormat="1" ht="14.4" x14ac:dyDescent="0.3">
      <c r="A70" s="123"/>
      <c r="B70" s="123" t="s">
        <v>214</v>
      </c>
      <c r="C70" s="304" t="s">
        <v>215</v>
      </c>
      <c r="D70" s="304"/>
      <c r="E70" s="127">
        <v>53391786</v>
      </c>
      <c r="F70" s="127">
        <v>53391786</v>
      </c>
      <c r="G70" s="127"/>
      <c r="H70" s="127"/>
      <c r="I70" s="127"/>
      <c r="J70" s="48"/>
    </row>
    <row r="71" spans="1:10" ht="14.4" x14ac:dyDescent="0.3">
      <c r="A71" s="125" t="s">
        <v>208</v>
      </c>
      <c r="B71" s="305" t="s">
        <v>209</v>
      </c>
      <c r="C71" s="305"/>
      <c r="D71" s="305"/>
      <c r="E71" s="120">
        <f>SUM(E69:E70)</f>
        <v>53600000</v>
      </c>
      <c r="F71" s="120">
        <f t="shared" ref="F71" si="20">SUM(F69:F70)</f>
        <v>53600000</v>
      </c>
      <c r="G71" s="120">
        <f t="shared" ref="G71" si="21">SUM(G69:G70)</f>
        <v>0</v>
      </c>
      <c r="H71" s="120">
        <f t="shared" ref="H71" si="22">SUM(H69:H70)</f>
        <v>0</v>
      </c>
      <c r="I71" s="120">
        <f t="shared" ref="I71" si="23">SUM(I69:I70)</f>
        <v>0</v>
      </c>
      <c r="J71" s="44"/>
    </row>
    <row r="72" spans="1:10" ht="15.6" x14ac:dyDescent="0.3">
      <c r="A72" s="306" t="s">
        <v>43</v>
      </c>
      <c r="B72" s="306"/>
      <c r="C72" s="306"/>
      <c r="D72" s="306"/>
      <c r="E72" s="146">
        <f>E68+E71</f>
        <v>53600000</v>
      </c>
      <c r="F72" s="146">
        <f t="shared" ref="F72" si="24">F68+F71</f>
        <v>53600000</v>
      </c>
      <c r="G72" s="146">
        <f t="shared" ref="G72" si="25">G68+G71</f>
        <v>0</v>
      </c>
      <c r="H72" s="146">
        <f t="shared" ref="H72" si="26">H68+H71</f>
        <v>0</v>
      </c>
      <c r="I72" s="146">
        <f t="shared" ref="I72" si="27">I68+I71</f>
        <v>0</v>
      </c>
      <c r="J72" s="44"/>
    </row>
    <row r="73" spans="1:10" x14ac:dyDescent="0.25">
      <c r="E73" s="44"/>
      <c r="F73" s="44"/>
      <c r="G73" s="47"/>
      <c r="H73" s="44"/>
      <c r="I73" s="48"/>
      <c r="J73" s="44"/>
    </row>
    <row r="74" spans="1:10" x14ac:dyDescent="0.25">
      <c r="D74" s="3"/>
      <c r="E74" s="44"/>
    </row>
  </sheetData>
  <sheetProtection sheet="1" objects="1" scenarios="1"/>
  <mergeCells count="65">
    <mergeCell ref="B26:D26"/>
    <mergeCell ref="C27:D27"/>
    <mergeCell ref="A30:D30"/>
    <mergeCell ref="C28:D28"/>
    <mergeCell ref="B25:D25"/>
    <mergeCell ref="B29:D29"/>
    <mergeCell ref="C21:D21"/>
    <mergeCell ref="C22:D22"/>
    <mergeCell ref="B20:D20"/>
    <mergeCell ref="B23:D23"/>
    <mergeCell ref="C24:D24"/>
    <mergeCell ref="C15:D15"/>
    <mergeCell ref="B17:D17"/>
    <mergeCell ref="C19:D19"/>
    <mergeCell ref="B16:D16"/>
    <mergeCell ref="C14:D14"/>
    <mergeCell ref="C18:D18"/>
    <mergeCell ref="A1:I1"/>
    <mergeCell ref="A2:I2"/>
    <mergeCell ref="A4:D4"/>
    <mergeCell ref="C5:D5"/>
    <mergeCell ref="B10:D10"/>
    <mergeCell ref="C6:D6"/>
    <mergeCell ref="C8:D8"/>
    <mergeCell ref="C9:D9"/>
    <mergeCell ref="B7:D7"/>
    <mergeCell ref="B37:D37"/>
    <mergeCell ref="B38:D38"/>
    <mergeCell ref="B39:D39"/>
    <mergeCell ref="B40:D40"/>
    <mergeCell ref="A32:D32"/>
    <mergeCell ref="B33:D33"/>
    <mergeCell ref="B34:D34"/>
    <mergeCell ref="B35:D35"/>
    <mergeCell ref="B36:D36"/>
    <mergeCell ref="C41:D41"/>
    <mergeCell ref="C42:D42"/>
    <mergeCell ref="B43:D43"/>
    <mergeCell ref="A44:D44"/>
    <mergeCell ref="A46:D46"/>
    <mergeCell ref="B47:D47"/>
    <mergeCell ref="B48:D48"/>
    <mergeCell ref="B49:D49"/>
    <mergeCell ref="B50:D50"/>
    <mergeCell ref="B51:D51"/>
    <mergeCell ref="B52:D52"/>
    <mergeCell ref="B53:D53"/>
    <mergeCell ref="B54:D54"/>
    <mergeCell ref="C55:D55"/>
    <mergeCell ref="C56:D56"/>
    <mergeCell ref="B57:D57"/>
    <mergeCell ref="A58:D58"/>
    <mergeCell ref="A60:D60"/>
    <mergeCell ref="B61:D61"/>
    <mergeCell ref="B62:D62"/>
    <mergeCell ref="B63:D63"/>
    <mergeCell ref="B64:D64"/>
    <mergeCell ref="B65:D65"/>
    <mergeCell ref="B66:D66"/>
    <mergeCell ref="B67:D67"/>
    <mergeCell ref="B68:D68"/>
    <mergeCell ref="C69:D69"/>
    <mergeCell ref="C70:D70"/>
    <mergeCell ref="B71:D71"/>
    <mergeCell ref="A72:D72"/>
  </mergeCells>
  <phoneticPr fontId="16" type="noConversion"/>
  <pageMargins left="0.74803149606299213" right="0.47244094488188981" top="0.51181102362204722" bottom="0.27559055118110237" header="0.15748031496062992" footer="0.15748031496062992"/>
  <pageSetup paperSize="9" scale="69" orientation="portrait" r:id="rId1"/>
  <headerFooter alignWithMargins="0">
    <oddHeader>&amp;R2.sz. melléklet
Ft-ban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F49"/>
  <sheetViews>
    <sheetView zoomScaleNormal="100" workbookViewId="0">
      <selection activeCell="E45" sqref="E45"/>
    </sheetView>
  </sheetViews>
  <sheetFormatPr defaultColWidth="9.109375" defaultRowHeight="13.2" x14ac:dyDescent="0.25"/>
  <cols>
    <col min="1" max="1" width="5.5546875" style="3" customWidth="1"/>
    <col min="2" max="2" width="30.44140625" style="3" customWidth="1"/>
    <col min="3" max="6" width="20.77734375" style="3" customWidth="1"/>
    <col min="7" max="16384" width="9.109375" style="3"/>
  </cols>
  <sheetData>
    <row r="1" spans="1:6" ht="37.5" customHeight="1" x14ac:dyDescent="0.25">
      <c r="A1" s="319" t="s">
        <v>540</v>
      </c>
      <c r="B1" s="319"/>
      <c r="C1" s="319"/>
      <c r="D1" s="319"/>
      <c r="E1" s="319"/>
      <c r="F1" s="319"/>
    </row>
    <row r="2" spans="1:6" ht="15.6" x14ac:dyDescent="0.3">
      <c r="A2" s="5"/>
    </row>
    <row r="3" spans="1:6" ht="26.25" customHeight="1" x14ac:dyDescent="0.25">
      <c r="A3" s="298"/>
      <c r="B3" s="123"/>
      <c r="C3" s="298" t="s">
        <v>38</v>
      </c>
      <c r="D3" s="123" t="s">
        <v>122</v>
      </c>
      <c r="E3" s="123" t="s">
        <v>124</v>
      </c>
      <c r="F3" s="158" t="s">
        <v>9</v>
      </c>
    </row>
    <row r="4" spans="1:6" ht="28.8" x14ac:dyDescent="0.25">
      <c r="A4" s="298"/>
      <c r="B4" s="123" t="s">
        <v>121</v>
      </c>
      <c r="C4" s="298"/>
      <c r="D4" s="123" t="s">
        <v>123</v>
      </c>
      <c r="E4" s="123" t="s">
        <v>131</v>
      </c>
      <c r="F4" s="123" t="s">
        <v>359</v>
      </c>
    </row>
    <row r="5" spans="1:6" ht="14.4" x14ac:dyDescent="0.25">
      <c r="A5" s="298"/>
      <c r="B5" s="123"/>
      <c r="C5" s="298" t="s">
        <v>125</v>
      </c>
      <c r="D5" s="298"/>
      <c r="E5" s="298"/>
      <c r="F5" s="298"/>
    </row>
    <row r="6" spans="1:6" ht="14.4" x14ac:dyDescent="0.25">
      <c r="A6" s="123"/>
      <c r="B6" s="320" t="s">
        <v>126</v>
      </c>
      <c r="C6" s="320"/>
      <c r="D6" s="320"/>
      <c r="E6" s="123"/>
      <c r="F6" s="123"/>
    </row>
    <row r="7" spans="1:6" ht="14.4" x14ac:dyDescent="0.25">
      <c r="A7" s="123"/>
      <c r="B7" s="298" t="s">
        <v>103</v>
      </c>
      <c r="C7" s="298"/>
      <c r="D7" s="123"/>
      <c r="E7" s="123"/>
      <c r="F7" s="123"/>
    </row>
    <row r="8" spans="1:6" ht="18" customHeight="1" x14ac:dyDescent="0.25">
      <c r="A8" s="123" t="s">
        <v>10</v>
      </c>
      <c r="B8" s="123" t="s">
        <v>358</v>
      </c>
      <c r="C8" s="150">
        <f>('2(1b).Működési bevétel int.'!G7)+('2(1b).Működési bevétel int.'!G8)+('2(1b).Működési bevétel int.'!G10)</f>
        <v>11100000</v>
      </c>
      <c r="D8" s="123"/>
      <c r="E8" s="123"/>
      <c r="F8" s="151">
        <f>SUM(C8:E8)</f>
        <v>11100000</v>
      </c>
    </row>
    <row r="9" spans="1:6" ht="14.4" x14ac:dyDescent="0.25">
      <c r="A9" s="123" t="s">
        <v>11</v>
      </c>
      <c r="B9" s="123" t="s">
        <v>119</v>
      </c>
      <c r="C9" s="150">
        <f>('2(1b).Működési bevétel int.'!G6)+('2(1b).Működési bevétel int.'!G12)+('2(1b).Működési bevétel int.'!G13)</f>
        <v>100000</v>
      </c>
      <c r="D9" s="123"/>
      <c r="E9" s="123"/>
      <c r="F9" s="151">
        <f>SUM(C9:E9)</f>
        <v>100000</v>
      </c>
    </row>
    <row r="10" spans="1:6" ht="14.4" x14ac:dyDescent="0.25">
      <c r="A10" s="123" t="s">
        <v>14</v>
      </c>
      <c r="B10" s="123" t="s">
        <v>137</v>
      </c>
      <c r="C10" s="150">
        <f>('2(1b).Működési bevétel int.'!G11)</f>
        <v>100000</v>
      </c>
      <c r="D10" s="123"/>
      <c r="E10" s="123"/>
      <c r="F10" s="151">
        <f>SUM(C10:E10)</f>
        <v>100000</v>
      </c>
    </row>
    <row r="11" spans="1:6" ht="14.4" x14ac:dyDescent="0.25">
      <c r="A11" s="123" t="s">
        <v>15</v>
      </c>
      <c r="B11" s="123" t="s">
        <v>226</v>
      </c>
      <c r="C11" s="150">
        <f>('2(1b).Működési bevétel int.'!G9)</f>
        <v>0</v>
      </c>
      <c r="D11" s="123"/>
      <c r="E11" s="123"/>
      <c r="F11" s="151">
        <f>SUM(C11:E11)</f>
        <v>0</v>
      </c>
    </row>
    <row r="12" spans="1:6" ht="14.4" x14ac:dyDescent="0.25">
      <c r="A12" s="123" t="s">
        <v>15</v>
      </c>
      <c r="B12" s="123" t="s">
        <v>39</v>
      </c>
      <c r="C12" s="123"/>
      <c r="D12" s="150">
        <f>('3(2).Bevétel intézmény'!F11)</f>
        <v>45000000</v>
      </c>
      <c r="E12" s="123"/>
      <c r="F12" s="151">
        <f t="shared" ref="F12:F20" si="0">SUM(C12:E12)</f>
        <v>45000000</v>
      </c>
    </row>
    <row r="13" spans="1:6" ht="14.4" x14ac:dyDescent="0.25">
      <c r="A13" s="123" t="s">
        <v>16</v>
      </c>
      <c r="B13" s="123" t="s">
        <v>72</v>
      </c>
      <c r="C13" s="123"/>
      <c r="D13" s="150">
        <f>('3(2).Bevétel intézmény'!F12)</f>
        <v>7000000</v>
      </c>
      <c r="E13" s="123"/>
      <c r="F13" s="151">
        <f t="shared" si="0"/>
        <v>7000000</v>
      </c>
    </row>
    <row r="14" spans="1:6" ht="15.75" customHeight="1" x14ac:dyDescent="0.25">
      <c r="A14" s="123" t="s">
        <v>17</v>
      </c>
      <c r="B14" s="123" t="s">
        <v>194</v>
      </c>
      <c r="C14" s="123"/>
      <c r="D14" s="150">
        <f>('3(2).Bevétel intézmény'!F15)</f>
        <v>1000000</v>
      </c>
      <c r="E14" s="123"/>
      <c r="F14" s="151">
        <f t="shared" si="0"/>
        <v>1000000</v>
      </c>
    </row>
    <row r="15" spans="1:6" ht="17.25" customHeight="1" x14ac:dyDescent="0.25">
      <c r="A15" s="123" t="s">
        <v>18</v>
      </c>
      <c r="B15" s="123" t="s">
        <v>127</v>
      </c>
      <c r="C15" s="123"/>
      <c r="D15" s="123"/>
      <c r="E15" s="82">
        <f>(('1(1a).Normatíva'!C53)+('1(1a).Normatíva'!C69))</f>
        <v>162706471</v>
      </c>
      <c r="F15" s="151">
        <f t="shared" si="0"/>
        <v>162706471</v>
      </c>
    </row>
    <row r="16" spans="1:6" ht="16.5" customHeight="1" x14ac:dyDescent="0.25">
      <c r="A16" s="123" t="s">
        <v>19</v>
      </c>
      <c r="B16" s="123" t="s">
        <v>105</v>
      </c>
      <c r="C16" s="123"/>
      <c r="D16" s="123"/>
      <c r="E16" s="150">
        <f>('1(1a).Normatíva'!C71)</f>
        <v>45379654</v>
      </c>
      <c r="F16" s="151">
        <f t="shared" si="0"/>
        <v>45379654</v>
      </c>
    </row>
    <row r="17" spans="1:6" ht="16.5" customHeight="1" x14ac:dyDescent="0.25">
      <c r="A17" s="123" t="s">
        <v>20</v>
      </c>
      <c r="B17" s="123" t="s">
        <v>136</v>
      </c>
      <c r="C17" s="123"/>
      <c r="D17" s="123"/>
      <c r="E17" s="150">
        <f>('1(1a).Normatíva'!C77)</f>
        <v>17576600</v>
      </c>
      <c r="F17" s="151">
        <f t="shared" si="0"/>
        <v>17576600</v>
      </c>
    </row>
    <row r="18" spans="1:6" ht="16.5" customHeight="1" x14ac:dyDescent="0.25">
      <c r="A18" s="123" t="s">
        <v>21</v>
      </c>
      <c r="B18" s="123" t="s">
        <v>482</v>
      </c>
      <c r="C18" s="123"/>
      <c r="D18" s="123"/>
      <c r="E18" s="150">
        <f>(('1(1a).Normatíva'!C74)+('1(1a).Normatíva'!C75)+('1(1a).Normatíva'!C76)+('1(1a).Normatíva'!C72))</f>
        <v>1091246</v>
      </c>
      <c r="F18" s="151">
        <f t="shared" si="0"/>
        <v>1091246</v>
      </c>
    </row>
    <row r="19" spans="1:6" ht="16.5" customHeight="1" x14ac:dyDescent="0.25">
      <c r="A19" s="123" t="s">
        <v>22</v>
      </c>
      <c r="B19" s="123" t="s">
        <v>360</v>
      </c>
      <c r="C19" s="123"/>
      <c r="D19" s="123"/>
      <c r="E19" s="150">
        <f>('1(1a).Normatíva'!C79)</f>
        <v>200000</v>
      </c>
      <c r="F19" s="151">
        <f t="shared" si="0"/>
        <v>200000</v>
      </c>
    </row>
    <row r="20" spans="1:6" ht="20.25" customHeight="1" x14ac:dyDescent="0.25">
      <c r="A20" s="125" t="s">
        <v>10</v>
      </c>
      <c r="B20" s="125" t="s">
        <v>108</v>
      </c>
      <c r="C20" s="151">
        <f>SUM(C8:C18)</f>
        <v>11300000</v>
      </c>
      <c r="D20" s="160">
        <f>SUM(D8:D18)</f>
        <v>53000000</v>
      </c>
      <c r="E20" s="151">
        <f>SUM(E8:E19)</f>
        <v>226953971</v>
      </c>
      <c r="F20" s="151">
        <f t="shared" si="0"/>
        <v>291253971</v>
      </c>
    </row>
    <row r="21" spans="1:6" ht="15.75" customHeight="1" x14ac:dyDescent="0.25">
      <c r="A21" s="123"/>
      <c r="B21" s="298" t="s">
        <v>128</v>
      </c>
      <c r="C21" s="298"/>
      <c r="D21" s="123"/>
      <c r="E21" s="123"/>
      <c r="F21" s="123"/>
    </row>
    <row r="22" spans="1:6" ht="14.4" x14ac:dyDescent="0.25">
      <c r="A22" s="123" t="s">
        <v>10</v>
      </c>
      <c r="B22" s="123" t="s">
        <v>129</v>
      </c>
      <c r="C22" s="123"/>
      <c r="D22" s="123"/>
      <c r="E22" s="150">
        <f>('1(1a).Normatíva'!C78)</f>
        <v>1080000</v>
      </c>
      <c r="F22" s="151">
        <f>SUM(C22:E22)</f>
        <v>1080000</v>
      </c>
    </row>
    <row r="23" spans="1:6" ht="14.4" x14ac:dyDescent="0.25">
      <c r="A23" s="125" t="s">
        <v>40</v>
      </c>
      <c r="B23" s="125" t="s">
        <v>109</v>
      </c>
      <c r="C23" s="123"/>
      <c r="D23" s="123"/>
      <c r="E23" s="123"/>
      <c r="F23" s="151">
        <f>SUM(F22:F22)</f>
        <v>1080000</v>
      </c>
    </row>
    <row r="24" spans="1:6" ht="14.4" x14ac:dyDescent="0.25">
      <c r="A24" s="130"/>
      <c r="B24" s="130"/>
      <c r="C24" s="130"/>
      <c r="D24" s="130"/>
      <c r="E24" s="130"/>
      <c r="F24" s="130"/>
    </row>
    <row r="25" spans="1:6" s="1" customFormat="1" ht="28.5" customHeight="1" x14ac:dyDescent="0.25">
      <c r="A25" s="108" t="s">
        <v>36</v>
      </c>
      <c r="B25" s="108" t="s">
        <v>361</v>
      </c>
      <c r="C25" s="148">
        <f>C23+C20</f>
        <v>11300000</v>
      </c>
      <c r="D25" s="148">
        <f>D23+D20</f>
        <v>53000000</v>
      </c>
      <c r="E25" s="148">
        <f>(E20+E22)</f>
        <v>228033971</v>
      </c>
      <c r="F25" s="148">
        <f>SUM(C25:E25)</f>
        <v>292333971</v>
      </c>
    </row>
    <row r="26" spans="1:6" ht="15.6" x14ac:dyDescent="0.3">
      <c r="A26" s="5"/>
    </row>
    <row r="27" spans="1:6" ht="30" customHeight="1" x14ac:dyDescent="0.25">
      <c r="A27" s="123"/>
      <c r="B27" s="149" t="s">
        <v>113</v>
      </c>
      <c r="C27" s="123" t="s">
        <v>38</v>
      </c>
      <c r="D27" s="123"/>
      <c r="E27" s="123" t="s">
        <v>131</v>
      </c>
      <c r="F27" s="123" t="s">
        <v>359</v>
      </c>
    </row>
    <row r="28" spans="1:6" s="1" customFormat="1" ht="17.399999999999999" customHeight="1" x14ac:dyDescent="0.25">
      <c r="A28" s="123" t="s">
        <v>10</v>
      </c>
      <c r="B28" s="123" t="s">
        <v>130</v>
      </c>
      <c r="C28" s="123"/>
      <c r="D28" s="123"/>
      <c r="E28" s="123"/>
      <c r="F28" s="123"/>
    </row>
    <row r="29" spans="1:6" ht="25.5" customHeight="1" x14ac:dyDescent="0.25">
      <c r="A29" s="123"/>
      <c r="B29" s="123" t="s">
        <v>427</v>
      </c>
      <c r="C29" s="150">
        <f>('3(2).Bevétel intézmény'!F36)</f>
        <v>12850000</v>
      </c>
      <c r="D29" s="123"/>
      <c r="E29" s="123"/>
      <c r="F29" s="151">
        <f>SUM(C29:E29)</f>
        <v>12850000</v>
      </c>
    </row>
    <row r="30" spans="1:6" ht="14.4" x14ac:dyDescent="0.25">
      <c r="A30" s="123"/>
      <c r="B30" s="123" t="s">
        <v>428</v>
      </c>
      <c r="C30" s="123"/>
      <c r="D30" s="123"/>
      <c r="E30" s="150">
        <f>('3(2).Bevétel intézmény'!F43)</f>
        <v>58999833</v>
      </c>
      <c r="F30" s="151">
        <f>SUM(C30:E30)</f>
        <v>58999833</v>
      </c>
    </row>
    <row r="31" spans="1:6" ht="14.4" x14ac:dyDescent="0.25">
      <c r="A31" s="258"/>
      <c r="B31" s="260" t="s">
        <v>740</v>
      </c>
      <c r="C31" s="258"/>
      <c r="D31" s="258"/>
      <c r="E31" s="150">
        <f>('3(2).Bevétel intézmény'!F33)</f>
        <v>950167</v>
      </c>
      <c r="F31" s="151">
        <f>SUM(C31:E31)</f>
        <v>950167</v>
      </c>
    </row>
    <row r="32" spans="1:6" ht="28.8" x14ac:dyDescent="0.25">
      <c r="A32" s="128" t="s">
        <v>40</v>
      </c>
      <c r="B32" s="128" t="s">
        <v>132</v>
      </c>
      <c r="C32" s="152">
        <f>SUM(C29:C31)</f>
        <v>12850000</v>
      </c>
      <c r="D32" s="153">
        <v>0</v>
      </c>
      <c r="E32" s="152">
        <f>SUM(E29:E31)</f>
        <v>59950000</v>
      </c>
      <c r="F32" s="152">
        <f>SUM(F29:F31)</f>
        <v>72800000</v>
      </c>
    </row>
    <row r="33" spans="1:6" x14ac:dyDescent="0.25">
      <c r="A33" s="71"/>
      <c r="B33" s="72"/>
      <c r="C33" s="73"/>
      <c r="D33" s="72"/>
      <c r="E33" s="85"/>
      <c r="F33" s="85"/>
    </row>
    <row r="34" spans="1:6" ht="28.8" x14ac:dyDescent="0.25">
      <c r="A34" s="123"/>
      <c r="B34" s="154" t="s">
        <v>138</v>
      </c>
      <c r="C34" s="123" t="s">
        <v>38</v>
      </c>
      <c r="D34" s="123"/>
      <c r="E34" s="123" t="s">
        <v>131</v>
      </c>
      <c r="F34" s="123" t="s">
        <v>359</v>
      </c>
    </row>
    <row r="35" spans="1:6" s="1" customFormat="1" ht="18" customHeight="1" x14ac:dyDescent="0.25">
      <c r="A35" s="123"/>
      <c r="B35" s="123" t="s">
        <v>133</v>
      </c>
      <c r="C35" s="155"/>
      <c r="D35" s="155"/>
      <c r="E35" s="155"/>
      <c r="F35" s="151">
        <f t="shared" ref="D35:F37" si="1">SUM(F33:F34)</f>
        <v>0</v>
      </c>
    </row>
    <row r="36" spans="1:6" s="1" customFormat="1" ht="14.4" x14ac:dyDescent="0.25">
      <c r="A36" s="123"/>
      <c r="B36" s="123" t="s">
        <v>134</v>
      </c>
      <c r="C36" s="150">
        <f>('3(2).Bevétel intézmény'!F68)</f>
        <v>0</v>
      </c>
      <c r="D36" s="155"/>
      <c r="E36" s="155"/>
      <c r="F36" s="151">
        <f t="shared" si="1"/>
        <v>0</v>
      </c>
    </row>
    <row r="37" spans="1:6" ht="26.25" customHeight="1" x14ac:dyDescent="0.25">
      <c r="A37" s="125" t="s">
        <v>10</v>
      </c>
      <c r="B37" s="125" t="s">
        <v>108</v>
      </c>
      <c r="C37" s="151">
        <f>SUM(C35:C36)</f>
        <v>0</v>
      </c>
      <c r="D37" s="151">
        <f t="shared" si="1"/>
        <v>0</v>
      </c>
      <c r="E37" s="151">
        <f t="shared" si="1"/>
        <v>0</v>
      </c>
      <c r="F37" s="151">
        <f t="shared" si="1"/>
        <v>0</v>
      </c>
    </row>
    <row r="38" spans="1:6" ht="14.4" x14ac:dyDescent="0.25">
      <c r="A38" s="123"/>
      <c r="B38" s="123" t="s">
        <v>131</v>
      </c>
      <c r="C38" s="123"/>
      <c r="D38" s="123"/>
      <c r="E38" s="150">
        <f>('3(2).Bevétel intézmény'!F71)</f>
        <v>53600000</v>
      </c>
      <c r="F38" s="151">
        <f>SUM(C38:E38)</f>
        <v>53600000</v>
      </c>
    </row>
    <row r="39" spans="1:6" ht="20.25" customHeight="1" x14ac:dyDescent="0.25">
      <c r="A39" s="128" t="s">
        <v>41</v>
      </c>
      <c r="B39" s="128" t="s">
        <v>135</v>
      </c>
      <c r="C39" s="152">
        <f>SUM(C37:C38)</f>
        <v>0</v>
      </c>
      <c r="D39" s="152">
        <f t="shared" ref="D39:F39" si="2">SUM(D37:D38)</f>
        <v>0</v>
      </c>
      <c r="E39" s="152">
        <f t="shared" si="2"/>
        <v>53600000</v>
      </c>
      <c r="F39" s="152">
        <f t="shared" si="2"/>
        <v>53600000</v>
      </c>
    </row>
    <row r="40" spans="1:6" ht="20.25" customHeight="1" x14ac:dyDescent="0.25">
      <c r="A40" s="68"/>
      <c r="B40" s="67"/>
      <c r="C40" s="74"/>
      <c r="D40" s="74"/>
      <c r="E40" s="74"/>
      <c r="F40" s="74"/>
    </row>
    <row r="41" spans="1:6" ht="28.8" x14ac:dyDescent="0.25">
      <c r="A41" s="123"/>
      <c r="B41" s="156" t="s">
        <v>139</v>
      </c>
      <c r="C41" s="123" t="s">
        <v>38</v>
      </c>
      <c r="D41" s="123"/>
      <c r="E41" s="123" t="s">
        <v>131</v>
      </c>
      <c r="F41" s="123" t="s">
        <v>359</v>
      </c>
    </row>
    <row r="42" spans="1:6" s="1" customFormat="1" ht="14.4" x14ac:dyDescent="0.25">
      <c r="A42" s="123"/>
      <c r="B42" s="123" t="s">
        <v>133</v>
      </c>
      <c r="C42" s="155"/>
      <c r="D42" s="155"/>
      <c r="E42" s="155"/>
      <c r="F42" s="151">
        <v>0</v>
      </c>
    </row>
    <row r="43" spans="1:6" ht="22.8" customHeight="1" x14ac:dyDescent="0.25">
      <c r="A43" s="125" t="s">
        <v>10</v>
      </c>
      <c r="B43" s="125" t="s">
        <v>108</v>
      </c>
      <c r="C43" s="151">
        <v>0</v>
      </c>
      <c r="D43" s="151">
        <v>0</v>
      </c>
      <c r="E43" s="151">
        <v>0</v>
      </c>
      <c r="F43" s="151">
        <v>0</v>
      </c>
    </row>
    <row r="44" spans="1:6" ht="14.4" x14ac:dyDescent="0.25">
      <c r="A44" s="123"/>
      <c r="B44" s="123" t="s">
        <v>391</v>
      </c>
      <c r="C44" s="150">
        <f>('3(2).Bevétel intézmény'!F54)</f>
        <v>900000</v>
      </c>
      <c r="D44" s="157"/>
      <c r="E44" s="157"/>
      <c r="F44" s="151">
        <f>SUM(C44:E44)</f>
        <v>900000</v>
      </c>
    </row>
    <row r="45" spans="1:6" ht="14.4" x14ac:dyDescent="0.25">
      <c r="A45" s="123"/>
      <c r="B45" s="123" t="s">
        <v>131</v>
      </c>
      <c r="C45" s="123"/>
      <c r="D45" s="123"/>
      <c r="E45" s="150">
        <f>('3(2).Bevétel intézmény'!F57)</f>
        <v>26300000</v>
      </c>
      <c r="F45" s="151">
        <f>SUM(C45:E45)</f>
        <v>26300000</v>
      </c>
    </row>
    <row r="46" spans="1:6" ht="28.8" x14ac:dyDescent="0.25">
      <c r="A46" s="128" t="s">
        <v>42</v>
      </c>
      <c r="B46" s="128" t="s">
        <v>140</v>
      </c>
      <c r="C46" s="152">
        <f>SUM(C43:C45)</f>
        <v>900000</v>
      </c>
      <c r="D46" s="152">
        <f t="shared" ref="D46:F46" si="3">SUM(D43:D45)</f>
        <v>0</v>
      </c>
      <c r="E46" s="152">
        <f t="shared" si="3"/>
        <v>26300000</v>
      </c>
      <c r="F46" s="152">
        <f t="shared" si="3"/>
        <v>27200000</v>
      </c>
    </row>
    <row r="47" spans="1:6" ht="14.4" x14ac:dyDescent="0.25">
      <c r="A47" s="76"/>
      <c r="B47" s="77"/>
      <c r="C47" s="78"/>
      <c r="D47" s="77"/>
      <c r="E47" s="78"/>
      <c r="F47" s="78"/>
    </row>
    <row r="48" spans="1:6" ht="14.4" x14ac:dyDescent="0.3">
      <c r="A48" s="75"/>
      <c r="B48" s="75"/>
      <c r="C48" s="75"/>
      <c r="D48" s="75"/>
      <c r="E48" s="75"/>
      <c r="F48" s="75"/>
    </row>
    <row r="49" spans="1:1" ht="15.6" x14ac:dyDescent="0.3">
      <c r="A49" s="6"/>
    </row>
  </sheetData>
  <sheetProtection sheet="1" objects="1" scenarios="1"/>
  <mergeCells count="7">
    <mergeCell ref="B21:C21"/>
    <mergeCell ref="B7:C7"/>
    <mergeCell ref="A1:F1"/>
    <mergeCell ref="A3:A5"/>
    <mergeCell ref="C3:C4"/>
    <mergeCell ref="C5:F5"/>
    <mergeCell ref="B6:D6"/>
  </mergeCells>
  <pageMargins left="0.70866141732283472" right="0.70866141732283472" top="0.74803149606299213" bottom="0.74803149606299213" header="0.31496062992125984" footer="0.31496062992125984"/>
  <pageSetup paperSize="9" scale="74" fitToHeight="2" orientation="portrait" r:id="rId1"/>
  <headerFooter>
    <oddHeader>&amp;R2./a . számú melléklet
Ft-ban</oddHeader>
  </headerFooter>
  <ignoredErrors>
    <ignoredError sqref="E38:F38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79998168889431442"/>
    <pageSetUpPr fitToPage="1"/>
  </sheetPr>
  <dimension ref="A1:K33"/>
  <sheetViews>
    <sheetView zoomScaleNormal="100" workbookViewId="0">
      <selection activeCell="E33" sqref="E33"/>
    </sheetView>
  </sheetViews>
  <sheetFormatPr defaultRowHeight="13.2" x14ac:dyDescent="0.25"/>
  <cols>
    <col min="1" max="1" width="6.6640625" style="1" customWidth="1"/>
    <col min="2" max="2" width="6" customWidth="1"/>
    <col min="3" max="3" width="6.109375" customWidth="1"/>
    <col min="4" max="4" width="69.88671875" customWidth="1"/>
    <col min="5" max="9" width="20.77734375" customWidth="1"/>
  </cols>
  <sheetData>
    <row r="1" spans="1:9" ht="19.95" customHeight="1" x14ac:dyDescent="0.25">
      <c r="A1" s="284" t="s">
        <v>541</v>
      </c>
      <c r="B1" s="284"/>
      <c r="C1" s="284"/>
      <c r="D1" s="284"/>
      <c r="E1" s="284"/>
      <c r="F1" s="284"/>
      <c r="G1" s="284"/>
      <c r="H1" s="284"/>
      <c r="I1" s="284"/>
    </row>
    <row r="2" spans="1:9" ht="31.2" x14ac:dyDescent="0.25">
      <c r="A2" s="284" t="s">
        <v>542</v>
      </c>
      <c r="B2" s="284"/>
      <c r="C2" s="284"/>
      <c r="D2" s="284"/>
      <c r="E2" s="122" t="s">
        <v>518</v>
      </c>
      <c r="F2" s="121" t="s">
        <v>514</v>
      </c>
      <c r="G2" s="121" t="s">
        <v>515</v>
      </c>
      <c r="H2" s="121" t="s">
        <v>516</v>
      </c>
      <c r="I2" s="121" t="s">
        <v>517</v>
      </c>
    </row>
    <row r="3" spans="1:9" ht="19.95" customHeight="1" x14ac:dyDescent="0.3">
      <c r="A3" s="123"/>
      <c r="B3" s="123" t="s">
        <v>180</v>
      </c>
      <c r="C3" s="304" t="s">
        <v>337</v>
      </c>
      <c r="D3" s="304"/>
      <c r="E3" s="144">
        <v>162706471</v>
      </c>
      <c r="F3" s="144">
        <f>('1(1a).Normatíva'!C53)</f>
        <v>162706471</v>
      </c>
      <c r="G3" s="144">
        <f>('1(1a).Normatíva'!D53)</f>
        <v>0</v>
      </c>
      <c r="H3" s="144">
        <f>('1(1a).Normatíva'!E53)</f>
        <v>0</v>
      </c>
      <c r="I3" s="144">
        <f>('1(1a).Normatíva'!F53)</f>
        <v>0</v>
      </c>
    </row>
    <row r="4" spans="1:9" ht="19.95" customHeight="1" x14ac:dyDescent="0.3">
      <c r="A4" s="123"/>
      <c r="B4" s="123"/>
      <c r="C4" s="304" t="s">
        <v>543</v>
      </c>
      <c r="D4" s="304"/>
      <c r="E4" s="144">
        <v>0</v>
      </c>
      <c r="F4" s="144">
        <f>(('1(1a).Normatíva'!C56)+('1(1a).Normatíva'!C58)+('1(1a).Normatíva'!C60)+('1(1a).Normatíva'!C65)-('1(1a).Normatíva'!C64))</f>
        <v>0</v>
      </c>
      <c r="G4" s="144">
        <f>(('1(1a).Normatíva'!D56)+('1(1a).Normatíva'!D58)+('1(1a).Normatíva'!D60)+('1(1a).Normatíva'!D65)-('1(1a).Normatíva'!D64))</f>
        <v>0</v>
      </c>
      <c r="H4" s="144">
        <f>(('1(1a).Normatíva'!E56)+('1(1a).Normatíva'!E58)+('1(1a).Normatíva'!E60)+('1(1a).Normatíva'!E65)-('1(1a).Normatíva'!E64))</f>
        <v>0</v>
      </c>
      <c r="I4" s="144">
        <f>(('1(1a).Normatíva'!F56)+('1(1a).Normatíva'!F58)+('1(1a).Normatíva'!F60)+('1(1a).Normatíva'!F65)-('1(1a).Normatíva'!F64))</f>
        <v>0</v>
      </c>
    </row>
    <row r="5" spans="1:9" ht="19.95" customHeight="1" x14ac:dyDescent="0.3">
      <c r="A5" s="123"/>
      <c r="B5" s="123"/>
      <c r="C5" s="304" t="s">
        <v>424</v>
      </c>
      <c r="D5" s="304"/>
      <c r="E5" s="144">
        <v>0</v>
      </c>
      <c r="F5" s="144">
        <f>('1(1a).Normatíva'!C64)</f>
        <v>0</v>
      </c>
      <c r="G5" s="144">
        <f>('1(1a).Normatíva'!D64)</f>
        <v>0</v>
      </c>
      <c r="H5" s="144">
        <f>('1(1a).Normatíva'!E64)</f>
        <v>0</v>
      </c>
      <c r="I5" s="144">
        <f>('1(1a).Normatíva'!F64)</f>
        <v>0</v>
      </c>
    </row>
    <row r="6" spans="1:9" ht="19.95" customHeight="1" x14ac:dyDescent="0.3">
      <c r="A6" s="123"/>
      <c r="B6" s="123"/>
      <c r="C6" s="123" t="s">
        <v>410</v>
      </c>
      <c r="D6" s="260" t="s">
        <v>741</v>
      </c>
      <c r="E6" s="144">
        <v>0</v>
      </c>
      <c r="F6" s="144">
        <f>('1(1a).Normatíva'!C68)</f>
        <v>0</v>
      </c>
      <c r="G6" s="144">
        <f>('1(1a).Normatíva'!D68)</f>
        <v>0</v>
      </c>
      <c r="H6" s="144">
        <f>('1(1a).Normatíva'!E68)</f>
        <v>0</v>
      </c>
      <c r="I6" s="144">
        <f>('1(1a).Normatíva'!F68)</f>
        <v>0</v>
      </c>
    </row>
    <row r="7" spans="1:9" ht="19.95" customHeight="1" x14ac:dyDescent="0.3">
      <c r="A7" s="123"/>
      <c r="B7" s="123" t="s">
        <v>338</v>
      </c>
      <c r="C7" s="304" t="s">
        <v>339</v>
      </c>
      <c r="D7" s="304"/>
      <c r="E7" s="144">
        <v>65082500</v>
      </c>
      <c r="F7" s="144">
        <f>('1(1a).Normatíva'!C80)-('1(1a).Normatíva'!C73)</f>
        <v>65327500</v>
      </c>
      <c r="G7" s="144">
        <f>('1(1a).Normatíva'!D80)</f>
        <v>0</v>
      </c>
      <c r="H7" s="144">
        <f>('1(1a).Normatíva'!E80)</f>
        <v>0</v>
      </c>
      <c r="I7" s="144">
        <f>('1(1a).Normatíva'!F80)</f>
        <v>0</v>
      </c>
    </row>
    <row r="8" spans="1:9" s="109" customFormat="1" ht="19.95" customHeight="1" x14ac:dyDescent="0.3">
      <c r="A8" s="125" t="s">
        <v>178</v>
      </c>
      <c r="B8" s="305" t="s">
        <v>179</v>
      </c>
      <c r="C8" s="305"/>
      <c r="D8" s="305"/>
      <c r="E8" s="120">
        <f>SUM(E3:E7)+('3(2).Bevétel intézmény'!E33)+('3(2).Bevétel intézmény'!E47)+('3(2).Bevétel intézmény'!E61)</f>
        <v>228739138</v>
      </c>
      <c r="F8" s="120">
        <f>SUM(F3:F7)+('3(2).Bevétel intézmény'!F33)+('3(2).Bevétel intézmény'!F47)+('3(2).Bevétel intézmény'!F61)</f>
        <v>228984138</v>
      </c>
      <c r="G8" s="120">
        <f>SUM(G3:G7)+('3(2).Bevétel intézmény'!G33)+('3(2).Bevétel intézmény'!G47)+('3(2).Bevétel intézmény'!G61)</f>
        <v>0</v>
      </c>
      <c r="H8" s="120">
        <f>SUM(H3:H7)+('3(2).Bevétel intézmény'!H33)+('3(2).Bevétel intézmény'!H47)+('3(2).Bevétel intézmény'!H61)</f>
        <v>0</v>
      </c>
      <c r="I8" s="120">
        <f>SUM(I3:I7)+('3(2).Bevétel intézmény'!I33)+('3(2).Bevétel intézmény'!I47)+('3(2).Bevétel intézmény'!I61)</f>
        <v>0</v>
      </c>
    </row>
    <row r="9" spans="1:9" s="109" customFormat="1" ht="19.95" customHeight="1" x14ac:dyDescent="0.3">
      <c r="A9" s="123"/>
      <c r="B9" s="123" t="s">
        <v>433</v>
      </c>
      <c r="C9" s="298" t="s">
        <v>544</v>
      </c>
      <c r="D9" s="298"/>
      <c r="E9" s="144">
        <v>22144568</v>
      </c>
      <c r="F9" s="144">
        <f>('3(2).Bevétel intézmény'!F8)</f>
        <v>37108706</v>
      </c>
      <c r="G9" s="144">
        <f>('3(2).Bevétel intézmény'!G8)</f>
        <v>0</v>
      </c>
      <c r="H9" s="144">
        <f>('3(2).Bevétel intézmény'!H8)</f>
        <v>0</v>
      </c>
      <c r="I9" s="144">
        <f>('3(2).Bevétel intézmény'!I8)</f>
        <v>0</v>
      </c>
    </row>
    <row r="10" spans="1:9" s="3" customFormat="1" ht="19.95" customHeight="1" x14ac:dyDescent="0.3">
      <c r="A10" s="123"/>
      <c r="B10" s="123" t="s">
        <v>438</v>
      </c>
      <c r="C10" s="298" t="s">
        <v>206</v>
      </c>
      <c r="D10" s="298"/>
      <c r="E10" s="144">
        <v>132000000</v>
      </c>
      <c r="F10" s="144">
        <f>('3(2).Bevétel intézmény'!F9)</f>
        <v>132000000</v>
      </c>
      <c r="G10" s="144">
        <f>('3(2).Bevétel intézmény'!G9)</f>
        <v>0</v>
      </c>
      <c r="H10" s="144">
        <f>('3(2).Bevétel intézmény'!H9)</f>
        <v>0</v>
      </c>
      <c r="I10" s="144">
        <f>('3(2).Bevétel intézmény'!I9)</f>
        <v>0</v>
      </c>
    </row>
    <row r="11" spans="1:9" s="3" customFormat="1" ht="19.95" customHeight="1" x14ac:dyDescent="0.3">
      <c r="A11" s="125" t="s">
        <v>182</v>
      </c>
      <c r="B11" s="305" t="s">
        <v>183</v>
      </c>
      <c r="C11" s="305"/>
      <c r="D11" s="305"/>
      <c r="E11" s="120">
        <f>SUM(E9:E10)+('3(2).Bevétel intézmény'!E34)+('3(2).Bevétel intézmény'!E48)+('3(2).Bevétel intézmény'!E62)</f>
        <v>154144568</v>
      </c>
      <c r="F11" s="120">
        <f>SUM(F9:F10)+('3(2).Bevétel intézmény'!F34)+('3(2).Bevétel intézmény'!F48)+('3(2).Bevétel intézmény'!F62)</f>
        <v>169108706</v>
      </c>
      <c r="G11" s="120">
        <f>SUM(G9:G10)+('3(2).Bevétel intézmény'!G34)+('3(2).Bevétel intézmény'!G48)+('3(2).Bevétel intézmény'!G62)</f>
        <v>0</v>
      </c>
      <c r="H11" s="120">
        <f>SUM(H9:H10)+('3(2).Bevétel intézmény'!H34)+('3(2).Bevétel intézmény'!H48)+('3(2).Bevétel intézmény'!H62)</f>
        <v>0</v>
      </c>
      <c r="I11" s="120">
        <f>SUM(I9:I10)+('3(2).Bevétel intézmény'!I34)+('3(2).Bevétel intézmény'!I48)+('3(2).Bevétel intézmény'!I62)</f>
        <v>0</v>
      </c>
    </row>
    <row r="12" spans="1:9" s="3" customFormat="1" ht="19.95" customHeight="1" x14ac:dyDescent="0.3">
      <c r="A12" s="123"/>
      <c r="B12" s="123"/>
      <c r="C12" s="123" t="s">
        <v>187</v>
      </c>
      <c r="D12" s="123" t="s">
        <v>188</v>
      </c>
      <c r="E12" s="144">
        <v>45000000</v>
      </c>
      <c r="F12" s="144">
        <f>('3(2).Bevétel intézmény'!F11)</f>
        <v>45000000</v>
      </c>
      <c r="G12" s="144">
        <f>('3(2).Bevétel intézmény'!G11)</f>
        <v>0</v>
      </c>
      <c r="H12" s="144">
        <f>('3(2).Bevétel intézmény'!H11)</f>
        <v>0</v>
      </c>
      <c r="I12" s="144">
        <f>('3(2).Bevétel intézmény'!I11)</f>
        <v>0</v>
      </c>
    </row>
    <row r="13" spans="1:9" s="3" customFormat="1" ht="19.95" customHeight="1" x14ac:dyDescent="0.3">
      <c r="A13" s="123"/>
      <c r="B13" s="123"/>
      <c r="C13" s="123" t="s">
        <v>189</v>
      </c>
      <c r="D13" s="123" t="s">
        <v>190</v>
      </c>
      <c r="E13" s="144">
        <v>7000000</v>
      </c>
      <c r="F13" s="144">
        <f>('3(2).Bevétel intézmény'!F12)</f>
        <v>7000000</v>
      </c>
      <c r="G13" s="144">
        <f>('3(2).Bevétel intézmény'!G12)</f>
        <v>0</v>
      </c>
      <c r="H13" s="144">
        <f>('3(2).Bevétel intézmény'!H12)</f>
        <v>0</v>
      </c>
      <c r="I13" s="144">
        <f>('3(2).Bevétel intézmény'!I12)</f>
        <v>0</v>
      </c>
    </row>
    <row r="14" spans="1:9" s="3" customFormat="1" ht="19.95" customHeight="1" x14ac:dyDescent="0.3">
      <c r="A14" s="123"/>
      <c r="B14" s="123"/>
      <c r="C14" s="123" t="s">
        <v>191</v>
      </c>
      <c r="D14" s="123" t="s">
        <v>192</v>
      </c>
      <c r="E14" s="144">
        <v>0</v>
      </c>
      <c r="F14" s="144">
        <f>('3(2).Bevétel intézmény'!F13)</f>
        <v>0</v>
      </c>
      <c r="G14" s="144">
        <f>('3(2).Bevétel intézmény'!G13)</f>
        <v>0</v>
      </c>
      <c r="H14" s="144">
        <f>('3(2).Bevétel intézmény'!H13)</f>
        <v>0</v>
      </c>
      <c r="I14" s="144">
        <f>('3(2).Bevétel intézmény'!I13)</f>
        <v>0</v>
      </c>
    </row>
    <row r="15" spans="1:9" s="3" customFormat="1" ht="19.95" customHeight="1" x14ac:dyDescent="0.3">
      <c r="A15" s="125"/>
      <c r="B15" s="125" t="s">
        <v>185</v>
      </c>
      <c r="C15" s="305" t="s">
        <v>186</v>
      </c>
      <c r="D15" s="305"/>
      <c r="E15" s="120">
        <f>SUM(E12:E14)</f>
        <v>52000000</v>
      </c>
      <c r="F15" s="120">
        <f t="shared" ref="F15:I15" si="0">SUM(F12:F14)</f>
        <v>52000000</v>
      </c>
      <c r="G15" s="120">
        <f t="shared" si="0"/>
        <v>0</v>
      </c>
      <c r="H15" s="120">
        <f t="shared" si="0"/>
        <v>0</v>
      </c>
      <c r="I15" s="120">
        <f t="shared" si="0"/>
        <v>0</v>
      </c>
    </row>
    <row r="16" spans="1:9" s="3" customFormat="1" ht="19.95" customHeight="1" x14ac:dyDescent="0.3">
      <c r="A16" s="123"/>
      <c r="B16" s="123" t="s">
        <v>193</v>
      </c>
      <c r="C16" s="304" t="s">
        <v>194</v>
      </c>
      <c r="D16" s="304"/>
      <c r="E16" s="144">
        <v>1000000</v>
      </c>
      <c r="F16" s="144">
        <f>('3(2).Bevétel intézmény'!F15)</f>
        <v>1000000</v>
      </c>
      <c r="G16" s="144">
        <f>('3(2).Bevétel intézmény'!G15)</f>
        <v>0</v>
      </c>
      <c r="H16" s="144">
        <f>('3(2).Bevétel intézmény'!H15)</f>
        <v>0</v>
      </c>
      <c r="I16" s="144">
        <f>('3(2).Bevétel intézmény'!I15)</f>
        <v>0</v>
      </c>
    </row>
    <row r="17" spans="1:11" s="3" customFormat="1" ht="19.95" customHeight="1" x14ac:dyDescent="0.3">
      <c r="A17" s="125" t="s">
        <v>184</v>
      </c>
      <c r="B17" s="305" t="s">
        <v>70</v>
      </c>
      <c r="C17" s="305"/>
      <c r="D17" s="305"/>
      <c r="E17" s="120">
        <f>SUM(E15:E16)+('3(2).Bevétel intézmény'!E35)+('3(2).Bevétel intézmény'!E49)+('3(2).Bevétel intézmény'!E63)</f>
        <v>53000000</v>
      </c>
      <c r="F17" s="120">
        <f>SUM(F15:F16)+('3(2).Bevétel intézmény'!F35)+('3(2).Bevétel intézmény'!F49)+('3(2).Bevétel intézmény'!F63)</f>
        <v>53000000</v>
      </c>
      <c r="G17" s="120">
        <f>SUM(G15:G16)+('3(2).Bevétel intézmény'!G35)+('3(2).Bevétel intézmény'!G49)+('3(2).Bevétel intézmény'!G63)</f>
        <v>0</v>
      </c>
      <c r="H17" s="120">
        <f>SUM(H15:H16)+('3(2).Bevétel intézmény'!H35)+('3(2).Bevétel intézmény'!H49)+('3(2).Bevétel intézmény'!H63)</f>
        <v>0</v>
      </c>
      <c r="I17" s="120">
        <f>SUM(I15:I16)+('3(2).Bevétel intézmény'!I35)+('3(2).Bevétel intézmény'!I49)+('3(2).Bevétel intézmény'!I63)</f>
        <v>0</v>
      </c>
    </row>
    <row r="18" spans="1:11" ht="19.95" customHeight="1" x14ac:dyDescent="0.3">
      <c r="A18" s="125" t="s">
        <v>195</v>
      </c>
      <c r="B18" s="305" t="s">
        <v>37</v>
      </c>
      <c r="C18" s="305"/>
      <c r="D18" s="305"/>
      <c r="E18" s="161">
        <f>('3(2).Bevétel intézmény'!E17)+('3(2).Bevétel intézmény'!E36)+('3(2).Bevétel intézmény'!E50)+('3(2).Bevétel intézmény'!E64)</f>
        <v>25050000</v>
      </c>
      <c r="F18" s="161">
        <f>('3(2).Bevétel intézmény'!F17)+('3(2).Bevétel intézmény'!F36)+('3(2).Bevétel intézmény'!F50)+('3(2).Bevétel intézmény'!F64)</f>
        <v>25050000</v>
      </c>
      <c r="G18" s="161">
        <f>('3(2).Bevétel intézmény'!G17)+('3(2).Bevétel intézmény'!G36)+('3(2).Bevétel intézmény'!G50)+('3(2).Bevétel intézmény'!G64)</f>
        <v>0</v>
      </c>
      <c r="H18" s="161">
        <f>('3(2).Bevétel intézmény'!H17)+('3(2).Bevétel intézmény'!H36)+('3(2).Bevétel intézmény'!H50)+('3(2).Bevétel intézmény'!H64)</f>
        <v>0</v>
      </c>
      <c r="I18" s="161">
        <f>('3(2).Bevétel intézmény'!I17)+('3(2).Bevétel intézmény'!I36)+('3(2).Bevétel intézmény'!I50)+('3(2).Bevétel intézmény'!I64)</f>
        <v>0</v>
      </c>
    </row>
    <row r="19" spans="1:11" s="109" customFormat="1" ht="19.95" customHeight="1" x14ac:dyDescent="0.3">
      <c r="A19" s="123"/>
      <c r="B19" s="123" t="s">
        <v>198</v>
      </c>
      <c r="C19" s="304" t="s">
        <v>199</v>
      </c>
      <c r="D19" s="304"/>
      <c r="E19" s="144">
        <v>0</v>
      </c>
      <c r="F19" s="144">
        <f>('3(2).Bevétel intézmény'!F18)</f>
        <v>600000</v>
      </c>
      <c r="G19" s="144">
        <f>('3(2).Bevétel intézmény'!G18)</f>
        <v>0</v>
      </c>
      <c r="H19" s="144">
        <f>('3(2).Bevétel intézmény'!H18)</f>
        <v>0</v>
      </c>
      <c r="I19" s="144">
        <f>('3(2).Bevétel intézmény'!I18)</f>
        <v>0</v>
      </c>
    </row>
    <row r="20" spans="1:11" s="3" customFormat="1" ht="19.95" customHeight="1" x14ac:dyDescent="0.3">
      <c r="A20" s="123"/>
      <c r="B20" s="123" t="s">
        <v>411</v>
      </c>
      <c r="C20" s="304" t="s">
        <v>412</v>
      </c>
      <c r="D20" s="304"/>
      <c r="E20" s="144">
        <v>0</v>
      </c>
      <c r="F20" s="144">
        <f>('3(2).Bevétel intézmény'!F19)</f>
        <v>0</v>
      </c>
      <c r="G20" s="144">
        <f>('3(2).Bevétel intézmény'!G19)</f>
        <v>0</v>
      </c>
      <c r="H20" s="144">
        <f>('3(2).Bevétel intézmény'!H19)</f>
        <v>0</v>
      </c>
      <c r="I20" s="144">
        <f>('3(2).Bevétel intézmény'!I19)</f>
        <v>0</v>
      </c>
    </row>
    <row r="21" spans="1:11" s="3" customFormat="1" ht="19.95" customHeight="1" x14ac:dyDescent="0.3">
      <c r="A21" s="125" t="s">
        <v>196</v>
      </c>
      <c r="B21" s="305" t="s">
        <v>197</v>
      </c>
      <c r="C21" s="305"/>
      <c r="D21" s="305"/>
      <c r="E21" s="120">
        <f>SUM(E19:E20)+('3(2).Bevétel intézmény'!E37)+('3(2).Bevétel intézmény'!E51)+('3(2).Bevétel intézmény'!E65)</f>
        <v>0</v>
      </c>
      <c r="F21" s="120">
        <f>SUM(F19:F20)+('3(2).Bevétel intézmény'!F37)+('3(2).Bevétel intézmény'!F51)+('3(2).Bevétel intézmény'!F65)</f>
        <v>600000</v>
      </c>
      <c r="G21" s="120">
        <f>SUM(G19:G20)+('3(2).Bevétel intézmény'!G37)+('3(2).Bevétel intézmény'!G51)+('3(2).Bevétel intézmény'!G65)</f>
        <v>0</v>
      </c>
      <c r="H21" s="120">
        <f>SUM(H19:H20)+('3(2).Bevétel intézmény'!H37)+('3(2).Bevétel intézmény'!H51)+('3(2).Bevétel intézmény'!H65)</f>
        <v>0</v>
      </c>
      <c r="I21" s="120">
        <f>SUM(I19:I20)+('3(2).Bevétel intézmény'!I37)+('3(2).Bevétel intézmény'!I51)+('3(2).Bevétel intézmény'!I65)</f>
        <v>0</v>
      </c>
    </row>
    <row r="22" spans="1:11" s="13" customFormat="1" ht="19.95" customHeight="1" x14ac:dyDescent="0.3">
      <c r="A22" s="123"/>
      <c r="B22" s="123" t="s">
        <v>545</v>
      </c>
      <c r="C22" s="298" t="s">
        <v>546</v>
      </c>
      <c r="D22" s="298"/>
      <c r="E22" s="144">
        <v>0</v>
      </c>
      <c r="F22" s="144">
        <f>('3(2).Bevétel intézmény'!F21)</f>
        <v>40000</v>
      </c>
      <c r="G22" s="144">
        <f>('3(2).Bevétel intézmény'!G21)</f>
        <v>0</v>
      </c>
      <c r="H22" s="144">
        <f>('3(2).Bevétel intézmény'!H21)</f>
        <v>0</v>
      </c>
      <c r="I22" s="144">
        <f>('3(2).Bevétel intézmény'!I21)</f>
        <v>0</v>
      </c>
    </row>
    <row r="23" spans="1:11" s="13" customFormat="1" ht="19.95" customHeight="1" x14ac:dyDescent="0.3">
      <c r="A23" s="123"/>
      <c r="B23" s="123" t="s">
        <v>440</v>
      </c>
      <c r="C23" s="304" t="s">
        <v>202</v>
      </c>
      <c r="D23" s="304"/>
      <c r="E23" s="144">
        <v>0</v>
      </c>
      <c r="F23" s="144">
        <f>('3(2).Bevétel intézmény'!F22)</f>
        <v>0</v>
      </c>
      <c r="G23" s="144">
        <f>('3(2).Bevétel intézmény'!G22)</f>
        <v>0</v>
      </c>
      <c r="H23" s="144">
        <f>('3(2).Bevétel intézmény'!H22)</f>
        <v>0</v>
      </c>
      <c r="I23" s="144">
        <f>('3(2).Bevétel intézmény'!I22)</f>
        <v>0</v>
      </c>
      <c r="K23" s="61"/>
    </row>
    <row r="24" spans="1:11" s="13" customFormat="1" ht="19.95" customHeight="1" x14ac:dyDescent="0.3">
      <c r="A24" s="125" t="s">
        <v>200</v>
      </c>
      <c r="B24" s="305" t="s">
        <v>201</v>
      </c>
      <c r="C24" s="305"/>
      <c r="D24" s="305"/>
      <c r="E24" s="120">
        <f>SUM(E22:E23)+('3(2).Bevétel intézmény'!E38)+('3(2).Bevétel intézmény'!E52)+('3(2).Bevétel intézmény'!E66)</f>
        <v>0</v>
      </c>
      <c r="F24" s="120">
        <f>SUM(F22:F23)+('3(2).Bevétel intézmény'!F38)+('3(2).Bevétel intézmény'!F52)+('3(2).Bevétel intézmény'!F66)</f>
        <v>40000</v>
      </c>
      <c r="G24" s="120">
        <f>SUM(G22:G23)+('3(2).Bevétel intézmény'!G38)+('3(2).Bevétel intézmény'!G52)+('3(2).Bevétel intézmény'!G66)</f>
        <v>0</v>
      </c>
      <c r="H24" s="120">
        <f>SUM(H22:H23)+('3(2).Bevétel intézmény'!H38)+('3(2).Bevétel intézmény'!H52)+('3(2).Bevétel intézmény'!H66)</f>
        <v>0</v>
      </c>
      <c r="I24" s="120">
        <f>SUM(I22:I23)+('3(2).Bevétel intézmény'!I38)+('3(2).Bevétel intézmény'!I52)+('3(2).Bevétel intézmény'!I66)</f>
        <v>0</v>
      </c>
      <c r="K24" s="61"/>
    </row>
    <row r="25" spans="1:11" s="3" customFormat="1" ht="19.95" customHeight="1" x14ac:dyDescent="0.3">
      <c r="A25" s="123"/>
      <c r="B25" s="123" t="s">
        <v>481</v>
      </c>
      <c r="C25" s="304" t="s">
        <v>207</v>
      </c>
      <c r="D25" s="304"/>
      <c r="E25" s="144">
        <v>0</v>
      </c>
      <c r="F25" s="144">
        <f>('3(2).Bevétel intézmény'!F25)+('3(2).Bevétel intézmény'!F39)+('3(2).Bevétel intézmény'!F53)+('3(2).Bevétel intézmény'!F67)</f>
        <v>0</v>
      </c>
      <c r="G25" s="144">
        <f>('3(2).Bevétel intézmény'!G25)+('3(2).Bevétel intézmény'!G39)+('3(2).Bevétel intézmény'!G53)+('3(2).Bevétel intézmény'!G67)</f>
        <v>0</v>
      </c>
      <c r="H25" s="144">
        <f>('3(2).Bevétel intézmény'!H25)+('3(2).Bevétel intézmény'!H39)+('3(2).Bevétel intézmény'!H53)+('3(2).Bevétel intézmény'!H67)</f>
        <v>0</v>
      </c>
      <c r="I25" s="144">
        <f>('3(2).Bevétel intézmény'!I25)+('3(2).Bevétel intézmény'!I39)+('3(2).Bevétel intézmény'!I53)+('3(2).Bevétel intézmény'!I67)</f>
        <v>0</v>
      </c>
    </row>
    <row r="26" spans="1:11" s="3" customFormat="1" ht="19.95" customHeight="1" x14ac:dyDescent="0.3">
      <c r="A26" s="125" t="s">
        <v>203</v>
      </c>
      <c r="B26" s="305" t="s">
        <v>204</v>
      </c>
      <c r="C26" s="305"/>
      <c r="D26" s="305"/>
      <c r="E26" s="120">
        <f>SUM(E25)</f>
        <v>0</v>
      </c>
      <c r="F26" s="120">
        <f t="shared" ref="F26:I26" si="1">SUM(F25)</f>
        <v>0</v>
      </c>
      <c r="G26" s="120">
        <f t="shared" si="1"/>
        <v>0</v>
      </c>
      <c r="H26" s="120">
        <f t="shared" si="1"/>
        <v>0</v>
      </c>
      <c r="I26" s="120">
        <f t="shared" si="1"/>
        <v>0</v>
      </c>
    </row>
    <row r="27" spans="1:11" s="14" customFormat="1" ht="19.95" customHeight="1" x14ac:dyDescent="0.3">
      <c r="A27" s="128" t="s">
        <v>212</v>
      </c>
      <c r="B27" s="303" t="s">
        <v>213</v>
      </c>
      <c r="C27" s="303"/>
      <c r="D27" s="303"/>
      <c r="E27" s="129">
        <f>E8+E11+E17+E18+E21+E24+E26</f>
        <v>460933706</v>
      </c>
      <c r="F27" s="129">
        <f t="shared" ref="F27:I27" si="2">F8+F11+F17+F18+F21+F24+F26</f>
        <v>476782844</v>
      </c>
      <c r="G27" s="129">
        <f t="shared" si="2"/>
        <v>0</v>
      </c>
      <c r="H27" s="129">
        <f t="shared" si="2"/>
        <v>0</v>
      </c>
      <c r="I27" s="129">
        <f t="shared" si="2"/>
        <v>0</v>
      </c>
    </row>
    <row r="28" spans="1:11" s="3" customFormat="1" ht="19.95" customHeight="1" x14ac:dyDescent="0.3">
      <c r="A28" s="123"/>
      <c r="B28" s="123" t="s">
        <v>210</v>
      </c>
      <c r="C28" s="298" t="s">
        <v>211</v>
      </c>
      <c r="D28" s="298"/>
      <c r="E28" s="144">
        <v>116501431</v>
      </c>
      <c r="F28" s="144">
        <f>('3(2).Bevétel intézmény'!F27)+('3(2).Bevétel intézmény'!F41)+('3(2).Bevétel intézmény'!F55)+('3(2).Bevétel intézmény'!F69)</f>
        <v>116501431</v>
      </c>
      <c r="G28" s="144">
        <f>('3(2).Bevétel intézmény'!G27)+('3(2).Bevétel intézmény'!G41)+('3(2).Bevétel intézmény'!G55)+('3(2).Bevétel intézmény'!G69)</f>
        <v>0</v>
      </c>
      <c r="H28" s="144">
        <f>('3(2).Bevétel intézmény'!H27)+('3(2).Bevétel intézmény'!H41)+('3(2).Bevétel intézmény'!H55)+('3(2).Bevétel intézmény'!H69)</f>
        <v>0</v>
      </c>
      <c r="I28" s="144">
        <f>('3(2).Bevétel intézmény'!I27)+('3(2).Bevétel intézmény'!I41)+('3(2).Bevétel intézmény'!I55)+('3(2).Bevétel intézmény'!I69)</f>
        <v>0</v>
      </c>
    </row>
    <row r="29" spans="1:11" s="3" customFormat="1" ht="19.95" customHeight="1" x14ac:dyDescent="0.3">
      <c r="A29" s="123"/>
      <c r="B29" s="123" t="s">
        <v>401</v>
      </c>
      <c r="C29" s="298" t="s">
        <v>402</v>
      </c>
      <c r="D29" s="298"/>
      <c r="E29" s="144">
        <v>5982029</v>
      </c>
      <c r="F29" s="144">
        <f>('3(2).Bevétel intézmény'!F28)</f>
        <v>5982029</v>
      </c>
      <c r="G29" s="144">
        <f>('3(2).Bevétel intézmény'!G28)</f>
        <v>0</v>
      </c>
      <c r="H29" s="144">
        <f>('3(2).Bevétel intézmény'!H28)</f>
        <v>0</v>
      </c>
      <c r="I29" s="144">
        <f>('3(2).Bevétel intézmény'!I28)</f>
        <v>0</v>
      </c>
    </row>
    <row r="30" spans="1:11" s="3" customFormat="1" ht="19.95" customHeight="1" x14ac:dyDescent="0.3">
      <c r="A30" s="125" t="s">
        <v>208</v>
      </c>
      <c r="B30" s="305" t="s">
        <v>209</v>
      </c>
      <c r="C30" s="305"/>
      <c r="D30" s="305"/>
      <c r="E30" s="120">
        <f>SUM(E28:E29)</f>
        <v>122483460</v>
      </c>
      <c r="F30" s="120">
        <f t="shared" ref="F30:I30" si="3">SUM(F28:F29)</f>
        <v>122483460</v>
      </c>
      <c r="G30" s="120">
        <f t="shared" si="3"/>
        <v>0</v>
      </c>
      <c r="H30" s="120">
        <f t="shared" si="3"/>
        <v>0</v>
      </c>
      <c r="I30" s="120">
        <f t="shared" si="3"/>
        <v>0</v>
      </c>
    </row>
    <row r="31" spans="1:11" s="17" customFormat="1" ht="19.95" customHeight="1" x14ac:dyDescent="0.35">
      <c r="A31" s="322" t="s">
        <v>405</v>
      </c>
      <c r="B31" s="322"/>
      <c r="C31" s="322"/>
      <c r="D31" s="322"/>
      <c r="E31" s="162">
        <f>E27+E30</f>
        <v>583417166</v>
      </c>
      <c r="F31" s="162">
        <f t="shared" ref="F31:I31" si="4">F27+F30</f>
        <v>599266304</v>
      </c>
      <c r="G31" s="162">
        <f t="shared" si="4"/>
        <v>0</v>
      </c>
      <c r="H31" s="162">
        <f t="shared" si="4"/>
        <v>0</v>
      </c>
      <c r="I31" s="162">
        <f t="shared" si="4"/>
        <v>0</v>
      </c>
    </row>
    <row r="32" spans="1:11" s="3" customFormat="1" ht="19.95" customHeight="1" x14ac:dyDescent="0.3">
      <c r="A32" s="123"/>
      <c r="B32" s="123" t="s">
        <v>404</v>
      </c>
      <c r="C32" s="304" t="s">
        <v>406</v>
      </c>
      <c r="D32" s="304"/>
      <c r="E32" s="144">
        <v>138168131</v>
      </c>
      <c r="F32" s="144">
        <f>('3(2).Bevétel intézmény'!F42)+('3(2).Bevétel intézmény'!F56)+('3(2).Bevétel intézmény'!F70)</f>
        <v>138168131</v>
      </c>
      <c r="G32" s="144">
        <f>('3(2).Bevétel intézmény'!G42)+('3(2).Bevétel intézmény'!G56)+('3(2).Bevétel intézmény'!G70)</f>
        <v>0</v>
      </c>
      <c r="H32" s="144">
        <f>('3(2).Bevétel intézmény'!H42)+('3(2).Bevétel intézmény'!H56)+('3(2).Bevétel intézmény'!H70)</f>
        <v>0</v>
      </c>
      <c r="I32" s="144">
        <f>('3(2).Bevétel intézmény'!I42)+('3(2).Bevétel intézmény'!I56)+('3(2).Bevétel intézmény'!I70)</f>
        <v>0</v>
      </c>
    </row>
    <row r="33" spans="1:9" ht="19.95" customHeight="1" x14ac:dyDescent="0.3">
      <c r="A33" s="321" t="s">
        <v>43</v>
      </c>
      <c r="B33" s="321"/>
      <c r="C33" s="321"/>
      <c r="D33" s="321"/>
      <c r="E33" s="137">
        <f>SUM(E31:E32)</f>
        <v>721585297</v>
      </c>
      <c r="F33" s="137">
        <f t="shared" ref="F33:I33" si="5">SUM(F31:F32)</f>
        <v>737434435</v>
      </c>
      <c r="G33" s="137">
        <f t="shared" si="5"/>
        <v>0</v>
      </c>
      <c r="H33" s="137">
        <f t="shared" si="5"/>
        <v>0</v>
      </c>
      <c r="I33" s="137">
        <f t="shared" si="5"/>
        <v>0</v>
      </c>
    </row>
  </sheetData>
  <sheetProtection sheet="1" objects="1" scenarios="1"/>
  <mergeCells count="29">
    <mergeCell ref="A1:I1"/>
    <mergeCell ref="C3:D3"/>
    <mergeCell ref="C4:D4"/>
    <mergeCell ref="C5:D5"/>
    <mergeCell ref="B11:D11"/>
    <mergeCell ref="C7:D7"/>
    <mergeCell ref="B8:D8"/>
    <mergeCell ref="C10:D10"/>
    <mergeCell ref="C9:D9"/>
    <mergeCell ref="A2:D2"/>
    <mergeCell ref="C15:D15"/>
    <mergeCell ref="C16:D16"/>
    <mergeCell ref="B17:D17"/>
    <mergeCell ref="B18:D18"/>
    <mergeCell ref="C20:D20"/>
    <mergeCell ref="B21:D21"/>
    <mergeCell ref="C19:D19"/>
    <mergeCell ref="C22:D22"/>
    <mergeCell ref="C23:D23"/>
    <mergeCell ref="C29:D29"/>
    <mergeCell ref="B30:D30"/>
    <mergeCell ref="C32:D32"/>
    <mergeCell ref="A33:D33"/>
    <mergeCell ref="B24:D24"/>
    <mergeCell ref="C25:D25"/>
    <mergeCell ref="B26:D26"/>
    <mergeCell ref="B27:D27"/>
    <mergeCell ref="C28:D28"/>
    <mergeCell ref="A31:D31"/>
  </mergeCell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Header>&amp;R1.sz. melléklet
Ft- ban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5" tint="0.79998168889431442"/>
    <pageSetUpPr fitToPage="1"/>
  </sheetPr>
  <dimension ref="A1:O13"/>
  <sheetViews>
    <sheetView zoomScaleNormal="100" workbookViewId="0">
      <selection activeCell="E10" sqref="E10"/>
    </sheetView>
  </sheetViews>
  <sheetFormatPr defaultColWidth="9.109375" defaultRowHeight="13.2" x14ac:dyDescent="0.25"/>
  <cols>
    <col min="1" max="1" width="21" style="8" customWidth="1"/>
    <col min="2" max="7" width="12" style="8" bestFit="1" customWidth="1"/>
    <col min="8" max="8" width="12.88671875" style="8" bestFit="1" customWidth="1"/>
    <col min="9" max="13" width="12" style="8" bestFit="1" customWidth="1"/>
    <col min="14" max="15" width="12.88671875" style="8" bestFit="1" customWidth="1"/>
    <col min="16" max="16384" width="9.109375" style="8"/>
  </cols>
  <sheetData>
    <row r="1" spans="1:15" ht="15.6" x14ac:dyDescent="0.25">
      <c r="A1" s="274" t="s">
        <v>71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6"/>
    </row>
    <row r="2" spans="1:15" ht="15.6" x14ac:dyDescent="0.25">
      <c r="A2" s="274" t="s">
        <v>547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</row>
    <row r="3" spans="1:15" ht="15.6" x14ac:dyDescent="0.3">
      <c r="A3" s="42"/>
    </row>
    <row r="4" spans="1:15" ht="14.4" x14ac:dyDescent="0.25">
      <c r="A4" s="163" t="s">
        <v>69</v>
      </c>
      <c r="B4" s="163" t="s">
        <v>548</v>
      </c>
      <c r="C4" s="163" t="s">
        <v>549</v>
      </c>
      <c r="D4" s="163" t="s">
        <v>550</v>
      </c>
      <c r="E4" s="163" t="s">
        <v>514</v>
      </c>
      <c r="F4" s="163" t="s">
        <v>551</v>
      </c>
      <c r="G4" s="163" t="s">
        <v>552</v>
      </c>
      <c r="H4" s="163" t="s">
        <v>553</v>
      </c>
      <c r="I4" s="163" t="s">
        <v>554</v>
      </c>
      <c r="J4" s="163" t="s">
        <v>515</v>
      </c>
      <c r="K4" s="163" t="s">
        <v>555</v>
      </c>
      <c r="L4" s="163" t="s">
        <v>516</v>
      </c>
      <c r="M4" s="163" t="s">
        <v>517</v>
      </c>
      <c r="N4" s="163" t="s">
        <v>556</v>
      </c>
      <c r="O4" s="163" t="s">
        <v>462</v>
      </c>
    </row>
    <row r="5" spans="1:15" ht="39.75" customHeight="1" x14ac:dyDescent="0.25">
      <c r="A5" s="123" t="s">
        <v>333</v>
      </c>
      <c r="B5" s="164">
        <v>19082012</v>
      </c>
      <c r="C5" s="164">
        <v>19082011</v>
      </c>
      <c r="D5" s="164">
        <v>19082012</v>
      </c>
      <c r="E5" s="164">
        <v>19082011</v>
      </c>
      <c r="F5" s="164">
        <v>19082012</v>
      </c>
      <c r="G5" s="164">
        <v>19082011</v>
      </c>
      <c r="H5" s="164">
        <v>19082012</v>
      </c>
      <c r="I5" s="164">
        <v>19082011</v>
      </c>
      <c r="J5" s="164">
        <v>19082012</v>
      </c>
      <c r="K5" s="164">
        <v>19082011</v>
      </c>
      <c r="L5" s="164">
        <v>19082012</v>
      </c>
      <c r="M5" s="164">
        <v>19082011</v>
      </c>
      <c r="N5" s="216">
        <f>SUM(B5:M5)</f>
        <v>228984138</v>
      </c>
      <c r="O5" s="234">
        <f>('5 (1).Bevételek összesen'!F8)</f>
        <v>228984138</v>
      </c>
    </row>
    <row r="6" spans="1:15" ht="35.25" customHeight="1" x14ac:dyDescent="0.25">
      <c r="A6" s="123" t="s">
        <v>334</v>
      </c>
      <c r="B6" s="164"/>
      <c r="C6" s="164"/>
      <c r="D6" s="164">
        <v>22144568</v>
      </c>
      <c r="E6" s="164"/>
      <c r="F6" s="164"/>
      <c r="G6" s="164">
        <v>30000000</v>
      </c>
      <c r="H6" s="164">
        <v>40000000</v>
      </c>
      <c r="I6" s="164">
        <v>62000000</v>
      </c>
      <c r="J6" s="164">
        <v>14964138</v>
      </c>
      <c r="K6" s="164"/>
      <c r="L6" s="164"/>
      <c r="M6" s="164"/>
      <c r="N6" s="216">
        <f t="shared" ref="N6:N13" si="0">SUM(B6:M6)</f>
        <v>169108706</v>
      </c>
      <c r="O6" s="234">
        <f>('5 (1).Bevételek összesen'!F11)</f>
        <v>169108706</v>
      </c>
    </row>
    <row r="7" spans="1:15" ht="35.25" customHeight="1" x14ac:dyDescent="0.25">
      <c r="A7" s="123" t="s">
        <v>70</v>
      </c>
      <c r="B7" s="164">
        <v>872000</v>
      </c>
      <c r="C7" s="164">
        <v>871000</v>
      </c>
      <c r="D7" s="164">
        <v>8500000</v>
      </c>
      <c r="E7" s="164">
        <v>1600000</v>
      </c>
      <c r="F7" s="164">
        <v>20100000</v>
      </c>
      <c r="G7" s="164">
        <v>2900000</v>
      </c>
      <c r="H7" s="164">
        <v>1950000</v>
      </c>
      <c r="I7" s="164">
        <v>2107000</v>
      </c>
      <c r="J7" s="164">
        <v>8500000</v>
      </c>
      <c r="K7" s="164">
        <v>2100000</v>
      </c>
      <c r="L7" s="164">
        <v>1900000</v>
      </c>
      <c r="M7" s="164">
        <v>1600000</v>
      </c>
      <c r="N7" s="216">
        <f t="shared" si="0"/>
        <v>53000000</v>
      </c>
      <c r="O7" s="234">
        <f>('5 (1).Bevételek összesen'!F17)</f>
        <v>53000000</v>
      </c>
    </row>
    <row r="8" spans="1:15" ht="35.25" customHeight="1" x14ac:dyDescent="0.25">
      <c r="A8" s="123" t="s">
        <v>37</v>
      </c>
      <c r="B8" s="164">
        <v>2087500</v>
      </c>
      <c r="C8" s="164">
        <v>2087500</v>
      </c>
      <c r="D8" s="164">
        <v>2087500</v>
      </c>
      <c r="E8" s="164">
        <v>2087500</v>
      </c>
      <c r="F8" s="164">
        <v>2087500</v>
      </c>
      <c r="G8" s="164">
        <v>2087500</v>
      </c>
      <c r="H8" s="164">
        <v>2087500</v>
      </c>
      <c r="I8" s="164">
        <v>2087500</v>
      </c>
      <c r="J8" s="164">
        <v>2087500</v>
      </c>
      <c r="K8" s="164">
        <v>2087500</v>
      </c>
      <c r="L8" s="164">
        <v>2087500</v>
      </c>
      <c r="M8" s="164">
        <v>2087500</v>
      </c>
      <c r="N8" s="216">
        <f t="shared" si="0"/>
        <v>25050000</v>
      </c>
      <c r="O8" s="234">
        <f>('5 (1).Bevételek összesen'!F18)</f>
        <v>25050000</v>
      </c>
    </row>
    <row r="9" spans="1:15" ht="35.25" customHeight="1" x14ac:dyDescent="0.25">
      <c r="A9" s="123" t="s">
        <v>494</v>
      </c>
      <c r="B9" s="164">
        <v>500000</v>
      </c>
      <c r="C9" s="164">
        <v>100000</v>
      </c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216">
        <f t="shared" si="0"/>
        <v>600000</v>
      </c>
      <c r="O9" s="234">
        <f>('5 (1).Bevételek összesen'!F21)</f>
        <v>600000</v>
      </c>
    </row>
    <row r="10" spans="1:15" ht="35.25" customHeight="1" x14ac:dyDescent="0.25">
      <c r="A10" s="123" t="s">
        <v>201</v>
      </c>
      <c r="B10" s="164"/>
      <c r="C10" s="164"/>
      <c r="D10" s="164">
        <v>40000</v>
      </c>
      <c r="E10" s="164"/>
      <c r="F10" s="164"/>
      <c r="G10" s="164"/>
      <c r="H10" s="164"/>
      <c r="I10" s="164"/>
      <c r="J10" s="164"/>
      <c r="K10" s="164"/>
      <c r="L10" s="164"/>
      <c r="M10" s="164"/>
      <c r="N10" s="216">
        <f t="shared" si="0"/>
        <v>40000</v>
      </c>
      <c r="O10" s="234">
        <f>('5 (1).Bevételek összesen'!F24)</f>
        <v>40000</v>
      </c>
    </row>
    <row r="11" spans="1:15" ht="35.25" customHeight="1" x14ac:dyDescent="0.25">
      <c r="A11" s="123" t="s">
        <v>204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216">
        <f t="shared" si="0"/>
        <v>0</v>
      </c>
      <c r="O11" s="234">
        <f>('5 (1).Bevételek összesen'!F26)</f>
        <v>0</v>
      </c>
    </row>
    <row r="12" spans="1:15" ht="35.25" customHeight="1" x14ac:dyDescent="0.25">
      <c r="A12" s="123" t="s">
        <v>73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216"/>
      <c r="O12" s="234"/>
    </row>
    <row r="13" spans="1:15" ht="35.25" customHeight="1" x14ac:dyDescent="0.25">
      <c r="A13" s="125" t="s">
        <v>1</v>
      </c>
      <c r="B13" s="165">
        <f t="shared" ref="B13:M13" si="1">SUM(B5:B12)</f>
        <v>22541512</v>
      </c>
      <c r="C13" s="165">
        <f t="shared" si="1"/>
        <v>22140511</v>
      </c>
      <c r="D13" s="165">
        <f t="shared" si="1"/>
        <v>51854080</v>
      </c>
      <c r="E13" s="165">
        <f t="shared" si="1"/>
        <v>22769511</v>
      </c>
      <c r="F13" s="165">
        <f t="shared" si="1"/>
        <v>41269512</v>
      </c>
      <c r="G13" s="165">
        <f t="shared" si="1"/>
        <v>54069511</v>
      </c>
      <c r="H13" s="165">
        <f t="shared" si="1"/>
        <v>63119512</v>
      </c>
      <c r="I13" s="165">
        <f t="shared" si="1"/>
        <v>85276511</v>
      </c>
      <c r="J13" s="165">
        <f t="shared" si="1"/>
        <v>44633650</v>
      </c>
      <c r="K13" s="165">
        <f t="shared" si="1"/>
        <v>23269511</v>
      </c>
      <c r="L13" s="165">
        <f t="shared" si="1"/>
        <v>23069512</v>
      </c>
      <c r="M13" s="165">
        <f t="shared" si="1"/>
        <v>22769511</v>
      </c>
      <c r="N13" s="165">
        <f t="shared" si="0"/>
        <v>476782844</v>
      </c>
      <c r="O13" s="234">
        <f>('5 (1).Bevételek összesen'!F27)</f>
        <v>476782844</v>
      </c>
    </row>
  </sheetData>
  <sheetProtection sheet="1" objects="1" scenarios="1"/>
  <mergeCells count="2">
    <mergeCell ref="A1:O1"/>
    <mergeCell ref="A2:O2"/>
  </mergeCells>
  <pageMargins left="0.43307086614173229" right="0.19685039370078741" top="0.74803149606299213" bottom="0.43307086614173229" header="0.47244094488188981" footer="0.15748031496062992"/>
  <pageSetup paperSize="9" scale="75" orientation="landscape" r:id="rId1"/>
  <headerFooter alignWithMargins="0">
    <oddHeader>&amp;R5.sz. melléklet
FT-ban</oddHeader>
  </headerFooter>
  <ignoredErrors>
    <ignoredError sqref="N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21</vt:i4>
      </vt:variant>
    </vt:vector>
  </HeadingPairs>
  <TitlesOfParts>
    <vt:vector size="21" baseType="lpstr">
      <vt:lpstr>segédtábla közfoglalkoztatás</vt:lpstr>
      <vt:lpstr>segédtábla pályázatok</vt:lpstr>
      <vt:lpstr>segédtábla bérek</vt:lpstr>
      <vt:lpstr>1(1a).Normatíva</vt:lpstr>
      <vt:lpstr>2(1b).Működési bevétel int.</vt:lpstr>
      <vt:lpstr>3(2).Bevétel intézmény</vt:lpstr>
      <vt:lpstr>4(2a).Köt. műk. bev. intézmény </vt:lpstr>
      <vt:lpstr>5 (1).Bevételek összesen</vt:lpstr>
      <vt:lpstr>6(5).Bevételi ei.telj önk</vt:lpstr>
      <vt:lpstr>7(3a).Személyi jutt intézmény</vt:lpstr>
      <vt:lpstr>8(3b).Dologi kiad intézmény</vt:lpstr>
      <vt:lpstr>9(1c).Beruházás felújítás</vt:lpstr>
      <vt:lpstr>10(8).Közvetett közvetlen tám.</vt:lpstr>
      <vt:lpstr>11(9).Több éves kihat. döntések</vt:lpstr>
      <vt:lpstr>12(11).Adott támogatások</vt:lpstr>
      <vt:lpstr>13(4).Kiadás intézmény</vt:lpstr>
      <vt:lpstr>14(4a).Köt. műk. kia. intézmény</vt:lpstr>
      <vt:lpstr>15(3).Kiadások összesen</vt:lpstr>
      <vt:lpstr>16(6).Kiadási ei telj önk</vt:lpstr>
      <vt:lpstr>17(3c).Dol. önk rész cofog</vt:lpstr>
      <vt:lpstr>(7)Ktg.mérl össz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Istvan</cp:lastModifiedBy>
  <cp:lastPrinted>2018-03-14T09:57:37Z</cp:lastPrinted>
  <dcterms:created xsi:type="dcterms:W3CDTF">2013-01-22T14:12:33Z</dcterms:created>
  <dcterms:modified xsi:type="dcterms:W3CDTF">2018-04-23T08:35:05Z</dcterms:modified>
</cp:coreProperties>
</file>