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920" firstSheet="6" activeTab="12"/>
  </bookViews>
  <sheets>
    <sheet name="1.sz.mell." sheetId="19" r:id="rId1"/>
    <sheet name="2.sz.mell." sheetId="2" r:id="rId2"/>
    <sheet name="3.sz.mell." sheetId="3" r:id="rId3"/>
    <sheet name="4.sz.mell." sheetId="23" r:id="rId4"/>
    <sheet name="4a.sz.mell." sheetId="24" r:id="rId5"/>
    <sheet name="5.sz.mell." sheetId="5" r:id="rId6"/>
    <sheet name="6.sz.mell." sheetId="6" r:id="rId7"/>
    <sheet name="7.sz.mell." sheetId="12" r:id="rId8"/>
    <sheet name="8.sz.mell." sheetId="13" r:id="rId9"/>
    <sheet name="9. sz.mell." sheetId="14" r:id="rId10"/>
    <sheet name="10.sz.mell." sheetId="15" r:id="rId11"/>
    <sheet name="11.sz.m." sheetId="21" r:id="rId12"/>
    <sheet name="12.sz.mell" sheetId="22" r:id="rId13"/>
    <sheet name="Munka1" sheetId="25" r:id="rId14"/>
  </sheets>
  <definedNames>
    <definedName name="_xlnm.Print_Titles" localSheetId="0">'1.sz.mell.'!$1:$1</definedName>
    <definedName name="_xlnm.Print_Titles" localSheetId="1">'2.sz.mell.'!$1:$1</definedName>
    <definedName name="_xlnm.Print_Area" localSheetId="0">'1.sz.mell.'!$A$1:$D$122</definedName>
    <definedName name="_xlnm.Print_Area" localSheetId="10">'10.sz.mell.'!$A$1:$E$30</definedName>
    <definedName name="_xlnm.Print_Area" localSheetId="12">'12.sz.mell'!$A$1:$I$27</definedName>
    <definedName name="_xlnm.Print_Area" localSheetId="1">'2.sz.mell.'!$A$1:$F$47</definedName>
    <definedName name="_xlnm.Print_Area" localSheetId="2">'3.sz.mell.'!$A$1:$V$26</definedName>
    <definedName name="_xlnm.Print_Area" localSheetId="3">'4.sz.mell.'!$A$1:$AA$60</definedName>
    <definedName name="_xlnm.Print_Area" localSheetId="4">'4a.sz.mell.'!$A$1:$Q$61</definedName>
    <definedName name="_xlnm.Print_Area" localSheetId="5">'5.sz.mell.'!$A$1:$D$22</definedName>
    <definedName name="_xlnm.Print_Area" localSheetId="6">'6.sz.mell.'!$A$1:$E$40</definedName>
    <definedName name="_xlnm.Print_Area" localSheetId="7">'7.sz.mell.'!$A$1:$D$13</definedName>
    <definedName name="_xlnm.Print_Area" localSheetId="8">'8.sz.mell.'!$A$1:$F$56</definedName>
    <definedName name="_xlnm.Print_Area" localSheetId="9">'9. sz.mell.'!$A$1:$AA$25</definedName>
  </definedNames>
  <calcPr calcId="125725"/>
</workbook>
</file>

<file path=xl/calcChain.xml><?xml version="1.0" encoding="utf-8"?>
<calcChain xmlns="http://schemas.openxmlformats.org/spreadsheetml/2006/main">
  <c r="D16" i="22"/>
  <c r="I20" i="21"/>
  <c r="H20"/>
  <c r="G20"/>
  <c r="F20"/>
  <c r="E20"/>
  <c r="D20"/>
  <c r="C21" l="1"/>
  <c r="F28"/>
  <c r="G28"/>
  <c r="H28"/>
  <c r="I28"/>
  <c r="E28"/>
  <c r="E16"/>
  <c r="F16"/>
  <c r="G16"/>
  <c r="H16"/>
  <c r="I16"/>
  <c r="E25" i="15"/>
  <c r="Z20" i="14"/>
  <c r="AA20"/>
  <c r="W22"/>
  <c r="S21"/>
  <c r="Y18"/>
  <c r="W18"/>
  <c r="U18"/>
  <c r="Y16"/>
  <c r="W16"/>
  <c r="U16"/>
  <c r="Y15"/>
  <c r="W15"/>
  <c r="U15"/>
  <c r="Y14"/>
  <c r="W14"/>
  <c r="U14"/>
  <c r="U8"/>
  <c r="U6"/>
  <c r="AB23"/>
  <c r="AB22"/>
  <c r="AB21"/>
  <c r="AB19"/>
  <c r="AB18"/>
  <c r="AB17"/>
  <c r="AB16"/>
  <c r="AB15"/>
  <c r="AB14"/>
  <c r="AB6"/>
  <c r="AB7"/>
  <c r="AB8"/>
  <c r="AB9"/>
  <c r="AC9" s="1"/>
  <c r="AB11"/>
  <c r="D56" i="13"/>
  <c r="C56"/>
  <c r="E19"/>
  <c r="E56" s="1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13"/>
  <c r="E13"/>
  <c r="B13"/>
  <c r="F11"/>
  <c r="F12"/>
  <c r="F10"/>
  <c r="D10" i="12"/>
  <c r="E35" i="6"/>
  <c r="E14"/>
  <c r="D19" i="5"/>
  <c r="V27" i="3"/>
  <c r="R14"/>
  <c r="P14"/>
  <c r="I12"/>
  <c r="J12"/>
  <c r="P27"/>
  <c r="P24"/>
  <c r="P23"/>
  <c r="P22"/>
  <c r="P21"/>
  <c r="P20"/>
  <c r="O25"/>
  <c r="R27"/>
  <c r="N27"/>
  <c r="L27"/>
  <c r="J27"/>
  <c r="H27"/>
  <c r="F27"/>
  <c r="D27"/>
  <c r="F34" i="2"/>
  <c r="F36"/>
  <c r="F13" i="13" l="1"/>
  <c r="P25" i="3"/>
  <c r="D52" i="19"/>
  <c r="C52"/>
  <c r="D40"/>
  <c r="D56"/>
  <c r="E66" l="1"/>
  <c r="D79" l="1"/>
  <c r="S60" i="23"/>
  <c r="R60"/>
  <c r="R59"/>
  <c r="S59"/>
  <c r="R51"/>
  <c r="S51"/>
  <c r="T51"/>
  <c r="R48"/>
  <c r="S48"/>
  <c r="T48"/>
  <c r="R46"/>
  <c r="S46"/>
  <c r="R40"/>
  <c r="R41" s="1"/>
  <c r="S40"/>
  <c r="S41" s="1"/>
  <c r="T40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Y6"/>
  <c r="X6"/>
  <c r="R31"/>
  <c r="S31"/>
  <c r="D23" i="22" l="1"/>
  <c r="D27" s="1"/>
  <c r="C25" i="21"/>
  <c r="F38" i="2"/>
  <c r="F14" i="3"/>
  <c r="N14"/>
  <c r="S21"/>
  <c r="U21" s="1"/>
  <c r="S22"/>
  <c r="U22" s="1"/>
  <c r="S23"/>
  <c r="U23" s="1"/>
  <c r="S24"/>
  <c r="U24" s="1"/>
  <c r="H24"/>
  <c r="F24"/>
  <c r="D24"/>
  <c r="T24" l="1"/>
  <c r="D25" i="15"/>
  <c r="S14" i="14"/>
  <c r="Q14"/>
  <c r="O14"/>
  <c r="M14"/>
  <c r="Q22"/>
  <c r="O22"/>
  <c r="O21"/>
  <c r="S18"/>
  <c r="Q18"/>
  <c r="O18"/>
  <c r="M18"/>
  <c r="S15"/>
  <c r="Q15"/>
  <c r="O15"/>
  <c r="M15"/>
  <c r="S16"/>
  <c r="Q16"/>
  <c r="O16"/>
  <c r="Q17"/>
  <c r="Y6"/>
  <c r="W6"/>
  <c r="S6"/>
  <c r="Q6"/>
  <c r="O6"/>
  <c r="M6"/>
  <c r="K6"/>
  <c r="I6"/>
  <c r="G6"/>
  <c r="E6"/>
  <c r="C6"/>
  <c r="Q9"/>
  <c r="AA9"/>
  <c r="M9"/>
  <c r="K9"/>
  <c r="I9"/>
  <c r="Y8"/>
  <c r="W8"/>
  <c r="S8"/>
  <c r="Q8"/>
  <c r="O8"/>
  <c r="M8"/>
  <c r="K8"/>
  <c r="I8"/>
  <c r="G8"/>
  <c r="E8"/>
  <c r="C8"/>
  <c r="D11" i="12"/>
  <c r="D55" i="19"/>
  <c r="D13" i="5"/>
  <c r="D12"/>
  <c r="E12" i="6"/>
  <c r="E19" l="1"/>
  <c r="E18"/>
  <c r="E17"/>
  <c r="E22"/>
  <c r="D7"/>
  <c r="E9"/>
  <c r="E10"/>
  <c r="C18" i="5"/>
  <c r="D17"/>
  <c r="D16"/>
  <c r="D15"/>
  <c r="D14"/>
  <c r="D10"/>
  <c r="D9"/>
  <c r="D20"/>
  <c r="O8" i="3"/>
  <c r="O9"/>
  <c r="O10"/>
  <c r="O11"/>
  <c r="O7"/>
  <c r="N8"/>
  <c r="N11"/>
  <c r="N10"/>
  <c r="N9"/>
  <c r="N7"/>
  <c r="L11"/>
  <c r="L10"/>
  <c r="L9"/>
  <c r="L7"/>
  <c r="H11"/>
  <c r="H9"/>
  <c r="F11"/>
  <c r="F10"/>
  <c r="F9"/>
  <c r="H10"/>
  <c r="H8"/>
  <c r="F8"/>
  <c r="F7"/>
  <c r="D11"/>
  <c r="D10"/>
  <c r="D9"/>
  <c r="D23" i="19"/>
  <c r="C8" i="21" s="1"/>
  <c r="C23" i="19"/>
  <c r="D54"/>
  <c r="C12" i="21" s="1"/>
  <c r="C10"/>
  <c r="F61" i="24"/>
  <c r="H61"/>
  <c r="J61"/>
  <c r="K61"/>
  <c r="L61"/>
  <c r="N61"/>
  <c r="O61"/>
  <c r="D61"/>
  <c r="D60"/>
  <c r="E60"/>
  <c r="F60"/>
  <c r="G60"/>
  <c r="H60"/>
  <c r="I60"/>
  <c r="J60"/>
  <c r="K60"/>
  <c r="L60"/>
  <c r="M60"/>
  <c r="N60"/>
  <c r="O60"/>
  <c r="E50"/>
  <c r="F50"/>
  <c r="G50"/>
  <c r="H50"/>
  <c r="I50"/>
  <c r="J50"/>
  <c r="K50"/>
  <c r="L50"/>
  <c r="M50"/>
  <c r="N50"/>
  <c r="O50"/>
  <c r="D50"/>
  <c r="D46"/>
  <c r="E46"/>
  <c r="F46"/>
  <c r="G46"/>
  <c r="H46"/>
  <c r="I46"/>
  <c r="J46"/>
  <c r="K46"/>
  <c r="L46"/>
  <c r="M46"/>
  <c r="N46"/>
  <c r="O46"/>
  <c r="E43"/>
  <c r="D8" i="3" s="1"/>
  <c r="F43" i="24"/>
  <c r="G43"/>
  <c r="H43"/>
  <c r="I43"/>
  <c r="J43"/>
  <c r="K43"/>
  <c r="L43"/>
  <c r="M43"/>
  <c r="M61" s="1"/>
  <c r="N43"/>
  <c r="O43"/>
  <c r="D43"/>
  <c r="P37"/>
  <c r="E37"/>
  <c r="F37"/>
  <c r="G37"/>
  <c r="H7" i="3" s="1"/>
  <c r="H37" i="24"/>
  <c r="I37"/>
  <c r="I61" s="1"/>
  <c r="J37"/>
  <c r="K37"/>
  <c r="L37"/>
  <c r="M37"/>
  <c r="N37"/>
  <c r="O37"/>
  <c r="D37"/>
  <c r="J51" i="23"/>
  <c r="K51"/>
  <c r="L51"/>
  <c r="M51"/>
  <c r="N51"/>
  <c r="O51"/>
  <c r="P51"/>
  <c r="Q51"/>
  <c r="U51"/>
  <c r="V51"/>
  <c r="W51"/>
  <c r="D51"/>
  <c r="E51"/>
  <c r="D23" i="3" s="1"/>
  <c r="F51" i="23"/>
  <c r="F23" i="3" s="1"/>
  <c r="G51" i="23"/>
  <c r="H51"/>
  <c r="I51"/>
  <c r="H23" i="3" s="1"/>
  <c r="Q47" i="24"/>
  <c r="P47"/>
  <c r="M47"/>
  <c r="M51"/>
  <c r="L40"/>
  <c r="M44"/>
  <c r="L44"/>
  <c r="L47"/>
  <c r="L51"/>
  <c r="P10" i="3" l="1"/>
  <c r="T23"/>
  <c r="P11"/>
  <c r="P9"/>
  <c r="F10" i="2"/>
  <c r="F9"/>
  <c r="L20" i="3"/>
  <c r="L14"/>
  <c r="L8"/>
  <c r="P8" s="1"/>
  <c r="E61" i="24"/>
  <c r="D14" i="3" s="1"/>
  <c r="G61" i="24"/>
  <c r="H14" i="3" s="1"/>
  <c r="D7"/>
  <c r="P7" s="1"/>
  <c r="D18" i="5"/>
  <c r="D21" s="1"/>
  <c r="F18"/>
  <c r="E7" i="6"/>
  <c r="C63" i="19"/>
  <c r="D63"/>
  <c r="D31"/>
  <c r="D32"/>
  <c r="D30"/>
  <c r="D29"/>
  <c r="D28"/>
  <c r="D27"/>
  <c r="D26"/>
  <c r="D25"/>
  <c r="D24"/>
  <c r="F12" i="2" s="1"/>
  <c r="X51" i="23"/>
  <c r="X50"/>
  <c r="Y50"/>
  <c r="Y49"/>
  <c r="Y51" s="1"/>
  <c r="X49"/>
  <c r="X46"/>
  <c r="Y47"/>
  <c r="X47"/>
  <c r="X48" s="1"/>
  <c r="X43"/>
  <c r="Y43"/>
  <c r="X44"/>
  <c r="Y44"/>
  <c r="X45"/>
  <c r="Y45"/>
  <c r="Y42"/>
  <c r="Y46" s="1"/>
  <c r="X42"/>
  <c r="X33"/>
  <c r="Y33"/>
  <c r="X34"/>
  <c r="Y34"/>
  <c r="X35"/>
  <c r="Y35"/>
  <c r="X36"/>
  <c r="Y36"/>
  <c r="X37"/>
  <c r="Y37"/>
  <c r="X38"/>
  <c r="Y38"/>
  <c r="X39"/>
  <c r="Y39"/>
  <c r="Y32"/>
  <c r="X32"/>
  <c r="E52" i="19"/>
  <c r="E33"/>
  <c r="E63"/>
  <c r="E40"/>
  <c r="P53" i="24"/>
  <c r="Q53"/>
  <c r="P54"/>
  <c r="Q54"/>
  <c r="P55"/>
  <c r="Q55"/>
  <c r="P56"/>
  <c r="Q56"/>
  <c r="P57"/>
  <c r="Q57"/>
  <c r="P58"/>
  <c r="Q58"/>
  <c r="P59"/>
  <c r="Q59"/>
  <c r="Q52"/>
  <c r="P52"/>
  <c r="Q51"/>
  <c r="Q60" s="1"/>
  <c r="P51"/>
  <c r="P60" s="1"/>
  <c r="P48"/>
  <c r="Q48"/>
  <c r="P49"/>
  <c r="Q49"/>
  <c r="Q50"/>
  <c r="P45"/>
  <c r="Q45"/>
  <c r="Q44"/>
  <c r="P44"/>
  <c r="P46" s="1"/>
  <c r="Q39"/>
  <c r="Q40"/>
  <c r="Q41"/>
  <c r="Q42"/>
  <c r="P38"/>
  <c r="Q3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9"/>
  <c r="P40"/>
  <c r="P41"/>
  <c r="P42"/>
  <c r="AA13" i="23"/>
  <c r="F63" i="19" l="1"/>
  <c r="C11" i="21"/>
  <c r="F8" i="2"/>
  <c r="F20"/>
  <c r="C14" i="21"/>
  <c r="D33" i="19"/>
  <c r="D64"/>
  <c r="P50" i="24"/>
  <c r="P61"/>
  <c r="E64" i="19"/>
  <c r="Q46" i="24"/>
  <c r="Q43"/>
  <c r="P43"/>
  <c r="Q37"/>
  <c r="C9" i="21" l="1"/>
  <c r="F11" i="2"/>
  <c r="F16" s="1"/>
  <c r="Q61" i="24"/>
  <c r="P63"/>
  <c r="P65" s="1"/>
  <c r="Q63"/>
  <c r="D31" i="23"/>
  <c r="Q65" i="24" l="1"/>
  <c r="M22" i="14"/>
  <c r="K22"/>
  <c r="K23" s="1"/>
  <c r="Z22"/>
  <c r="C23"/>
  <c r="D23"/>
  <c r="D24" s="1"/>
  <c r="E23"/>
  <c r="F23"/>
  <c r="F24" s="1"/>
  <c r="G23"/>
  <c r="H23"/>
  <c r="I23"/>
  <c r="J23"/>
  <c r="J24" s="1"/>
  <c r="L23"/>
  <c r="L24" s="1"/>
  <c r="M23"/>
  <c r="N23"/>
  <c r="N24" s="1"/>
  <c r="O23"/>
  <c r="P23"/>
  <c r="P24" s="1"/>
  <c r="Q23"/>
  <c r="R23"/>
  <c r="R24" s="1"/>
  <c r="S23"/>
  <c r="T23"/>
  <c r="T24" s="1"/>
  <c r="U23"/>
  <c r="V23"/>
  <c r="V24" s="1"/>
  <c r="W23"/>
  <c r="X23"/>
  <c r="X24" s="1"/>
  <c r="Y23"/>
  <c r="B23"/>
  <c r="B24" s="1"/>
  <c r="AA22"/>
  <c r="AC22" s="1"/>
  <c r="AA23" l="1"/>
  <c r="AC23" s="1"/>
  <c r="Z23"/>
  <c r="H24"/>
  <c r="M21"/>
  <c r="K21"/>
  <c r="AA18"/>
  <c r="AC18" s="1"/>
  <c r="Y17"/>
  <c r="AA15"/>
  <c r="AC15" s="1"/>
  <c r="AA16"/>
  <c r="AC16" s="1"/>
  <c r="AA17"/>
  <c r="AC17" s="1"/>
  <c r="AA19"/>
  <c r="AC19" s="1"/>
  <c r="AA21"/>
  <c r="AC21" s="1"/>
  <c r="AA14"/>
  <c r="AC14" s="1"/>
  <c r="Z15"/>
  <c r="Z16"/>
  <c r="Z17"/>
  <c r="Z18"/>
  <c r="Z19"/>
  <c r="Z21"/>
  <c r="Z14"/>
  <c r="C12"/>
  <c r="C24" s="1"/>
  <c r="D12"/>
  <c r="E12"/>
  <c r="E24" s="1"/>
  <c r="F12"/>
  <c r="G12"/>
  <c r="G24" s="1"/>
  <c r="H12"/>
  <c r="I12"/>
  <c r="I24" s="1"/>
  <c r="J12"/>
  <c r="K12"/>
  <c r="K24" s="1"/>
  <c r="L12"/>
  <c r="M12"/>
  <c r="M24" s="1"/>
  <c r="N12"/>
  <c r="O12"/>
  <c r="O24" s="1"/>
  <c r="P12"/>
  <c r="Q12"/>
  <c r="Q24" s="1"/>
  <c r="R12"/>
  <c r="S12"/>
  <c r="S24" s="1"/>
  <c r="T12"/>
  <c r="U12"/>
  <c r="U24" s="1"/>
  <c r="V12"/>
  <c r="W12"/>
  <c r="W24" s="1"/>
  <c r="X12"/>
  <c r="Y12"/>
  <c r="Y24" s="1"/>
  <c r="B12"/>
  <c r="Z12" s="1"/>
  <c r="AA10"/>
  <c r="AC10" s="1"/>
  <c r="AA11"/>
  <c r="AC11" s="1"/>
  <c r="Z10"/>
  <c r="Z11"/>
  <c r="S11"/>
  <c r="R11"/>
  <c r="Z9"/>
  <c r="Z8"/>
  <c r="Z7"/>
  <c r="AA7"/>
  <c r="AC7" s="1"/>
  <c r="AA8"/>
  <c r="AC8" s="1"/>
  <c r="AA6"/>
  <c r="AC6" s="1"/>
  <c r="Z6"/>
  <c r="E30" i="15"/>
  <c r="D8" i="12"/>
  <c r="D13" s="1"/>
  <c r="Z24" i="14" l="1"/>
  <c r="AA24"/>
  <c r="AA12"/>
  <c r="R7" i="3"/>
  <c r="N12"/>
  <c r="F13" i="2"/>
  <c r="D83" i="19"/>
  <c r="F39" i="2" s="1"/>
  <c r="C33" i="19"/>
  <c r="V23" i="3"/>
  <c r="V24"/>
  <c r="L25"/>
  <c r="E25"/>
  <c r="G25"/>
  <c r="C25"/>
  <c r="Q8" l="1"/>
  <c r="Q9"/>
  <c r="Q10"/>
  <c r="Q11"/>
  <c r="R8"/>
  <c r="R9"/>
  <c r="R10"/>
  <c r="R11"/>
  <c r="K12"/>
  <c r="K20" s="1"/>
  <c r="M12"/>
  <c r="D12"/>
  <c r="E12"/>
  <c r="F12"/>
  <c r="H12"/>
  <c r="L12"/>
  <c r="C12"/>
  <c r="F24" i="2"/>
  <c r="D65" i="19"/>
  <c r="G46" i="23"/>
  <c r="F21" i="3" s="1"/>
  <c r="E46" i="23"/>
  <c r="D21" i="3" s="1"/>
  <c r="F46" i="23"/>
  <c r="H46"/>
  <c r="I46"/>
  <c r="H21" i="3" s="1"/>
  <c r="J46" i="23"/>
  <c r="K46"/>
  <c r="J21" i="3" s="1"/>
  <c r="L46" i="23"/>
  <c r="M46"/>
  <c r="N46"/>
  <c r="O46"/>
  <c r="P46"/>
  <c r="Q46"/>
  <c r="T46"/>
  <c r="U46"/>
  <c r="E15" i="6" s="1"/>
  <c r="V46" i="23"/>
  <c r="W46"/>
  <c r="D46"/>
  <c r="AA46"/>
  <c r="X56"/>
  <c r="E59"/>
  <c r="F59"/>
  <c r="G59"/>
  <c r="H59"/>
  <c r="I59"/>
  <c r="J59"/>
  <c r="K59"/>
  <c r="L59"/>
  <c r="M59"/>
  <c r="N59"/>
  <c r="O59"/>
  <c r="P59"/>
  <c r="Q59"/>
  <c r="T59"/>
  <c r="U59"/>
  <c r="V59"/>
  <c r="W59"/>
  <c r="D59"/>
  <c r="AA59"/>
  <c r="AA31"/>
  <c r="AA41" s="1"/>
  <c r="AA60" s="1"/>
  <c r="E48"/>
  <c r="D22" i="3" s="1"/>
  <c r="F48" i="23"/>
  <c r="G48"/>
  <c r="F22" i="3" s="1"/>
  <c r="H48" i="23"/>
  <c r="I48"/>
  <c r="H22" i="3" s="1"/>
  <c r="J48" i="23"/>
  <c r="K48"/>
  <c r="J22" i="3" s="1"/>
  <c r="L48" i="23"/>
  <c r="M48"/>
  <c r="N48"/>
  <c r="O48"/>
  <c r="P48"/>
  <c r="Q48"/>
  <c r="U48"/>
  <c r="E16" i="6" s="1"/>
  <c r="V48" i="23"/>
  <c r="W48"/>
  <c r="D48"/>
  <c r="E40"/>
  <c r="F40"/>
  <c r="G40"/>
  <c r="H40"/>
  <c r="I40"/>
  <c r="J40"/>
  <c r="K40"/>
  <c r="L40"/>
  <c r="M40"/>
  <c r="N40"/>
  <c r="O40"/>
  <c r="P40"/>
  <c r="Q40"/>
  <c r="U40"/>
  <c r="V40"/>
  <c r="X40" s="1"/>
  <c r="W40"/>
  <c r="D40"/>
  <c r="D41" s="1"/>
  <c r="E31"/>
  <c r="F31"/>
  <c r="G31"/>
  <c r="H31"/>
  <c r="I31"/>
  <c r="J31"/>
  <c r="K31"/>
  <c r="N31"/>
  <c r="O31"/>
  <c r="P31"/>
  <c r="Q31"/>
  <c r="T31"/>
  <c r="U31"/>
  <c r="V31"/>
  <c r="W31"/>
  <c r="T22" i="3" l="1"/>
  <c r="V22" s="1"/>
  <c r="T21"/>
  <c r="V21" s="1"/>
  <c r="D66" i="19"/>
  <c r="C15" i="21"/>
  <c r="C16" s="1"/>
  <c r="Y40" i="23"/>
  <c r="E11" i="6"/>
  <c r="E39" s="1"/>
  <c r="E54" i="19"/>
  <c r="W41" i="23"/>
  <c r="W60" s="1"/>
  <c r="V41"/>
  <c r="V60" s="1"/>
  <c r="T41"/>
  <c r="T60" s="1"/>
  <c r="Q41"/>
  <c r="Q60" s="1"/>
  <c r="P41"/>
  <c r="P60" s="1"/>
  <c r="O41"/>
  <c r="O60" s="1"/>
  <c r="N41"/>
  <c r="N60" s="1"/>
  <c r="J41"/>
  <c r="J60" s="1"/>
  <c r="H41"/>
  <c r="H60" s="1"/>
  <c r="F41"/>
  <c r="F60" s="1"/>
  <c r="U41"/>
  <c r="U60" s="1"/>
  <c r="K41"/>
  <c r="J20" i="3" s="1"/>
  <c r="J25" s="1"/>
  <c r="I41" i="23"/>
  <c r="G41"/>
  <c r="F20" i="3" s="1"/>
  <c r="F25" s="1"/>
  <c r="E41" i="23"/>
  <c r="D20" i="3" s="1"/>
  <c r="D25" s="1"/>
  <c r="E60" i="23"/>
  <c r="P12" i="3"/>
  <c r="R12"/>
  <c r="F25" i="2"/>
  <c r="K60" i="23"/>
  <c r="D67" i="19" l="1"/>
  <c r="G60" i="23"/>
  <c r="D78" i="19"/>
  <c r="C24" i="21" s="1"/>
  <c r="R20" i="3"/>
  <c r="F37" i="2"/>
  <c r="D74" i="19"/>
  <c r="C19" i="21" s="1"/>
  <c r="F32" i="2"/>
  <c r="D73" i="19"/>
  <c r="C18" i="21" s="1"/>
  <c r="F31" i="2"/>
  <c r="D84" i="19"/>
  <c r="D15" i="12"/>
  <c r="I60" i="23"/>
  <c r="H20" i="3"/>
  <c r="D87" i="19"/>
  <c r="F42" i="2"/>
  <c r="D86" i="19"/>
  <c r="F43" i="2"/>
  <c r="M28" i="23"/>
  <c r="M31" s="1"/>
  <c r="M41" s="1"/>
  <c r="M60" s="1"/>
  <c r="R25" i="3" l="1"/>
  <c r="D89" i="19"/>
  <c r="C27" i="21" s="1"/>
  <c r="D76" i="19"/>
  <c r="C22" i="21" s="1"/>
  <c r="N20" i="3"/>
  <c r="N25" s="1"/>
  <c r="F35" i="2"/>
  <c r="C23" i="21"/>
  <c r="G25" i="15"/>
  <c r="G26" s="1"/>
  <c r="C26" i="21"/>
  <c r="D85" i="19"/>
  <c r="F40" i="2"/>
  <c r="H25" i="3"/>
  <c r="D75" i="19"/>
  <c r="C20" i="21" s="1"/>
  <c r="F33" i="2"/>
  <c r="F45"/>
  <c r="Y53" i="23"/>
  <c r="Y54"/>
  <c r="Y55"/>
  <c r="Y56"/>
  <c r="Y57"/>
  <c r="Y58"/>
  <c r="Y52"/>
  <c r="X53"/>
  <c r="X54"/>
  <c r="X55"/>
  <c r="X57"/>
  <c r="X58"/>
  <c r="X52"/>
  <c r="Y48"/>
  <c r="Z59"/>
  <c r="D60"/>
  <c r="Z31"/>
  <c r="Z41" s="1"/>
  <c r="L28"/>
  <c r="L31" s="1"/>
  <c r="L41" s="1"/>
  <c r="L60" s="1"/>
  <c r="C28" i="21" l="1"/>
  <c r="T20" i="3"/>
  <c r="V20" s="1"/>
  <c r="T25"/>
  <c r="V25" s="1"/>
  <c r="F41" i="2"/>
  <c r="F46" s="1"/>
  <c r="D23" i="5"/>
  <c r="E41" i="6"/>
  <c r="E43" s="1"/>
  <c r="D82" i="19"/>
  <c r="D90" s="1"/>
  <c r="D92" s="1"/>
  <c r="X59" i="23"/>
  <c r="Y59"/>
  <c r="X31"/>
  <c r="X41" s="1"/>
  <c r="Y31"/>
  <c r="Y41" s="1"/>
  <c r="Y60" s="1"/>
  <c r="E90" i="19" s="1"/>
  <c r="Z60" i="23"/>
  <c r="E11" i="2"/>
  <c r="E10"/>
  <c r="B23" i="21"/>
  <c r="B28" s="1"/>
  <c r="L21" i="14"/>
  <c r="C8" i="12"/>
  <c r="C13" s="1"/>
  <c r="E24" i="2"/>
  <c r="I20" i="3"/>
  <c r="E34" i="2"/>
  <c r="E20"/>
  <c r="C89" i="19"/>
  <c r="C23" i="5" s="1"/>
  <c r="D16" i="21"/>
  <c r="B16"/>
  <c r="D11" i="6"/>
  <c r="D39" s="1"/>
  <c r="C54" i="19"/>
  <c r="D45" i="2"/>
  <c r="C45"/>
  <c r="D41"/>
  <c r="D46" s="1"/>
  <c r="C41"/>
  <c r="C46"/>
  <c r="D24"/>
  <c r="C24"/>
  <c r="D16"/>
  <c r="D25"/>
  <c r="C16"/>
  <c r="C25" s="1"/>
  <c r="Q25" i="3"/>
  <c r="C65" i="19"/>
  <c r="E27" i="22"/>
  <c r="F27"/>
  <c r="G27"/>
  <c r="H27"/>
  <c r="C27"/>
  <c r="E16"/>
  <c r="F16"/>
  <c r="G16"/>
  <c r="H16"/>
  <c r="C16"/>
  <c r="E41" i="2"/>
  <c r="E45"/>
  <c r="E16"/>
  <c r="E25" s="1"/>
  <c r="K25" i="3"/>
  <c r="M25"/>
  <c r="C82" i="19"/>
  <c r="C85"/>
  <c r="C40"/>
  <c r="D30" i="15"/>
  <c r="E46" i="2"/>
  <c r="D28" i="21"/>
  <c r="I25" i="3" l="1"/>
  <c r="S25" s="1"/>
  <c r="U25" s="1"/>
  <c r="S20"/>
  <c r="U20" s="1"/>
  <c r="C90" i="19"/>
  <c r="C66"/>
  <c r="G12" i="3"/>
  <c r="X60" i="23"/>
  <c r="P67" i="24"/>
  <c r="AB12" i="14" l="1"/>
  <c r="AC12" s="1"/>
  <c r="T27" i="3"/>
  <c r="Q7"/>
  <c r="Q12" s="1"/>
  <c r="O12"/>
  <c r="C20" i="5"/>
  <c r="C21" s="1"/>
</calcChain>
</file>

<file path=xl/comments1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38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<sst xmlns="http://schemas.openxmlformats.org/spreadsheetml/2006/main" count="765" uniqueCount="485">
  <si>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</si>
  <si>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</si>
  <si>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</si>
  <si>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</si>
  <si>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</si>
  <si>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</si>
  <si>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</si>
  <si>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</si>
  <si>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</si>
  <si>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</si>
  <si>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</si>
  <si>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</si>
  <si>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</si>
  <si>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</si>
  <si>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</si>
  <si>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</si>
  <si>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</si>
  <si>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</si>
  <si>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</si>
  <si>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</si>
  <si>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</si>
  <si>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</si>
  <si>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</si>
  <si>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</si>
  <si>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</si>
  <si>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</si>
  <si>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</si>
  <si>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</si>
  <si>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</si>
  <si>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</si>
  <si>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</si>
  <si>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</si>
  <si>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</si>
  <si>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</si>
  <si>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</si>
  <si>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</si>
  <si>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</si>
  <si>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</si>
  <si>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</si>
  <si>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</si>
  <si>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</si>
  <si>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</si>
  <si>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</si>
  <si>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</si>
  <si>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</si>
  <si>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</si>
  <si>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</si>
  <si>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</si>
  <si>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</si>
  <si>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</si>
  <si>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</si>
  <si>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</si>
  <si>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</si>
  <si>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</si>
  <si>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</si>
  <si>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</si>
  <si>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</si>
  <si>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</si>
  <si>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</si>
  <si>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</si>
  <si>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</si>
  <si>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</si>
  <si>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Megnevezés</t>
  </si>
  <si>
    <t>Mindösszesen</t>
  </si>
  <si>
    <t>Összesen</t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</si>
  <si>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</si>
  <si>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</si>
  <si>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</si>
  <si>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</si>
  <si>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</si>
  <si>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</si>
  <si>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</si>
  <si>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</si>
  <si>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</si>
  <si>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</si>
  <si>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</si>
  <si>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</si>
  <si>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</si>
  <si>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</si>
  <si>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</si>
  <si>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</si>
  <si>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</si>
  <si>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</si>
  <si>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</si>
  <si>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</si>
  <si>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</si>
  <si>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</si>
  <si>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</si>
  <si>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</si>
  <si>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</si>
  <si>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</si>
  <si>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</si>
  <si>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</si>
  <si>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</si>
  <si>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</si>
  <si>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</si>
  <si>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</si>
  <si>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</si>
  <si>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</si>
  <si>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</si>
  <si>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</si>
  <si>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</si>
  <si>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</si>
  <si>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</si>
  <si>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</si>
  <si>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</si>
  <si>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</si>
  <si>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</si>
  <si>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</si>
  <si>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</si>
  <si>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</si>
  <si>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</si>
  <si>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</si>
  <si>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</si>
  <si>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</si>
  <si>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</si>
  <si>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</si>
  <si>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</si>
  <si>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</si>
  <si>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</si>
  <si>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</si>
  <si>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</si>
  <si>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</si>
  <si>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</si>
  <si>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</si>
  <si>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</si>
  <si>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</si>
  <si>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</si>
  <si>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</si>
  <si>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</si>
  <si>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</si>
  <si>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</si>
  <si>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</si>
  <si>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</si>
  <si>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</si>
  <si>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</si>
  <si>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</si>
  <si>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</si>
  <si>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</si>
  <si>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</si>
  <si>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</si>
  <si>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</si>
  <si>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</si>
  <si>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</si>
  <si>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</si>
  <si>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074031</t>
  </si>
  <si>
    <t>096015</t>
  </si>
  <si>
    <t>Biztos Kezdet Gyerekház</t>
  </si>
  <si>
    <t>TARTALÉK ÖSSZESEN</t>
  </si>
  <si>
    <t>Ápolási díj</t>
  </si>
  <si>
    <t>2016. évi eredeti előirányzat</t>
  </si>
  <si>
    <t>IRÁNYÍTÓ SZERVI TÁMOGATÁS</t>
  </si>
  <si>
    <t>IRÁNYÍTÓ SZERVI TÁMOGATÁS FOLYÓSÍTÁSA</t>
  </si>
  <si>
    <t>Eredeti ei.</t>
  </si>
  <si>
    <t>Eredei ei.</t>
  </si>
  <si>
    <t>ÖSSZES KIADÁS (IRÁNYÍTÓ SZERVI TÁMOGATÁS NÉLKÜL)</t>
  </si>
  <si>
    <t>Egyéb felhalmozási célú kiadások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</si>
  <si>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</si>
  <si>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</si>
  <si>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</si>
  <si>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</si>
  <si>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</si>
  <si>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</si>
  <si>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</si>
  <si>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</si>
  <si>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</si>
  <si>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</si>
  <si>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</si>
  <si>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</si>
  <si>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</si>
  <si>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</si>
  <si>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</si>
  <si>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</si>
  <si>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</si>
  <si>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</si>
  <si>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</si>
  <si>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</si>
  <si>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</si>
  <si>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</si>
  <si>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</si>
  <si>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</si>
  <si>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</si>
  <si>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</si>
  <si>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</si>
  <si>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</si>
  <si>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</si>
  <si>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</si>
  <si>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</si>
  <si>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</si>
  <si>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</si>
  <si>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</si>
  <si>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</si>
  <si>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</si>
  <si>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</si>
  <si>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</si>
  <si>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</si>
  <si>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</si>
  <si>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</si>
  <si>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</si>
  <si>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</si>
  <si>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</si>
  <si>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</si>
  <si>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</si>
  <si>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</si>
  <si>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</si>
  <si>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</si>
  <si>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</si>
  <si>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</si>
  <si>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</si>
  <si>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</si>
  <si>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</si>
  <si>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</si>
  <si>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</si>
  <si>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Kadarkúti Közös Önkormányzati Hivatal eszközbeszerzés</t>
  </si>
  <si>
    <t>Kiemelt előir. megnevezése</t>
  </si>
  <si>
    <t>beruházás</t>
  </si>
  <si>
    <t>felújítás</t>
  </si>
  <si>
    <t>Költségvetési maradvány</t>
  </si>
  <si>
    <t>Tűzoltóegyesület támogatása</t>
  </si>
  <si>
    <t>Lakosság részére kamatmentes kölcsön nyújtása</t>
  </si>
  <si>
    <t>Óvoda társulás támogatása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</si>
  <si>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</si>
  <si>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</si>
  <si>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</si>
  <si>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</si>
  <si>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</si>
  <si>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</si>
  <si>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</si>
  <si>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</si>
  <si>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</si>
  <si>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</si>
  <si>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</si>
  <si>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</si>
  <si>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</si>
  <si>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</si>
  <si>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</si>
  <si>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</si>
  <si>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</si>
  <si>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</si>
  <si>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</si>
  <si>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</si>
  <si>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</si>
  <si>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</si>
  <si>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</si>
  <si>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</si>
  <si>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</si>
  <si>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</si>
  <si>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</si>
  <si>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</si>
  <si>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</si>
  <si>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 xml:space="preserve">Államháztartáson belüli megelőlegezés </t>
  </si>
  <si>
    <t>SZASZK munka-és tűzvédelmi társulás tám.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</si>
  <si>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</si>
  <si>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</si>
  <si>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</si>
  <si>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</si>
  <si>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</si>
  <si>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</si>
  <si>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</si>
  <si>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</si>
  <si>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</si>
  <si>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</si>
  <si>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 xml:space="preserve">          Kadarkút Város Önkormányzatának 2018. évi felhalmozási bevételei</t>
  </si>
  <si>
    <t>Kadarkút Város Önkormányzatának 
2018. évi felhalmozási kiadásai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</si>
  <si>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</si>
  <si>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</si>
  <si>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</si>
  <si>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>Biztos Kezdet Gyerekház eszköz beszerzés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</si>
  <si>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</si>
  <si>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</si>
  <si>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</si>
  <si>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</si>
  <si>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</si>
  <si>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</si>
  <si>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</si>
  <si>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</si>
  <si>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</si>
  <si>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</si>
  <si>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</si>
  <si>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</si>
  <si>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</si>
  <si>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</si>
  <si>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</si>
  <si>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</si>
  <si>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</si>
  <si>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</si>
  <si>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</si>
  <si>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</si>
  <si>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</si>
  <si>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</si>
  <si>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</si>
  <si>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</si>
  <si>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2/1 oldal</t>
  </si>
  <si>
    <t>2/2 oldal</t>
  </si>
  <si>
    <t>041236</t>
  </si>
  <si>
    <t>Országos közfoglakoztatási program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</si>
  <si>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</si>
  <si>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</si>
  <si>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</si>
  <si>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</si>
  <si>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</si>
  <si>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</si>
  <si>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</si>
  <si>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</si>
  <si>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</si>
  <si>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</si>
  <si>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</si>
  <si>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</si>
  <si>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</si>
  <si>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Eredeti Ei.</t>
  </si>
  <si>
    <t>ÖSSZEG
Eredeti Ei.</t>
  </si>
  <si>
    <t>ÖSSZEG
Mód.Ei.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</si>
  <si>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</si>
  <si>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</si>
  <si>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</si>
  <si>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</si>
  <si>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</si>
  <si>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</si>
  <si>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</si>
  <si>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</si>
  <si>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</si>
  <si>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</si>
  <si>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</si>
  <si>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</si>
  <si>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</si>
  <si>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</si>
  <si>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</si>
  <si>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</si>
  <si>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</si>
  <si>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</si>
  <si>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</si>
  <si>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</si>
  <si>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</si>
  <si>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</si>
  <si>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</si>
  <si>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</si>
  <si>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</si>
  <si>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</si>
  <si>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</si>
  <si>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</si>
  <si>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</si>
  <si>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</si>
  <si>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</si>
  <si>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</si>
  <si>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</si>
  <si>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</si>
  <si>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</si>
  <si>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</si>
  <si>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</si>
  <si>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</si>
  <si>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</si>
  <si>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</si>
  <si>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</si>
  <si>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</si>
  <si>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</si>
  <si>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</si>
  <si>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>MÓDOSÍTOTT EI</t>
  </si>
  <si>
    <t>OGY képviselő választás biz. Tagok napidíja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</si>
  <si>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</si>
  <si>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</si>
  <si>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</si>
  <si>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</si>
  <si>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</si>
  <si>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</si>
  <si>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Működési bevételek
(094)
EREDETI EI.</t>
  </si>
  <si>
    <t>Működési bevételek
(094)
MÓDOSÍTOTT EI</t>
  </si>
  <si>
    <t xml:space="preserve"> Működési támogatások 
(091)
EREDETI EI.</t>
  </si>
  <si>
    <t xml:space="preserve"> Működési támogatások 
(091)
MÓDOSÍTOTT EI</t>
  </si>
  <si>
    <t>Önkormányzatok elszámolásai a központi költségvetéssel</t>
  </si>
  <si>
    <t>Felhalmozási célú támogatások 
(092)
MÓDOSÍTOTT EI.</t>
  </si>
  <si>
    <t>Felhalmozási célú támogatások 
(092)
EREDETI EI.</t>
  </si>
  <si>
    <t>Támogatási célú finansz. Műveletek</t>
  </si>
  <si>
    <t>Költségvetési maradvány
 (098)
EREDETI EI</t>
  </si>
  <si>
    <t>Költségvetési maradvány
 (098)
MÓDOSÍTOTT EI</t>
  </si>
  <si>
    <t>Bevételek</t>
  </si>
  <si>
    <t>KADARKÚT VÁROS ÖNKORMÁNYZATA</t>
  </si>
  <si>
    <t>900020</t>
  </si>
  <si>
    <t>Önkormányzati funkcióra nem sorolt bevét</t>
  </si>
  <si>
    <t>Közhatalmi bevételek
 (093)
MÓDOSÍTOTT EI</t>
  </si>
  <si>
    <t>Közhatalmi bevételek
(093)
EREDETI EI</t>
  </si>
  <si>
    <t>Központi irányítószervi támogatás
 (098)
MÓDOSÍTOTT EI</t>
  </si>
  <si>
    <t>Központi irányítószervi támogatás
 (098)
EREDETI EI</t>
  </si>
  <si>
    <t>Gyermekvédelmi és pénzbeli term.beli ellátások</t>
  </si>
  <si>
    <t>központi irányítószervi</t>
  </si>
  <si>
    <t>Kadarkút Város Önkormányzat 2018. évi bevételei kormányzati funkciók szerinti bontásban</t>
  </si>
  <si>
    <t>Működési célú önkormányzati támogatás  (B115)</t>
  </si>
  <si>
    <t>Sportfejlesztés támogatás</t>
  </si>
  <si>
    <t xml:space="preserve">Szociális Alaszolg. Kp. konyha tető felújítás, eszköz beszerzés támogatása </t>
  </si>
  <si>
    <t>Felhalmozási célú bevételek összesen: (B21,B23, B25)</t>
  </si>
  <si>
    <t>Közművelődési érdekeltségnövelő támogatás</t>
  </si>
  <si>
    <t>Útfelújítás támogatás, MTZ beszerzés (ÁHT-n belül)</t>
  </si>
  <si>
    <t>Elszámolásból származó bevételek (B116)</t>
  </si>
  <si>
    <t>Beruházás (K61,K62, K63, K64, K67)</t>
  </si>
  <si>
    <t>Módosított Ei.</t>
  </si>
  <si>
    <t>Sportfejlesztés támoogatása</t>
  </si>
  <si>
    <t>Közművelődési érdekeltségnövelő támogatás (2018)</t>
  </si>
  <si>
    <t>Közmunkaprogram szivattyú vásárlás, kamerarendszer telepítés</t>
  </si>
  <si>
    <t>Szociális bérlakás felújítása</t>
  </si>
  <si>
    <t>Önkormányzati épületek/bérlakások felújítása</t>
  </si>
  <si>
    <t>Telefonkészülék vásárlás</t>
  </si>
  <si>
    <t>Projektiroda polcrendszer beszerzés</t>
  </si>
  <si>
    <t>Sportpálya vonalfestő kocsi beszerzés</t>
  </si>
  <si>
    <t>Iskola konyha közmű leválasztás</t>
  </si>
  <si>
    <t>EFOP 1-5-3 program támogatása</t>
  </si>
  <si>
    <t>EFOP 3-9-2 program támogatása</t>
  </si>
  <si>
    <t>EFOP-3-9-2 pályázat ösztöndíj kifizetések</t>
  </si>
  <si>
    <t>053. 
 DOLOGI KIADÁS
EREDETI EI.</t>
  </si>
  <si>
    <t>053.  
DOLOGI KIADÁS
MÓDOSÍTOTT EI.</t>
  </si>
  <si>
    <t>051.
SZEMÉLYI JUTTATÁS
EREDETI EI.</t>
  </si>
  <si>
    <t>051.
SZEMÉLYI JUTTATÁS
MÓDOSÍTOTT EI</t>
  </si>
  <si>
    <t>052.
 MUNK. TERH. JÁRULÉK
EREDETI EI.</t>
  </si>
  <si>
    <t>052. 
MUNK. TERH. JÁRULÉK
MÓDOSÍTOTT EI</t>
  </si>
  <si>
    <t>056.
BERUHÁZÁS
EREDETI EI</t>
  </si>
  <si>
    <t xml:space="preserve">
056.
BERUHÁZÁS
MÓDOSÍTOTT EI
</t>
  </si>
  <si>
    <t>055.
TARTALÉK
EREDETI EI</t>
  </si>
  <si>
    <t xml:space="preserve">
055.
TARTALÉK
MÓDOSÍTOTT EI</t>
  </si>
  <si>
    <t>057.
FELÚJÍTÁS
EREDETI EI</t>
  </si>
  <si>
    <t xml:space="preserve">
057.
FELÚJÍTÁS
MÓDOSÍTOTT EI</t>
  </si>
  <si>
    <t>059.
ÁLLAMHÁZTAR- TÁSON BELÜLI MEGELŐLEGEZÉS VISSZAFIZETÉSE
EREDETI EI</t>
  </si>
  <si>
    <t>059.
ÁLLAMHÁZTAR- TÁSON BELÜLI MEGELŐLEGEZÉS VISSZAFIZETÉSE
MÓDOSÍTOTT EI</t>
  </si>
  <si>
    <t>055121.
ELLÁTOTTAK PÉNZBENI PÉNZBENI  JUTTATÁSAI
EREDETI EI</t>
  </si>
  <si>
    <t>055121.
ELLÁTOTTAK PÉNZBENI PÉNZBENI  JUTTATÁSAI
MÓDOSÍTOTT EI</t>
  </si>
  <si>
    <t>059.
PÉNZÜGYI LÍZING KIADÁS
MÓDOSÍTOTT EI</t>
  </si>
  <si>
    <t>059.
PÉNZÜGYI LÍZING KIADÁS
EREDETI EI</t>
  </si>
  <si>
    <t>055.
MŰKÖDÉSI C. ÁTADOTT PÉNZESZK.
EREDETI EI</t>
  </si>
  <si>
    <t>055.
MŰKÖDÉSI C. ÁTADOTT PÉNZESZK.
MÓDOSÍTOTT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</si>
  <si>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</si>
  <si>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</si>
  <si>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</si>
  <si>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</si>
  <si>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</si>
  <si>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</si>
  <si>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Közművelődési érdekeltségnövelő támogatás (2018) (B21)</t>
  </si>
  <si>
    <t>Sportfejlesztés támogatás (B21)</t>
  </si>
  <si>
    <t>Sport utca útfelújítás támogatása (B21)</t>
  </si>
  <si>
    <t>EFOP program támogatása (B25)</t>
  </si>
  <si>
    <t>Biztos Kezdet Gyerekház eszköz beszerzés (B25)</t>
  </si>
  <si>
    <t>Szociális Alaszolg. Kp. konyha tető felújítás, eszköz beszerzés támogatása (B25)</t>
  </si>
  <si>
    <t>Orvosi rendelő építése (B25)</t>
  </si>
  <si>
    <t>MTZ beszerzés támogatás (ÁHT-n belül)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</si>
  <si>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</si>
  <si>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</si>
  <si>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</si>
  <si>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</si>
  <si>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r>
      <t xml:space="preserve">Egyéb fejezeti kezelésű  ei-től műk. Célú p.e. átvét. (OGY választás)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(B16)</t>
    </r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</si>
  <si>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</si>
  <si>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</si>
  <si>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</si>
  <si>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</si>
  <si>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</si>
  <si>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</si>
  <si>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</si>
  <si>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</si>
  <si>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</si>
  <si>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Sport utca felőjítása </t>
  </si>
  <si>
    <t>Közművelődési érdekeltségnövelő pályázat önerő 2018.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</si>
  <si>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</si>
  <si>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</si>
  <si>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</si>
  <si>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</si>
  <si>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</si>
  <si>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</si>
  <si>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</si>
  <si>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</si>
  <si>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</si>
  <si>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</si>
  <si>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</si>
  <si>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</si>
  <si>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</si>
  <si>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 xml:space="preserve">Óvoda Társulás támogatás Minibölcsőde miatti </t>
  </si>
  <si>
    <t>Pénzügyi Lízing kiadásai</t>
  </si>
  <si>
    <t>Helyi önk. Előző évi elszám. Szárm kiad</t>
  </si>
  <si>
    <t>1. melléklet a 17/2018.(XI.16.) önkormányzati rendelethez</t>
  </si>
  <si>
    <t>2. melléklet 17/2018.(XI.16.) önkormányzati rendelethez</t>
  </si>
  <si>
    <t xml:space="preserve">3. melléklet a 17/2018.(XI.16.) önkormányzati rendelethez </t>
  </si>
  <si>
    <t>4.  melléklet a 17/2018.(XI.16.) önkormányzati rendelethez</t>
  </si>
  <si>
    <t xml:space="preserve">4.a  melléklet a 17/2018.(XI.16.) önkormányzati rendelethez </t>
  </si>
  <si>
    <t xml:space="preserve">5.  melléklet a 17/2018.(XI.16.) önkormányzati rendelethez </t>
  </si>
  <si>
    <t xml:space="preserve">6. melléklet a 17/2018.(XI.16.) önkormányzati rendelethez </t>
  </si>
  <si>
    <t xml:space="preserve">7. melléklet a  17/2018.(XI.16.) önkormányzati rendelethez </t>
  </si>
  <si>
    <t>8. melléklet a 17/2018.(XI.16.) önkormányzati rendelethez</t>
  </si>
  <si>
    <t xml:space="preserve">9. melléklet a 17/2018.(XI.16.) önkormányzati rendelethez </t>
  </si>
  <si>
    <t xml:space="preserve">10. melléklet a 17/2018.(XI.16.) önkormányzati rendelethez </t>
  </si>
  <si>
    <t>11. melléklet a 17/2018.(XI.16.) önkormányzati rendelethez</t>
  </si>
  <si>
    <t xml:space="preserve">12. melléklet a 17/2018.(XI.16.) önkormányzati rendelethez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</si>
</sst>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7" formatCode="_-* #,##0\ [$Ft-40E]_-;\-* #,##0\ [$Ft-40E]_-;_-* &quot;-&quot;??\ [$Ft-40E]_-;_-@_-"/>
  </numFmts>
  <fonts count="5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sz val="12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30" fillId="0" borderId="0"/>
    <xf numFmtId="9" fontId="1" fillId="0" borderId="0" applyFont="0" applyFill="0" applyBorder="0" applyAlignment="0" applyProtection="0"/>
  </cellStyleXfs>
  <cellXfs count="488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Fill="1" applyBorder="1" applyAlignment="1"/>
    <xf numFmtId="0" fontId="16" fillId="0" borderId="0" xfId="2" applyFont="1" applyFill="1"/>
    <xf numFmtId="0" fontId="19" fillId="0" borderId="9" xfId="2" applyFont="1" applyFill="1" applyBorder="1" applyAlignment="1">
      <alignment horizontal="left"/>
    </xf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5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3" fontId="19" fillId="0" borderId="0" xfId="2" applyNumberFormat="1" applyFont="1"/>
    <xf numFmtId="0" fontId="19" fillId="0" borderId="0" xfId="2" applyFont="1"/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20" fillId="0" borderId="0" xfId="2" applyFont="1"/>
    <xf numFmtId="0" fontId="29" fillId="0" borderId="0" xfId="2" applyFont="1"/>
    <xf numFmtId="0" fontId="31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33" fillId="0" borderId="0" xfId="0" applyFont="1" applyAlignment="1">
      <alignment horizontal="right"/>
    </xf>
    <xf numFmtId="0" fontId="24" fillId="0" borderId="0" xfId="2" applyFont="1" applyAlignment="1">
      <alignment vertical="center"/>
    </xf>
    <xf numFmtId="3" fontId="31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4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1" fillId="0" borderId="15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0" fontId="19" fillId="0" borderId="9" xfId="2" applyFont="1" applyBorder="1" applyAlignment="1">
      <alignment wrapText="1"/>
    </xf>
    <xf numFmtId="3" fontId="1" fillId="0" borderId="0" xfId="2" applyNumberFormat="1"/>
    <xf numFmtId="0" fontId="2" fillId="0" borderId="0" xfId="2" applyFont="1" applyAlignment="1"/>
    <xf numFmtId="0" fontId="35" fillId="0" borderId="0" xfId="2" applyFont="1"/>
    <xf numFmtId="0" fontId="23" fillId="0" borderId="0" xfId="2" applyFont="1" applyBorder="1" applyAlignment="1">
      <alignment vertical="center" wrapText="1"/>
    </xf>
    <xf numFmtId="0" fontId="36" fillId="0" borderId="0" xfId="2" applyFont="1" applyBorder="1" applyAlignment="1">
      <alignment horizontal="center" vertical="center" wrapText="1"/>
    </xf>
    <xf numFmtId="0" fontId="1" fillId="0" borderId="0" xfId="2" applyBorder="1" applyAlignment="1"/>
    <xf numFmtId="3" fontId="16" fillId="0" borderId="16" xfId="2" applyNumberFormat="1" applyFont="1" applyBorder="1" applyAlignment="1">
      <alignment horizontal="center" vertical="center" wrapText="1"/>
    </xf>
    <xf numFmtId="3" fontId="16" fillId="0" borderId="0" xfId="2" applyNumberFormat="1" applyFont="1" applyFill="1" applyBorder="1"/>
    <xf numFmtId="0" fontId="16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35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5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4" applyFont="1" applyBorder="1"/>
    <xf numFmtId="3" fontId="16" fillId="0" borderId="0" xfId="2" applyNumberFormat="1" applyFont="1"/>
    <xf numFmtId="3" fontId="20" fillId="0" borderId="0" xfId="2" applyNumberFormat="1" applyFont="1"/>
    <xf numFmtId="0" fontId="33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7" xfId="0" applyBorder="1"/>
    <xf numFmtId="0" fontId="0" fillId="0" borderId="5" xfId="0" applyBorder="1"/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3" xfId="2" applyFont="1" applyFill="1" applyBorder="1" applyAlignment="1">
      <alignment horizontal="center" vertical="center" textRotation="90"/>
    </xf>
    <xf numFmtId="0" fontId="11" fillId="0" borderId="1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0" fillId="2" borderId="13" xfId="2" applyFont="1" applyFill="1" applyBorder="1" applyAlignment="1">
      <alignment vertical="center"/>
    </xf>
    <xf numFmtId="0" fontId="27" fillId="0" borderId="0" xfId="0" applyFont="1"/>
    <xf numFmtId="0" fontId="0" fillId="0" borderId="9" xfId="0" applyBorder="1"/>
    <xf numFmtId="0" fontId="27" fillId="0" borderId="9" xfId="0" applyFont="1" applyBorder="1"/>
    <xf numFmtId="0" fontId="0" fillId="0" borderId="9" xfId="0" applyBorder="1" applyAlignment="1">
      <alignment wrapText="1"/>
    </xf>
    <xf numFmtId="0" fontId="27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0" fillId="0" borderId="0" xfId="2" applyFont="1" applyFill="1" applyAlignment="1">
      <alignment horizontal="right"/>
    </xf>
    <xf numFmtId="0" fontId="28" fillId="0" borderId="0" xfId="2" applyFont="1" applyAlignment="1">
      <alignment vertical="center"/>
    </xf>
    <xf numFmtId="3" fontId="12" fillId="0" borderId="13" xfId="2" applyNumberFormat="1" applyFont="1" applyBorder="1" applyAlignment="1">
      <alignment horizontal="center" vertical="center"/>
    </xf>
    <xf numFmtId="0" fontId="20" fillId="0" borderId="17" xfId="2" applyFont="1" applyBorder="1" applyAlignment="1">
      <alignment horizontal="left" vertical="center"/>
    </xf>
    <xf numFmtId="3" fontId="43" fillId="0" borderId="13" xfId="2" applyNumberFormat="1" applyFont="1" applyFill="1" applyBorder="1" applyAlignment="1">
      <alignment horizontal="center" vertical="center" wrapText="1"/>
    </xf>
    <xf numFmtId="3" fontId="17" fillId="0" borderId="22" xfId="2" applyNumberFormat="1" applyFont="1" applyBorder="1" applyAlignment="1">
      <alignment horizontal="center" vertical="center" wrapText="1"/>
    </xf>
    <xf numFmtId="49" fontId="14" fillId="0" borderId="13" xfId="2" applyNumberFormat="1" applyFont="1" applyBorder="1" applyAlignment="1">
      <alignment vertical="center"/>
    </xf>
    <xf numFmtId="49" fontId="14" fillId="0" borderId="23" xfId="2" applyNumberFormat="1" applyFont="1" applyBorder="1" applyAlignment="1">
      <alignment vertical="center"/>
    </xf>
    <xf numFmtId="49" fontId="14" fillId="0" borderId="24" xfId="2" applyNumberFormat="1" applyFont="1" applyBorder="1" applyAlignment="1">
      <alignment vertical="center"/>
    </xf>
    <xf numFmtId="49" fontId="14" fillId="0" borderId="13" xfId="2" applyNumberFormat="1" applyFont="1" applyBorder="1" applyAlignment="1">
      <alignment horizontal="left" vertical="center"/>
    </xf>
    <xf numFmtId="49" fontId="19" fillId="3" borderId="13" xfId="2" applyNumberFormat="1" applyFont="1" applyFill="1" applyBorder="1" applyAlignment="1">
      <alignment horizontal="left" vertical="center"/>
    </xf>
    <xf numFmtId="0" fontId="19" fillId="3" borderId="25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3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4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31" fillId="0" borderId="15" xfId="2" applyNumberFormat="1" applyFont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28" xfId="2" applyNumberFormat="1" applyFont="1" applyFill="1" applyBorder="1" applyAlignment="1">
      <alignment horizontal="right" indent="1"/>
    </xf>
    <xf numFmtId="3" fontId="6" fillId="0" borderId="29" xfId="2" applyNumberFormat="1" applyFont="1" applyFill="1" applyBorder="1" applyAlignment="1">
      <alignment horizontal="right" indent="1"/>
    </xf>
    <xf numFmtId="3" fontId="6" fillId="0" borderId="30" xfId="2" applyNumberFormat="1" applyFont="1" applyFill="1" applyBorder="1" applyAlignment="1">
      <alignment horizontal="right" indent="1"/>
    </xf>
    <xf numFmtId="3" fontId="6" fillId="0" borderId="31" xfId="2" applyNumberFormat="1" applyFont="1" applyFill="1" applyBorder="1" applyAlignment="1">
      <alignment horizontal="right" indent="1"/>
    </xf>
    <xf numFmtId="3" fontId="7" fillId="0" borderId="13" xfId="2" applyNumberFormat="1" applyFont="1" applyFill="1" applyBorder="1" applyAlignment="1">
      <alignment horizontal="right" indent="1"/>
    </xf>
    <xf numFmtId="3" fontId="7" fillId="0" borderId="32" xfId="2" applyNumberFormat="1" applyFont="1" applyFill="1" applyBorder="1" applyAlignment="1">
      <alignment horizontal="right" indent="1"/>
    </xf>
    <xf numFmtId="3" fontId="7" fillId="0" borderId="26" xfId="2" applyNumberFormat="1" applyFont="1" applyFill="1" applyBorder="1" applyAlignment="1">
      <alignment horizontal="right" indent="1"/>
    </xf>
    <xf numFmtId="3" fontId="6" fillId="0" borderId="16" xfId="2" applyNumberFormat="1" applyFont="1" applyBorder="1" applyAlignment="1">
      <alignment horizontal="right" indent="1"/>
    </xf>
    <xf numFmtId="3" fontId="6" fillId="0" borderId="33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6" fillId="0" borderId="35" xfId="2" applyNumberFormat="1" applyFont="1" applyBorder="1" applyAlignment="1">
      <alignment horizontal="right" indent="1"/>
    </xf>
    <xf numFmtId="3" fontId="7" fillId="0" borderId="36" xfId="2" applyNumberFormat="1" applyFont="1" applyBorder="1" applyAlignment="1">
      <alignment horizontal="right" indent="1"/>
    </xf>
    <xf numFmtId="3" fontId="7" fillId="0" borderId="26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16" fillId="2" borderId="22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38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3" fontId="48" fillId="0" borderId="15" xfId="3" applyNumberFormat="1" applyFont="1" applyFill="1" applyBorder="1" applyAlignment="1">
      <alignment horizontal="right" vertical="center" indent="1"/>
    </xf>
    <xf numFmtId="3" fontId="48" fillId="0" borderId="11" xfId="3" applyNumberFormat="1" applyFont="1" applyFill="1" applyBorder="1" applyAlignment="1">
      <alignment horizontal="right" vertical="center" indent="1"/>
    </xf>
    <xf numFmtId="0" fontId="47" fillId="0" borderId="0" xfId="0" applyFont="1"/>
    <xf numFmtId="0" fontId="47" fillId="0" borderId="9" xfId="0" applyFont="1" applyBorder="1"/>
    <xf numFmtId="3" fontId="12" fillId="0" borderId="33" xfId="2" applyNumberFormat="1" applyFont="1" applyBorder="1" applyAlignment="1">
      <alignment horizontal="right" vertical="center" indent="5"/>
    </xf>
    <xf numFmtId="3" fontId="11" fillId="2" borderId="36" xfId="2" applyNumberFormat="1" applyFont="1" applyFill="1" applyBorder="1" applyAlignment="1">
      <alignment horizontal="right" vertical="center" indent="5"/>
    </xf>
    <xf numFmtId="3" fontId="12" fillId="0" borderId="44" xfId="2" applyNumberFormat="1" applyFont="1" applyBorder="1" applyAlignment="1">
      <alignment horizontal="right" vertical="center" indent="5"/>
    </xf>
    <xf numFmtId="3" fontId="12" fillId="0" borderId="34" xfId="2" applyNumberFormat="1" applyFont="1" applyBorder="1" applyAlignment="1">
      <alignment horizontal="right" vertical="center" indent="5"/>
    </xf>
    <xf numFmtId="3" fontId="12" fillId="3" borderId="45" xfId="2" applyNumberFormat="1" applyFont="1" applyFill="1" applyBorder="1" applyAlignment="1">
      <alignment horizontal="right" vertical="center" indent="5"/>
    </xf>
    <xf numFmtId="3" fontId="12" fillId="4" borderId="16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4" xfId="2" applyNumberFormat="1" applyFont="1" applyFill="1" applyBorder="1" applyAlignment="1">
      <alignment horizontal="right" vertical="center" indent="5"/>
    </xf>
    <xf numFmtId="3" fontId="12" fillId="4" borderId="33" xfId="2" applyNumberFormat="1" applyFont="1" applyFill="1" applyBorder="1" applyAlignment="1">
      <alignment horizontal="right" vertical="center" indent="5"/>
    </xf>
    <xf numFmtId="3" fontId="10" fillId="2" borderId="26" xfId="2" applyNumberFormat="1" applyFont="1" applyFill="1" applyBorder="1" applyAlignment="1">
      <alignment horizontal="right" vertical="center" indent="5"/>
    </xf>
    <xf numFmtId="3" fontId="12" fillId="0" borderId="33" xfId="2" applyNumberFormat="1" applyFont="1" applyBorder="1" applyAlignment="1">
      <alignment horizontal="right" vertical="center" indent="4"/>
    </xf>
    <xf numFmtId="3" fontId="12" fillId="0" borderId="34" xfId="2" applyNumberFormat="1" applyFont="1" applyFill="1" applyBorder="1" applyAlignment="1">
      <alignment horizontal="right" vertical="center" indent="4"/>
    </xf>
    <xf numFmtId="3" fontId="11" fillId="2" borderId="36" xfId="2" applyNumberFormat="1" applyFont="1" applyFill="1" applyBorder="1" applyAlignment="1">
      <alignment horizontal="right" vertical="center" indent="4"/>
    </xf>
    <xf numFmtId="3" fontId="12" fillId="0" borderId="33" xfId="2" applyNumberFormat="1" applyFont="1" applyFill="1" applyBorder="1" applyAlignment="1">
      <alignment horizontal="right" vertical="center" indent="4"/>
    </xf>
    <xf numFmtId="3" fontId="10" fillId="2" borderId="26" xfId="2" applyNumberFormat="1" applyFont="1" applyFill="1" applyBorder="1" applyAlignment="1">
      <alignment horizontal="right" vertical="center" indent="4"/>
    </xf>
    <xf numFmtId="3" fontId="12" fillId="4" borderId="33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Fill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3" fontId="19" fillId="0" borderId="9" xfId="2" applyNumberFormat="1" applyFont="1" applyBorder="1"/>
    <xf numFmtId="3" fontId="19" fillId="0" borderId="9" xfId="2" applyNumberFormat="1" applyFont="1" applyFill="1" applyBorder="1" applyAlignment="1">
      <alignment horizontal="right" vertical="center" indent="1"/>
    </xf>
    <xf numFmtId="164" fontId="45" fillId="0" borderId="9" xfId="1" applyNumberFormat="1" applyFont="1" applyBorder="1"/>
    <xf numFmtId="164" fontId="45" fillId="0" borderId="41" xfId="1" applyNumberFormat="1" applyFont="1" applyBorder="1"/>
    <xf numFmtId="164" fontId="45" fillId="0" borderId="43" xfId="1" applyNumberFormat="1" applyFont="1" applyBorder="1"/>
    <xf numFmtId="164" fontId="45" fillId="0" borderId="33" xfId="1" applyNumberFormat="1" applyFont="1" applyBorder="1"/>
    <xf numFmtId="164" fontId="45" fillId="0" borderId="35" xfId="1" applyNumberFormat="1" applyFont="1" applyBorder="1"/>
    <xf numFmtId="164" fontId="45" fillId="0" borderId="46" xfId="1" applyNumberFormat="1" applyFont="1" applyBorder="1" applyAlignment="1">
      <alignment horizontal="right"/>
    </xf>
    <xf numFmtId="164" fontId="45" fillId="0" borderId="9" xfId="1" applyNumberFormat="1" applyFont="1" applyBorder="1" applyAlignment="1">
      <alignment horizontal="right"/>
    </xf>
    <xf numFmtId="164" fontId="45" fillId="0" borderId="41" xfId="1" applyNumberFormat="1" applyFont="1" applyBorder="1" applyAlignment="1">
      <alignment horizontal="right"/>
    </xf>
    <xf numFmtId="164" fontId="45" fillId="0" borderId="43" xfId="1" applyNumberFormat="1" applyFont="1" applyBorder="1" applyAlignment="1">
      <alignment horizontal="right"/>
    </xf>
    <xf numFmtId="164" fontId="0" fillId="0" borderId="0" xfId="0" applyNumberFormat="1"/>
    <xf numFmtId="164" fontId="45" fillId="0" borderId="46" xfId="1" applyNumberFormat="1" applyFont="1" applyBorder="1" applyAlignment="1">
      <alignment horizontal="left"/>
    </xf>
    <xf numFmtId="164" fontId="45" fillId="0" borderId="46" xfId="1" applyNumberFormat="1" applyFont="1" applyBorder="1" applyAlignment="1">
      <alignment horizontal="left" indent="1"/>
    </xf>
    <xf numFmtId="164" fontId="45" fillId="0" borderId="16" xfId="1" applyNumberFormat="1" applyFont="1" applyBorder="1" applyAlignment="1">
      <alignment horizontal="left" indent="1"/>
    </xf>
    <xf numFmtId="164" fontId="45" fillId="0" borderId="9" xfId="1" applyNumberFormat="1" applyFont="1" applyBorder="1" applyAlignment="1">
      <alignment horizontal="left"/>
    </xf>
    <xf numFmtId="164" fontId="45" fillId="0" borderId="9" xfId="1" applyNumberFormat="1" applyFont="1" applyBorder="1" applyAlignment="1">
      <alignment horizontal="left" indent="1"/>
    </xf>
    <xf numFmtId="164" fontId="45" fillId="0" borderId="33" xfId="1" applyNumberFormat="1" applyFont="1" applyBorder="1" applyAlignment="1">
      <alignment horizontal="left" indent="1"/>
    </xf>
    <xf numFmtId="164" fontId="45" fillId="0" borderId="41" xfId="1" applyNumberFormat="1" applyFont="1" applyBorder="1" applyAlignment="1">
      <alignment horizontal="left"/>
    </xf>
    <xf numFmtId="164" fontId="45" fillId="0" borderId="41" xfId="1" applyNumberFormat="1" applyFont="1" applyBorder="1" applyAlignment="1">
      <alignment horizontal="left" indent="1"/>
    </xf>
    <xf numFmtId="164" fontId="45" fillId="0" borderId="35" xfId="1" applyNumberFormat="1" applyFont="1" applyBorder="1" applyAlignment="1">
      <alignment horizontal="left" indent="1"/>
    </xf>
    <xf numFmtId="164" fontId="45" fillId="0" borderId="43" xfId="1" applyNumberFormat="1" applyFont="1" applyBorder="1" applyAlignment="1">
      <alignment horizontal="left"/>
    </xf>
    <xf numFmtId="0" fontId="46" fillId="0" borderId="9" xfId="0" applyFont="1" applyBorder="1" applyAlignment="1">
      <alignment horizontal="center"/>
    </xf>
    <xf numFmtId="3" fontId="49" fillId="0" borderId="9" xfId="0" applyNumberFormat="1" applyFont="1" applyBorder="1"/>
    <xf numFmtId="3" fontId="49" fillId="0" borderId="9" xfId="0" applyNumberFormat="1" applyFont="1" applyBorder="1" applyAlignment="1">
      <alignment vertical="center"/>
    </xf>
    <xf numFmtId="0" fontId="49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3" xfId="2" applyNumberFormat="1" applyFont="1" applyBorder="1" applyAlignment="1">
      <alignment horizontal="right" vertical="center" indent="1"/>
    </xf>
    <xf numFmtId="3" fontId="19" fillId="0" borderId="13" xfId="2" applyNumberFormat="1" applyFont="1" applyBorder="1" applyAlignment="1">
      <alignment horizontal="right" vertical="center" indent="2"/>
    </xf>
    <xf numFmtId="3" fontId="10" fillId="2" borderId="13" xfId="2" applyNumberFormat="1" applyFont="1" applyFill="1" applyBorder="1" applyAlignment="1">
      <alignment horizontal="right" vertical="center" indent="1"/>
    </xf>
    <xf numFmtId="3" fontId="10" fillId="3" borderId="13" xfId="2" applyNumberFormat="1" applyFont="1" applyFill="1" applyBorder="1" applyAlignment="1">
      <alignment horizontal="right" vertical="center" indent="1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49" fontId="19" fillId="0" borderId="13" xfId="2" applyNumberFormat="1" applyFont="1" applyBorder="1" applyAlignment="1">
      <alignment vertical="center"/>
    </xf>
    <xf numFmtId="3" fontId="19" fillId="0" borderId="13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32" fillId="0" borderId="0" xfId="2" applyFont="1" applyAlignment="1">
      <alignment vertical="center"/>
    </xf>
    <xf numFmtId="3" fontId="12" fillId="4" borderId="35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32" fillId="0" borderId="9" xfId="2" applyFont="1" applyBorder="1"/>
    <xf numFmtId="3" fontId="32" fillId="0" borderId="9" xfId="2" applyNumberFormat="1" applyFont="1" applyBorder="1"/>
    <xf numFmtId="3" fontId="19" fillId="3" borderId="13" xfId="2" applyNumberFormat="1" applyFont="1" applyFill="1" applyBorder="1" applyAlignment="1">
      <alignment horizontal="right" vertical="center" indent="1"/>
    </xf>
    <xf numFmtId="3" fontId="19" fillId="3" borderId="13" xfId="2" applyNumberFormat="1" applyFont="1" applyFill="1" applyBorder="1" applyAlignment="1">
      <alignment horizontal="right" vertical="center" indent="2"/>
    </xf>
    <xf numFmtId="3" fontId="10" fillId="3" borderId="13" xfId="2" applyNumberFormat="1" applyFont="1" applyFill="1" applyBorder="1" applyAlignment="1">
      <alignment horizontal="center" vertical="center"/>
    </xf>
    <xf numFmtId="3" fontId="10" fillId="2" borderId="13" xfId="2" applyNumberFormat="1" applyFont="1" applyFill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/>
    </xf>
    <xf numFmtId="3" fontId="20" fillId="0" borderId="0" xfId="2" applyNumberFormat="1" applyFont="1" applyFill="1"/>
    <xf numFmtId="0" fontId="50" fillId="0" borderId="0" xfId="2" applyFont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35" fillId="0" borderId="0" xfId="2" applyFont="1" applyBorder="1" applyAlignment="1">
      <alignment horizontal="right"/>
    </xf>
    <xf numFmtId="3" fontId="6" fillId="4" borderId="30" xfId="2" applyNumberFormat="1" applyFont="1" applyFill="1" applyBorder="1" applyAlignment="1">
      <alignment horizontal="right" indent="1"/>
    </xf>
    <xf numFmtId="3" fontId="19" fillId="4" borderId="13" xfId="2" applyNumberFormat="1" applyFont="1" applyFill="1" applyBorder="1" applyAlignment="1">
      <alignment horizontal="right" vertical="center" indent="1"/>
    </xf>
    <xf numFmtId="3" fontId="10" fillId="2" borderId="13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34" fillId="0" borderId="9" xfId="2" applyFont="1" applyBorder="1" applyAlignment="1">
      <alignment vertical="center"/>
    </xf>
    <xf numFmtId="0" fontId="33" fillId="0" borderId="0" xfId="0" applyFont="1" applyAlignment="1"/>
    <xf numFmtId="3" fontId="12" fillId="0" borderId="13" xfId="2" applyNumberFormat="1" applyFont="1" applyFill="1" applyBorder="1" applyAlignment="1">
      <alignment horizontal="center" vertical="center" wrapText="1"/>
    </xf>
    <xf numFmtId="3" fontId="12" fillId="0" borderId="2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1" fillId="0" borderId="13" xfId="2" applyNumberFormat="1" applyFont="1" applyBorder="1" applyAlignment="1">
      <alignment horizontal="right" vertical="center" indent="1"/>
    </xf>
    <xf numFmtId="49" fontId="14" fillId="0" borderId="51" xfId="2" applyNumberFormat="1" applyFont="1" applyBorder="1" applyAlignment="1">
      <alignment vertical="center"/>
    </xf>
    <xf numFmtId="49" fontId="14" fillId="0" borderId="22" xfId="2" applyNumberFormat="1" applyFont="1" applyBorder="1" applyAlignment="1">
      <alignment horizontal="left" vertical="center"/>
    </xf>
    <xf numFmtId="0" fontId="14" fillId="0" borderId="25" xfId="2" applyFont="1" applyBorder="1" applyAlignment="1">
      <alignment vertical="center"/>
    </xf>
    <xf numFmtId="49" fontId="14" fillId="0" borderId="22" xfId="2" applyNumberFormat="1" applyFont="1" applyBorder="1" applyAlignment="1">
      <alignment horizontal="left" vertical="center" wrapText="1"/>
    </xf>
    <xf numFmtId="3" fontId="50" fillId="0" borderId="0" xfId="2" applyNumberFormat="1" applyFont="1" applyAlignment="1">
      <alignment vertical="center"/>
    </xf>
    <xf numFmtId="3" fontId="10" fillId="5" borderId="13" xfId="2" applyNumberFormat="1" applyFont="1" applyFill="1" applyBorder="1" applyAlignment="1">
      <alignment horizontal="right" vertical="center" indent="1"/>
    </xf>
    <xf numFmtId="3" fontId="11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vertical="center"/>
    </xf>
    <xf numFmtId="3" fontId="11" fillId="0" borderId="13" xfId="2" applyNumberFormat="1" applyFont="1" applyFill="1" applyBorder="1" applyAlignment="1">
      <alignment vertical="center"/>
    </xf>
    <xf numFmtId="3" fontId="12" fillId="0" borderId="22" xfId="2" applyNumberFormat="1" applyFont="1" applyFill="1" applyBorder="1" applyAlignment="1">
      <alignment vertical="center"/>
    </xf>
    <xf numFmtId="3" fontId="19" fillId="0" borderId="21" xfId="2" applyNumberFormat="1" applyFont="1" applyFill="1" applyBorder="1" applyAlignment="1">
      <alignment horizontal="right" indent="1"/>
    </xf>
    <xf numFmtId="0" fontId="20" fillId="0" borderId="13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 wrapText="1"/>
    </xf>
    <xf numFmtId="3" fontId="35" fillId="0" borderId="0" xfId="2" applyNumberFormat="1" applyFont="1" applyBorder="1"/>
    <xf numFmtId="0" fontId="20" fillId="0" borderId="18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1" xfId="2" applyNumberFormat="1" applyFont="1" applyBorder="1" applyAlignment="1">
      <alignment vertical="center"/>
    </xf>
    <xf numFmtId="0" fontId="19" fillId="0" borderId="13" xfId="2" applyFont="1" applyBorder="1" applyAlignment="1">
      <alignment horizontal="center"/>
    </xf>
    <xf numFmtId="3" fontId="21" fillId="0" borderId="42" xfId="2" applyNumberFormat="1" applyFont="1" applyBorder="1" applyAlignment="1">
      <alignment vertical="center"/>
    </xf>
    <xf numFmtId="0" fontId="19" fillId="0" borderId="21" xfId="2" applyFont="1" applyBorder="1"/>
    <xf numFmtId="0" fontId="21" fillId="0" borderId="13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0" fontId="10" fillId="0" borderId="21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7" fillId="0" borderId="49" xfId="0" applyFont="1" applyBorder="1" applyAlignment="1">
      <alignment horizontal="center" vertical="center"/>
    </xf>
    <xf numFmtId="3" fontId="16" fillId="0" borderId="13" xfId="2" applyNumberFormat="1" applyFont="1" applyFill="1" applyBorder="1" applyAlignment="1">
      <alignment vertical="center"/>
    </xf>
    <xf numFmtId="3" fontId="20" fillId="0" borderId="13" xfId="2" applyNumberFormat="1" applyFont="1" applyBorder="1" applyAlignment="1">
      <alignment horizontal="center" vertical="center"/>
    </xf>
    <xf numFmtId="3" fontId="20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3" xfId="2" applyNumberFormat="1" applyFont="1" applyBorder="1" applyAlignment="1">
      <alignment vertical="center"/>
    </xf>
    <xf numFmtId="3" fontId="43" fillId="0" borderId="22" xfId="2" applyNumberFormat="1" applyFont="1" applyFill="1" applyBorder="1" applyAlignment="1">
      <alignment vertical="center"/>
    </xf>
    <xf numFmtId="3" fontId="12" fillId="0" borderId="13" xfId="2" applyNumberFormat="1" applyFont="1" applyFill="1" applyBorder="1" applyAlignment="1"/>
    <xf numFmtId="3" fontId="43" fillId="0" borderId="13" xfId="2" applyNumberFormat="1" applyFont="1" applyFill="1" applyBorder="1" applyAlignment="1"/>
    <xf numFmtId="3" fontId="16" fillId="0" borderId="13" xfId="2" applyNumberFormat="1" applyFont="1" applyFill="1" applyBorder="1" applyAlignment="1"/>
    <xf numFmtId="3" fontId="16" fillId="0" borderId="13" xfId="2" applyNumberFormat="1" applyFont="1" applyBorder="1" applyAlignment="1"/>
    <xf numFmtId="3" fontId="11" fillId="0" borderId="13" xfId="2" applyNumberFormat="1" applyFont="1" applyFill="1" applyBorder="1" applyAlignment="1">
      <alignment wrapText="1"/>
    </xf>
    <xf numFmtId="3" fontId="16" fillId="0" borderId="13" xfId="2" applyNumberFormat="1" applyFont="1" applyFill="1" applyBorder="1" applyAlignment="1">
      <alignment horizontal="right" vertical="center"/>
    </xf>
    <xf numFmtId="0" fontId="18" fillId="0" borderId="13" xfId="2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left" vertical="center" indent="2"/>
    </xf>
    <xf numFmtId="0" fontId="19" fillId="0" borderId="13" xfId="2" applyFont="1" applyBorder="1" applyAlignment="1">
      <alignment vertical="center" wrapText="1"/>
    </xf>
    <xf numFmtId="3" fontId="16" fillId="0" borderId="22" xfId="2" applyNumberFormat="1" applyFont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0" fillId="0" borderId="7" xfId="2" applyFont="1" applyBorder="1" applyAlignment="1">
      <alignment horizontal="left" vertical="center"/>
    </xf>
    <xf numFmtId="3" fontId="12" fillId="4" borderId="26" xfId="2" applyNumberFormat="1" applyFont="1" applyFill="1" applyBorder="1" applyAlignment="1">
      <alignment horizontal="right" vertical="center" indent="5"/>
    </xf>
    <xf numFmtId="3" fontId="14" fillId="0" borderId="0" xfId="2" applyNumberFormat="1" applyFont="1" applyFill="1" applyAlignment="1">
      <alignment horizontal="right" vertical="center"/>
    </xf>
    <xf numFmtId="3" fontId="17" fillId="0" borderId="22" xfId="2" applyNumberFormat="1" applyFont="1" applyFill="1" applyBorder="1" applyAlignment="1">
      <alignment horizontal="center" vertical="center" wrapText="1"/>
    </xf>
    <xf numFmtId="3" fontId="10" fillId="0" borderId="13" xfId="2" applyNumberFormat="1" applyFont="1" applyFill="1" applyBorder="1" applyAlignment="1">
      <alignment horizontal="right" vertical="center" indent="1"/>
    </xf>
    <xf numFmtId="3" fontId="19" fillId="0" borderId="13" xfId="2" applyNumberFormat="1" applyFont="1" applyFill="1" applyBorder="1" applyAlignment="1">
      <alignment horizontal="right" vertical="center" indent="2"/>
    </xf>
    <xf numFmtId="0" fontId="1" fillId="0" borderId="0" xfId="2" applyFill="1" applyAlignment="1">
      <alignment vertical="center"/>
    </xf>
    <xf numFmtId="3" fontId="15" fillId="0" borderId="39" xfId="2" applyNumberFormat="1" applyFont="1" applyFill="1" applyBorder="1" applyAlignment="1">
      <alignment horizontal="center" vertical="center"/>
    </xf>
    <xf numFmtId="0" fontId="52" fillId="0" borderId="0" xfId="2" applyFont="1" applyFill="1"/>
    <xf numFmtId="0" fontId="19" fillId="0" borderId="25" xfId="2" applyFont="1" applyBorder="1" applyAlignment="1">
      <alignment vertical="center"/>
    </xf>
    <xf numFmtId="49" fontId="19" fillId="0" borderId="13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45" xfId="2" applyNumberFormat="1" applyFont="1" applyFill="1" applyBorder="1" applyAlignment="1">
      <alignment horizontal="right" vertical="center" indent="5"/>
    </xf>
    <xf numFmtId="3" fontId="11" fillId="2" borderId="26" xfId="2" applyNumberFormat="1" applyFont="1" applyFill="1" applyBorder="1" applyAlignment="1">
      <alignment horizontal="right" vertical="center" indent="5"/>
    </xf>
    <xf numFmtId="3" fontId="12" fillId="0" borderId="9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2" xfId="2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0" fontId="20" fillId="4" borderId="42" xfId="2" applyFont="1" applyFill="1" applyBorder="1" applyAlignment="1">
      <alignment horizontal="left" vertical="center"/>
    </xf>
    <xf numFmtId="167" fontId="0" fillId="0" borderId="0" xfId="0" applyNumberFormat="1"/>
    <xf numFmtId="167" fontId="0" fillId="0" borderId="9" xfId="0" applyNumberFormat="1" applyBorder="1"/>
    <xf numFmtId="0" fontId="54" fillId="0" borderId="9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54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55" fillId="0" borderId="9" xfId="0" applyFont="1" applyBorder="1" applyAlignment="1">
      <alignment horizontal="center" vertical="center"/>
    </xf>
    <xf numFmtId="167" fontId="55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53" fillId="0" borderId="9" xfId="0" applyNumberFormat="1" applyFont="1" applyBorder="1" applyAlignment="1">
      <alignment vertical="center"/>
    </xf>
    <xf numFmtId="164" fontId="45" fillId="0" borderId="44" xfId="1" applyNumberFormat="1" applyFont="1" applyBorder="1"/>
    <xf numFmtId="0" fontId="46" fillId="0" borderId="9" xfId="0" applyFont="1" applyBorder="1" applyAlignment="1">
      <alignment horizontal="center" vertical="center"/>
    </xf>
    <xf numFmtId="164" fontId="45" fillId="0" borderId="21" xfId="1" applyNumberFormat="1" applyFont="1" applyBorder="1"/>
    <xf numFmtId="164" fontId="45" fillId="0" borderId="20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46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/>
    <xf numFmtId="0" fontId="41" fillId="0" borderId="0" xfId="0" applyFont="1" applyAlignment="1"/>
    <xf numFmtId="0" fontId="2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3" fontId="20" fillId="0" borderId="47" xfId="2" applyNumberFormat="1" applyFont="1" applyBorder="1" applyAlignment="1">
      <alignment horizontal="right"/>
    </xf>
    <xf numFmtId="0" fontId="28" fillId="0" borderId="0" xfId="2" applyFont="1" applyAlignment="1">
      <alignment horizontal="center" vertical="center"/>
    </xf>
    <xf numFmtId="3" fontId="19" fillId="0" borderId="47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3" fontId="16" fillId="0" borderId="22" xfId="2" applyNumberFormat="1" applyFont="1" applyBorder="1" applyAlignment="1">
      <alignment horizontal="center" vertical="center" wrapText="1"/>
    </xf>
    <xf numFmtId="3" fontId="16" fillId="0" borderId="25" xfId="2" applyNumberFormat="1" applyFont="1" applyBorder="1" applyAlignment="1">
      <alignment horizontal="center" vertical="center" wrapText="1"/>
    </xf>
    <xf numFmtId="0" fontId="11" fillId="0" borderId="50" xfId="2" applyFont="1" applyFill="1" applyBorder="1" applyAlignment="1">
      <alignment horizontal="center" vertical="center"/>
    </xf>
    <xf numFmtId="0" fontId="11" fillId="0" borderId="47" xfId="2" applyFont="1" applyFill="1" applyBorder="1" applyAlignment="1">
      <alignment horizontal="center" vertical="center"/>
    </xf>
    <xf numFmtId="3" fontId="42" fillId="0" borderId="22" xfId="2" applyNumberFormat="1" applyFont="1" applyFill="1" applyBorder="1" applyAlignment="1">
      <alignment horizontal="center" vertical="center" wrapText="1"/>
    </xf>
    <xf numFmtId="3" fontId="42" fillId="0" borderId="25" xfId="2" applyNumberFormat="1" applyFont="1" applyFill="1" applyBorder="1" applyAlignment="1">
      <alignment horizontal="center" vertical="center" wrapText="1"/>
    </xf>
    <xf numFmtId="3" fontId="11" fillId="0" borderId="22" xfId="2" applyNumberFormat="1" applyFont="1" applyFill="1" applyBorder="1" applyAlignment="1">
      <alignment horizontal="center" vertical="center" wrapText="1"/>
    </xf>
    <xf numFmtId="3" fontId="11" fillId="0" borderId="25" xfId="2" applyNumberFormat="1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3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3" fontId="17" fillId="0" borderId="12" xfId="2" applyNumberFormat="1" applyFont="1" applyBorder="1" applyAlignment="1">
      <alignment horizontal="center" vertical="center" wrapText="1"/>
    </xf>
    <xf numFmtId="3" fontId="17" fillId="0" borderId="24" xfId="2" applyNumberFormat="1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18" fillId="3" borderId="12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24" xfId="2" applyFont="1" applyFill="1" applyBorder="1" applyAlignment="1">
      <alignment horizontal="center" vertical="center"/>
    </xf>
    <xf numFmtId="49" fontId="10" fillId="2" borderId="22" xfId="2" applyNumberFormat="1" applyFont="1" applyFill="1" applyBorder="1" applyAlignment="1">
      <alignment horizontal="center" vertical="center" wrapText="1"/>
    </xf>
    <xf numFmtId="49" fontId="10" fillId="2" borderId="25" xfId="2" applyNumberFormat="1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left" vertical="center"/>
    </xf>
    <xf numFmtId="3" fontId="16" fillId="2" borderId="12" xfId="2" applyNumberFormat="1" applyFont="1" applyFill="1" applyBorder="1" applyAlignment="1">
      <alignment horizontal="center" vertical="center" wrapText="1"/>
    </xf>
    <xf numFmtId="3" fontId="16" fillId="2" borderId="24" xfId="2" applyNumberFormat="1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textRotation="90"/>
    </xf>
    <xf numFmtId="0" fontId="17" fillId="0" borderId="24" xfId="2" applyFont="1" applyBorder="1" applyAlignment="1">
      <alignment horizontal="center" vertical="center" textRotation="90"/>
    </xf>
    <xf numFmtId="0" fontId="17" fillId="0" borderId="40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3" fontId="15" fillId="0" borderId="49" xfId="2" applyNumberFormat="1" applyFont="1" applyBorder="1" applyAlignment="1">
      <alignment horizontal="center" vertical="center"/>
    </xf>
    <xf numFmtId="3" fontId="15" fillId="0" borderId="39" xfId="2" applyNumberFormat="1" applyFont="1" applyBorder="1" applyAlignment="1">
      <alignment horizontal="center" vertical="center"/>
    </xf>
    <xf numFmtId="3" fontId="16" fillId="2" borderId="49" xfId="2" applyNumberFormat="1" applyFont="1" applyFill="1" applyBorder="1" applyAlignment="1">
      <alignment horizontal="center" vertical="center" wrapText="1"/>
    </xf>
    <xf numFmtId="3" fontId="16" fillId="2" borderId="50" xfId="2" applyNumberFormat="1" applyFont="1" applyFill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0" borderId="0" xfId="2" applyFont="1" applyFill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0" fillId="0" borderId="13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3" applyFont="1" applyFill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46" fillId="0" borderId="49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6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center"/>
    </xf>
  </cellXfs>
  <cellStyles count="5">
    <cellStyle name="Ezres" xfId="1" builtinId="3"/>
    <cellStyle name="Normál" xfId="0" builtinId="0"/>
    <cellStyle name="Normál 2" xfId="2"/>
    <cellStyle name="Normál_Munkafüzet1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I521"/>
  <sheetViews>
    <sheetView topLeftCell="C88" zoomScale="130" zoomScaleNormal="130" workbookViewId="0">
      <selection activeCell="E13" sqref="E13"/>
    </sheetView>
  </sheetViews>
  <sheetFormatPr defaultColWidth="8.85546875" defaultRowHeight="15"/>
  <cols>
    <col min="1" max="1" width="9" style="76" customWidth="1"/>
    <col min="2" max="2" width="67" style="117" customWidth="1"/>
    <col min="3" max="3" width="22" style="117" customWidth="1"/>
    <col min="4" max="4" width="24.7109375" style="127" customWidth="1"/>
    <col min="5" max="5" width="10.85546875" style="37" bestFit="1" customWidth="1"/>
    <col min="6" max="6" width="10.140625" style="37" bestFit="1" customWidth="1"/>
    <col min="7" max="16384" width="8.85546875" style="37"/>
  </cols>
  <sheetData>
    <row r="1" spans="1:9" ht="23.25" customHeight="1">
      <c r="A1" s="410" t="s">
        <v>472</v>
      </c>
      <c r="B1" s="410"/>
      <c r="C1" s="410"/>
      <c r="D1" s="410"/>
      <c r="E1" s="166"/>
      <c r="F1" s="166"/>
      <c r="G1" s="166"/>
      <c r="H1" s="116"/>
    </row>
    <row r="2" spans="1:9" ht="42" customHeight="1">
      <c r="A2" s="408" t="s">
        <v>257</v>
      </c>
      <c r="B2" s="408"/>
      <c r="C2" s="408"/>
      <c r="D2" s="408"/>
      <c r="E2" s="118"/>
      <c r="F2" s="118"/>
      <c r="G2" s="118"/>
      <c r="H2" s="145"/>
      <c r="I2" s="118"/>
    </row>
    <row r="3" spans="1:9" ht="16.5" thickBot="1">
      <c r="B3" s="411" t="s">
        <v>225</v>
      </c>
      <c r="C3" s="411"/>
      <c r="D3" s="120"/>
      <c r="E3" s="146"/>
    </row>
    <row r="4" spans="1:9" ht="33" customHeight="1">
      <c r="B4" s="220" t="s">
        <v>98</v>
      </c>
      <c r="C4" s="121" t="s">
        <v>255</v>
      </c>
      <c r="D4" s="121" t="s">
        <v>304</v>
      </c>
      <c r="E4" s="123"/>
    </row>
    <row r="5" spans="1:9">
      <c r="B5" s="143" t="s">
        <v>312</v>
      </c>
      <c r="C5" s="243">
        <v>70715200</v>
      </c>
      <c r="D5" s="243">
        <v>70715200</v>
      </c>
      <c r="E5" s="124"/>
    </row>
    <row r="6" spans="1:9">
      <c r="B6" s="148" t="s">
        <v>314</v>
      </c>
      <c r="C6" s="236">
        <v>9024810</v>
      </c>
      <c r="D6" s="236">
        <v>9024810</v>
      </c>
      <c r="E6" s="124"/>
    </row>
    <row r="7" spans="1:9">
      <c r="B7" s="148" t="s">
        <v>315</v>
      </c>
      <c r="C7" s="236">
        <v>6400000</v>
      </c>
      <c r="D7" s="236">
        <v>6400000</v>
      </c>
      <c r="E7" s="124"/>
    </row>
    <row r="8" spans="1:9">
      <c r="B8" s="148" t="s">
        <v>316</v>
      </c>
      <c r="C8" s="236">
        <v>522123</v>
      </c>
      <c r="D8" s="236">
        <v>522123</v>
      </c>
    </row>
    <row r="9" spans="1:9">
      <c r="B9" s="148" t="s">
        <v>317</v>
      </c>
      <c r="C9" s="236">
        <v>4183610</v>
      </c>
      <c r="D9" s="236">
        <v>4183610</v>
      </c>
    </row>
    <row r="10" spans="1:9">
      <c r="B10" s="148" t="s">
        <v>318</v>
      </c>
      <c r="C10" s="236">
        <v>6725700</v>
      </c>
      <c r="D10" s="236">
        <v>6725700</v>
      </c>
    </row>
    <row r="11" spans="1:9">
      <c r="B11" s="148" t="s">
        <v>319</v>
      </c>
      <c r="C11" s="236">
        <v>19531119</v>
      </c>
      <c r="D11" s="236">
        <v>19531119</v>
      </c>
    </row>
    <row r="12" spans="1:9">
      <c r="B12" s="148" t="s">
        <v>320</v>
      </c>
      <c r="C12" s="236">
        <v>1041000</v>
      </c>
      <c r="D12" s="236">
        <v>1041000</v>
      </c>
    </row>
    <row r="13" spans="1:9">
      <c r="B13" s="148" t="s">
        <v>313</v>
      </c>
      <c r="C13" s="236">
        <v>61640652</v>
      </c>
      <c r="D13" s="236">
        <v>61640652</v>
      </c>
    </row>
    <row r="14" spans="1:9">
      <c r="B14" s="148" t="s">
        <v>322</v>
      </c>
      <c r="C14" s="236">
        <v>21935000</v>
      </c>
      <c r="D14" s="236">
        <v>21935000</v>
      </c>
    </row>
    <row r="15" spans="1:9">
      <c r="B15" s="148" t="s">
        <v>323</v>
      </c>
      <c r="C15" s="236">
        <v>15824400</v>
      </c>
      <c r="D15" s="236">
        <v>15824400</v>
      </c>
    </row>
    <row r="16" spans="1:9">
      <c r="B16" s="148" t="s">
        <v>324</v>
      </c>
      <c r="C16" s="236">
        <v>20178000</v>
      </c>
      <c r="D16" s="236">
        <v>20178000</v>
      </c>
    </row>
    <row r="17" spans="2:5">
      <c r="B17" s="148" t="s">
        <v>325</v>
      </c>
      <c r="C17" s="236">
        <v>21700817</v>
      </c>
      <c r="D17" s="236">
        <v>21700817</v>
      </c>
    </row>
    <row r="18" spans="2:5">
      <c r="B18" s="148" t="s">
        <v>326</v>
      </c>
      <c r="C18" s="236">
        <v>787740</v>
      </c>
      <c r="D18" s="236">
        <v>787740</v>
      </c>
    </row>
    <row r="19" spans="2:5">
      <c r="B19" s="148" t="s">
        <v>327</v>
      </c>
      <c r="C19" s="236">
        <v>3014110</v>
      </c>
      <c r="D19" s="236">
        <v>3014110</v>
      </c>
    </row>
    <row r="20" spans="2:5">
      <c r="B20" s="148" t="s">
        <v>321</v>
      </c>
      <c r="C20" s="236">
        <v>84150</v>
      </c>
      <c r="D20" s="236">
        <v>84150</v>
      </c>
    </row>
    <row r="21" spans="2:5" ht="15.75" thickBot="1">
      <c r="B21" s="168" t="s">
        <v>385</v>
      </c>
      <c r="C21" s="293">
        <v>4742652</v>
      </c>
      <c r="D21" s="293">
        <v>7215952</v>
      </c>
    </row>
    <row r="22" spans="2:5" ht="15.75" thickBot="1">
      <c r="B22" s="364" t="s">
        <v>391</v>
      </c>
      <c r="C22" s="365">
        <v>0</v>
      </c>
      <c r="D22" s="365">
        <v>974600</v>
      </c>
    </row>
    <row r="23" spans="2:5" ht="19.899999999999999" customHeight="1" thickBot="1">
      <c r="B23" s="221" t="s">
        <v>99</v>
      </c>
      <c r="C23" s="229">
        <f>SUM(C5:C22)</f>
        <v>268051083</v>
      </c>
      <c r="D23" s="229">
        <f>SUM(D5:D22)</f>
        <v>271498983</v>
      </c>
      <c r="E23" s="115"/>
    </row>
    <row r="24" spans="2:5">
      <c r="B24" s="125" t="s">
        <v>427</v>
      </c>
      <c r="C24" s="230">
        <v>13848000</v>
      </c>
      <c r="D24" s="230">
        <f>+'4a.sz.mell.'!G24</f>
        <v>13848000</v>
      </c>
    </row>
    <row r="25" spans="2:5">
      <c r="B25" s="148" t="s">
        <v>428</v>
      </c>
      <c r="C25" s="228">
        <v>0</v>
      </c>
      <c r="D25" s="228">
        <f>+'4a.sz.mell.'!G12+'4a.sz.mell.'!G11+'4a.sz.mell.'!G10+'4a.sz.mell.'!G13</f>
        <v>60843664</v>
      </c>
    </row>
    <row r="26" spans="2:5">
      <c r="B26" s="148" t="s">
        <v>429</v>
      </c>
      <c r="C26" s="228">
        <v>6245115</v>
      </c>
      <c r="D26" s="228">
        <f>+'4a.sz.mell.'!G27</f>
        <v>6245115</v>
      </c>
    </row>
    <row r="27" spans="2:5">
      <c r="B27" s="148" t="s">
        <v>441</v>
      </c>
      <c r="C27" s="228">
        <v>954210</v>
      </c>
      <c r="D27" s="228">
        <f>+'4a.sz.mell.'!G40</f>
        <v>954210</v>
      </c>
    </row>
    <row r="28" spans="2:5">
      <c r="B28" s="147" t="s">
        <v>430</v>
      </c>
      <c r="C28" s="231">
        <v>114000</v>
      </c>
      <c r="D28" s="231">
        <f>+'4a.sz.mell.'!G28</f>
        <v>114000</v>
      </c>
    </row>
    <row r="29" spans="2:5">
      <c r="B29" s="147" t="s">
        <v>442</v>
      </c>
      <c r="C29" s="231">
        <v>2800000</v>
      </c>
      <c r="D29" s="231">
        <f>+'4a.sz.mell.'!G49</f>
        <v>2800000</v>
      </c>
    </row>
    <row r="30" spans="2:5">
      <c r="B30" s="147" t="s">
        <v>443</v>
      </c>
      <c r="C30" s="231">
        <v>618400</v>
      </c>
      <c r="D30" s="231">
        <f>+'4a.sz.mell.'!G9</f>
        <v>0</v>
      </c>
    </row>
    <row r="31" spans="2:5">
      <c r="B31" s="147" t="s">
        <v>431</v>
      </c>
      <c r="C31" s="231">
        <v>0</v>
      </c>
      <c r="D31" s="231">
        <f>+'4a.sz.mell.'!G20</f>
        <v>309453</v>
      </c>
    </row>
    <row r="32" spans="2:5" ht="15.75" thickBot="1">
      <c r="B32" s="147" t="s">
        <v>444</v>
      </c>
      <c r="C32" s="231">
        <v>0</v>
      </c>
      <c r="D32" s="231">
        <f>+'4a.sz.mell.'!G39</f>
        <v>1369483</v>
      </c>
    </row>
    <row r="33" spans="2:5" ht="19.899999999999999" customHeight="1" thickBot="1">
      <c r="B33" s="221" t="s">
        <v>328</v>
      </c>
      <c r="C33" s="229">
        <f>SUM(C24:C32)</f>
        <v>24579725</v>
      </c>
      <c r="D33" s="229">
        <f>SUM(D24:D32)</f>
        <v>86483925</v>
      </c>
      <c r="E33" s="115">
        <f>+'4a.sz.mell.'!G61-'4a.sz.mell.'!G35</f>
        <v>86483925</v>
      </c>
    </row>
    <row r="34" spans="2:5">
      <c r="B34" s="148" t="s">
        <v>329</v>
      </c>
      <c r="C34" s="228">
        <v>7700000</v>
      </c>
      <c r="D34" s="228">
        <v>7700000</v>
      </c>
      <c r="E34" s="126"/>
    </row>
    <row r="35" spans="2:5">
      <c r="B35" s="148" t="s">
        <v>330</v>
      </c>
      <c r="C35" s="228">
        <v>41500000</v>
      </c>
      <c r="D35" s="228">
        <v>41500000</v>
      </c>
      <c r="E35" s="124"/>
    </row>
    <row r="36" spans="2:5">
      <c r="B36" s="148" t="s">
        <v>332</v>
      </c>
      <c r="C36" s="228">
        <v>1000000</v>
      </c>
      <c r="D36" s="228">
        <v>1000000</v>
      </c>
      <c r="E36" s="124"/>
    </row>
    <row r="37" spans="2:5">
      <c r="B37" s="148" t="s">
        <v>333</v>
      </c>
      <c r="C37" s="228">
        <v>1500000</v>
      </c>
      <c r="D37" s="228">
        <v>1500000</v>
      </c>
      <c r="E37" s="124"/>
    </row>
    <row r="38" spans="2:5">
      <c r="B38" s="148" t="s">
        <v>331</v>
      </c>
      <c r="C38" s="228">
        <v>6000000</v>
      </c>
      <c r="D38" s="228">
        <v>6000000</v>
      </c>
      <c r="E38" s="124"/>
    </row>
    <row r="39" spans="2:5" ht="15.75" thickBot="1">
      <c r="B39" s="147" t="s">
        <v>334</v>
      </c>
      <c r="C39" s="231">
        <v>1570000</v>
      </c>
      <c r="D39" s="231">
        <v>1570000</v>
      </c>
      <c r="E39" s="124"/>
    </row>
    <row r="40" spans="2:5" ht="19.899999999999999" customHeight="1" thickBot="1">
      <c r="B40" s="221" t="s">
        <v>100</v>
      </c>
      <c r="C40" s="229">
        <f>SUM(C34:C39)</f>
        <v>59270000</v>
      </c>
      <c r="D40" s="229">
        <f>SUM(D34:D39)</f>
        <v>59270000</v>
      </c>
      <c r="E40" s="362">
        <f>+'4a.sz.mell.'!O61</f>
        <v>59270000</v>
      </c>
    </row>
    <row r="41" spans="2:5">
      <c r="B41" s="148" t="s">
        <v>335</v>
      </c>
      <c r="C41" s="228">
        <v>1300000</v>
      </c>
      <c r="D41" s="228">
        <v>1300000</v>
      </c>
      <c r="E41" s="124"/>
    </row>
    <row r="42" spans="2:5">
      <c r="B42" s="148" t="s">
        <v>338</v>
      </c>
      <c r="C42" s="228">
        <v>310000</v>
      </c>
      <c r="D42" s="228">
        <v>3799683</v>
      </c>
      <c r="E42" s="124"/>
    </row>
    <row r="43" spans="2:5">
      <c r="B43" s="148" t="s">
        <v>340</v>
      </c>
      <c r="C43" s="228">
        <v>14000000</v>
      </c>
      <c r="D43" s="228">
        <v>14000000</v>
      </c>
      <c r="E43" s="124"/>
    </row>
    <row r="44" spans="2:5">
      <c r="B44" s="148" t="s">
        <v>344</v>
      </c>
      <c r="C44" s="228">
        <v>590000</v>
      </c>
      <c r="D44" s="228">
        <v>1644917</v>
      </c>
      <c r="E44" s="124"/>
    </row>
    <row r="45" spans="2:5">
      <c r="B45" s="125" t="s">
        <v>339</v>
      </c>
      <c r="C45" s="230">
        <v>14930000</v>
      </c>
      <c r="D45" s="230">
        <v>14930000</v>
      </c>
      <c r="E45" s="124"/>
    </row>
    <row r="46" spans="2:5">
      <c r="B46" s="125" t="s">
        <v>337</v>
      </c>
      <c r="C46" s="230">
        <v>5925000</v>
      </c>
      <c r="D46" s="230">
        <v>5075454</v>
      </c>
      <c r="E46" s="124"/>
    </row>
    <row r="47" spans="2:5">
      <c r="B47" s="148" t="s">
        <v>341</v>
      </c>
      <c r="C47" s="228">
        <v>8795000</v>
      </c>
      <c r="D47" s="228">
        <v>8803906</v>
      </c>
      <c r="E47" s="124"/>
    </row>
    <row r="48" spans="2:5">
      <c r="B48" s="148" t="s">
        <v>342</v>
      </c>
      <c r="C48" s="228">
        <v>1174000</v>
      </c>
      <c r="D48" s="228">
        <v>1308000</v>
      </c>
      <c r="E48" s="124"/>
    </row>
    <row r="49" spans="2:6">
      <c r="B49" s="148" t="s">
        <v>343</v>
      </c>
      <c r="C49" s="228">
        <v>7000</v>
      </c>
      <c r="D49" s="228">
        <v>7000</v>
      </c>
      <c r="E49" s="124"/>
    </row>
    <row r="50" spans="2:6" ht="18.75" customHeight="1">
      <c r="B50" s="148" t="s">
        <v>336</v>
      </c>
      <c r="C50" s="228">
        <v>4860000</v>
      </c>
      <c r="D50" s="228">
        <v>4931232</v>
      </c>
      <c r="E50" s="124"/>
    </row>
    <row r="51" spans="2:6" ht="18.75" customHeight="1" thickBot="1">
      <c r="B51" s="381" t="s">
        <v>440</v>
      </c>
      <c r="C51" s="382">
        <v>0</v>
      </c>
      <c r="D51" s="382">
        <v>524832</v>
      </c>
      <c r="E51" s="124"/>
    </row>
    <row r="52" spans="2:6" ht="19.899999999999999" customHeight="1" thickBot="1">
      <c r="B52" s="221" t="s">
        <v>101</v>
      </c>
      <c r="C52" s="229">
        <f>SUM(C41:C51)</f>
        <v>51891000</v>
      </c>
      <c r="D52" s="229">
        <f>SUM(D41:D51)</f>
        <v>56325024</v>
      </c>
      <c r="E52" s="363">
        <f>+'4a.sz.mell.'!E61</f>
        <v>56643024</v>
      </c>
    </row>
    <row r="53" spans="2:6" ht="19.899999999999999" customHeight="1" thickBot="1">
      <c r="B53" s="201" t="s">
        <v>346</v>
      </c>
      <c r="C53" s="232">
        <v>318000</v>
      </c>
      <c r="D53" s="232">
        <v>318000</v>
      </c>
      <c r="E53" s="126"/>
    </row>
    <row r="54" spans="2:6" ht="19.899999999999999" customHeight="1" thickBot="1">
      <c r="B54" s="222" t="s">
        <v>157</v>
      </c>
      <c r="C54" s="229">
        <f>SUM(C53)</f>
        <v>318000</v>
      </c>
      <c r="D54" s="229">
        <f>SUM(D53)</f>
        <v>318000</v>
      </c>
      <c r="E54" s="363">
        <f>+D52+D54</f>
        <v>56643024</v>
      </c>
    </row>
    <row r="55" spans="2:6" ht="19.899999999999999" customHeight="1" thickBot="1">
      <c r="B55" s="234" t="s">
        <v>438</v>
      </c>
      <c r="C55" s="235">
        <v>153625000</v>
      </c>
      <c r="D55" s="235">
        <f>153625000+1875000</f>
        <v>155500000</v>
      </c>
      <c r="E55" s="126"/>
    </row>
    <row r="56" spans="2:6" ht="19.899999999999999" customHeight="1">
      <c r="B56" s="202" t="s">
        <v>439</v>
      </c>
      <c r="C56" s="233">
        <v>19930411</v>
      </c>
      <c r="D56" s="233">
        <f>31946110-D57</f>
        <v>19930411</v>
      </c>
      <c r="E56" s="126"/>
    </row>
    <row r="57" spans="2:6" ht="19.899999999999999" customHeight="1">
      <c r="B57" s="234" t="s">
        <v>434</v>
      </c>
      <c r="C57" s="235">
        <v>12015699</v>
      </c>
      <c r="D57" s="235">
        <v>12015699</v>
      </c>
      <c r="E57" s="126"/>
    </row>
    <row r="58" spans="2:6" ht="19.899999999999999" customHeight="1">
      <c r="B58" s="234" t="s">
        <v>435</v>
      </c>
      <c r="C58" s="235">
        <v>92900100</v>
      </c>
      <c r="D58" s="235">
        <v>97906737</v>
      </c>
      <c r="E58" s="126"/>
    </row>
    <row r="59" spans="2:6" ht="19.899999999999999" customHeight="1">
      <c r="B59" s="234" t="s">
        <v>436</v>
      </c>
      <c r="C59" s="235">
        <v>812024</v>
      </c>
      <c r="D59" s="235">
        <v>812024</v>
      </c>
      <c r="E59" s="126"/>
    </row>
    <row r="60" spans="2:6" ht="19.899999999999999" customHeight="1">
      <c r="B60" s="203" t="s">
        <v>437</v>
      </c>
      <c r="C60" s="236">
        <v>0</v>
      </c>
      <c r="D60" s="236">
        <v>17311683</v>
      </c>
      <c r="E60" s="126"/>
    </row>
    <row r="61" spans="2:6" ht="19.899999999999999" customHeight="1">
      <c r="B61" s="203" t="s">
        <v>433</v>
      </c>
      <c r="C61" s="236">
        <v>0</v>
      </c>
      <c r="D61" s="236">
        <v>20000000</v>
      </c>
      <c r="E61" s="126"/>
    </row>
    <row r="62" spans="2:6" ht="15.75" thickBot="1">
      <c r="B62" s="203" t="s">
        <v>432</v>
      </c>
      <c r="C62" s="236">
        <v>0</v>
      </c>
      <c r="D62" s="236">
        <v>2734000</v>
      </c>
      <c r="E62" s="126"/>
    </row>
    <row r="63" spans="2:6" ht="19.899999999999999" customHeight="1">
      <c r="B63" s="375" t="s">
        <v>388</v>
      </c>
      <c r="C63" s="376">
        <f>SUM(C55:C62)</f>
        <v>279283234</v>
      </c>
      <c r="D63" s="376">
        <f>SUM(D55:D62)</f>
        <v>326210554</v>
      </c>
      <c r="E63" s="363">
        <f>+'4a.sz.mell.'!I61</f>
        <v>326210554</v>
      </c>
      <c r="F63" s="115">
        <f>+D63-E63</f>
        <v>0</v>
      </c>
    </row>
    <row r="64" spans="2:6">
      <c r="B64" s="203" t="s">
        <v>345</v>
      </c>
      <c r="C64" s="378">
        <v>165502713</v>
      </c>
      <c r="D64" s="236">
        <f>+'4a.sz.mell.'!K60+'4a.sz.mell.'!K50+'4a.sz.mell.'!K46+'4a.sz.mell.'!K43+'4a.sz.mell.'!K37</f>
        <v>165579828</v>
      </c>
      <c r="E64" s="363">
        <f>+'4a.sz.mell.'!K61</f>
        <v>165579828</v>
      </c>
    </row>
    <row r="65" spans="1:9" ht="19.899999999999999" customHeight="1" thickBot="1">
      <c r="B65" s="128" t="s">
        <v>102</v>
      </c>
      <c r="C65" s="377">
        <f>SUM(C64)</f>
        <v>165502713</v>
      </c>
      <c r="D65" s="377">
        <f>SUM(D64)</f>
        <v>165579828</v>
      </c>
      <c r="E65" s="124"/>
    </row>
    <row r="66" spans="1:9" ht="27" customHeight="1" thickBot="1">
      <c r="B66" s="128" t="s">
        <v>103</v>
      </c>
      <c r="C66" s="237">
        <f>SUM(C23,C33,C40,C52,C54,C63,C65)</f>
        <v>848895755</v>
      </c>
      <c r="D66" s="237">
        <f>SUM(D23,D33,D40,D52,D54,D63,D65)</f>
        <v>965686314</v>
      </c>
      <c r="E66" s="363">
        <f>+'4a.sz.mell.'!Q61-'4a.sz.mell.'!M61</f>
        <v>965686314</v>
      </c>
    </row>
    <row r="67" spans="1:9">
      <c r="B67" s="129"/>
      <c r="C67" s="122"/>
      <c r="D67" s="332">
        <f>+E66-D66</f>
        <v>0</v>
      </c>
      <c r="E67" s="124"/>
    </row>
    <row r="68" spans="1:9">
      <c r="B68" s="130"/>
      <c r="C68" s="122"/>
      <c r="D68" s="306" t="s">
        <v>292</v>
      </c>
      <c r="E68" s="131"/>
    </row>
    <row r="69" spans="1:9" ht="36.6" customHeight="1">
      <c r="B69" s="408" t="s">
        <v>256</v>
      </c>
      <c r="C69" s="408"/>
      <c r="E69" s="145"/>
      <c r="F69" s="145"/>
      <c r="G69" s="145"/>
      <c r="H69" s="145"/>
      <c r="I69" s="118"/>
    </row>
    <row r="70" spans="1:9" ht="12.75" customHeight="1">
      <c r="A70" s="119"/>
      <c r="B70" s="74"/>
      <c r="C70" s="74"/>
      <c r="E70" s="74"/>
    </row>
    <row r="71" spans="1:9" ht="21.75" customHeight="1" thickBot="1">
      <c r="B71" s="409" t="s">
        <v>225</v>
      </c>
      <c r="C71" s="409"/>
      <c r="E71" s="146"/>
    </row>
    <row r="72" spans="1:9" ht="32.25" customHeight="1">
      <c r="B72" s="220" t="s">
        <v>104</v>
      </c>
      <c r="C72" s="121" t="s">
        <v>255</v>
      </c>
      <c r="D72" s="121" t="s">
        <v>304</v>
      </c>
      <c r="E72" s="132"/>
    </row>
    <row r="73" spans="1:9">
      <c r="B73" s="143" t="s">
        <v>347</v>
      </c>
      <c r="C73" s="238">
        <v>172604200</v>
      </c>
      <c r="D73" s="238">
        <f>+'4.sz.mell.'!E60</f>
        <v>241707929</v>
      </c>
      <c r="E73" s="124"/>
    </row>
    <row r="74" spans="1:9">
      <c r="B74" s="143" t="s">
        <v>105</v>
      </c>
      <c r="C74" s="238">
        <v>32695500</v>
      </c>
      <c r="D74" s="238">
        <f>+'4.sz.mell.'!G60</f>
        <v>41911788</v>
      </c>
      <c r="E74" s="133"/>
    </row>
    <row r="75" spans="1:9" ht="25.5">
      <c r="B75" s="333" t="s">
        <v>445</v>
      </c>
      <c r="C75" s="238">
        <v>135629000</v>
      </c>
      <c r="D75" s="238">
        <f>+'4.sz.mell.'!I60</f>
        <v>162567875</v>
      </c>
      <c r="E75" s="134"/>
    </row>
    <row r="76" spans="1:9">
      <c r="B76" s="143" t="s">
        <v>348</v>
      </c>
      <c r="C76" s="238">
        <v>3781000</v>
      </c>
      <c r="D76" s="238">
        <f>+'4.sz.mell.'!M60</f>
        <v>4378145</v>
      </c>
      <c r="E76" s="124"/>
      <c r="F76" s="115"/>
    </row>
    <row r="77" spans="1:9">
      <c r="B77" s="143" t="s">
        <v>448</v>
      </c>
      <c r="C77" s="238">
        <v>0</v>
      </c>
      <c r="D77" s="238">
        <v>31326</v>
      </c>
      <c r="E77" s="124"/>
      <c r="F77" s="115"/>
    </row>
    <row r="78" spans="1:9">
      <c r="B78" s="143" t="s">
        <v>352</v>
      </c>
      <c r="C78" s="238">
        <v>9649634</v>
      </c>
      <c r="D78" s="238">
        <f>+'4.sz.mell.'!Q60</f>
        <v>9649634</v>
      </c>
      <c r="E78" s="124"/>
    </row>
    <row r="79" spans="1:9">
      <c r="B79" s="143" t="s">
        <v>426</v>
      </c>
      <c r="C79" s="238">
        <v>0</v>
      </c>
      <c r="D79" s="238">
        <f>+'4.sz.mell.'!S60</f>
        <v>743685</v>
      </c>
      <c r="E79" s="124"/>
    </row>
    <row r="80" spans="1:9">
      <c r="B80" s="143" t="s">
        <v>446</v>
      </c>
      <c r="C80" s="238">
        <v>2880000</v>
      </c>
      <c r="D80" s="238">
        <v>5880000</v>
      </c>
      <c r="E80" s="124"/>
    </row>
    <row r="81" spans="2:5" ht="15.75" thickBot="1">
      <c r="B81" s="144" t="s">
        <v>447</v>
      </c>
      <c r="C81" s="239">
        <v>72104709</v>
      </c>
      <c r="D81" s="239">
        <v>70049098</v>
      </c>
      <c r="E81" s="124"/>
    </row>
    <row r="82" spans="2:5" ht="19.899999999999999" customHeight="1" thickBot="1">
      <c r="B82" s="219" t="s">
        <v>107</v>
      </c>
      <c r="C82" s="240">
        <f>SUM(C73:C81)</f>
        <v>429344043</v>
      </c>
      <c r="D82" s="240">
        <f>SUM(D73:D81)</f>
        <v>536919480</v>
      </c>
      <c r="E82" s="126"/>
    </row>
    <row r="83" spans="2:5">
      <c r="B83" s="143" t="s">
        <v>349</v>
      </c>
      <c r="C83" s="241">
        <v>1415952</v>
      </c>
      <c r="D83" s="241">
        <f>22110+77430</f>
        <v>99540</v>
      </c>
      <c r="E83" s="126"/>
    </row>
    <row r="84" spans="2:5" ht="15.75" thickBot="1">
      <c r="B84" s="144" t="s">
        <v>350</v>
      </c>
      <c r="C84" s="239">
        <v>90687347</v>
      </c>
      <c r="D84" s="239">
        <f>+'4.sz.mell.'!O60-D83</f>
        <v>70379265</v>
      </c>
      <c r="E84" s="126"/>
    </row>
    <row r="85" spans="2:5" ht="19.899999999999999" customHeight="1" thickBot="1">
      <c r="B85" s="219" t="s">
        <v>108</v>
      </c>
      <c r="C85" s="240">
        <f>SUM(C83:C84)</f>
        <v>92103299</v>
      </c>
      <c r="D85" s="240">
        <f>SUM(D83:D84)</f>
        <v>70478805</v>
      </c>
      <c r="E85" s="126"/>
    </row>
    <row r="86" spans="2:5">
      <c r="B86" s="143" t="s">
        <v>392</v>
      </c>
      <c r="C86" s="241">
        <v>277013347</v>
      </c>
      <c r="D86" s="241">
        <f>+'4.sz.mell.'!U60</f>
        <v>263570349</v>
      </c>
      <c r="E86" s="124"/>
    </row>
    <row r="87" spans="2:5">
      <c r="B87" s="144" t="s">
        <v>351</v>
      </c>
      <c r="C87" s="239">
        <v>50435066</v>
      </c>
      <c r="D87" s="239">
        <f>+'4.sz.mell.'!W60</f>
        <v>94717680</v>
      </c>
      <c r="E87" s="124"/>
    </row>
    <row r="88" spans="2:5" ht="15.75" thickBot="1">
      <c r="B88" s="144" t="s">
        <v>156</v>
      </c>
      <c r="C88" s="239">
        <v>0</v>
      </c>
      <c r="D88" s="239">
        <v>0</v>
      </c>
      <c r="E88" s="124"/>
    </row>
    <row r="89" spans="2:5" ht="19.899999999999999" customHeight="1" thickBot="1">
      <c r="B89" s="219" t="s">
        <v>109</v>
      </c>
      <c r="C89" s="240">
        <f>SUM(C86:C88)</f>
        <v>327448413</v>
      </c>
      <c r="D89" s="240">
        <f>SUM(D86:D88)</f>
        <v>358288029</v>
      </c>
      <c r="E89" s="124"/>
    </row>
    <row r="90" spans="2:5" ht="24.6" customHeight="1" thickBot="1">
      <c r="B90" s="128" t="s">
        <v>110</v>
      </c>
      <c r="C90" s="242">
        <f>C82+C85+C89</f>
        <v>848895755</v>
      </c>
      <c r="D90" s="242">
        <f>D82+D85+D89</f>
        <v>965686314</v>
      </c>
      <c r="E90" s="380">
        <f>+'4.sz.mell.'!Y60</f>
        <v>965686314</v>
      </c>
    </row>
    <row r="91" spans="2:5">
      <c r="B91" s="75"/>
      <c r="C91" s="135"/>
      <c r="E91" s="124"/>
    </row>
    <row r="92" spans="2:5">
      <c r="B92" s="75"/>
      <c r="C92" s="136"/>
      <c r="D92" s="332">
        <f>+D90-D66</f>
        <v>0</v>
      </c>
      <c r="E92" s="124"/>
    </row>
    <row r="93" spans="2:5">
      <c r="B93" s="75"/>
      <c r="C93" s="75"/>
      <c r="E93" s="124"/>
    </row>
    <row r="94" spans="2:5">
      <c r="B94" s="127"/>
      <c r="C94" s="127"/>
    </row>
    <row r="95" spans="2:5">
      <c r="B95" s="127"/>
      <c r="C95" s="127"/>
    </row>
    <row r="96" spans="2:5">
      <c r="B96" s="127"/>
      <c r="C96" s="127"/>
    </row>
    <row r="97" spans="2:3">
      <c r="B97" s="127"/>
      <c r="C97" s="127"/>
    </row>
    <row r="98" spans="2:3" ht="41.25" customHeight="1">
      <c r="B98" s="127"/>
      <c r="C98" s="127"/>
    </row>
    <row r="99" spans="2:3">
      <c r="B99" s="127"/>
      <c r="C99" s="127"/>
    </row>
    <row r="100" spans="2:3">
      <c r="B100" s="127"/>
      <c r="C100" s="127"/>
    </row>
    <row r="101" spans="2:3">
      <c r="B101" s="127"/>
      <c r="C101" s="127"/>
    </row>
    <row r="102" spans="2:3">
      <c r="B102" s="127"/>
      <c r="C102" s="127"/>
    </row>
    <row r="103" spans="2:3">
      <c r="B103" s="127"/>
      <c r="C103" s="127"/>
    </row>
    <row r="104" spans="2:3">
      <c r="B104" s="127"/>
      <c r="C104" s="127"/>
    </row>
    <row r="105" spans="2:3">
      <c r="B105" s="127"/>
      <c r="C105" s="127"/>
    </row>
    <row r="106" spans="2:3">
      <c r="B106" s="127"/>
      <c r="C106" s="127"/>
    </row>
    <row r="107" spans="2:3">
      <c r="B107" s="127"/>
      <c r="C107" s="127"/>
    </row>
    <row r="108" spans="2:3">
      <c r="B108" s="127"/>
      <c r="C108" s="127"/>
    </row>
    <row r="109" spans="2:3">
      <c r="B109" s="127"/>
      <c r="C109" s="127"/>
    </row>
    <row r="110" spans="2:3">
      <c r="B110" s="127"/>
      <c r="C110" s="127"/>
    </row>
    <row r="111" spans="2:3">
      <c r="B111" s="127"/>
      <c r="C111" s="127"/>
    </row>
    <row r="112" spans="2:3">
      <c r="B112" s="127"/>
      <c r="C112" s="127"/>
    </row>
    <row r="113" spans="2:4">
      <c r="B113" s="127"/>
      <c r="C113" s="127"/>
    </row>
    <row r="114" spans="2:4">
      <c r="B114" s="127"/>
      <c r="C114" s="127"/>
    </row>
    <row r="115" spans="2:4">
      <c r="B115" s="127"/>
      <c r="C115" s="127"/>
    </row>
    <row r="116" spans="2:4">
      <c r="B116" s="127"/>
      <c r="C116" s="127"/>
    </row>
    <row r="117" spans="2:4">
      <c r="B117" s="127"/>
      <c r="C117" s="127"/>
    </row>
    <row r="118" spans="2:4">
      <c r="B118" s="127"/>
      <c r="C118" s="127"/>
    </row>
    <row r="119" spans="2:4">
      <c r="B119" s="127"/>
      <c r="C119" s="127"/>
    </row>
    <row r="120" spans="2:4">
      <c r="B120" s="127"/>
      <c r="C120" s="127"/>
    </row>
    <row r="121" spans="2:4">
      <c r="B121" s="127"/>
      <c r="C121" s="127"/>
    </row>
    <row r="122" spans="2:4">
      <c r="B122" s="127"/>
      <c r="C122" s="127"/>
      <c r="D122" s="307" t="s">
        <v>293</v>
      </c>
    </row>
    <row r="123" spans="2:4">
      <c r="B123" s="127"/>
      <c r="C123" s="127"/>
    </row>
    <row r="124" spans="2:4">
      <c r="B124" s="127"/>
      <c r="C124" s="127"/>
    </row>
    <row r="125" spans="2:4">
      <c r="B125" s="127"/>
      <c r="C125" s="127"/>
    </row>
    <row r="126" spans="2:4">
      <c r="B126" s="127"/>
      <c r="C126" s="127"/>
    </row>
    <row r="127" spans="2:4">
      <c r="B127" s="127"/>
      <c r="C127" s="127"/>
    </row>
    <row r="128" spans="2:4">
      <c r="B128" s="127"/>
      <c r="C128" s="127"/>
    </row>
    <row r="129" spans="2:3">
      <c r="B129" s="127"/>
      <c r="C129" s="127"/>
    </row>
    <row r="130" spans="2:3">
      <c r="B130" s="127"/>
      <c r="C130" s="127"/>
    </row>
    <row r="131" spans="2:3">
      <c r="B131" s="127"/>
      <c r="C131" s="127"/>
    </row>
    <row r="132" spans="2:3">
      <c r="B132" s="127"/>
      <c r="C132" s="127"/>
    </row>
    <row r="133" spans="2:3">
      <c r="B133" s="127"/>
      <c r="C133" s="127"/>
    </row>
    <row r="134" spans="2:3">
      <c r="B134" s="127"/>
      <c r="C134" s="127"/>
    </row>
    <row r="135" spans="2:3">
      <c r="B135" s="127"/>
      <c r="C135" s="127"/>
    </row>
    <row r="136" spans="2:3">
      <c r="B136" s="127"/>
      <c r="C136" s="127"/>
    </row>
    <row r="137" spans="2:3">
      <c r="B137" s="127"/>
      <c r="C137" s="127"/>
    </row>
    <row r="138" spans="2:3">
      <c r="B138" s="127"/>
      <c r="C138" s="127"/>
    </row>
    <row r="139" spans="2:3">
      <c r="B139" s="127"/>
      <c r="C139" s="127"/>
    </row>
    <row r="140" spans="2:3">
      <c r="B140" s="127"/>
      <c r="C140" s="127"/>
    </row>
    <row r="141" spans="2:3">
      <c r="B141" s="127"/>
      <c r="C141" s="127"/>
    </row>
    <row r="142" spans="2:3">
      <c r="B142" s="127"/>
      <c r="C142" s="127"/>
    </row>
    <row r="143" spans="2:3">
      <c r="B143" s="127"/>
      <c r="C143" s="127"/>
    </row>
    <row r="144" spans="2:3">
      <c r="B144" s="127"/>
      <c r="C144" s="127"/>
    </row>
    <row r="145" spans="2:3">
      <c r="B145" s="127"/>
      <c r="C145" s="127"/>
    </row>
    <row r="146" spans="2:3">
      <c r="B146" s="127"/>
      <c r="C146" s="127"/>
    </row>
    <row r="147" spans="2:3">
      <c r="B147" s="127"/>
      <c r="C147" s="127"/>
    </row>
    <row r="148" spans="2:3">
      <c r="B148" s="127"/>
      <c r="C148" s="127"/>
    </row>
    <row r="149" spans="2:3">
      <c r="B149" s="127"/>
      <c r="C149" s="127"/>
    </row>
    <row r="150" spans="2:3">
      <c r="B150" s="127"/>
      <c r="C150" s="127"/>
    </row>
    <row r="151" spans="2:3">
      <c r="B151" s="127"/>
      <c r="C151" s="127"/>
    </row>
    <row r="152" spans="2:3">
      <c r="B152" s="127"/>
      <c r="C152" s="127"/>
    </row>
    <row r="153" spans="2:3">
      <c r="B153" s="127"/>
      <c r="C153" s="127"/>
    </row>
    <row r="154" spans="2:3">
      <c r="B154" s="127"/>
      <c r="C154" s="127"/>
    </row>
    <row r="155" spans="2:3">
      <c r="B155" s="127"/>
      <c r="C155" s="127"/>
    </row>
    <row r="156" spans="2:3">
      <c r="B156" s="127"/>
      <c r="C156" s="127"/>
    </row>
    <row r="157" spans="2:3">
      <c r="B157" s="127"/>
      <c r="C157" s="127"/>
    </row>
    <row r="158" spans="2:3">
      <c r="B158" s="127"/>
      <c r="C158" s="127"/>
    </row>
    <row r="159" spans="2:3">
      <c r="B159" s="127"/>
      <c r="C159" s="127"/>
    </row>
    <row r="160" spans="2:3">
      <c r="B160" s="127"/>
      <c r="C160" s="127"/>
    </row>
    <row r="161" spans="2:3">
      <c r="B161" s="127"/>
      <c r="C161" s="127"/>
    </row>
    <row r="162" spans="2:3">
      <c r="B162" s="127"/>
      <c r="C162" s="127"/>
    </row>
    <row r="163" spans="2:3">
      <c r="B163" s="127"/>
      <c r="C163" s="127"/>
    </row>
    <row r="164" spans="2:3">
      <c r="B164" s="127"/>
      <c r="C164" s="127"/>
    </row>
    <row r="165" spans="2:3">
      <c r="B165" s="127"/>
      <c r="C165" s="127"/>
    </row>
    <row r="166" spans="2:3">
      <c r="B166" s="127"/>
      <c r="C166" s="127"/>
    </row>
    <row r="167" spans="2:3">
      <c r="B167" s="127"/>
      <c r="C167" s="127"/>
    </row>
    <row r="168" spans="2:3">
      <c r="B168" s="127"/>
      <c r="C168" s="127"/>
    </row>
    <row r="169" spans="2:3">
      <c r="B169" s="127"/>
      <c r="C169" s="127"/>
    </row>
    <row r="170" spans="2:3">
      <c r="B170" s="127"/>
      <c r="C170" s="127"/>
    </row>
    <row r="171" spans="2:3">
      <c r="B171" s="127"/>
      <c r="C171" s="127"/>
    </row>
    <row r="172" spans="2:3">
      <c r="B172" s="127"/>
      <c r="C172" s="127"/>
    </row>
    <row r="173" spans="2:3">
      <c r="B173" s="127"/>
      <c r="C173" s="127"/>
    </row>
    <row r="174" spans="2:3">
      <c r="B174" s="127"/>
      <c r="C174" s="127"/>
    </row>
    <row r="175" spans="2:3">
      <c r="B175" s="127"/>
      <c r="C175" s="127"/>
    </row>
    <row r="176" spans="2:3">
      <c r="B176" s="127"/>
      <c r="C176" s="127"/>
    </row>
    <row r="177" spans="2:3">
      <c r="B177" s="127"/>
      <c r="C177" s="127"/>
    </row>
    <row r="178" spans="2:3">
      <c r="B178" s="127"/>
      <c r="C178" s="127"/>
    </row>
    <row r="179" spans="2:3">
      <c r="B179" s="127"/>
      <c r="C179" s="127"/>
    </row>
    <row r="180" spans="2:3">
      <c r="B180" s="127"/>
      <c r="C180" s="127"/>
    </row>
    <row r="181" spans="2:3">
      <c r="B181" s="127"/>
      <c r="C181" s="127"/>
    </row>
    <row r="182" spans="2:3">
      <c r="B182" s="127"/>
      <c r="C182" s="127"/>
    </row>
    <row r="183" spans="2:3">
      <c r="B183" s="127"/>
      <c r="C183" s="127"/>
    </row>
    <row r="184" spans="2:3">
      <c r="B184" s="127"/>
      <c r="C184" s="127"/>
    </row>
    <row r="185" spans="2:3">
      <c r="B185" s="127"/>
      <c r="C185" s="127"/>
    </row>
    <row r="186" spans="2:3">
      <c r="B186" s="127"/>
      <c r="C186" s="127"/>
    </row>
    <row r="187" spans="2:3">
      <c r="B187" s="127"/>
      <c r="C187" s="127"/>
    </row>
    <row r="188" spans="2:3">
      <c r="B188" s="127"/>
      <c r="C188" s="127"/>
    </row>
    <row r="189" spans="2:3">
      <c r="B189" s="127"/>
      <c r="C189" s="127"/>
    </row>
    <row r="190" spans="2:3">
      <c r="B190" s="127"/>
      <c r="C190" s="127"/>
    </row>
    <row r="191" spans="2:3">
      <c r="B191" s="127"/>
      <c r="C191" s="127"/>
    </row>
    <row r="192" spans="2:3">
      <c r="B192" s="127"/>
      <c r="C192" s="127"/>
    </row>
    <row r="193" spans="2:3">
      <c r="B193" s="127"/>
      <c r="C193" s="127"/>
    </row>
    <row r="194" spans="2:3">
      <c r="B194" s="127"/>
      <c r="C194" s="127"/>
    </row>
    <row r="195" spans="2:3">
      <c r="B195" s="127"/>
      <c r="C195" s="127"/>
    </row>
    <row r="196" spans="2:3">
      <c r="B196" s="127"/>
      <c r="C196" s="127"/>
    </row>
    <row r="197" spans="2:3">
      <c r="B197" s="127"/>
      <c r="C197" s="127"/>
    </row>
    <row r="198" spans="2:3">
      <c r="B198" s="127"/>
      <c r="C198" s="127"/>
    </row>
    <row r="199" spans="2:3">
      <c r="B199" s="127"/>
      <c r="C199" s="127"/>
    </row>
    <row r="200" spans="2:3">
      <c r="B200" s="127"/>
      <c r="C200" s="127"/>
    </row>
    <row r="201" spans="2:3">
      <c r="B201" s="127"/>
      <c r="C201" s="127"/>
    </row>
    <row r="202" spans="2:3">
      <c r="B202" s="127"/>
      <c r="C202" s="127"/>
    </row>
    <row r="203" spans="2:3">
      <c r="B203" s="127"/>
      <c r="C203" s="127"/>
    </row>
    <row r="204" spans="2:3">
      <c r="B204" s="127"/>
      <c r="C204" s="127"/>
    </row>
    <row r="205" spans="2:3">
      <c r="B205" s="127"/>
      <c r="C205" s="127"/>
    </row>
    <row r="206" spans="2:3">
      <c r="B206" s="127"/>
      <c r="C206" s="127"/>
    </row>
    <row r="207" spans="2:3">
      <c r="B207" s="127"/>
      <c r="C207" s="127"/>
    </row>
    <row r="208" spans="2:3">
      <c r="B208" s="127"/>
      <c r="C208" s="127"/>
    </row>
    <row r="209" spans="2:3">
      <c r="B209" s="127"/>
      <c r="C209" s="127"/>
    </row>
    <row r="210" spans="2:3">
      <c r="B210" s="127"/>
      <c r="C210" s="127"/>
    </row>
    <row r="211" spans="2:3">
      <c r="B211" s="127"/>
      <c r="C211" s="127"/>
    </row>
    <row r="212" spans="2:3">
      <c r="B212" s="127"/>
      <c r="C212" s="127"/>
    </row>
    <row r="213" spans="2:3">
      <c r="B213" s="127"/>
      <c r="C213" s="127"/>
    </row>
    <row r="214" spans="2:3">
      <c r="B214" s="127"/>
      <c r="C214" s="127"/>
    </row>
    <row r="215" spans="2:3">
      <c r="B215" s="127"/>
      <c r="C215" s="127"/>
    </row>
    <row r="216" spans="2:3">
      <c r="B216" s="127"/>
      <c r="C216" s="127"/>
    </row>
    <row r="217" spans="2:3">
      <c r="B217" s="127"/>
      <c r="C217" s="127"/>
    </row>
    <row r="218" spans="2:3">
      <c r="B218" s="127"/>
      <c r="C218" s="127"/>
    </row>
    <row r="219" spans="2:3">
      <c r="B219" s="127"/>
      <c r="C219" s="127"/>
    </row>
    <row r="220" spans="2:3">
      <c r="B220" s="127"/>
      <c r="C220" s="127"/>
    </row>
    <row r="221" spans="2:3">
      <c r="B221" s="127"/>
      <c r="C221" s="127"/>
    </row>
    <row r="222" spans="2:3">
      <c r="B222" s="127"/>
      <c r="C222" s="127"/>
    </row>
    <row r="223" spans="2:3">
      <c r="B223" s="127"/>
      <c r="C223" s="127"/>
    </row>
    <row r="224" spans="2:3">
      <c r="B224" s="127"/>
      <c r="C224" s="127"/>
    </row>
    <row r="225" spans="2:3">
      <c r="B225" s="127"/>
      <c r="C225" s="127"/>
    </row>
    <row r="226" spans="2:3">
      <c r="B226" s="127"/>
      <c r="C226" s="127"/>
    </row>
    <row r="227" spans="2:3">
      <c r="B227" s="127"/>
      <c r="C227" s="127"/>
    </row>
    <row r="228" spans="2:3">
      <c r="B228" s="127"/>
      <c r="C228" s="127"/>
    </row>
    <row r="229" spans="2:3">
      <c r="B229" s="127"/>
      <c r="C229" s="127"/>
    </row>
    <row r="230" spans="2:3">
      <c r="B230" s="127"/>
      <c r="C230" s="127"/>
    </row>
    <row r="231" spans="2:3">
      <c r="B231" s="127"/>
      <c r="C231" s="127"/>
    </row>
    <row r="232" spans="2:3">
      <c r="B232" s="127"/>
      <c r="C232" s="127"/>
    </row>
    <row r="233" spans="2:3">
      <c r="B233" s="127"/>
      <c r="C233" s="127"/>
    </row>
    <row r="234" spans="2:3">
      <c r="B234" s="127"/>
      <c r="C234" s="127"/>
    </row>
    <row r="235" spans="2:3">
      <c r="B235" s="127"/>
      <c r="C235" s="127"/>
    </row>
    <row r="236" spans="2:3">
      <c r="B236" s="127"/>
      <c r="C236" s="127"/>
    </row>
    <row r="237" spans="2:3">
      <c r="B237" s="127"/>
      <c r="C237" s="127"/>
    </row>
    <row r="238" spans="2:3">
      <c r="B238" s="127"/>
      <c r="C238" s="127"/>
    </row>
    <row r="239" spans="2:3">
      <c r="B239" s="127"/>
      <c r="C239" s="127"/>
    </row>
    <row r="240" spans="2:3">
      <c r="B240" s="127"/>
      <c r="C240" s="127"/>
    </row>
    <row r="241" spans="2:3">
      <c r="B241" s="127"/>
      <c r="C241" s="127"/>
    </row>
    <row r="242" spans="2:3">
      <c r="B242" s="127"/>
      <c r="C242" s="127"/>
    </row>
    <row r="243" spans="2:3">
      <c r="B243" s="127"/>
      <c r="C243" s="127"/>
    </row>
    <row r="244" spans="2:3">
      <c r="B244" s="127"/>
      <c r="C244" s="127"/>
    </row>
    <row r="245" spans="2:3">
      <c r="B245" s="127"/>
      <c r="C245" s="127"/>
    </row>
    <row r="246" spans="2:3">
      <c r="B246" s="127"/>
      <c r="C246" s="127"/>
    </row>
    <row r="247" spans="2:3">
      <c r="B247" s="127"/>
      <c r="C247" s="127"/>
    </row>
    <row r="248" spans="2:3">
      <c r="B248" s="127"/>
      <c r="C248" s="127"/>
    </row>
    <row r="249" spans="2:3">
      <c r="B249" s="127"/>
      <c r="C249" s="127"/>
    </row>
    <row r="250" spans="2:3">
      <c r="B250" s="127"/>
      <c r="C250" s="127"/>
    </row>
    <row r="251" spans="2:3">
      <c r="B251" s="127"/>
      <c r="C251" s="127"/>
    </row>
    <row r="252" spans="2:3">
      <c r="B252" s="127"/>
      <c r="C252" s="127"/>
    </row>
    <row r="253" spans="2:3">
      <c r="B253" s="127"/>
      <c r="C253" s="127"/>
    </row>
    <row r="254" spans="2:3">
      <c r="B254" s="127"/>
      <c r="C254" s="127"/>
    </row>
    <row r="255" spans="2:3">
      <c r="B255" s="127"/>
      <c r="C255" s="127"/>
    </row>
    <row r="256" spans="2:3">
      <c r="B256" s="127"/>
      <c r="C256" s="127"/>
    </row>
    <row r="257" spans="2:3">
      <c r="B257" s="127"/>
      <c r="C257" s="127"/>
    </row>
    <row r="258" spans="2:3">
      <c r="B258" s="127"/>
      <c r="C258" s="127"/>
    </row>
    <row r="259" spans="2:3">
      <c r="B259" s="127"/>
      <c r="C259" s="127"/>
    </row>
    <row r="260" spans="2:3">
      <c r="B260" s="127"/>
      <c r="C260" s="127"/>
    </row>
    <row r="261" spans="2:3">
      <c r="B261" s="127"/>
      <c r="C261" s="127"/>
    </row>
    <row r="262" spans="2:3">
      <c r="B262" s="127"/>
      <c r="C262" s="127"/>
    </row>
    <row r="263" spans="2:3">
      <c r="B263" s="127"/>
      <c r="C263" s="127"/>
    </row>
    <row r="264" spans="2:3">
      <c r="B264" s="127"/>
      <c r="C264" s="127"/>
    </row>
    <row r="265" spans="2:3">
      <c r="B265" s="127"/>
      <c r="C265" s="127"/>
    </row>
    <row r="266" spans="2:3">
      <c r="B266" s="127"/>
      <c r="C266" s="127"/>
    </row>
    <row r="267" spans="2:3">
      <c r="B267" s="127"/>
      <c r="C267" s="127"/>
    </row>
    <row r="268" spans="2:3">
      <c r="B268" s="127"/>
      <c r="C268" s="127"/>
    </row>
    <row r="269" spans="2:3">
      <c r="B269" s="127"/>
      <c r="C269" s="127"/>
    </row>
    <row r="270" spans="2:3">
      <c r="B270" s="127"/>
      <c r="C270" s="127"/>
    </row>
    <row r="271" spans="2:3">
      <c r="B271" s="127"/>
      <c r="C271" s="127"/>
    </row>
    <row r="272" spans="2:3">
      <c r="B272" s="127"/>
      <c r="C272" s="127"/>
    </row>
    <row r="273" spans="2:3">
      <c r="B273" s="127"/>
      <c r="C273" s="127"/>
    </row>
    <row r="274" spans="2:3">
      <c r="B274" s="127"/>
      <c r="C274" s="127"/>
    </row>
    <row r="275" spans="2:3">
      <c r="B275" s="127"/>
      <c r="C275" s="127"/>
    </row>
    <row r="276" spans="2:3">
      <c r="B276" s="127"/>
      <c r="C276" s="127"/>
    </row>
    <row r="277" spans="2:3">
      <c r="B277" s="127"/>
      <c r="C277" s="127"/>
    </row>
    <row r="278" spans="2:3">
      <c r="B278" s="127"/>
      <c r="C278" s="127"/>
    </row>
    <row r="279" spans="2:3">
      <c r="B279" s="127"/>
      <c r="C279" s="127"/>
    </row>
    <row r="280" spans="2:3">
      <c r="B280" s="127"/>
      <c r="C280" s="127"/>
    </row>
    <row r="281" spans="2:3">
      <c r="B281" s="127"/>
      <c r="C281" s="127"/>
    </row>
    <row r="282" spans="2:3">
      <c r="B282" s="127"/>
      <c r="C282" s="127"/>
    </row>
    <row r="283" spans="2:3">
      <c r="B283" s="127"/>
      <c r="C283" s="127"/>
    </row>
    <row r="284" spans="2:3">
      <c r="B284" s="127"/>
      <c r="C284" s="127"/>
    </row>
    <row r="285" spans="2:3">
      <c r="B285" s="127"/>
      <c r="C285" s="127"/>
    </row>
    <row r="286" spans="2:3">
      <c r="B286" s="127"/>
      <c r="C286" s="127"/>
    </row>
    <row r="287" spans="2:3">
      <c r="B287" s="127"/>
      <c r="C287" s="127"/>
    </row>
    <row r="288" spans="2:3">
      <c r="B288" s="127"/>
      <c r="C288" s="127"/>
    </row>
    <row r="289" spans="2:3">
      <c r="B289" s="127"/>
      <c r="C289" s="127"/>
    </row>
    <row r="290" spans="2:3">
      <c r="B290" s="127"/>
      <c r="C290" s="127"/>
    </row>
    <row r="291" spans="2:3">
      <c r="B291" s="127"/>
      <c r="C291" s="127"/>
    </row>
    <row r="292" spans="2:3">
      <c r="B292" s="127"/>
      <c r="C292" s="127"/>
    </row>
    <row r="293" spans="2:3">
      <c r="B293" s="127"/>
      <c r="C293" s="127"/>
    </row>
    <row r="294" spans="2:3">
      <c r="B294" s="127"/>
      <c r="C294" s="127"/>
    </row>
    <row r="295" spans="2:3">
      <c r="B295" s="127"/>
      <c r="C295" s="127"/>
    </row>
    <row r="296" spans="2:3">
      <c r="B296" s="127"/>
      <c r="C296" s="127"/>
    </row>
    <row r="297" spans="2:3">
      <c r="B297" s="127"/>
      <c r="C297" s="127"/>
    </row>
    <row r="298" spans="2:3">
      <c r="B298" s="127"/>
      <c r="C298" s="127"/>
    </row>
    <row r="299" spans="2:3">
      <c r="B299" s="127"/>
      <c r="C299" s="127"/>
    </row>
    <row r="300" spans="2:3">
      <c r="B300" s="127"/>
      <c r="C300" s="127"/>
    </row>
    <row r="301" spans="2:3">
      <c r="B301" s="127"/>
      <c r="C301" s="127"/>
    </row>
    <row r="302" spans="2:3">
      <c r="B302" s="127"/>
      <c r="C302" s="127"/>
    </row>
    <row r="303" spans="2:3">
      <c r="B303" s="127"/>
      <c r="C303" s="127"/>
    </row>
    <row r="304" spans="2:3">
      <c r="B304" s="127"/>
      <c r="C304" s="127"/>
    </row>
    <row r="305" spans="2:3">
      <c r="B305" s="127"/>
      <c r="C305" s="127"/>
    </row>
    <row r="306" spans="2:3">
      <c r="B306" s="127"/>
      <c r="C306" s="127"/>
    </row>
    <row r="307" spans="2:3">
      <c r="B307" s="127"/>
      <c r="C307" s="127"/>
    </row>
    <row r="308" spans="2:3">
      <c r="B308" s="127"/>
      <c r="C308" s="127"/>
    </row>
    <row r="309" spans="2:3">
      <c r="B309" s="127"/>
      <c r="C309" s="127"/>
    </row>
    <row r="310" spans="2:3">
      <c r="B310" s="127"/>
      <c r="C310" s="127"/>
    </row>
    <row r="311" spans="2:3">
      <c r="B311" s="127"/>
      <c r="C311" s="127"/>
    </row>
    <row r="312" spans="2:3">
      <c r="B312" s="127"/>
      <c r="C312" s="127"/>
    </row>
    <row r="313" spans="2:3">
      <c r="B313" s="127"/>
      <c r="C313" s="127"/>
    </row>
    <row r="314" spans="2:3">
      <c r="B314" s="127"/>
      <c r="C314" s="127"/>
    </row>
    <row r="315" spans="2:3">
      <c r="B315" s="127"/>
      <c r="C315" s="127"/>
    </row>
    <row r="316" spans="2:3">
      <c r="B316" s="127"/>
      <c r="C316" s="127"/>
    </row>
    <row r="317" spans="2:3">
      <c r="B317" s="127"/>
      <c r="C317" s="127"/>
    </row>
    <row r="318" spans="2:3">
      <c r="B318" s="127"/>
      <c r="C318" s="127"/>
    </row>
    <row r="319" spans="2:3">
      <c r="B319" s="127"/>
      <c r="C319" s="127"/>
    </row>
    <row r="320" spans="2:3">
      <c r="B320" s="127"/>
      <c r="C320" s="127"/>
    </row>
    <row r="321" spans="2:3">
      <c r="B321" s="127"/>
      <c r="C321" s="127"/>
    </row>
    <row r="322" spans="2:3">
      <c r="B322" s="127"/>
      <c r="C322" s="127"/>
    </row>
    <row r="323" spans="2:3">
      <c r="B323" s="127"/>
      <c r="C323" s="127"/>
    </row>
    <row r="324" spans="2:3">
      <c r="B324" s="127"/>
      <c r="C324" s="127"/>
    </row>
    <row r="325" spans="2:3">
      <c r="B325" s="127"/>
      <c r="C325" s="127"/>
    </row>
    <row r="326" spans="2:3">
      <c r="B326" s="127"/>
      <c r="C326" s="127"/>
    </row>
    <row r="327" spans="2:3">
      <c r="B327" s="127"/>
      <c r="C327" s="127"/>
    </row>
    <row r="328" spans="2:3">
      <c r="B328" s="127"/>
      <c r="C328" s="127"/>
    </row>
    <row r="329" spans="2:3">
      <c r="B329" s="127"/>
      <c r="C329" s="127"/>
    </row>
    <row r="330" spans="2:3">
      <c r="B330" s="127"/>
      <c r="C330" s="127"/>
    </row>
    <row r="331" spans="2:3">
      <c r="B331" s="127"/>
      <c r="C331" s="127"/>
    </row>
    <row r="332" spans="2:3">
      <c r="B332" s="127"/>
      <c r="C332" s="127"/>
    </row>
    <row r="333" spans="2:3">
      <c r="B333" s="127"/>
      <c r="C333" s="127"/>
    </row>
    <row r="334" spans="2:3">
      <c r="B334" s="127"/>
      <c r="C334" s="127"/>
    </row>
    <row r="335" spans="2:3">
      <c r="B335" s="127"/>
      <c r="C335" s="127"/>
    </row>
    <row r="336" spans="2:3">
      <c r="B336" s="127"/>
      <c r="C336" s="127"/>
    </row>
    <row r="337" spans="2:3">
      <c r="B337" s="127"/>
      <c r="C337" s="127"/>
    </row>
    <row r="338" spans="2:3">
      <c r="B338" s="127"/>
      <c r="C338" s="127"/>
    </row>
    <row r="339" spans="2:3">
      <c r="B339" s="127"/>
      <c r="C339" s="127"/>
    </row>
    <row r="340" spans="2:3">
      <c r="B340" s="127"/>
      <c r="C340" s="127"/>
    </row>
    <row r="341" spans="2:3">
      <c r="B341" s="127"/>
      <c r="C341" s="127"/>
    </row>
    <row r="342" spans="2:3">
      <c r="B342" s="127"/>
      <c r="C342" s="127"/>
    </row>
    <row r="343" spans="2:3">
      <c r="B343" s="127"/>
      <c r="C343" s="127"/>
    </row>
    <row r="344" spans="2:3">
      <c r="B344" s="127"/>
      <c r="C344" s="127"/>
    </row>
    <row r="345" spans="2:3">
      <c r="B345" s="127"/>
      <c r="C345" s="127"/>
    </row>
    <row r="346" spans="2:3">
      <c r="B346" s="127"/>
      <c r="C346" s="127"/>
    </row>
    <row r="347" spans="2:3">
      <c r="B347" s="127"/>
      <c r="C347" s="127"/>
    </row>
    <row r="348" spans="2:3">
      <c r="B348" s="127"/>
      <c r="C348" s="127"/>
    </row>
    <row r="349" spans="2:3">
      <c r="B349" s="127"/>
      <c r="C349" s="127"/>
    </row>
    <row r="350" spans="2:3">
      <c r="B350" s="127"/>
      <c r="C350" s="127"/>
    </row>
    <row r="351" spans="2:3">
      <c r="B351" s="127"/>
      <c r="C351" s="127"/>
    </row>
    <row r="352" spans="2:3">
      <c r="B352" s="127"/>
      <c r="C352" s="127"/>
    </row>
    <row r="353" spans="2:3">
      <c r="B353" s="127"/>
      <c r="C353" s="127"/>
    </row>
    <row r="354" spans="2:3">
      <c r="B354" s="127"/>
      <c r="C354" s="127"/>
    </row>
    <row r="355" spans="2:3">
      <c r="B355" s="127"/>
      <c r="C355" s="127"/>
    </row>
    <row r="356" spans="2:3">
      <c r="B356" s="127"/>
      <c r="C356" s="127"/>
    </row>
    <row r="357" spans="2:3">
      <c r="B357" s="127"/>
      <c r="C357" s="127"/>
    </row>
    <row r="358" spans="2:3">
      <c r="B358" s="127"/>
      <c r="C358" s="127"/>
    </row>
    <row r="359" spans="2:3">
      <c r="B359" s="127"/>
      <c r="C359" s="127"/>
    </row>
    <row r="360" spans="2:3">
      <c r="B360" s="127"/>
      <c r="C360" s="127"/>
    </row>
    <row r="361" spans="2:3">
      <c r="B361" s="127"/>
      <c r="C361" s="127"/>
    </row>
    <row r="362" spans="2:3">
      <c r="B362" s="127"/>
      <c r="C362" s="127"/>
    </row>
    <row r="363" spans="2:3">
      <c r="B363" s="127"/>
      <c r="C363" s="127"/>
    </row>
    <row r="364" spans="2:3">
      <c r="B364" s="127"/>
      <c r="C364" s="127"/>
    </row>
    <row r="365" spans="2:3">
      <c r="B365" s="127"/>
      <c r="C365" s="127"/>
    </row>
    <row r="366" spans="2:3">
      <c r="B366" s="127"/>
      <c r="C366" s="127"/>
    </row>
    <row r="367" spans="2:3">
      <c r="B367" s="127"/>
      <c r="C367" s="127"/>
    </row>
    <row r="368" spans="2:3">
      <c r="B368" s="127"/>
      <c r="C368" s="127"/>
    </row>
    <row r="369" spans="2:3">
      <c r="B369" s="127"/>
      <c r="C369" s="127"/>
    </row>
    <row r="370" spans="2:3">
      <c r="B370" s="127"/>
      <c r="C370" s="127"/>
    </row>
    <row r="371" spans="2:3">
      <c r="B371" s="127"/>
      <c r="C371" s="127"/>
    </row>
    <row r="372" spans="2:3">
      <c r="B372" s="127"/>
      <c r="C372" s="127"/>
    </row>
    <row r="373" spans="2:3">
      <c r="B373" s="127"/>
      <c r="C373" s="127"/>
    </row>
    <row r="374" spans="2:3">
      <c r="B374" s="127"/>
      <c r="C374" s="127"/>
    </row>
    <row r="375" spans="2:3">
      <c r="B375" s="127"/>
      <c r="C375" s="127"/>
    </row>
    <row r="376" spans="2:3">
      <c r="B376" s="127"/>
      <c r="C376" s="127"/>
    </row>
    <row r="377" spans="2:3">
      <c r="B377" s="127"/>
      <c r="C377" s="127"/>
    </row>
    <row r="378" spans="2:3">
      <c r="B378" s="127"/>
      <c r="C378" s="127"/>
    </row>
    <row r="379" spans="2:3">
      <c r="B379" s="127"/>
      <c r="C379" s="127"/>
    </row>
    <row r="380" spans="2:3">
      <c r="B380" s="127"/>
      <c r="C380" s="127"/>
    </row>
    <row r="381" spans="2:3">
      <c r="B381" s="127"/>
      <c r="C381" s="127"/>
    </row>
    <row r="382" spans="2:3">
      <c r="B382" s="127"/>
      <c r="C382" s="127"/>
    </row>
    <row r="383" spans="2:3">
      <c r="B383" s="127"/>
      <c r="C383" s="127"/>
    </row>
    <row r="384" spans="2:3">
      <c r="B384" s="127"/>
      <c r="C384" s="127"/>
    </row>
    <row r="385" spans="2:3">
      <c r="B385" s="127"/>
      <c r="C385" s="127"/>
    </row>
    <row r="386" spans="2:3">
      <c r="B386" s="127"/>
      <c r="C386" s="127"/>
    </row>
    <row r="387" spans="2:3">
      <c r="B387" s="127"/>
      <c r="C387" s="127"/>
    </row>
    <row r="388" spans="2:3">
      <c r="B388" s="127"/>
      <c r="C388" s="127"/>
    </row>
    <row r="389" spans="2:3">
      <c r="B389" s="127"/>
      <c r="C389" s="127"/>
    </row>
    <row r="390" spans="2:3">
      <c r="B390" s="127"/>
      <c r="C390" s="127"/>
    </row>
    <row r="391" spans="2:3">
      <c r="B391" s="127"/>
      <c r="C391" s="127"/>
    </row>
    <row r="392" spans="2:3">
      <c r="B392" s="127"/>
      <c r="C392" s="127"/>
    </row>
    <row r="393" spans="2:3">
      <c r="B393" s="127"/>
      <c r="C393" s="127"/>
    </row>
    <row r="394" spans="2:3">
      <c r="B394" s="127"/>
      <c r="C394" s="127"/>
    </row>
    <row r="395" spans="2:3">
      <c r="B395" s="127"/>
      <c r="C395" s="127"/>
    </row>
    <row r="396" spans="2:3">
      <c r="B396" s="127"/>
      <c r="C396" s="127"/>
    </row>
    <row r="397" spans="2:3">
      <c r="B397" s="127"/>
      <c r="C397" s="127"/>
    </row>
    <row r="398" spans="2:3">
      <c r="B398" s="127"/>
      <c r="C398" s="127"/>
    </row>
    <row r="399" spans="2:3">
      <c r="B399" s="127"/>
      <c r="C399" s="127"/>
    </row>
    <row r="400" spans="2:3">
      <c r="B400" s="127"/>
      <c r="C400" s="127"/>
    </row>
    <row r="401" spans="2:3">
      <c r="B401" s="127"/>
      <c r="C401" s="127"/>
    </row>
    <row r="402" spans="2:3">
      <c r="B402" s="127"/>
      <c r="C402" s="127"/>
    </row>
    <row r="403" spans="2:3">
      <c r="B403" s="127"/>
      <c r="C403" s="127"/>
    </row>
    <row r="404" spans="2:3">
      <c r="B404" s="127"/>
      <c r="C404" s="127"/>
    </row>
    <row r="405" spans="2:3">
      <c r="B405" s="127"/>
      <c r="C405" s="127"/>
    </row>
    <row r="406" spans="2:3">
      <c r="B406" s="127"/>
      <c r="C406" s="127"/>
    </row>
    <row r="407" spans="2:3">
      <c r="B407" s="127"/>
      <c r="C407" s="127"/>
    </row>
    <row r="408" spans="2:3">
      <c r="B408" s="127"/>
      <c r="C408" s="127"/>
    </row>
    <row r="409" spans="2:3">
      <c r="B409" s="127"/>
      <c r="C409" s="127"/>
    </row>
    <row r="410" spans="2:3">
      <c r="B410" s="127"/>
      <c r="C410" s="127"/>
    </row>
    <row r="411" spans="2:3">
      <c r="B411" s="127"/>
      <c r="C411" s="127"/>
    </row>
    <row r="412" spans="2:3">
      <c r="B412" s="127"/>
      <c r="C412" s="127"/>
    </row>
    <row r="413" spans="2:3">
      <c r="B413" s="127"/>
      <c r="C413" s="127"/>
    </row>
    <row r="414" spans="2:3">
      <c r="B414" s="127"/>
      <c r="C414" s="127"/>
    </row>
    <row r="415" spans="2:3">
      <c r="B415" s="127"/>
      <c r="C415" s="127"/>
    </row>
    <row r="416" spans="2:3">
      <c r="B416" s="127"/>
      <c r="C416" s="127"/>
    </row>
    <row r="417" spans="2:3">
      <c r="B417" s="127"/>
      <c r="C417" s="127"/>
    </row>
    <row r="418" spans="2:3">
      <c r="B418" s="127"/>
      <c r="C418" s="127"/>
    </row>
    <row r="419" spans="2:3">
      <c r="B419" s="127"/>
      <c r="C419" s="127"/>
    </row>
    <row r="420" spans="2:3">
      <c r="B420" s="127"/>
      <c r="C420" s="127"/>
    </row>
    <row r="421" spans="2:3">
      <c r="B421" s="127"/>
      <c r="C421" s="127"/>
    </row>
    <row r="422" spans="2:3">
      <c r="B422" s="127"/>
      <c r="C422" s="127"/>
    </row>
    <row r="423" spans="2:3">
      <c r="B423" s="127"/>
      <c r="C423" s="127"/>
    </row>
    <row r="424" spans="2:3">
      <c r="B424" s="127"/>
      <c r="C424" s="127"/>
    </row>
    <row r="425" spans="2:3">
      <c r="B425" s="127"/>
      <c r="C425" s="127"/>
    </row>
    <row r="426" spans="2:3">
      <c r="B426" s="127"/>
      <c r="C426" s="127"/>
    </row>
    <row r="427" spans="2:3">
      <c r="B427" s="127"/>
      <c r="C427" s="127"/>
    </row>
    <row r="428" spans="2:3">
      <c r="B428" s="127"/>
      <c r="C428" s="127"/>
    </row>
    <row r="429" spans="2:3">
      <c r="B429" s="127"/>
      <c r="C429" s="127"/>
    </row>
    <row r="430" spans="2:3">
      <c r="B430" s="127"/>
      <c r="C430" s="127"/>
    </row>
    <row r="431" spans="2:3">
      <c r="B431" s="127"/>
      <c r="C431" s="127"/>
    </row>
    <row r="432" spans="2:3">
      <c r="B432" s="127"/>
      <c r="C432" s="127"/>
    </row>
    <row r="433" spans="2:3">
      <c r="B433" s="127"/>
      <c r="C433" s="127"/>
    </row>
    <row r="434" spans="2:3">
      <c r="B434" s="127"/>
      <c r="C434" s="127"/>
    </row>
    <row r="435" spans="2:3">
      <c r="B435" s="127"/>
      <c r="C435" s="127"/>
    </row>
    <row r="436" spans="2:3">
      <c r="B436" s="127"/>
      <c r="C436" s="127"/>
    </row>
    <row r="437" spans="2:3">
      <c r="B437" s="127"/>
      <c r="C437" s="127"/>
    </row>
    <row r="438" spans="2:3">
      <c r="B438" s="127"/>
      <c r="C438" s="127"/>
    </row>
    <row r="439" spans="2:3">
      <c r="B439" s="127"/>
      <c r="C439" s="127"/>
    </row>
    <row r="440" spans="2:3">
      <c r="B440" s="127"/>
      <c r="C440" s="127"/>
    </row>
    <row r="441" spans="2:3">
      <c r="B441" s="127"/>
      <c r="C441" s="127"/>
    </row>
    <row r="442" spans="2:3">
      <c r="B442" s="127"/>
      <c r="C442" s="127"/>
    </row>
    <row r="443" spans="2:3">
      <c r="B443" s="127"/>
      <c r="C443" s="127"/>
    </row>
    <row r="444" spans="2:3">
      <c r="B444" s="127"/>
      <c r="C444" s="127"/>
    </row>
    <row r="445" spans="2:3">
      <c r="B445" s="127"/>
      <c r="C445" s="127"/>
    </row>
    <row r="446" spans="2:3">
      <c r="B446" s="127"/>
      <c r="C446" s="127"/>
    </row>
    <row r="447" spans="2:3">
      <c r="B447" s="127"/>
      <c r="C447" s="127"/>
    </row>
    <row r="448" spans="2:3">
      <c r="B448" s="127"/>
      <c r="C448" s="127"/>
    </row>
    <row r="449" spans="2:3">
      <c r="B449" s="127"/>
      <c r="C449" s="127"/>
    </row>
    <row r="450" spans="2:3">
      <c r="B450" s="127"/>
      <c r="C450" s="127"/>
    </row>
    <row r="451" spans="2:3">
      <c r="B451" s="127"/>
      <c r="C451" s="127"/>
    </row>
    <row r="452" spans="2:3">
      <c r="B452" s="127"/>
      <c r="C452" s="127"/>
    </row>
    <row r="453" spans="2:3">
      <c r="B453" s="127"/>
      <c r="C453" s="127"/>
    </row>
    <row r="454" spans="2:3">
      <c r="B454" s="127"/>
      <c r="C454" s="127"/>
    </row>
    <row r="455" spans="2:3">
      <c r="B455" s="127"/>
      <c r="C455" s="127"/>
    </row>
    <row r="456" spans="2:3">
      <c r="B456" s="127"/>
      <c r="C456" s="127"/>
    </row>
    <row r="457" spans="2:3">
      <c r="B457" s="127"/>
      <c r="C457" s="127"/>
    </row>
    <row r="458" spans="2:3">
      <c r="B458" s="127"/>
      <c r="C458" s="127"/>
    </row>
    <row r="459" spans="2:3">
      <c r="B459" s="127"/>
      <c r="C459" s="127"/>
    </row>
    <row r="460" spans="2:3">
      <c r="B460" s="127"/>
      <c r="C460" s="127"/>
    </row>
    <row r="461" spans="2:3">
      <c r="B461" s="127"/>
      <c r="C461" s="127"/>
    </row>
    <row r="462" spans="2:3">
      <c r="B462" s="127"/>
      <c r="C462" s="127"/>
    </row>
    <row r="463" spans="2:3">
      <c r="B463" s="127"/>
      <c r="C463" s="127"/>
    </row>
    <row r="464" spans="2:3">
      <c r="B464" s="127"/>
      <c r="C464" s="127"/>
    </row>
    <row r="465" spans="2:3">
      <c r="B465" s="127"/>
      <c r="C465" s="127"/>
    </row>
    <row r="466" spans="2:3">
      <c r="B466" s="127"/>
      <c r="C466" s="127"/>
    </row>
    <row r="467" spans="2:3">
      <c r="B467" s="127"/>
      <c r="C467" s="127"/>
    </row>
    <row r="468" spans="2:3">
      <c r="B468" s="127"/>
      <c r="C468" s="127"/>
    </row>
    <row r="469" spans="2:3">
      <c r="B469" s="127"/>
      <c r="C469" s="127"/>
    </row>
    <row r="470" spans="2:3">
      <c r="B470" s="127"/>
      <c r="C470" s="127"/>
    </row>
    <row r="471" spans="2:3">
      <c r="B471" s="127"/>
      <c r="C471" s="127"/>
    </row>
    <row r="472" spans="2:3">
      <c r="B472" s="127"/>
      <c r="C472" s="127"/>
    </row>
    <row r="473" spans="2:3">
      <c r="B473" s="127"/>
      <c r="C473" s="127"/>
    </row>
    <row r="474" spans="2:3">
      <c r="B474" s="127"/>
      <c r="C474" s="127"/>
    </row>
    <row r="475" spans="2:3">
      <c r="B475" s="127"/>
      <c r="C475" s="127"/>
    </row>
    <row r="476" spans="2:3">
      <c r="B476" s="127"/>
      <c r="C476" s="127"/>
    </row>
    <row r="477" spans="2:3">
      <c r="B477" s="127"/>
      <c r="C477" s="127"/>
    </row>
    <row r="478" spans="2:3">
      <c r="B478" s="127"/>
      <c r="C478" s="127"/>
    </row>
    <row r="479" spans="2:3">
      <c r="B479" s="127"/>
      <c r="C479" s="127"/>
    </row>
    <row r="480" spans="2:3">
      <c r="B480" s="127"/>
      <c r="C480" s="127"/>
    </row>
    <row r="481" spans="2:3">
      <c r="B481" s="127"/>
      <c r="C481" s="127"/>
    </row>
    <row r="482" spans="2:3">
      <c r="B482" s="127"/>
      <c r="C482" s="127"/>
    </row>
    <row r="483" spans="2:3">
      <c r="B483" s="127"/>
      <c r="C483" s="127"/>
    </row>
    <row r="484" spans="2:3">
      <c r="B484" s="127"/>
      <c r="C484" s="127"/>
    </row>
    <row r="485" spans="2:3">
      <c r="B485" s="127"/>
      <c r="C485" s="127"/>
    </row>
    <row r="486" spans="2:3">
      <c r="B486" s="127"/>
      <c r="C486" s="127"/>
    </row>
    <row r="487" spans="2:3">
      <c r="B487" s="127"/>
      <c r="C487" s="127"/>
    </row>
    <row r="488" spans="2:3">
      <c r="B488" s="127"/>
      <c r="C488" s="127"/>
    </row>
    <row r="489" spans="2:3">
      <c r="B489" s="127"/>
      <c r="C489" s="127"/>
    </row>
    <row r="490" spans="2:3">
      <c r="B490" s="127"/>
      <c r="C490" s="127"/>
    </row>
    <row r="491" spans="2:3">
      <c r="B491" s="127"/>
      <c r="C491" s="127"/>
    </row>
    <row r="492" spans="2:3">
      <c r="B492" s="127"/>
      <c r="C492" s="127"/>
    </row>
    <row r="493" spans="2:3">
      <c r="B493" s="127"/>
      <c r="C493" s="127"/>
    </row>
    <row r="494" spans="2:3">
      <c r="B494" s="127"/>
      <c r="C494" s="127"/>
    </row>
    <row r="495" spans="2:3">
      <c r="B495" s="127"/>
      <c r="C495" s="127"/>
    </row>
    <row r="496" spans="2:3">
      <c r="B496" s="127"/>
      <c r="C496" s="127"/>
    </row>
    <row r="497" spans="2:3">
      <c r="B497" s="127"/>
      <c r="C497" s="127"/>
    </row>
    <row r="498" spans="2:3">
      <c r="B498" s="127"/>
      <c r="C498" s="127"/>
    </row>
    <row r="499" spans="2:3">
      <c r="B499" s="127"/>
      <c r="C499" s="127"/>
    </row>
    <row r="500" spans="2:3">
      <c r="B500" s="127"/>
      <c r="C500" s="127"/>
    </row>
    <row r="501" spans="2:3">
      <c r="B501" s="127"/>
      <c r="C501" s="127"/>
    </row>
    <row r="502" spans="2:3">
      <c r="B502" s="127"/>
      <c r="C502" s="127"/>
    </row>
    <row r="503" spans="2:3">
      <c r="B503" s="127"/>
      <c r="C503" s="127"/>
    </row>
    <row r="504" spans="2:3">
      <c r="B504" s="127"/>
      <c r="C504" s="127"/>
    </row>
    <row r="505" spans="2:3">
      <c r="B505" s="127"/>
      <c r="C505" s="127"/>
    </row>
    <row r="506" spans="2:3">
      <c r="B506" s="127"/>
      <c r="C506" s="127"/>
    </row>
    <row r="507" spans="2:3">
      <c r="B507" s="127"/>
      <c r="C507" s="127"/>
    </row>
    <row r="508" spans="2:3">
      <c r="B508" s="127"/>
      <c r="C508" s="127"/>
    </row>
    <row r="509" spans="2:3">
      <c r="B509" s="127"/>
      <c r="C509" s="127"/>
    </row>
    <row r="510" spans="2:3">
      <c r="B510" s="127"/>
      <c r="C510" s="127"/>
    </row>
    <row r="511" spans="2:3">
      <c r="B511" s="127"/>
      <c r="C511" s="127"/>
    </row>
    <row r="512" spans="2:3">
      <c r="B512" s="127"/>
      <c r="C512" s="127"/>
    </row>
    <row r="513" spans="2:3">
      <c r="B513" s="127"/>
      <c r="C513" s="127"/>
    </row>
    <row r="514" spans="2:3">
      <c r="B514" s="127"/>
      <c r="C514" s="127"/>
    </row>
    <row r="515" spans="2:3">
      <c r="B515" s="127"/>
      <c r="C515" s="127"/>
    </row>
    <row r="516" spans="2:3">
      <c r="B516" s="127"/>
      <c r="C516" s="127"/>
    </row>
    <row r="517" spans="2:3">
      <c r="B517" s="127"/>
      <c r="C517" s="127"/>
    </row>
    <row r="518" spans="2:3">
      <c r="B518" s="127"/>
      <c r="C518" s="127"/>
    </row>
    <row r="519" spans="2:3">
      <c r="B519" s="127"/>
      <c r="C519" s="127"/>
    </row>
    <row r="520" spans="2:3">
      <c r="B520" s="127"/>
      <c r="C520" s="127"/>
    </row>
    <row r="521" spans="2:3">
      <c r="B521" s="127"/>
      <c r="C521" s="127"/>
    </row>
  </sheetData>
  <mergeCells count="5">
    <mergeCell ref="B69:C69"/>
    <mergeCell ref="B71:C71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1" fitToHeight="2" orientation="portrait" r:id="rId1"/>
  <rowBreaks count="1" manualBreakCount="1">
    <brk id="6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D24"/>
  <sheetViews>
    <sheetView view="pageBreakPreview" zoomScale="80" zoomScaleNormal="80" zoomScaleSheetLayoutView="80" workbookViewId="0">
      <pane xSplit="1" ySplit="1" topLeftCell="O2" activePane="bottomRight" state="frozen"/>
      <selection activeCell="B23" activeCellId="1" sqref="D10 B23"/>
      <selection pane="topRight" activeCell="B23" activeCellId="1" sqref="D10 B23"/>
      <selection pane="bottomLeft" activeCell="B23" activeCellId="1" sqref="D10 B23"/>
      <selection pane="bottomRight" activeCell="H29" sqref="H29"/>
    </sheetView>
  </sheetViews>
  <sheetFormatPr defaultRowHeight="15.75"/>
  <cols>
    <col min="1" max="1" width="36.85546875" style="88" customWidth="1"/>
    <col min="2" max="2" width="12.5703125" style="88" customWidth="1"/>
    <col min="3" max="3" width="13.5703125" style="88" customWidth="1"/>
    <col min="4" max="5" width="10.7109375" style="88" customWidth="1"/>
    <col min="6" max="6" width="11.5703125" style="88" customWidth="1"/>
    <col min="7" max="7" width="13" style="88" customWidth="1"/>
    <col min="8" max="8" width="11.85546875" style="88" customWidth="1"/>
    <col min="9" max="12" width="12" style="88" bestFit="1" customWidth="1"/>
    <col min="13" max="13" width="13.85546875" style="102" bestFit="1" customWidth="1"/>
    <col min="14" max="14" width="14" style="103" bestFit="1" customWidth="1"/>
    <col min="15" max="15" width="13.85546875" style="103" customWidth="1"/>
    <col min="16" max="16" width="14" style="83" bestFit="1" customWidth="1"/>
    <col min="17" max="17" width="14.28515625" style="83" customWidth="1"/>
    <col min="18" max="18" width="12.85546875" style="84" customWidth="1"/>
    <col min="19" max="19" width="12" style="84" bestFit="1" customWidth="1"/>
    <col min="20" max="20" width="11.5703125" style="83" bestFit="1" customWidth="1"/>
    <col min="21" max="21" width="12.140625" style="83" customWidth="1"/>
    <col min="22" max="22" width="11.5703125" style="83" bestFit="1" customWidth="1"/>
    <col min="23" max="23" width="13.28515625" style="83" customWidth="1"/>
    <col min="24" max="24" width="11.5703125" style="83" bestFit="1" customWidth="1"/>
    <col min="25" max="25" width="13.28515625" style="83" customWidth="1"/>
    <col min="26" max="27" width="13.140625" style="83" bestFit="1" customWidth="1"/>
    <col min="28" max="28" width="16.85546875" style="83" customWidth="1"/>
    <col min="29" max="29" width="20.28515625" style="83" customWidth="1"/>
    <col min="30" max="30" width="16.85546875" style="83" customWidth="1"/>
    <col min="31" max="16384" width="9.140625" style="83"/>
  </cols>
  <sheetData>
    <row r="1" spans="1:30">
      <c r="A1" s="476" t="s">
        <v>481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82"/>
      <c r="O1" s="82"/>
    </row>
    <row r="2" spans="1:30" s="86" customFormat="1" ht="28.5" customHeight="1">
      <c r="A2" s="477" t="s">
        <v>265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85"/>
      <c r="O2" s="85"/>
      <c r="R2" s="87"/>
      <c r="S2" s="87"/>
    </row>
    <row r="3" spans="1:30" ht="26.25" customHeight="1" thickBot="1">
      <c r="M3" s="89" t="s">
        <v>225</v>
      </c>
      <c r="N3" s="90"/>
      <c r="O3" s="90"/>
    </row>
    <row r="4" spans="1:30" s="93" customFormat="1" ht="24.95" customHeight="1" thickBot="1">
      <c r="A4" s="91"/>
      <c r="B4" s="473" t="s">
        <v>67</v>
      </c>
      <c r="C4" s="474"/>
      <c r="D4" s="473" t="s">
        <v>68</v>
      </c>
      <c r="E4" s="474"/>
      <c r="F4" s="473" t="s">
        <v>69</v>
      </c>
      <c r="G4" s="474"/>
      <c r="H4" s="473" t="s">
        <v>70</v>
      </c>
      <c r="I4" s="474"/>
      <c r="J4" s="473" t="s">
        <v>71</v>
      </c>
      <c r="K4" s="474"/>
      <c r="L4" s="473" t="s">
        <v>72</v>
      </c>
      <c r="M4" s="474"/>
      <c r="N4" s="473" t="s">
        <v>73</v>
      </c>
      <c r="O4" s="474"/>
      <c r="P4" s="473" t="s">
        <v>74</v>
      </c>
      <c r="Q4" s="474"/>
      <c r="R4" s="473" t="s">
        <v>75</v>
      </c>
      <c r="S4" s="474"/>
      <c r="T4" s="473" t="s">
        <v>76</v>
      </c>
      <c r="U4" s="474"/>
      <c r="V4" s="473" t="s">
        <v>77</v>
      </c>
      <c r="W4" s="474"/>
      <c r="X4" s="473" t="s">
        <v>78</v>
      </c>
      <c r="Y4" s="475"/>
      <c r="Z4" s="472" t="s">
        <v>64</v>
      </c>
      <c r="AA4" s="472"/>
      <c r="AB4" s="92"/>
      <c r="AD4" s="94"/>
    </row>
    <row r="5" spans="1:30" s="93" customFormat="1" ht="45.75" customHeight="1">
      <c r="A5" s="91"/>
      <c r="B5" s="340" t="s">
        <v>297</v>
      </c>
      <c r="C5" s="340" t="s">
        <v>356</v>
      </c>
      <c r="D5" s="340" t="s">
        <v>297</v>
      </c>
      <c r="E5" s="340" t="s">
        <v>356</v>
      </c>
      <c r="F5" s="340" t="s">
        <v>297</v>
      </c>
      <c r="G5" s="340" t="s">
        <v>356</v>
      </c>
      <c r="H5" s="340" t="s">
        <v>297</v>
      </c>
      <c r="I5" s="340" t="s">
        <v>356</v>
      </c>
      <c r="J5" s="340" t="s">
        <v>297</v>
      </c>
      <c r="K5" s="340" t="s">
        <v>356</v>
      </c>
      <c r="L5" s="340" t="s">
        <v>297</v>
      </c>
      <c r="M5" s="340" t="s">
        <v>356</v>
      </c>
      <c r="N5" s="340" t="s">
        <v>297</v>
      </c>
      <c r="O5" s="340" t="s">
        <v>356</v>
      </c>
      <c r="P5" s="340" t="s">
        <v>297</v>
      </c>
      <c r="Q5" s="340" t="s">
        <v>356</v>
      </c>
      <c r="R5" s="340" t="s">
        <v>297</v>
      </c>
      <c r="S5" s="340" t="s">
        <v>356</v>
      </c>
      <c r="T5" s="340" t="s">
        <v>297</v>
      </c>
      <c r="U5" s="340" t="s">
        <v>356</v>
      </c>
      <c r="V5" s="340" t="s">
        <v>297</v>
      </c>
      <c r="W5" s="340" t="s">
        <v>356</v>
      </c>
      <c r="X5" s="340" t="s">
        <v>297</v>
      </c>
      <c r="Y5" s="340" t="s">
        <v>356</v>
      </c>
      <c r="Z5" s="341" t="s">
        <v>297</v>
      </c>
      <c r="AA5" s="341" t="s">
        <v>356</v>
      </c>
      <c r="AB5" s="92"/>
      <c r="AD5" s="94"/>
    </row>
    <row r="6" spans="1:30" ht="24.95" customHeight="1">
      <c r="A6" s="95" t="s">
        <v>90</v>
      </c>
      <c r="B6" s="277">
        <v>24300000</v>
      </c>
      <c r="C6" s="277">
        <f>27453224+2300000</f>
        <v>29753224</v>
      </c>
      <c r="D6" s="277">
        <v>24300000</v>
      </c>
      <c r="E6" s="277">
        <f>27453224+2300000</f>
        <v>29753224</v>
      </c>
      <c r="F6" s="277">
        <v>24300000</v>
      </c>
      <c r="G6" s="277">
        <f>27453224+2300000</f>
        <v>29753224</v>
      </c>
      <c r="H6" s="277">
        <v>24300000</v>
      </c>
      <c r="I6" s="277">
        <f>27453224+2300000</f>
        <v>29753224</v>
      </c>
      <c r="J6" s="277">
        <v>24300000</v>
      </c>
      <c r="K6" s="277">
        <f>27453224+2300000</f>
        <v>29753224</v>
      </c>
      <c r="L6" s="277">
        <v>24300000</v>
      </c>
      <c r="M6" s="277">
        <f>27453224+2300000</f>
        <v>29753224</v>
      </c>
      <c r="N6" s="277">
        <v>24300000</v>
      </c>
      <c r="O6" s="277">
        <f>27453224+2300000</f>
        <v>29753224</v>
      </c>
      <c r="P6" s="277">
        <v>24300000</v>
      </c>
      <c r="Q6" s="277">
        <f>27453224+2300000</f>
        <v>29753224</v>
      </c>
      <c r="R6" s="277">
        <v>24300000</v>
      </c>
      <c r="S6" s="277">
        <f>27453224+2300000</f>
        <v>29753224</v>
      </c>
      <c r="T6" s="277">
        <v>24300000</v>
      </c>
      <c r="U6" s="277">
        <f>27453224+2300000+750000</f>
        <v>30503224</v>
      </c>
      <c r="V6" s="277">
        <v>24300000</v>
      </c>
      <c r="W6" s="277">
        <f>27453224+2300000</f>
        <v>29753224</v>
      </c>
      <c r="X6" s="277">
        <v>25330808</v>
      </c>
      <c r="Y6" s="277">
        <f>27453224+5+2494215</f>
        <v>29947444</v>
      </c>
      <c r="Z6" s="278">
        <f>+X6+V6+T6+R6+P6+N6+L6+J6+H6+F6+D6+B6</f>
        <v>292630808</v>
      </c>
      <c r="AA6" s="278">
        <f>+Y6+W6+U6+S6+Q6+O6+M6+K6+I6+G6+E6+C6</f>
        <v>357982908</v>
      </c>
      <c r="AB6" s="96">
        <f>+'4a.sz.mell.'!G61</f>
        <v>357982908</v>
      </c>
      <c r="AC6" s="276">
        <f>+AB6-AA6</f>
        <v>0</v>
      </c>
      <c r="AD6" s="84"/>
    </row>
    <row r="7" spans="1:30" ht="24.95" customHeight="1">
      <c r="A7" s="95" t="s">
        <v>79</v>
      </c>
      <c r="B7" s="277">
        <v>120000</v>
      </c>
      <c r="C7" s="277">
        <v>120000</v>
      </c>
      <c r="D7" s="277">
        <v>320000</v>
      </c>
      <c r="E7" s="277">
        <v>320000</v>
      </c>
      <c r="F7" s="277">
        <v>4700000</v>
      </c>
      <c r="G7" s="277">
        <v>4700000</v>
      </c>
      <c r="H7" s="277">
        <v>1950000</v>
      </c>
      <c r="I7" s="277">
        <v>1950000</v>
      </c>
      <c r="J7" s="277">
        <v>19300000</v>
      </c>
      <c r="K7" s="277">
        <v>19300000</v>
      </c>
      <c r="L7" s="277">
        <v>1850000</v>
      </c>
      <c r="M7" s="277">
        <v>1850000</v>
      </c>
      <c r="N7" s="277">
        <v>850000</v>
      </c>
      <c r="O7" s="277">
        <v>850000</v>
      </c>
      <c r="P7" s="277">
        <v>1400000</v>
      </c>
      <c r="Q7" s="277">
        <v>1400000</v>
      </c>
      <c r="R7" s="277">
        <v>7500000</v>
      </c>
      <c r="S7" s="277">
        <v>7500000</v>
      </c>
      <c r="T7" s="277">
        <v>2200000</v>
      </c>
      <c r="U7" s="277">
        <v>2200000</v>
      </c>
      <c r="V7" s="277">
        <v>1900000</v>
      </c>
      <c r="W7" s="277">
        <v>1900000</v>
      </c>
      <c r="X7" s="277">
        <v>17180000</v>
      </c>
      <c r="Y7" s="277">
        <v>17180000</v>
      </c>
      <c r="Z7" s="278">
        <f>+X7+V7+T7+R7+P7+N7+L7+J7+H7+F7+D7+B7</f>
        <v>59270000</v>
      </c>
      <c r="AA7" s="278">
        <f t="shared" ref="AA7:AA24" si="0">+Y7+W7+U7+S7+Q7+O7+M7+K7+I7+G7+E7+C7</f>
        <v>59270000</v>
      </c>
      <c r="AB7" s="96">
        <f>+'4a.sz.mell.'!O61</f>
        <v>59270000</v>
      </c>
      <c r="AC7" s="97">
        <f>+AB7-AA7</f>
        <v>0</v>
      </c>
      <c r="AD7" s="84"/>
    </row>
    <row r="8" spans="1:30" ht="24.95" customHeight="1">
      <c r="A8" s="95" t="s">
        <v>80</v>
      </c>
      <c r="B8" s="277">
        <v>4350000</v>
      </c>
      <c r="C8" s="277">
        <f>5570012-850000</f>
        <v>4720012</v>
      </c>
      <c r="D8" s="277">
        <v>4350000</v>
      </c>
      <c r="E8" s="277">
        <f>5570012-850000</f>
        <v>4720012</v>
      </c>
      <c r="F8" s="277">
        <v>4350000</v>
      </c>
      <c r="G8" s="277">
        <f>5570012-850000</f>
        <v>4720012</v>
      </c>
      <c r="H8" s="277">
        <v>4350000</v>
      </c>
      <c r="I8" s="277">
        <f>5570012-850000</f>
        <v>4720012</v>
      </c>
      <c r="J8" s="277">
        <v>4350000</v>
      </c>
      <c r="K8" s="277">
        <f>5570012-850000</f>
        <v>4720012</v>
      </c>
      <c r="L8" s="277">
        <v>4350000</v>
      </c>
      <c r="M8" s="277">
        <f>5570012-850000</f>
        <v>4720012</v>
      </c>
      <c r="N8" s="277">
        <v>4350000</v>
      </c>
      <c r="O8" s="277">
        <f>5570012-850000</f>
        <v>4720012</v>
      </c>
      <c r="P8" s="277">
        <v>4350000</v>
      </c>
      <c r="Q8" s="277">
        <f>5570012-850000</f>
        <v>4720012</v>
      </c>
      <c r="R8" s="277">
        <v>4350000</v>
      </c>
      <c r="S8" s="277">
        <f>5570012-850000</f>
        <v>4720012</v>
      </c>
      <c r="T8" s="277">
        <v>4350000</v>
      </c>
      <c r="U8" s="277">
        <f>5570012-850000-10285</f>
        <v>4709727</v>
      </c>
      <c r="V8" s="277">
        <v>4350000</v>
      </c>
      <c r="W8" s="277">
        <f>5570012-850000</f>
        <v>4720012</v>
      </c>
      <c r="X8" s="277">
        <v>4359000</v>
      </c>
      <c r="Y8" s="277">
        <f>5570012+1-836836</f>
        <v>4733177</v>
      </c>
      <c r="Z8" s="278">
        <f>+X8+V8+T8+R8+P8+N8+L8+J8+H8+F8+D8+B8</f>
        <v>52209000</v>
      </c>
      <c r="AA8" s="278">
        <f t="shared" si="0"/>
        <v>56643024</v>
      </c>
      <c r="AB8" s="96">
        <f>+'4a.sz.mell.'!E61</f>
        <v>56643024</v>
      </c>
      <c r="AC8" s="97">
        <f t="shared" ref="AC8:AC12" si="1">+AB8-AA8</f>
        <v>0</v>
      </c>
      <c r="AD8" s="84"/>
    </row>
    <row r="9" spans="1:30" ht="24.95" customHeight="1">
      <c r="A9" s="95" t="s">
        <v>81</v>
      </c>
      <c r="B9" s="277">
        <v>0</v>
      </c>
      <c r="C9" s="277">
        <v>0</v>
      </c>
      <c r="D9" s="277">
        <v>0</v>
      </c>
      <c r="E9" s="277">
        <v>0</v>
      </c>
      <c r="F9" s="277">
        <v>812024</v>
      </c>
      <c r="G9" s="277">
        <v>812024</v>
      </c>
      <c r="H9" s="277">
        <v>48310000</v>
      </c>
      <c r="I9" s="277">
        <f>48310000-2657</f>
        <v>48307343</v>
      </c>
      <c r="J9" s="277">
        <v>19930411</v>
      </c>
      <c r="K9" s="277">
        <f>19930411+49599394</f>
        <v>69529805</v>
      </c>
      <c r="L9" s="277">
        <v>153625000</v>
      </c>
      <c r="M9" s="277">
        <f>153625000+1875000</f>
        <v>155500000</v>
      </c>
      <c r="N9" s="277">
        <v>12015699</v>
      </c>
      <c r="O9" s="277">
        <v>12015699</v>
      </c>
      <c r="P9" s="277">
        <v>44590100</v>
      </c>
      <c r="Q9" s="277">
        <f>20000000+2734000</f>
        <v>22734000</v>
      </c>
      <c r="R9" s="277">
        <v>0</v>
      </c>
      <c r="S9" s="277">
        <v>17311683</v>
      </c>
      <c r="T9" s="277">
        <v>0</v>
      </c>
      <c r="U9" s="277">
        <v>0</v>
      </c>
      <c r="V9" s="277">
        <v>0</v>
      </c>
      <c r="W9" s="277">
        <v>0</v>
      </c>
      <c r="X9" s="277">
        <v>0</v>
      </c>
      <c r="Y9" s="277">
        <v>0</v>
      </c>
      <c r="Z9" s="278">
        <f t="shared" ref="Z9:Z12" si="2">+X9+V9+T9+R9+P9+N9+L9+J9+H9+F9+D9+B9</f>
        <v>279283234</v>
      </c>
      <c r="AA9" s="278">
        <f>+Y9+W9+U9+S9+Q9+O9+M9+K9+I9+G9+E9+C9</f>
        <v>326210554</v>
      </c>
      <c r="AB9" s="96">
        <f>+'4a.sz.mell.'!I61</f>
        <v>326210554</v>
      </c>
      <c r="AC9" s="97">
        <f t="shared" si="1"/>
        <v>0</v>
      </c>
      <c r="AD9" s="84"/>
    </row>
    <row r="10" spans="1:30" ht="24.95" customHeight="1">
      <c r="A10" s="95" t="s">
        <v>252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  <c r="G10" s="277">
        <v>0</v>
      </c>
      <c r="H10" s="277">
        <v>0</v>
      </c>
      <c r="I10" s="277">
        <v>0</v>
      </c>
      <c r="J10" s="277">
        <v>0</v>
      </c>
      <c r="K10" s="277">
        <v>0</v>
      </c>
      <c r="L10" s="277">
        <v>0</v>
      </c>
      <c r="M10" s="277">
        <v>0</v>
      </c>
      <c r="N10" s="277">
        <v>0</v>
      </c>
      <c r="O10" s="277">
        <v>0</v>
      </c>
      <c r="P10" s="277">
        <v>0</v>
      </c>
      <c r="Q10" s="277">
        <v>0</v>
      </c>
      <c r="R10" s="277">
        <v>0</v>
      </c>
      <c r="S10" s="277">
        <v>0</v>
      </c>
      <c r="T10" s="277">
        <v>0</v>
      </c>
      <c r="U10" s="277">
        <v>0</v>
      </c>
      <c r="V10" s="277">
        <v>0</v>
      </c>
      <c r="W10" s="277">
        <v>0</v>
      </c>
      <c r="X10" s="277">
        <v>0</v>
      </c>
      <c r="Y10" s="277">
        <v>0</v>
      </c>
      <c r="Z10" s="278">
        <f t="shared" si="2"/>
        <v>0</v>
      </c>
      <c r="AA10" s="278">
        <f t="shared" si="0"/>
        <v>0</v>
      </c>
      <c r="AB10" s="96"/>
      <c r="AC10" s="97">
        <f t="shared" si="1"/>
        <v>0</v>
      </c>
      <c r="AD10" s="84"/>
    </row>
    <row r="11" spans="1:30" ht="24.95" customHeight="1">
      <c r="A11" s="95" t="s">
        <v>217</v>
      </c>
      <c r="B11" s="277">
        <v>0</v>
      </c>
      <c r="C11" s="277">
        <v>0</v>
      </c>
      <c r="D11" s="280">
        <v>0</v>
      </c>
      <c r="E11" s="280">
        <v>0</v>
      </c>
      <c r="F11" s="277">
        <v>0</v>
      </c>
      <c r="G11" s="277">
        <v>0</v>
      </c>
      <c r="H11" s="280">
        <v>0</v>
      </c>
      <c r="I11" s="280">
        <v>0</v>
      </c>
      <c r="J11" s="277">
        <v>55000000</v>
      </c>
      <c r="K11" s="277">
        <v>55000000</v>
      </c>
      <c r="L11" s="277">
        <v>55000000</v>
      </c>
      <c r="M11" s="277">
        <v>55000000</v>
      </c>
      <c r="N11" s="277">
        <v>0</v>
      </c>
      <c r="O11" s="277">
        <v>0</v>
      </c>
      <c r="P11" s="277">
        <v>0</v>
      </c>
      <c r="Q11" s="277">
        <v>0</v>
      </c>
      <c r="R11" s="277">
        <f>55502713</f>
        <v>55502713</v>
      </c>
      <c r="S11" s="277">
        <f>55502713+77115</f>
        <v>55579828</v>
      </c>
      <c r="T11" s="277">
        <v>0</v>
      </c>
      <c r="U11" s="277">
        <v>0</v>
      </c>
      <c r="V11" s="277">
        <v>0</v>
      </c>
      <c r="W11" s="277">
        <v>0</v>
      </c>
      <c r="X11" s="277">
        <v>0</v>
      </c>
      <c r="Y11" s="277">
        <v>0</v>
      </c>
      <c r="Z11" s="278">
        <f t="shared" si="2"/>
        <v>165502713</v>
      </c>
      <c r="AA11" s="278">
        <f t="shared" si="0"/>
        <v>165579828</v>
      </c>
      <c r="AB11" s="96">
        <f>+'4a.sz.mell.'!K61</f>
        <v>165579828</v>
      </c>
      <c r="AC11" s="97">
        <f t="shared" si="1"/>
        <v>0</v>
      </c>
      <c r="AD11" s="84"/>
    </row>
    <row r="12" spans="1:30" ht="24.95" customHeight="1">
      <c r="A12" s="98" t="s">
        <v>82</v>
      </c>
      <c r="B12" s="279">
        <f>SUM(B6:B11)</f>
        <v>28770000</v>
      </c>
      <c r="C12" s="279">
        <f t="shared" ref="C12:Y12" si="3">SUM(C6:C11)</f>
        <v>34593236</v>
      </c>
      <c r="D12" s="279">
        <f t="shared" si="3"/>
        <v>28970000</v>
      </c>
      <c r="E12" s="279">
        <f t="shared" si="3"/>
        <v>34793236</v>
      </c>
      <c r="F12" s="279">
        <f t="shared" si="3"/>
        <v>34162024</v>
      </c>
      <c r="G12" s="279">
        <f t="shared" si="3"/>
        <v>39985260</v>
      </c>
      <c r="H12" s="279">
        <f t="shared" si="3"/>
        <v>78910000</v>
      </c>
      <c r="I12" s="279">
        <f t="shared" si="3"/>
        <v>84730579</v>
      </c>
      <c r="J12" s="279">
        <f t="shared" si="3"/>
        <v>122880411</v>
      </c>
      <c r="K12" s="279">
        <f t="shared" si="3"/>
        <v>178303041</v>
      </c>
      <c r="L12" s="279">
        <f t="shared" si="3"/>
        <v>239125000</v>
      </c>
      <c r="M12" s="279">
        <f t="shared" si="3"/>
        <v>246823236</v>
      </c>
      <c r="N12" s="279">
        <f t="shared" si="3"/>
        <v>41515699</v>
      </c>
      <c r="O12" s="279">
        <f t="shared" si="3"/>
        <v>47338935</v>
      </c>
      <c r="P12" s="279">
        <f t="shared" si="3"/>
        <v>74640100</v>
      </c>
      <c r="Q12" s="279">
        <f t="shared" si="3"/>
        <v>58607236</v>
      </c>
      <c r="R12" s="279">
        <f t="shared" si="3"/>
        <v>91652713</v>
      </c>
      <c r="S12" s="279">
        <f t="shared" si="3"/>
        <v>114864747</v>
      </c>
      <c r="T12" s="279">
        <f t="shared" si="3"/>
        <v>30850000</v>
      </c>
      <c r="U12" s="279">
        <f t="shared" si="3"/>
        <v>37412951</v>
      </c>
      <c r="V12" s="279">
        <f t="shared" si="3"/>
        <v>30550000</v>
      </c>
      <c r="W12" s="279">
        <f t="shared" si="3"/>
        <v>36373236</v>
      </c>
      <c r="X12" s="279">
        <f t="shared" si="3"/>
        <v>46869808</v>
      </c>
      <c r="Y12" s="279">
        <f t="shared" si="3"/>
        <v>51860621</v>
      </c>
      <c r="Z12" s="278">
        <f t="shared" si="2"/>
        <v>848895755</v>
      </c>
      <c r="AA12" s="278">
        <f t="shared" si="0"/>
        <v>965686314</v>
      </c>
      <c r="AB12" s="96">
        <f>+'4a.sz.mell.'!Q61-'4a.sz.mell.'!P67</f>
        <v>965686314</v>
      </c>
      <c r="AC12" s="97">
        <f t="shared" si="1"/>
        <v>0</v>
      </c>
      <c r="AD12" s="84"/>
    </row>
    <row r="13" spans="1:30" ht="24.95" customHeight="1">
      <c r="A13" s="99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5"/>
      <c r="AA13" s="278"/>
      <c r="AB13" s="96"/>
      <c r="AD13" s="84"/>
    </row>
    <row r="14" spans="1:30" s="100" customFormat="1" ht="24.95" customHeight="1">
      <c r="A14" s="95" t="s">
        <v>17</v>
      </c>
      <c r="B14" s="277">
        <v>14383680</v>
      </c>
      <c r="C14" s="277"/>
      <c r="D14" s="277">
        <v>14383680</v>
      </c>
      <c r="E14" s="277"/>
      <c r="F14" s="277">
        <v>14383680</v>
      </c>
      <c r="G14" s="277"/>
      <c r="H14" s="277">
        <v>14383680</v>
      </c>
      <c r="I14" s="277"/>
      <c r="J14" s="277">
        <v>14383680</v>
      </c>
      <c r="K14" s="277"/>
      <c r="L14" s="277">
        <v>14383680</v>
      </c>
      <c r="M14" s="277">
        <f>14870300+2350000</f>
        <v>17220300</v>
      </c>
      <c r="N14" s="277">
        <v>14383680</v>
      </c>
      <c r="O14" s="277">
        <f>14870300+2350000</f>
        <v>17220300</v>
      </c>
      <c r="P14" s="277">
        <v>14383680</v>
      </c>
      <c r="Q14" s="277">
        <f>14870300+2350000</f>
        <v>17220300</v>
      </c>
      <c r="R14" s="277">
        <v>14383680</v>
      </c>
      <c r="S14" s="277">
        <f>14870300+2350000</f>
        <v>17220300</v>
      </c>
      <c r="T14" s="277">
        <v>14383680</v>
      </c>
      <c r="U14" s="277">
        <f>14870300+2350000+382000</f>
        <v>17602300</v>
      </c>
      <c r="V14" s="277">
        <v>14383680</v>
      </c>
      <c r="W14" s="277">
        <f>14870300+2350000+382000</f>
        <v>17602300</v>
      </c>
      <c r="X14" s="277">
        <v>14383720</v>
      </c>
      <c r="Y14" s="277">
        <f>226443658-89221800+18246+382025</f>
        <v>137622129</v>
      </c>
      <c r="Z14" s="279">
        <f>+X14+V14+T14+R14+P14+N14+L14+J14+H14+F14+D14+B14</f>
        <v>172604200</v>
      </c>
      <c r="AA14" s="278">
        <f>+Y14+W14+U14+S14+Q14+O14+M14+K14+I14+G14+E14+C14</f>
        <v>241707929</v>
      </c>
      <c r="AB14" s="96">
        <f>+'4.sz.mell.'!E60</f>
        <v>241707929</v>
      </c>
      <c r="AC14" s="342">
        <f>+AB14-AA14</f>
        <v>0</v>
      </c>
      <c r="AD14" s="101"/>
    </row>
    <row r="15" spans="1:30" s="100" customFormat="1" ht="24.95" customHeight="1">
      <c r="A15" s="95" t="s">
        <v>83</v>
      </c>
      <c r="B15" s="277">
        <v>2724000</v>
      </c>
      <c r="C15" s="277"/>
      <c r="D15" s="277">
        <v>2724000</v>
      </c>
      <c r="E15" s="277"/>
      <c r="F15" s="277">
        <v>2724000</v>
      </c>
      <c r="G15" s="277"/>
      <c r="H15" s="277">
        <v>2724000</v>
      </c>
      <c r="I15" s="277"/>
      <c r="J15" s="277">
        <v>2724000</v>
      </c>
      <c r="K15" s="277"/>
      <c r="L15" s="277">
        <v>2724000</v>
      </c>
      <c r="M15" s="277">
        <f>3356047+240000</f>
        <v>3596047</v>
      </c>
      <c r="N15" s="277">
        <v>2724000</v>
      </c>
      <c r="O15" s="277">
        <f>3356047+240000</f>
        <v>3596047</v>
      </c>
      <c r="P15" s="277">
        <v>2724000</v>
      </c>
      <c r="Q15" s="277">
        <f>3356047+240000</f>
        <v>3596047</v>
      </c>
      <c r="R15" s="277">
        <v>2724000</v>
      </c>
      <c r="S15" s="277">
        <f>3356047+240000</f>
        <v>3596047</v>
      </c>
      <c r="T15" s="277">
        <v>2724000</v>
      </c>
      <c r="U15" s="277">
        <f>3356047+240000+67990</f>
        <v>3664037</v>
      </c>
      <c r="V15" s="277">
        <v>2724000</v>
      </c>
      <c r="W15" s="277">
        <f>3356047+240000+67990</f>
        <v>3664037</v>
      </c>
      <c r="X15" s="277">
        <v>2731500</v>
      </c>
      <c r="Y15" s="277">
        <f>40272465-20140934+67995</f>
        <v>20199526</v>
      </c>
      <c r="Z15" s="279">
        <f t="shared" ref="Z15:Z22" si="4">+X15+V15+T15+R15+P15+N15+L15+J15+H15+F15+D15+B15</f>
        <v>32695500</v>
      </c>
      <c r="AA15" s="278">
        <f t="shared" ref="Z15:AA23" si="5">+Y15+W15+U15+S15+Q15+O15+M15+K15+I15+G15+E15+C15</f>
        <v>41911788</v>
      </c>
      <c r="AB15" s="96">
        <f>+'4.sz.mell.'!G60</f>
        <v>41911788</v>
      </c>
      <c r="AC15" s="342">
        <f t="shared" ref="AC15:AC23" si="6">+AB15-AA15</f>
        <v>0</v>
      </c>
      <c r="AD15" s="101"/>
    </row>
    <row r="16" spans="1:30" s="100" customFormat="1" ht="24.95" customHeight="1">
      <c r="A16" s="95" t="s">
        <v>84</v>
      </c>
      <c r="B16" s="277">
        <v>11300000</v>
      </c>
      <c r="C16" s="277"/>
      <c r="D16" s="277">
        <v>11300000</v>
      </c>
      <c r="E16" s="277"/>
      <c r="F16" s="277">
        <v>11300000</v>
      </c>
      <c r="G16" s="277"/>
      <c r="H16" s="277">
        <v>11300000</v>
      </c>
      <c r="I16" s="277"/>
      <c r="J16" s="277">
        <v>11300000</v>
      </c>
      <c r="K16" s="277"/>
      <c r="L16" s="277">
        <v>11300000</v>
      </c>
      <c r="M16" s="277">
        <v>12153611</v>
      </c>
      <c r="N16" s="277">
        <v>11300000</v>
      </c>
      <c r="O16" s="277">
        <f>12153611+3250000</f>
        <v>15403611</v>
      </c>
      <c r="P16" s="277">
        <v>11300000</v>
      </c>
      <c r="Q16" s="277">
        <f>12153611+3250000</f>
        <v>15403611</v>
      </c>
      <c r="R16" s="277">
        <v>11300000</v>
      </c>
      <c r="S16" s="277">
        <f>12153611+3250000</f>
        <v>15403611</v>
      </c>
      <c r="T16" s="277">
        <v>11300000</v>
      </c>
      <c r="U16" s="277">
        <f>12153611+3250000-957000</f>
        <v>14446611</v>
      </c>
      <c r="V16" s="277">
        <v>11300000</v>
      </c>
      <c r="W16" s="277">
        <f>12153611+3250000-957000</f>
        <v>14446611</v>
      </c>
      <c r="X16" s="277">
        <v>11329000</v>
      </c>
      <c r="Y16" s="277">
        <f>145843343-72921666+3347429-958897</f>
        <v>75310209</v>
      </c>
      <c r="Z16" s="279">
        <f t="shared" si="4"/>
        <v>135629000</v>
      </c>
      <c r="AA16" s="278">
        <f t="shared" si="5"/>
        <v>162567875</v>
      </c>
      <c r="AB16" s="96">
        <f>+'4.sz.mell.'!I60</f>
        <v>162567875</v>
      </c>
      <c r="AC16" s="342">
        <f t="shared" si="6"/>
        <v>0</v>
      </c>
      <c r="AD16" s="101"/>
    </row>
    <row r="17" spans="1:30" s="100" customFormat="1" ht="24.95" customHeight="1">
      <c r="A17" s="95" t="s">
        <v>89</v>
      </c>
      <c r="B17" s="277">
        <v>315000</v>
      </c>
      <c r="C17" s="277">
        <v>315000</v>
      </c>
      <c r="D17" s="277">
        <v>315000</v>
      </c>
      <c r="E17" s="277">
        <v>315000</v>
      </c>
      <c r="F17" s="277">
        <v>315000</v>
      </c>
      <c r="G17" s="277">
        <v>315000</v>
      </c>
      <c r="H17" s="277">
        <v>315000</v>
      </c>
      <c r="I17" s="277">
        <v>315000</v>
      </c>
      <c r="J17" s="277">
        <v>315000</v>
      </c>
      <c r="K17" s="277">
        <v>315000</v>
      </c>
      <c r="L17" s="277">
        <v>315000</v>
      </c>
      <c r="M17" s="277">
        <v>315000</v>
      </c>
      <c r="N17" s="277">
        <v>315000</v>
      </c>
      <c r="O17" s="277">
        <v>315000</v>
      </c>
      <c r="P17" s="277">
        <v>315000</v>
      </c>
      <c r="Q17" s="277">
        <f>315000+588880</f>
        <v>903880</v>
      </c>
      <c r="R17" s="277">
        <v>315000</v>
      </c>
      <c r="S17" s="277">
        <v>315000</v>
      </c>
      <c r="T17" s="277">
        <v>315000</v>
      </c>
      <c r="U17" s="277">
        <v>315000</v>
      </c>
      <c r="V17" s="277">
        <v>315000</v>
      </c>
      <c r="W17" s="277">
        <v>315000</v>
      </c>
      <c r="X17" s="277">
        <v>316000</v>
      </c>
      <c r="Y17" s="277">
        <f>+X17+8265</f>
        <v>324265</v>
      </c>
      <c r="Z17" s="279">
        <f t="shared" si="4"/>
        <v>3781000</v>
      </c>
      <c r="AA17" s="278">
        <f t="shared" si="5"/>
        <v>4378145</v>
      </c>
      <c r="AB17" s="96">
        <f>+'4.sz.mell.'!M60</f>
        <v>4378145</v>
      </c>
      <c r="AC17" s="342">
        <f t="shared" si="6"/>
        <v>0</v>
      </c>
      <c r="AD17" s="101"/>
    </row>
    <row r="18" spans="1:30" s="100" customFormat="1" ht="24.95" customHeight="1">
      <c r="A18" s="95" t="s">
        <v>85</v>
      </c>
      <c r="B18" s="277">
        <v>6200000</v>
      </c>
      <c r="C18" s="277">
        <v>7349000</v>
      </c>
      <c r="D18" s="277">
        <v>6200000</v>
      </c>
      <c r="E18" s="277">
        <v>7349000</v>
      </c>
      <c r="F18" s="277">
        <v>6200000</v>
      </c>
      <c r="G18" s="277">
        <v>7349000</v>
      </c>
      <c r="H18" s="277">
        <v>6200000</v>
      </c>
      <c r="I18" s="277">
        <v>7349000</v>
      </c>
      <c r="J18" s="277">
        <v>6200000</v>
      </c>
      <c r="K18" s="277">
        <v>7349000</v>
      </c>
      <c r="L18" s="277">
        <v>6200000</v>
      </c>
      <c r="M18" s="277">
        <f>7349000-2300000</f>
        <v>5049000</v>
      </c>
      <c r="N18" s="277">
        <v>6200000</v>
      </c>
      <c r="O18" s="277">
        <f>7349000-2300000</f>
        <v>5049000</v>
      </c>
      <c r="P18" s="277">
        <v>6200000</v>
      </c>
      <c r="Q18" s="277">
        <f>7349000-2300000</f>
        <v>5049000</v>
      </c>
      <c r="R18" s="277">
        <v>6200000</v>
      </c>
      <c r="S18" s="277">
        <f>7349000-2300000</f>
        <v>5049000</v>
      </c>
      <c r="T18" s="277">
        <v>6200000</v>
      </c>
      <c r="U18" s="277">
        <f>7349000-2300000+583000</f>
        <v>5632000</v>
      </c>
      <c r="V18" s="277">
        <v>6200000</v>
      </c>
      <c r="W18" s="277">
        <f>7349000-2300000+583000</f>
        <v>5632000</v>
      </c>
      <c r="X18" s="277">
        <v>6784709</v>
      </c>
      <c r="Y18" s="277">
        <f>88195778-80839000+100-187354+585900</f>
        <v>7755424</v>
      </c>
      <c r="Z18" s="279">
        <f t="shared" si="4"/>
        <v>74984709</v>
      </c>
      <c r="AA18" s="278">
        <f t="shared" si="5"/>
        <v>75960424</v>
      </c>
      <c r="AB18" s="96">
        <f>+'4.sz.mell.'!K60</f>
        <v>75960424</v>
      </c>
      <c r="AC18" s="342">
        <f t="shared" si="6"/>
        <v>0</v>
      </c>
      <c r="AD18" s="101"/>
    </row>
    <row r="19" spans="1:30" s="100" customFormat="1" ht="24.95" customHeight="1">
      <c r="A19" s="95" t="s">
        <v>253</v>
      </c>
      <c r="B19" s="277">
        <v>9649634</v>
      </c>
      <c r="C19" s="277">
        <v>9649634</v>
      </c>
      <c r="D19" s="280">
        <v>0</v>
      </c>
      <c r="E19" s="280">
        <v>0</v>
      </c>
      <c r="F19" s="280">
        <v>0</v>
      </c>
      <c r="G19" s="280">
        <v>0</v>
      </c>
      <c r="H19" s="280">
        <v>0</v>
      </c>
      <c r="I19" s="280">
        <v>0</v>
      </c>
      <c r="J19" s="280">
        <v>0</v>
      </c>
      <c r="K19" s="280">
        <v>0</v>
      </c>
      <c r="L19" s="280">
        <v>0</v>
      </c>
      <c r="M19" s="280">
        <v>0</v>
      </c>
      <c r="N19" s="28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0</v>
      </c>
      <c r="T19" s="280">
        <v>0</v>
      </c>
      <c r="U19" s="280">
        <v>0</v>
      </c>
      <c r="V19" s="280">
        <v>0</v>
      </c>
      <c r="W19" s="280">
        <v>0</v>
      </c>
      <c r="X19" s="280">
        <v>0</v>
      </c>
      <c r="Y19" s="280">
        <v>0</v>
      </c>
      <c r="Z19" s="279">
        <f t="shared" si="4"/>
        <v>9649634</v>
      </c>
      <c r="AA19" s="278">
        <f t="shared" si="5"/>
        <v>9649634</v>
      </c>
      <c r="AB19" s="96">
        <f>+'4.sz.mell.'!Q60</f>
        <v>9649634</v>
      </c>
      <c r="AC19" s="342">
        <f t="shared" si="6"/>
        <v>0</v>
      </c>
      <c r="AD19" s="101"/>
    </row>
    <row r="20" spans="1:30" s="100" customFormat="1" ht="24.95" customHeight="1">
      <c r="A20" s="95" t="s">
        <v>468</v>
      </c>
      <c r="B20" s="277">
        <v>0</v>
      </c>
      <c r="C20" s="277">
        <v>0</v>
      </c>
      <c r="D20" s="280">
        <v>0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  <c r="V20" s="280">
        <v>0</v>
      </c>
      <c r="W20" s="280">
        <v>703700</v>
      </c>
      <c r="X20" s="280">
        <v>0</v>
      </c>
      <c r="Y20" s="280">
        <v>39985</v>
      </c>
      <c r="Z20" s="279">
        <f t="shared" ref="Z20" si="7">+X20+V20+T20+R20+P20+N20+L20+J20+H20+F20+D20+B20</f>
        <v>0</v>
      </c>
      <c r="AA20" s="278">
        <f t="shared" ref="AA20" si="8">+Y20+W20+U20+S20+Q20+O20+M20+K20+I20+G20+E20+C20</f>
        <v>743685</v>
      </c>
      <c r="AB20" s="96"/>
      <c r="AC20" s="342"/>
      <c r="AD20" s="101"/>
    </row>
    <row r="21" spans="1:30" ht="24.95" customHeight="1">
      <c r="A21" s="95" t="s">
        <v>86</v>
      </c>
      <c r="B21" s="280">
        <v>0</v>
      </c>
      <c r="C21" s="280">
        <v>0</v>
      </c>
      <c r="D21" s="280">
        <v>0</v>
      </c>
      <c r="E21" s="280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20000000</v>
      </c>
      <c r="K21" s="277">
        <f>+J21-3194874</f>
        <v>16805126</v>
      </c>
      <c r="L21" s="277">
        <f>30000000-14425000</f>
        <v>15575000</v>
      </c>
      <c r="M21" s="277">
        <f>30000000-14425000</f>
        <v>15575000</v>
      </c>
      <c r="N21" s="277">
        <v>30000000</v>
      </c>
      <c r="O21" s="277">
        <f>30000000-4069412</f>
        <v>25930588</v>
      </c>
      <c r="P21" s="277">
        <v>0</v>
      </c>
      <c r="Q21" s="277">
        <v>0</v>
      </c>
      <c r="R21" s="277">
        <v>15000000</v>
      </c>
      <c r="S21" s="277">
        <f>15000000-14360208</f>
        <v>639792</v>
      </c>
      <c r="T21" s="277">
        <v>0</v>
      </c>
      <c r="U21" s="277">
        <v>0</v>
      </c>
      <c r="V21" s="277">
        <v>0</v>
      </c>
      <c r="W21" s="277">
        <v>0</v>
      </c>
      <c r="X21" s="277">
        <v>11528299</v>
      </c>
      <c r="Y21" s="277">
        <v>11528299</v>
      </c>
      <c r="Z21" s="279">
        <f t="shared" si="4"/>
        <v>92103299</v>
      </c>
      <c r="AA21" s="278">
        <f t="shared" si="5"/>
        <v>70478805</v>
      </c>
      <c r="AB21" s="96">
        <f>+'4.sz.mell.'!O60</f>
        <v>70478805</v>
      </c>
      <c r="AC21" s="342">
        <f t="shared" si="6"/>
        <v>0</v>
      </c>
      <c r="AD21" s="84"/>
    </row>
    <row r="22" spans="1:30" ht="24.95" customHeight="1">
      <c r="A22" s="95" t="s">
        <v>58</v>
      </c>
      <c r="B22" s="280">
        <v>0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812024</v>
      </c>
      <c r="I22" s="280">
        <v>812024</v>
      </c>
      <c r="J22" s="277">
        <v>20000000</v>
      </c>
      <c r="K22" s="277">
        <f>+J22-15069590</f>
        <v>4930410</v>
      </c>
      <c r="L22" s="280">
        <v>19930411</v>
      </c>
      <c r="M22" s="280">
        <f>+L22-15069590</f>
        <v>4860821</v>
      </c>
      <c r="N22" s="280">
        <v>42000000</v>
      </c>
      <c r="O22" s="280">
        <f>42000000+22000000</f>
        <v>64000000</v>
      </c>
      <c r="P22" s="280">
        <v>68000000</v>
      </c>
      <c r="Q22" s="280">
        <f>68000000+24851561</f>
        <v>92851561</v>
      </c>
      <c r="R22" s="277">
        <v>72000000</v>
      </c>
      <c r="S22" s="277">
        <v>72000000</v>
      </c>
      <c r="T22" s="277">
        <v>32015699</v>
      </c>
      <c r="U22" s="277">
        <v>32015699</v>
      </c>
      <c r="V22" s="277">
        <v>40642681</v>
      </c>
      <c r="W22" s="277">
        <f>40642681+14127235</f>
        <v>54769916</v>
      </c>
      <c r="X22" s="277">
        <v>32047598</v>
      </c>
      <c r="Y22" s="277">
        <v>32047598</v>
      </c>
      <c r="Z22" s="279">
        <f t="shared" si="4"/>
        <v>327448413</v>
      </c>
      <c r="AA22" s="278">
        <f t="shared" si="5"/>
        <v>358288029</v>
      </c>
      <c r="AB22" s="96">
        <f>+'4.sz.mell.'!U60+'4.sz.mell.'!W60</f>
        <v>358288029</v>
      </c>
      <c r="AC22" s="342">
        <f t="shared" si="6"/>
        <v>0</v>
      </c>
      <c r="AD22" s="84"/>
    </row>
    <row r="23" spans="1:30" ht="24.95" customHeight="1">
      <c r="A23" s="98" t="s">
        <v>87</v>
      </c>
      <c r="B23" s="279">
        <f>SUM(B14:B22)</f>
        <v>44572314</v>
      </c>
      <c r="C23" s="279">
        <f t="shared" ref="C23:Y23" si="9">SUM(C14:C22)</f>
        <v>17313634</v>
      </c>
      <c r="D23" s="279">
        <f t="shared" si="9"/>
        <v>34922680</v>
      </c>
      <c r="E23" s="279">
        <f t="shared" si="9"/>
        <v>7664000</v>
      </c>
      <c r="F23" s="279">
        <f t="shared" si="9"/>
        <v>34922680</v>
      </c>
      <c r="G23" s="279">
        <f t="shared" si="9"/>
        <v>7664000</v>
      </c>
      <c r="H23" s="279">
        <f t="shared" si="9"/>
        <v>35734704</v>
      </c>
      <c r="I23" s="279">
        <f t="shared" si="9"/>
        <v>8476024</v>
      </c>
      <c r="J23" s="279">
        <f t="shared" si="9"/>
        <v>74922680</v>
      </c>
      <c r="K23" s="279">
        <f t="shared" si="9"/>
        <v>29399536</v>
      </c>
      <c r="L23" s="279">
        <f t="shared" si="9"/>
        <v>70428091</v>
      </c>
      <c r="M23" s="279">
        <f t="shared" si="9"/>
        <v>58769779</v>
      </c>
      <c r="N23" s="279">
        <f t="shared" si="9"/>
        <v>106922680</v>
      </c>
      <c r="O23" s="279">
        <f t="shared" si="9"/>
        <v>131514546</v>
      </c>
      <c r="P23" s="279">
        <f t="shared" si="9"/>
        <v>102922680</v>
      </c>
      <c r="Q23" s="279">
        <f t="shared" si="9"/>
        <v>135024399</v>
      </c>
      <c r="R23" s="279">
        <f t="shared" si="9"/>
        <v>121922680</v>
      </c>
      <c r="S23" s="279">
        <f t="shared" si="9"/>
        <v>114223750</v>
      </c>
      <c r="T23" s="279">
        <f t="shared" si="9"/>
        <v>66938379</v>
      </c>
      <c r="U23" s="279">
        <f t="shared" si="9"/>
        <v>73675647</v>
      </c>
      <c r="V23" s="279">
        <f t="shared" si="9"/>
        <v>75565361</v>
      </c>
      <c r="W23" s="279">
        <f t="shared" si="9"/>
        <v>97133564</v>
      </c>
      <c r="X23" s="279">
        <f t="shared" si="9"/>
        <v>79120826</v>
      </c>
      <c r="Y23" s="279">
        <f t="shared" si="9"/>
        <v>284827435</v>
      </c>
      <c r="Z23" s="278">
        <f t="shared" si="5"/>
        <v>848895755</v>
      </c>
      <c r="AA23" s="278">
        <f>+Y23+W23+U23+S23+Q23+O23+M23+K23+I23+G23+E23+C23</f>
        <v>965686314</v>
      </c>
      <c r="AB23" s="96">
        <f>+'4.sz.mell.'!Y60</f>
        <v>965686314</v>
      </c>
      <c r="AC23" s="342">
        <f t="shared" si="6"/>
        <v>0</v>
      </c>
      <c r="AD23" s="84"/>
    </row>
    <row r="24" spans="1:30" ht="24.95" customHeight="1">
      <c r="A24" s="98" t="s">
        <v>88</v>
      </c>
      <c r="B24" s="279">
        <f>B12-B23</f>
        <v>-15802314</v>
      </c>
      <c r="C24" s="279">
        <f t="shared" ref="C24:Y24" si="10">C12-C23</f>
        <v>17279602</v>
      </c>
      <c r="D24" s="279">
        <f t="shared" si="10"/>
        <v>-5952680</v>
      </c>
      <c r="E24" s="279">
        <f t="shared" si="10"/>
        <v>27129236</v>
      </c>
      <c r="F24" s="279">
        <f t="shared" si="10"/>
        <v>-760656</v>
      </c>
      <c r="G24" s="279">
        <f t="shared" si="10"/>
        <v>32321260</v>
      </c>
      <c r="H24" s="279">
        <f t="shared" si="10"/>
        <v>43175296</v>
      </c>
      <c r="I24" s="279">
        <f t="shared" si="10"/>
        <v>76254555</v>
      </c>
      <c r="J24" s="279">
        <f t="shared" si="10"/>
        <v>47957731</v>
      </c>
      <c r="K24" s="279">
        <f t="shared" si="10"/>
        <v>148903505</v>
      </c>
      <c r="L24" s="279">
        <f t="shared" si="10"/>
        <v>168696909</v>
      </c>
      <c r="M24" s="279">
        <f t="shared" si="10"/>
        <v>188053457</v>
      </c>
      <c r="N24" s="279">
        <f t="shared" si="10"/>
        <v>-65406981</v>
      </c>
      <c r="O24" s="279">
        <f t="shared" si="10"/>
        <v>-84175611</v>
      </c>
      <c r="P24" s="279">
        <f t="shared" si="10"/>
        <v>-28282580</v>
      </c>
      <c r="Q24" s="279">
        <f t="shared" si="10"/>
        <v>-76417163</v>
      </c>
      <c r="R24" s="279">
        <f t="shared" si="10"/>
        <v>-30269967</v>
      </c>
      <c r="S24" s="279">
        <f t="shared" si="10"/>
        <v>640997</v>
      </c>
      <c r="T24" s="279">
        <f t="shared" si="10"/>
        <v>-36088379</v>
      </c>
      <c r="U24" s="279">
        <f t="shared" si="10"/>
        <v>-36262696</v>
      </c>
      <c r="V24" s="279">
        <f t="shared" si="10"/>
        <v>-45015361</v>
      </c>
      <c r="W24" s="279">
        <f t="shared" si="10"/>
        <v>-60760328</v>
      </c>
      <c r="X24" s="279">
        <f t="shared" si="10"/>
        <v>-32251018</v>
      </c>
      <c r="Y24" s="279">
        <f t="shared" si="10"/>
        <v>-232966814</v>
      </c>
      <c r="Z24" s="279">
        <f>Z12-Z23</f>
        <v>0</v>
      </c>
      <c r="AA24" s="278">
        <f t="shared" si="0"/>
        <v>0</v>
      </c>
      <c r="AB24" s="96"/>
      <c r="AD24" s="84"/>
    </row>
  </sheetData>
  <mergeCells count="15">
    <mergeCell ref="A1:M1"/>
    <mergeCell ref="A2:M2"/>
    <mergeCell ref="F4:G4"/>
    <mergeCell ref="D4:E4"/>
    <mergeCell ref="B4:C4"/>
    <mergeCell ref="H4:I4"/>
    <mergeCell ref="L4:M4"/>
    <mergeCell ref="J4:K4"/>
    <mergeCell ref="Z4:AA4"/>
    <mergeCell ref="R4:S4"/>
    <mergeCell ref="P4:Q4"/>
    <mergeCell ref="N4:O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32"/>
  <sheetViews>
    <sheetView zoomScaleNormal="100" workbookViewId="0">
      <selection activeCell="G4" sqref="G4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80" customWidth="1"/>
    <col min="4" max="4" width="16.28515625" style="107" customWidth="1"/>
    <col min="5" max="5" width="21.5703125" style="39" customWidth="1"/>
    <col min="6" max="6" width="8.85546875" style="39"/>
    <col min="7" max="7" width="10.140625" style="39" bestFit="1" customWidth="1"/>
    <col min="8" max="8" width="8.85546875" style="39"/>
    <col min="9" max="16384" width="8.85546875" style="37"/>
  </cols>
  <sheetData>
    <row r="1" spans="1:6" ht="15.75">
      <c r="A1" s="468" t="s">
        <v>482</v>
      </c>
      <c r="B1" s="468"/>
      <c r="C1" s="468"/>
      <c r="D1" s="468"/>
      <c r="E1" s="468"/>
      <c r="F1" s="313"/>
    </row>
    <row r="2" spans="1:6" ht="15.75">
      <c r="C2" s="106"/>
    </row>
    <row r="3" spans="1:6" ht="42" customHeight="1">
      <c r="A3" s="465" t="s">
        <v>266</v>
      </c>
      <c r="B3" s="465"/>
      <c r="C3" s="465"/>
      <c r="D3" s="465"/>
      <c r="E3" s="465"/>
      <c r="F3" s="223"/>
    </row>
    <row r="4" spans="1:6" ht="24.75" customHeight="1"/>
    <row r="5" spans="1:6" ht="25.5" customHeight="1">
      <c r="B5" s="478" t="s">
        <v>91</v>
      </c>
      <c r="C5" s="478"/>
      <c r="D5" s="478"/>
      <c r="E5" s="478"/>
      <c r="F5" s="478"/>
    </row>
    <row r="6" spans="1:6" ht="17.25" customHeight="1">
      <c r="C6" s="108"/>
      <c r="D6" s="198" t="s">
        <v>225</v>
      </c>
    </row>
    <row r="7" spans="1:6" ht="17.25" customHeight="1">
      <c r="C7" s="72" t="s">
        <v>92</v>
      </c>
      <c r="D7" s="73" t="s">
        <v>297</v>
      </c>
      <c r="E7" s="73" t="s">
        <v>356</v>
      </c>
    </row>
    <row r="8" spans="1:6" ht="17.25" customHeight="1">
      <c r="C8" s="71" t="s">
        <v>275</v>
      </c>
      <c r="D8" s="251">
        <v>1722000</v>
      </c>
      <c r="E8" s="251">
        <v>0</v>
      </c>
    </row>
    <row r="9" spans="1:6" ht="17.25" customHeight="1">
      <c r="C9" s="71" t="s">
        <v>291</v>
      </c>
      <c r="D9" s="251">
        <v>618400</v>
      </c>
      <c r="E9" s="251">
        <v>0</v>
      </c>
    </row>
    <row r="10" spans="1:6" ht="17.25" customHeight="1">
      <c r="C10" s="71" t="s">
        <v>93</v>
      </c>
      <c r="D10" s="251">
        <v>90000</v>
      </c>
      <c r="E10" s="251">
        <v>90000</v>
      </c>
    </row>
    <row r="11" spans="1:6" ht="17.25" customHeight="1">
      <c r="C11" s="71" t="s">
        <v>94</v>
      </c>
      <c r="D11" s="251">
        <v>140000</v>
      </c>
      <c r="E11" s="251">
        <v>140000</v>
      </c>
    </row>
    <row r="12" spans="1:6" ht="17.25" customHeight="1">
      <c r="C12" s="71" t="s">
        <v>95</v>
      </c>
      <c r="D12" s="251">
        <v>250000</v>
      </c>
      <c r="E12" s="251">
        <v>250000</v>
      </c>
    </row>
    <row r="13" spans="1:6" ht="17.25" customHeight="1">
      <c r="C13" s="71" t="s">
        <v>218</v>
      </c>
      <c r="D13" s="251">
        <v>2400000</v>
      </c>
      <c r="E13" s="251">
        <v>2400000</v>
      </c>
    </row>
    <row r="14" spans="1:6" ht="17.25" customHeight="1">
      <c r="C14" s="71" t="s">
        <v>245</v>
      </c>
      <c r="D14" s="251">
        <v>1500000</v>
      </c>
      <c r="E14" s="251">
        <v>1500000</v>
      </c>
    </row>
    <row r="15" spans="1:6" ht="17.25" customHeight="1">
      <c r="C15" s="71" t="s">
        <v>219</v>
      </c>
      <c r="D15" s="251">
        <v>500000</v>
      </c>
      <c r="E15" s="251">
        <v>500000</v>
      </c>
    </row>
    <row r="16" spans="1:6" ht="17.25" customHeight="1">
      <c r="C16" s="71" t="s">
        <v>220</v>
      </c>
      <c r="D16" s="251">
        <v>67134309</v>
      </c>
      <c r="E16" s="251">
        <v>67763398</v>
      </c>
    </row>
    <row r="17" spans="3:7" ht="17.25" customHeight="1">
      <c r="C17" s="71" t="s">
        <v>246</v>
      </c>
      <c r="D17" s="251">
        <v>175000</v>
      </c>
      <c r="E17" s="251">
        <v>175000</v>
      </c>
    </row>
    <row r="18" spans="3:7" ht="17.25" customHeight="1">
      <c r="C18" s="71" t="s">
        <v>247</v>
      </c>
      <c r="D18" s="251">
        <v>65000</v>
      </c>
      <c r="E18" s="251">
        <v>65000</v>
      </c>
    </row>
    <row r="19" spans="3:7" ht="17.25" customHeight="1">
      <c r="C19" s="71" t="s">
        <v>248</v>
      </c>
      <c r="D19" s="251">
        <v>20000</v>
      </c>
      <c r="E19" s="251">
        <v>20000</v>
      </c>
    </row>
    <row r="20" spans="3:7" ht="17.25" customHeight="1">
      <c r="C20" s="185" t="s">
        <v>249</v>
      </c>
      <c r="D20" s="251">
        <v>200000</v>
      </c>
      <c r="E20" s="251">
        <v>200000</v>
      </c>
    </row>
    <row r="21" spans="3:7" ht="20.25" customHeight="1">
      <c r="C21" s="185" t="s">
        <v>251</v>
      </c>
      <c r="D21" s="251">
        <v>150000</v>
      </c>
      <c r="E21" s="251">
        <v>170000</v>
      </c>
    </row>
    <row r="22" spans="3:7" ht="20.25" customHeight="1">
      <c r="C22" s="185" t="s">
        <v>357</v>
      </c>
      <c r="D22" s="251">
        <v>0</v>
      </c>
      <c r="E22" s="251">
        <v>67585</v>
      </c>
    </row>
    <row r="23" spans="3:7" ht="20.25" customHeight="1">
      <c r="C23" s="185" t="s">
        <v>405</v>
      </c>
      <c r="D23" s="251">
        <v>0</v>
      </c>
      <c r="E23" s="251">
        <v>510000</v>
      </c>
    </row>
    <row r="24" spans="3:7" ht="20.25" customHeight="1">
      <c r="C24" s="185" t="s">
        <v>469</v>
      </c>
      <c r="D24" s="251"/>
      <c r="E24" s="251">
        <v>2078115</v>
      </c>
    </row>
    <row r="25" spans="3:7" ht="17.25" customHeight="1">
      <c r="C25" s="109" t="s">
        <v>56</v>
      </c>
      <c r="D25" s="186">
        <f>SUM(D8:D23)</f>
        <v>74964709</v>
      </c>
      <c r="E25" s="186">
        <f>SUM(E8:E24)</f>
        <v>75929098</v>
      </c>
      <c r="G25" s="44">
        <f>+'1.sz.mell.'!D80+'1.sz.mell.'!D81</f>
        <v>75929098</v>
      </c>
    </row>
    <row r="26" spans="3:7" ht="30" customHeight="1">
      <c r="C26" s="110"/>
      <c r="D26" s="187"/>
      <c r="G26" s="44">
        <f>+E25-G25</f>
        <v>0</v>
      </c>
    </row>
    <row r="27" spans="3:7" ht="25.5" customHeight="1">
      <c r="C27" s="111" t="s">
        <v>96</v>
      </c>
      <c r="D27" s="188">
        <v>0</v>
      </c>
      <c r="E27" s="188">
        <v>0</v>
      </c>
    </row>
    <row r="28" spans="3:7" ht="24.75" customHeight="1">
      <c r="C28" s="109" t="s">
        <v>56</v>
      </c>
      <c r="D28" s="186">
        <v>0</v>
      </c>
      <c r="E28" s="186">
        <v>0</v>
      </c>
    </row>
    <row r="29" spans="3:7" ht="18" customHeight="1">
      <c r="C29" s="112"/>
      <c r="D29" s="189"/>
    </row>
    <row r="30" spans="3:7" ht="18" customHeight="1">
      <c r="C30" s="113" t="s">
        <v>97</v>
      </c>
      <c r="D30" s="186">
        <f>SUM(D25,D28)</f>
        <v>74964709</v>
      </c>
      <c r="E30" s="186">
        <f>SUM(E25,E28)</f>
        <v>75929098</v>
      </c>
    </row>
    <row r="31" spans="3:7" ht="18" customHeight="1"/>
    <row r="32" spans="3:7">
      <c r="E32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9"/>
  <sheetViews>
    <sheetView zoomScaleNormal="100" workbookViewId="0">
      <selection activeCell="G29" sqref="G29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468" t="s">
        <v>483</v>
      </c>
      <c r="B1" s="468"/>
      <c r="C1" s="468"/>
      <c r="D1" s="468"/>
      <c r="E1" s="468"/>
      <c r="F1" s="468"/>
      <c r="G1" s="468"/>
      <c r="H1" s="468"/>
      <c r="I1" s="137"/>
      <c r="J1" s="137"/>
      <c r="K1" s="137"/>
    </row>
    <row r="2" spans="1:11" ht="15.75">
      <c r="A2" s="105"/>
      <c r="B2" s="105"/>
      <c r="C2" s="105"/>
      <c r="D2" s="105"/>
      <c r="E2" s="105"/>
      <c r="F2" s="105"/>
      <c r="G2" s="105"/>
      <c r="H2" s="105"/>
      <c r="I2" s="137"/>
      <c r="J2" s="137"/>
      <c r="K2" s="137"/>
    </row>
    <row r="3" spans="1:11" ht="30" customHeight="1">
      <c r="A3" s="479" t="s">
        <v>134</v>
      </c>
      <c r="B3" s="479"/>
      <c r="C3" s="479"/>
      <c r="D3" s="479"/>
      <c r="E3" s="479"/>
      <c r="F3" s="479"/>
      <c r="G3" s="479"/>
      <c r="H3" s="479"/>
      <c r="I3" s="151"/>
      <c r="J3" s="151"/>
      <c r="K3" s="151"/>
    </row>
    <row r="4" spans="1:11" ht="30" customHeight="1">
      <c r="A4" s="151"/>
      <c r="B4" s="151"/>
      <c r="C4" s="316"/>
      <c r="D4" s="151"/>
      <c r="E4" s="379"/>
      <c r="F4" s="151"/>
      <c r="G4" s="379"/>
      <c r="H4" s="151"/>
      <c r="I4" s="151"/>
      <c r="J4" s="151"/>
      <c r="K4" s="151"/>
    </row>
    <row r="5" spans="1:11" ht="30" customHeight="1" thickBot="1">
      <c r="H5" s="104" t="s">
        <v>225</v>
      </c>
    </row>
    <row r="6" spans="1:11" ht="30" customHeight="1" thickBot="1">
      <c r="A6" s="195" t="s">
        <v>62</v>
      </c>
      <c r="B6" s="480">
        <v>2018</v>
      </c>
      <c r="C6" s="481"/>
      <c r="D6" s="480">
        <v>2019</v>
      </c>
      <c r="E6" s="481"/>
      <c r="F6" s="480">
        <v>2020</v>
      </c>
      <c r="G6" s="481"/>
      <c r="H6" s="480">
        <v>2021</v>
      </c>
      <c r="I6" s="481"/>
    </row>
    <row r="7" spans="1:11" ht="30" customHeight="1" thickBot="1">
      <c r="A7" s="343"/>
      <c r="B7" s="399" t="s">
        <v>297</v>
      </c>
      <c r="C7" s="399" t="s">
        <v>356</v>
      </c>
      <c r="D7" s="399" t="s">
        <v>297</v>
      </c>
      <c r="E7" s="399" t="s">
        <v>356</v>
      </c>
      <c r="F7" s="399" t="s">
        <v>297</v>
      </c>
      <c r="G7" s="399" t="s">
        <v>356</v>
      </c>
      <c r="H7" s="399" t="s">
        <v>297</v>
      </c>
      <c r="I7" s="399" t="s">
        <v>356</v>
      </c>
    </row>
    <row r="8" spans="1:11" ht="15" customHeight="1">
      <c r="A8" s="138" t="s">
        <v>112</v>
      </c>
      <c r="B8" s="400">
        <v>268051083</v>
      </c>
      <c r="C8" s="400">
        <f>+'1.sz.mell.'!D23</f>
        <v>271498983</v>
      </c>
      <c r="D8" s="400">
        <v>310000000</v>
      </c>
      <c r="E8" s="400">
        <v>310000000</v>
      </c>
      <c r="F8" s="400">
        <v>315000000</v>
      </c>
      <c r="G8" s="400">
        <v>315000000</v>
      </c>
      <c r="H8" s="398">
        <v>320000000</v>
      </c>
      <c r="I8" s="398">
        <v>320000000</v>
      </c>
    </row>
    <row r="9" spans="1:11" ht="30" customHeight="1">
      <c r="A9" s="139" t="s">
        <v>113</v>
      </c>
      <c r="B9" s="252">
        <v>24579725</v>
      </c>
      <c r="C9" s="252">
        <f>+'1.sz.mell.'!D33</f>
        <v>86483925</v>
      </c>
      <c r="D9" s="252">
        <v>34000000</v>
      </c>
      <c r="E9" s="252">
        <v>34000000</v>
      </c>
      <c r="F9" s="252">
        <v>38000000</v>
      </c>
      <c r="G9" s="252">
        <v>38000000</v>
      </c>
      <c r="H9" s="255">
        <v>42000000</v>
      </c>
      <c r="I9" s="255">
        <v>42000000</v>
      </c>
    </row>
    <row r="10" spans="1:11" ht="15" customHeight="1">
      <c r="A10" s="140" t="s">
        <v>79</v>
      </c>
      <c r="B10" s="252">
        <v>59270000</v>
      </c>
      <c r="C10" s="252">
        <f>+'1.sz.mell.'!D40</f>
        <v>59270000</v>
      </c>
      <c r="D10" s="252">
        <v>53000000</v>
      </c>
      <c r="E10" s="252">
        <v>53000000</v>
      </c>
      <c r="F10" s="252">
        <v>55000000</v>
      </c>
      <c r="G10" s="252">
        <v>55000000</v>
      </c>
      <c r="H10" s="255">
        <v>57000000</v>
      </c>
      <c r="I10" s="255">
        <v>57000000</v>
      </c>
    </row>
    <row r="11" spans="1:11" ht="15" customHeight="1">
      <c r="A11" s="140" t="s">
        <v>80</v>
      </c>
      <c r="B11" s="252">
        <v>51891000</v>
      </c>
      <c r="C11" s="252">
        <f>+'1.sz.mell.'!D52</f>
        <v>56325024</v>
      </c>
      <c r="D11" s="252">
        <v>48000000</v>
      </c>
      <c r="E11" s="252">
        <v>48000000</v>
      </c>
      <c r="F11" s="252">
        <v>46000000</v>
      </c>
      <c r="G11" s="252">
        <v>46000000</v>
      </c>
      <c r="H11" s="255">
        <v>45000000</v>
      </c>
      <c r="I11" s="255">
        <v>45000000</v>
      </c>
    </row>
    <row r="12" spans="1:11" ht="15" customHeight="1">
      <c r="A12" s="140" t="s">
        <v>114</v>
      </c>
      <c r="B12" s="252">
        <v>318000</v>
      </c>
      <c r="C12" s="252">
        <f>+'1.sz.mell.'!D54</f>
        <v>318000</v>
      </c>
      <c r="D12" s="252">
        <v>0</v>
      </c>
      <c r="E12" s="252">
        <v>0</v>
      </c>
      <c r="F12" s="252">
        <v>0</v>
      </c>
      <c r="G12" s="252">
        <v>0</v>
      </c>
      <c r="H12" s="255">
        <v>0</v>
      </c>
      <c r="I12" s="255">
        <v>0</v>
      </c>
    </row>
    <row r="13" spans="1:11" ht="15" customHeight="1">
      <c r="A13" s="140" t="s">
        <v>7</v>
      </c>
      <c r="B13" s="252">
        <v>0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  <c r="H13" s="255">
        <v>0</v>
      </c>
      <c r="I13" s="255">
        <v>0</v>
      </c>
    </row>
    <row r="14" spans="1:11" ht="15" customHeight="1">
      <c r="A14" s="140" t="s">
        <v>115</v>
      </c>
      <c r="B14" s="252">
        <v>279283234</v>
      </c>
      <c r="C14" s="252">
        <f>+'1.sz.mell.'!D63</f>
        <v>326210554</v>
      </c>
      <c r="D14" s="252">
        <v>500000</v>
      </c>
      <c r="E14" s="252">
        <v>500000</v>
      </c>
      <c r="F14" s="252">
        <v>200000</v>
      </c>
      <c r="G14" s="252">
        <v>200000</v>
      </c>
      <c r="H14" s="255">
        <v>0</v>
      </c>
      <c r="I14" s="255">
        <v>0</v>
      </c>
    </row>
    <row r="15" spans="1:11" ht="15" customHeight="1" thickBot="1">
      <c r="A15" s="141" t="s">
        <v>116</v>
      </c>
      <c r="B15" s="253">
        <v>165502713</v>
      </c>
      <c r="C15" s="253">
        <f>+'1.sz.mell.'!D65</f>
        <v>165579828</v>
      </c>
      <c r="D15" s="253">
        <v>120000000</v>
      </c>
      <c r="E15" s="253">
        <v>120000000</v>
      </c>
      <c r="F15" s="253">
        <v>80000000</v>
      </c>
      <c r="G15" s="253">
        <v>80000000</v>
      </c>
      <c r="H15" s="256">
        <v>75000000</v>
      </c>
      <c r="I15" s="256">
        <v>75000000</v>
      </c>
    </row>
    <row r="16" spans="1:11" ht="15" customHeight="1" thickBot="1">
      <c r="A16" s="142" t="s">
        <v>103</v>
      </c>
      <c r="B16" s="254">
        <f>SUM(B8:B15)</f>
        <v>848895755</v>
      </c>
      <c r="C16" s="254">
        <f>SUM(C8:C15)</f>
        <v>965686314</v>
      </c>
      <c r="D16" s="254">
        <f>SUM(D8:D15)</f>
        <v>565500000</v>
      </c>
      <c r="E16" s="254">
        <f t="shared" ref="E16:I16" si="0">SUM(E8:E15)</f>
        <v>565500000</v>
      </c>
      <c r="F16" s="254">
        <f t="shared" si="0"/>
        <v>534200000</v>
      </c>
      <c r="G16" s="254">
        <f t="shared" si="0"/>
        <v>534200000</v>
      </c>
      <c r="H16" s="254">
        <f t="shared" si="0"/>
        <v>539000000</v>
      </c>
      <c r="I16" s="254">
        <f t="shared" si="0"/>
        <v>539000000</v>
      </c>
    </row>
    <row r="17" spans="1:9" ht="30" customHeight="1" thickBot="1">
      <c r="B17" s="226"/>
      <c r="C17" s="226"/>
      <c r="D17" s="226"/>
      <c r="E17" s="226"/>
      <c r="F17" s="226"/>
      <c r="G17" s="226"/>
      <c r="H17" s="226"/>
      <c r="I17" s="226"/>
    </row>
    <row r="18" spans="1:9" ht="15" customHeight="1">
      <c r="A18" s="138" t="s">
        <v>17</v>
      </c>
      <c r="B18" s="257">
        <v>172604200</v>
      </c>
      <c r="C18" s="257">
        <f>+'1.sz.mell.'!D73</f>
        <v>241707929</v>
      </c>
      <c r="D18" s="262">
        <v>176000000</v>
      </c>
      <c r="E18" s="262">
        <v>176000000</v>
      </c>
      <c r="F18" s="263">
        <v>179000000</v>
      </c>
      <c r="G18" s="263">
        <v>179000000</v>
      </c>
      <c r="H18" s="264">
        <v>181000000</v>
      </c>
      <c r="I18" s="264">
        <v>181000000</v>
      </c>
    </row>
    <row r="19" spans="1:9" ht="15" customHeight="1">
      <c r="A19" s="140" t="s">
        <v>117</v>
      </c>
      <c r="B19" s="258">
        <v>32695500</v>
      </c>
      <c r="C19" s="258">
        <f>+'1.sz.mell.'!D74</f>
        <v>41911788</v>
      </c>
      <c r="D19" s="265">
        <v>35000000</v>
      </c>
      <c r="E19" s="265">
        <v>35000000</v>
      </c>
      <c r="F19" s="266">
        <v>37000000</v>
      </c>
      <c r="G19" s="266">
        <v>37000000</v>
      </c>
      <c r="H19" s="267">
        <v>39000000</v>
      </c>
      <c r="I19" s="267">
        <v>39000000</v>
      </c>
    </row>
    <row r="20" spans="1:9" ht="15" customHeight="1">
      <c r="A20" s="140" t="s">
        <v>19</v>
      </c>
      <c r="B20" s="258">
        <v>135629000</v>
      </c>
      <c r="C20" s="258">
        <f>+'1.sz.mell.'!D75</f>
        <v>162567875</v>
      </c>
      <c r="D20" s="265">
        <f>16000000+137000000-D25</f>
        <v>152476284</v>
      </c>
      <c r="E20" s="265">
        <f>16000000+137000000-E25</f>
        <v>152476284</v>
      </c>
      <c r="F20" s="266">
        <f>13000000+140000000-F25</f>
        <v>152449986</v>
      </c>
      <c r="G20" s="266">
        <f>13000000+140000000-G25</f>
        <v>152449986</v>
      </c>
      <c r="H20" s="267">
        <f>150000000-H25</f>
        <v>149471743</v>
      </c>
      <c r="I20" s="267">
        <f>150000000-I25</f>
        <v>149471743</v>
      </c>
    </row>
    <row r="21" spans="1:9" ht="15" customHeight="1">
      <c r="A21" s="140" t="s">
        <v>471</v>
      </c>
      <c r="B21" s="258">
        <v>0</v>
      </c>
      <c r="C21" s="258">
        <f>+'1.sz.mell.'!D77</f>
        <v>31326</v>
      </c>
      <c r="D21" s="265">
        <v>0</v>
      </c>
      <c r="E21" s="265">
        <v>0</v>
      </c>
      <c r="F21" s="266">
        <v>0</v>
      </c>
      <c r="G21" s="266">
        <v>0</v>
      </c>
      <c r="H21" s="267">
        <v>0</v>
      </c>
      <c r="I21" s="267">
        <v>0</v>
      </c>
    </row>
    <row r="22" spans="1:9" ht="15" customHeight="1">
      <c r="A22" s="140" t="s">
        <v>106</v>
      </c>
      <c r="B22" s="258">
        <v>3781000</v>
      </c>
      <c r="C22" s="258">
        <f>+'1.sz.mell.'!D76</f>
        <v>4378145</v>
      </c>
      <c r="D22" s="265">
        <v>4000000</v>
      </c>
      <c r="E22" s="265">
        <v>4000000</v>
      </c>
      <c r="F22" s="266">
        <v>5000000</v>
      </c>
      <c r="G22" s="266">
        <v>5000000</v>
      </c>
      <c r="H22" s="267">
        <v>6000000</v>
      </c>
      <c r="I22" s="267">
        <v>6000000</v>
      </c>
    </row>
    <row r="23" spans="1:9" ht="15" customHeight="1">
      <c r="A23" s="140" t="s">
        <v>85</v>
      </c>
      <c r="B23" s="258">
        <f>72104709+2880000</f>
        <v>74984709</v>
      </c>
      <c r="C23" s="258">
        <f>+'1.sz.mell.'!D80+'1.sz.mell.'!D81</f>
        <v>75929098</v>
      </c>
      <c r="D23" s="265">
        <v>76000000</v>
      </c>
      <c r="E23" s="265">
        <v>76000000</v>
      </c>
      <c r="F23" s="266">
        <v>78000000</v>
      </c>
      <c r="G23" s="266">
        <v>78000000</v>
      </c>
      <c r="H23" s="267">
        <v>82000000</v>
      </c>
      <c r="I23" s="267">
        <v>82000000</v>
      </c>
    </row>
    <row r="24" spans="1:9" ht="15" customHeight="1">
      <c r="A24" s="140" t="s">
        <v>242</v>
      </c>
      <c r="B24" s="258">
        <v>9649634</v>
      </c>
      <c r="C24" s="258">
        <f>+'1.sz.mell.'!D78</f>
        <v>9649634</v>
      </c>
      <c r="D24" s="265">
        <v>0</v>
      </c>
      <c r="E24" s="265">
        <v>0</v>
      </c>
      <c r="F24" s="266">
        <v>0</v>
      </c>
      <c r="G24" s="266">
        <v>0</v>
      </c>
      <c r="H24" s="267">
        <v>0</v>
      </c>
      <c r="I24" s="267">
        <v>0</v>
      </c>
    </row>
    <row r="25" spans="1:9" ht="15" customHeight="1">
      <c r="A25" s="140" t="s">
        <v>470</v>
      </c>
      <c r="B25" s="258">
        <v>0</v>
      </c>
      <c r="C25" s="258">
        <f>+'1.sz.mell.'!D79</f>
        <v>743685</v>
      </c>
      <c r="D25" s="265">
        <v>523716</v>
      </c>
      <c r="E25" s="401">
        <v>523716</v>
      </c>
      <c r="F25" s="266">
        <v>550014</v>
      </c>
      <c r="G25" s="266">
        <v>550014</v>
      </c>
      <c r="H25" s="267">
        <v>528257</v>
      </c>
      <c r="I25" s="267">
        <v>528257</v>
      </c>
    </row>
    <row r="26" spans="1:9" ht="15" customHeight="1">
      <c r="A26" s="140" t="s">
        <v>86</v>
      </c>
      <c r="B26" s="258">
        <v>92103299</v>
      </c>
      <c r="C26" s="258">
        <f>+'1.sz.mell.'!D83+'1.sz.mell.'!D84</f>
        <v>70478805</v>
      </c>
      <c r="D26" s="265">
        <v>5000000</v>
      </c>
      <c r="E26" s="265">
        <v>5000000</v>
      </c>
      <c r="F26" s="266">
        <v>5000000</v>
      </c>
      <c r="G26" s="266">
        <v>5000000</v>
      </c>
      <c r="H26" s="267">
        <v>5000000</v>
      </c>
      <c r="I26" s="267">
        <v>5000000</v>
      </c>
    </row>
    <row r="27" spans="1:9" ht="15" customHeight="1" thickBot="1">
      <c r="A27" s="141" t="s">
        <v>58</v>
      </c>
      <c r="B27" s="259">
        <v>327448413</v>
      </c>
      <c r="C27" s="259">
        <f>+'1.sz.mell.'!D89</f>
        <v>358288029</v>
      </c>
      <c r="D27" s="268">
        <v>116500000</v>
      </c>
      <c r="E27" s="268">
        <v>116500000</v>
      </c>
      <c r="F27" s="269">
        <v>77200000</v>
      </c>
      <c r="G27" s="269">
        <v>77200000</v>
      </c>
      <c r="H27" s="270">
        <v>76000000</v>
      </c>
      <c r="I27" s="270">
        <v>76000000</v>
      </c>
    </row>
    <row r="28" spans="1:9" ht="15" customHeight="1" thickBot="1">
      <c r="A28" s="142" t="s">
        <v>110</v>
      </c>
      <c r="B28" s="260">
        <f>SUM(B18:B27)</f>
        <v>848895755</v>
      </c>
      <c r="C28" s="260">
        <f>SUM(C18:C27)</f>
        <v>965686314</v>
      </c>
      <c r="D28" s="271">
        <f>SUM(D18:D27)</f>
        <v>565500000</v>
      </c>
      <c r="E28" s="271">
        <f t="shared" ref="E28:I28" si="1">SUM(E18:E27)</f>
        <v>565500000</v>
      </c>
      <c r="F28" s="271">
        <f t="shared" si="1"/>
        <v>534200000</v>
      </c>
      <c r="G28" s="271">
        <f t="shared" si="1"/>
        <v>534200000</v>
      </c>
      <c r="H28" s="271">
        <f t="shared" si="1"/>
        <v>539000000</v>
      </c>
      <c r="I28" s="271">
        <f t="shared" si="1"/>
        <v>539000000</v>
      </c>
    </row>
    <row r="29" spans="1:9" ht="30" customHeight="1">
      <c r="C29" s="261"/>
      <c r="D29" s="261"/>
      <c r="E29" s="261"/>
      <c r="F29" s="261"/>
      <c r="G29" s="261"/>
      <c r="H29" s="261"/>
    </row>
  </sheetData>
  <mergeCells count="6">
    <mergeCell ref="A1:H1"/>
    <mergeCell ref="A3:H3"/>
    <mergeCell ref="B6:C6"/>
    <mergeCell ref="H6:I6"/>
    <mergeCell ref="F6:G6"/>
    <mergeCell ref="D6:E6"/>
  </mergeCells>
  <phoneticPr fontId="0" type="noConversion"/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B1:J27"/>
  <sheetViews>
    <sheetView tabSelected="1" topLeftCell="A7" zoomScaleNormal="100" workbookViewId="0">
      <selection activeCell="L11" sqref="L11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482" t="s">
        <v>484</v>
      </c>
      <c r="C1" s="483"/>
      <c r="D1" s="483"/>
      <c r="E1" s="483"/>
      <c r="F1" s="483"/>
      <c r="G1" s="483"/>
      <c r="H1" s="483"/>
    </row>
    <row r="3" spans="2:10">
      <c r="B3" s="470" t="s">
        <v>111</v>
      </c>
      <c r="C3" s="470"/>
      <c r="D3" s="470"/>
      <c r="E3" s="470"/>
      <c r="F3" s="470"/>
      <c r="G3" s="470"/>
      <c r="H3" s="470"/>
      <c r="I3" s="159"/>
    </row>
    <row r="4" spans="2:10" ht="30" customHeight="1">
      <c r="B4" s="484" t="s">
        <v>254</v>
      </c>
      <c r="C4" s="485"/>
      <c r="D4" s="485"/>
      <c r="E4" s="485"/>
      <c r="F4" s="485"/>
      <c r="G4" s="485"/>
      <c r="H4" s="485"/>
      <c r="I4" s="164"/>
      <c r="J4" s="164"/>
    </row>
    <row r="5" spans="2:10" ht="30" customHeight="1">
      <c r="B5" s="199"/>
      <c r="C5" s="200"/>
      <c r="D5" s="383"/>
      <c r="E5" s="200"/>
      <c r="F5" s="200"/>
      <c r="G5" s="200"/>
      <c r="H5" s="200"/>
      <c r="I5" s="200"/>
      <c r="J5" s="200"/>
    </row>
    <row r="6" spans="2:10">
      <c r="B6" s="159"/>
      <c r="C6" s="159"/>
      <c r="D6" s="159"/>
      <c r="E6" s="159"/>
      <c r="F6" s="159"/>
      <c r="G6" s="159"/>
      <c r="H6" s="218" t="s">
        <v>225</v>
      </c>
      <c r="I6" s="159"/>
    </row>
    <row r="7" spans="2:10">
      <c r="B7" s="160"/>
      <c r="C7" s="486">
        <v>2018</v>
      </c>
      <c r="D7" s="487"/>
      <c r="E7" s="272">
        <v>2019</v>
      </c>
      <c r="F7" s="272">
        <v>2020</v>
      </c>
      <c r="G7" s="272">
        <v>2021</v>
      </c>
      <c r="H7" s="272">
        <v>2022</v>
      </c>
    </row>
    <row r="8" spans="2:10" ht="30">
      <c r="B8" s="402"/>
      <c r="C8" s="399" t="s">
        <v>297</v>
      </c>
      <c r="D8" s="403" t="s">
        <v>356</v>
      </c>
      <c r="E8" s="399" t="s">
        <v>297</v>
      </c>
      <c r="F8" s="399" t="s">
        <v>297</v>
      </c>
      <c r="G8" s="399" t="s">
        <v>297</v>
      </c>
      <c r="H8" s="399" t="s">
        <v>297</v>
      </c>
    </row>
    <row r="9" spans="2:10">
      <c r="B9" s="161" t="s">
        <v>55</v>
      </c>
      <c r="C9" s="227"/>
      <c r="D9" s="227"/>
      <c r="E9" s="275"/>
      <c r="F9" s="275"/>
      <c r="G9" s="275"/>
      <c r="H9" s="275"/>
    </row>
    <row r="10" spans="2:10">
      <c r="B10" s="160" t="s">
        <v>118</v>
      </c>
      <c r="C10" s="273">
        <v>49200000</v>
      </c>
      <c r="D10" s="273">
        <v>49200000</v>
      </c>
      <c r="E10" s="273">
        <v>45000000</v>
      </c>
      <c r="F10" s="273">
        <v>45000000</v>
      </c>
      <c r="G10" s="273">
        <v>40000000</v>
      </c>
      <c r="H10" s="273">
        <v>40000000</v>
      </c>
    </row>
    <row r="11" spans="2:10" ht="45">
      <c r="B11" s="162" t="s">
        <v>119</v>
      </c>
      <c r="C11" s="274">
        <v>0</v>
      </c>
      <c r="D11" s="274">
        <v>0</v>
      </c>
      <c r="E11" s="274">
        <v>0</v>
      </c>
      <c r="F11" s="274">
        <v>0</v>
      </c>
      <c r="G11" s="274">
        <v>0</v>
      </c>
      <c r="H11" s="274">
        <v>0</v>
      </c>
    </row>
    <row r="12" spans="2:10" ht="16.5" customHeight="1">
      <c r="B12" s="162" t="s">
        <v>120</v>
      </c>
      <c r="C12" s="273">
        <v>3777000</v>
      </c>
      <c r="D12" s="273">
        <v>3777000</v>
      </c>
      <c r="E12" s="273">
        <v>4500000</v>
      </c>
      <c r="F12" s="273">
        <v>4500000</v>
      </c>
      <c r="G12" s="273">
        <v>4500000</v>
      </c>
      <c r="H12" s="273">
        <v>4500000</v>
      </c>
    </row>
    <row r="13" spans="2:10" ht="45" customHeight="1">
      <c r="B13" s="162" t="s">
        <v>121</v>
      </c>
      <c r="C13" s="274">
        <v>0</v>
      </c>
      <c r="D13" s="274">
        <v>0</v>
      </c>
      <c r="E13" s="274">
        <v>0</v>
      </c>
      <c r="F13" s="274">
        <v>0</v>
      </c>
      <c r="G13" s="274">
        <v>0</v>
      </c>
      <c r="H13" s="274">
        <v>0</v>
      </c>
    </row>
    <row r="14" spans="2:10">
      <c r="B14" s="162" t="s">
        <v>122</v>
      </c>
      <c r="C14" s="273">
        <v>1000000</v>
      </c>
      <c r="D14" s="273">
        <v>1000000</v>
      </c>
      <c r="E14" s="273">
        <v>500000</v>
      </c>
      <c r="F14" s="273">
        <v>500000</v>
      </c>
      <c r="G14" s="273">
        <v>500000</v>
      </c>
      <c r="H14" s="273">
        <v>500000</v>
      </c>
    </row>
    <row r="15" spans="2:10" ht="15" customHeight="1">
      <c r="B15" s="162" t="s">
        <v>123</v>
      </c>
      <c r="C15" s="273">
        <v>0</v>
      </c>
      <c r="D15" s="273">
        <v>0</v>
      </c>
      <c r="E15" s="273">
        <v>0</v>
      </c>
      <c r="F15" s="273">
        <v>0</v>
      </c>
      <c r="G15" s="273">
        <v>0</v>
      </c>
      <c r="H15" s="273">
        <v>0</v>
      </c>
    </row>
    <row r="16" spans="2:10">
      <c r="B16" s="163" t="s">
        <v>124</v>
      </c>
      <c r="C16" s="273">
        <f t="shared" ref="C16:H16" si="0">SUM(C10:C15)</f>
        <v>53977000</v>
      </c>
      <c r="D16" s="273">
        <f t="shared" si="0"/>
        <v>53977000</v>
      </c>
      <c r="E16" s="273">
        <f t="shared" si="0"/>
        <v>50000000</v>
      </c>
      <c r="F16" s="273">
        <f t="shared" si="0"/>
        <v>50000000</v>
      </c>
      <c r="G16" s="273">
        <f t="shared" si="0"/>
        <v>45000000</v>
      </c>
      <c r="H16" s="273">
        <f t="shared" si="0"/>
        <v>45000000</v>
      </c>
    </row>
    <row r="17" spans="2:8">
      <c r="B17" s="162"/>
      <c r="C17" s="273"/>
      <c r="D17" s="273"/>
      <c r="E17" s="273"/>
      <c r="F17" s="273"/>
      <c r="G17" s="273"/>
      <c r="H17" s="273"/>
    </row>
    <row r="18" spans="2:8">
      <c r="B18" s="160"/>
      <c r="C18" s="273"/>
      <c r="D18" s="273"/>
      <c r="E18" s="273"/>
      <c r="F18" s="273"/>
      <c r="G18" s="273"/>
      <c r="H18" s="273"/>
    </row>
    <row r="19" spans="2:8">
      <c r="B19" s="161" t="s">
        <v>125</v>
      </c>
      <c r="C19" s="273"/>
      <c r="D19" s="273"/>
      <c r="E19" s="273"/>
      <c r="F19" s="273"/>
      <c r="G19" s="273"/>
      <c r="H19" s="273"/>
    </row>
    <row r="20" spans="2:8">
      <c r="B20" s="162" t="s">
        <v>126</v>
      </c>
      <c r="C20" s="273">
        <v>0</v>
      </c>
      <c r="D20" s="273"/>
      <c r="E20" s="273">
        <v>0</v>
      </c>
      <c r="F20" s="273">
        <v>0</v>
      </c>
      <c r="G20" s="273">
        <v>0</v>
      </c>
      <c r="H20" s="273">
        <v>0</v>
      </c>
    </row>
    <row r="21" spans="2:8">
      <c r="B21" s="162" t="s">
        <v>127</v>
      </c>
      <c r="C21" s="273">
        <v>0</v>
      </c>
      <c r="D21" s="273"/>
      <c r="E21" s="273">
        <v>0</v>
      </c>
      <c r="F21" s="273">
        <v>0</v>
      </c>
      <c r="G21" s="273">
        <v>0</v>
      </c>
      <c r="H21" s="273">
        <v>0</v>
      </c>
    </row>
    <row r="22" spans="2:8">
      <c r="B22" s="162" t="s">
        <v>128</v>
      </c>
      <c r="C22" s="273">
        <v>0</v>
      </c>
      <c r="D22" s="273"/>
      <c r="E22" s="273">
        <v>0</v>
      </c>
      <c r="F22" s="273">
        <v>0</v>
      </c>
      <c r="G22" s="273">
        <v>0</v>
      </c>
      <c r="H22" s="273">
        <v>0</v>
      </c>
    </row>
    <row r="23" spans="2:8">
      <c r="B23" s="162" t="s">
        <v>129</v>
      </c>
      <c r="C23" s="273">
        <v>0</v>
      </c>
      <c r="D23" s="273">
        <f>+'1.sz.mell.'!D79</f>
        <v>743685</v>
      </c>
      <c r="E23" s="273">
        <v>523716</v>
      </c>
      <c r="F23" s="273">
        <v>550014</v>
      </c>
      <c r="G23" s="273">
        <v>528257</v>
      </c>
      <c r="H23" s="273">
        <v>0</v>
      </c>
    </row>
    <row r="24" spans="2:8" ht="30.75" customHeight="1">
      <c r="B24" s="162" t="s">
        <v>130</v>
      </c>
      <c r="C24" s="274">
        <v>0</v>
      </c>
      <c r="D24" s="274"/>
      <c r="E24" s="274">
        <v>0</v>
      </c>
      <c r="F24" s="274">
        <v>0</v>
      </c>
      <c r="G24" s="274">
        <v>0</v>
      </c>
      <c r="H24" s="274">
        <v>0</v>
      </c>
    </row>
    <row r="25" spans="2:8" ht="30">
      <c r="B25" s="162" t="s">
        <v>131</v>
      </c>
      <c r="C25" s="274">
        <v>0</v>
      </c>
      <c r="D25" s="274"/>
      <c r="E25" s="274">
        <v>0</v>
      </c>
      <c r="F25" s="274">
        <v>0</v>
      </c>
      <c r="G25" s="274">
        <v>0</v>
      </c>
      <c r="H25" s="274">
        <v>0</v>
      </c>
    </row>
    <row r="26" spans="2:8" ht="18.75" customHeight="1">
      <c r="B26" s="162" t="s">
        <v>132</v>
      </c>
      <c r="C26" s="273">
        <v>1956000</v>
      </c>
      <c r="D26" s="273">
        <v>1956000</v>
      </c>
      <c r="E26" s="273">
        <v>1908000</v>
      </c>
      <c r="F26" s="273">
        <v>1900000</v>
      </c>
      <c r="G26" s="273">
        <v>1850000</v>
      </c>
      <c r="H26" s="273">
        <v>1800000</v>
      </c>
    </row>
    <row r="27" spans="2:8">
      <c r="B27" s="163" t="s">
        <v>124</v>
      </c>
      <c r="C27" s="273">
        <f t="shared" ref="C27:H27" si="1">SUM(C20:C26)</f>
        <v>1956000</v>
      </c>
      <c r="D27" s="273">
        <f t="shared" si="1"/>
        <v>2699685</v>
      </c>
      <c r="E27" s="273">
        <f t="shared" si="1"/>
        <v>2431716</v>
      </c>
      <c r="F27" s="273">
        <f t="shared" si="1"/>
        <v>2450014</v>
      </c>
      <c r="G27" s="273">
        <f t="shared" si="1"/>
        <v>2378257</v>
      </c>
      <c r="H27" s="273">
        <f t="shared" si="1"/>
        <v>1800000</v>
      </c>
    </row>
  </sheetData>
  <mergeCells count="4">
    <mergeCell ref="B1:H1"/>
    <mergeCell ref="B4:H4"/>
    <mergeCell ref="B3:H3"/>
    <mergeCell ref="C7:D7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Q47"/>
  <sheetViews>
    <sheetView view="pageBreakPreview" topLeftCell="A16" zoomScale="140" zoomScaleNormal="140" zoomScaleSheetLayoutView="140" workbookViewId="0">
      <selection activeCell="F3" sqref="F3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5" width="13.5703125" style="2" customWidth="1"/>
    <col min="6" max="6" width="13" style="2" customWidth="1"/>
    <col min="7" max="16384" width="9.140625" style="2"/>
  </cols>
  <sheetData>
    <row r="1" spans="1:17" ht="22.5" customHeight="1">
      <c r="A1" s="407" t="s">
        <v>473</v>
      </c>
      <c r="B1" s="407"/>
      <c r="C1" s="407"/>
      <c r="D1" s="407"/>
      <c r="E1" s="407"/>
      <c r="F1" s="1"/>
      <c r="G1" s="1"/>
    </row>
    <row r="2" spans="1:17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>
      <c r="A3" s="415" t="s">
        <v>258</v>
      </c>
      <c r="B3" s="415"/>
      <c r="C3" s="415"/>
      <c r="D3" s="415"/>
      <c r="E3" s="415"/>
      <c r="F3" s="196"/>
      <c r="G3" s="149"/>
    </row>
    <row r="4" spans="1:17">
      <c r="B4" s="413"/>
      <c r="C4" s="413"/>
      <c r="D4" s="413"/>
      <c r="E4" s="413"/>
    </row>
    <row r="5" spans="1:17">
      <c r="C5" s="414" t="s">
        <v>225</v>
      </c>
      <c r="D5" s="414"/>
      <c r="E5" s="414"/>
    </row>
    <row r="6" spans="1:17" s="4" customFormat="1" ht="21" customHeight="1">
      <c r="B6" s="412" t="s">
        <v>0</v>
      </c>
      <c r="C6" s="412"/>
      <c r="D6" s="412"/>
      <c r="E6" s="412"/>
      <c r="F6" s="412"/>
      <c r="G6" s="5"/>
    </row>
    <row r="7" spans="1:17" s="4" customFormat="1" ht="42" customHeight="1" thickBot="1">
      <c r="B7" s="192" t="s">
        <v>1</v>
      </c>
      <c r="C7" s="194" t="s">
        <v>150</v>
      </c>
      <c r="D7" s="193" t="s">
        <v>226</v>
      </c>
      <c r="E7" s="193" t="s">
        <v>259</v>
      </c>
      <c r="F7" s="193" t="s">
        <v>305</v>
      </c>
    </row>
    <row r="8" spans="1:17" s="5" customFormat="1" ht="15" customHeight="1">
      <c r="B8" s="6" t="s">
        <v>2</v>
      </c>
      <c r="C8" s="204">
        <v>45765000</v>
      </c>
      <c r="D8" s="204">
        <v>37599000</v>
      </c>
      <c r="E8" s="204">
        <v>51891000</v>
      </c>
      <c r="F8" s="204">
        <f>+'1.sz.mell.'!D52</f>
        <v>56325024</v>
      </c>
    </row>
    <row r="9" spans="1:17" s="5" customFormat="1" ht="15" customHeight="1">
      <c r="B9" s="7" t="s">
        <v>229</v>
      </c>
      <c r="C9" s="205">
        <v>30400000</v>
      </c>
      <c r="D9" s="205">
        <v>42850000</v>
      </c>
      <c r="E9" s="205">
        <v>59270000</v>
      </c>
      <c r="F9" s="205">
        <f>+'1.sz.mell.'!D40</f>
        <v>59270000</v>
      </c>
    </row>
    <row r="10" spans="1:17" s="5" customFormat="1" ht="15" customHeight="1">
      <c r="B10" s="8" t="s">
        <v>224</v>
      </c>
      <c r="C10" s="206">
        <v>282130000</v>
      </c>
      <c r="D10" s="206">
        <v>277309685</v>
      </c>
      <c r="E10" s="308">
        <f>268051083+318000</f>
        <v>268369083</v>
      </c>
      <c r="F10" s="308">
        <f>+'1.sz.mell.'!D23+'1.sz.mell.'!D54</f>
        <v>271816983</v>
      </c>
    </row>
    <row r="11" spans="1:17" s="5" customFormat="1" ht="15" customHeight="1">
      <c r="B11" s="8" t="s">
        <v>231</v>
      </c>
      <c r="C11" s="206">
        <v>47369000</v>
      </c>
      <c r="D11" s="206">
        <v>33400115</v>
      </c>
      <c r="E11" s="308">
        <f>24579725</f>
        <v>24579725</v>
      </c>
      <c r="F11" s="308">
        <f>+'1.sz.mell.'!D33</f>
        <v>86483925</v>
      </c>
    </row>
    <row r="12" spans="1:17" s="5" customFormat="1" ht="15" customHeight="1">
      <c r="B12" s="8" t="s">
        <v>3</v>
      </c>
      <c r="C12" s="206">
        <v>11819000</v>
      </c>
      <c r="D12" s="206">
        <v>12600000</v>
      </c>
      <c r="E12" s="206">
        <v>13848000</v>
      </c>
      <c r="F12" s="206">
        <f>+'1.sz.mell.'!D24</f>
        <v>13848000</v>
      </c>
    </row>
    <row r="13" spans="1:17" s="5" customFormat="1" ht="15" customHeight="1">
      <c r="B13" s="9" t="s">
        <v>4</v>
      </c>
      <c r="C13" s="207">
        <v>34310000</v>
      </c>
      <c r="D13" s="207">
        <v>47523000</v>
      </c>
      <c r="E13" s="207">
        <v>81549342</v>
      </c>
      <c r="F13" s="207">
        <f>165579828-F23</f>
        <v>81626457</v>
      </c>
    </row>
    <row r="14" spans="1:17" s="5" customFormat="1" ht="15" customHeight="1">
      <c r="B14" s="16" t="s">
        <v>250</v>
      </c>
      <c r="C14" s="207">
        <v>0</v>
      </c>
      <c r="D14" s="207">
        <v>0</v>
      </c>
      <c r="E14" s="207">
        <v>0</v>
      </c>
      <c r="F14" s="207">
        <v>0</v>
      </c>
    </row>
    <row r="15" spans="1:17" s="5" customFormat="1" ht="15" customHeight="1" thickBot="1">
      <c r="B15" s="9" t="s">
        <v>5</v>
      </c>
      <c r="C15" s="207">
        <v>0</v>
      </c>
      <c r="D15" s="207">
        <v>0</v>
      </c>
      <c r="E15" s="207">
        <v>0</v>
      </c>
      <c r="F15" s="207">
        <v>0</v>
      </c>
    </row>
    <row r="16" spans="1:17" s="10" customFormat="1" ht="15" customHeight="1" thickBot="1">
      <c r="B16" s="11" t="s">
        <v>6</v>
      </c>
      <c r="C16" s="208">
        <f>C8+C9+C10+C11+C13+C15</f>
        <v>439974000</v>
      </c>
      <c r="D16" s="208">
        <f>D8+D9+D10+D11+D13+D15</f>
        <v>438681800</v>
      </c>
      <c r="E16" s="208">
        <f>E8+E9+E10+E11+E13+E15</f>
        <v>485659150</v>
      </c>
      <c r="F16" s="208">
        <f>F8+F9+F10+F11+F13+F15</f>
        <v>555522389</v>
      </c>
    </row>
    <row r="17" spans="2:6" s="5" customFormat="1" ht="15" customHeight="1">
      <c r="B17" s="12" t="s">
        <v>7</v>
      </c>
      <c r="C17" s="204">
        <v>0</v>
      </c>
      <c r="D17" s="204">
        <v>1500000</v>
      </c>
      <c r="E17" s="204">
        <v>0</v>
      </c>
      <c r="F17" s="204">
        <v>0</v>
      </c>
    </row>
    <row r="18" spans="2:6" s="5" customFormat="1" ht="15" customHeight="1">
      <c r="B18" s="8" t="s">
        <v>8</v>
      </c>
      <c r="C18" s="205">
        <v>0</v>
      </c>
      <c r="D18" s="205">
        <v>0</v>
      </c>
      <c r="E18" s="205">
        <v>0</v>
      </c>
      <c r="F18" s="205">
        <v>0</v>
      </c>
    </row>
    <row r="19" spans="2:6" s="5" customFormat="1" ht="15" customHeight="1">
      <c r="B19" s="8" t="s">
        <v>9</v>
      </c>
      <c r="C19" s="206">
        <v>0</v>
      </c>
      <c r="D19" s="206">
        <v>60200000</v>
      </c>
      <c r="E19" s="206"/>
      <c r="F19" s="206"/>
    </row>
    <row r="20" spans="2:6" s="5" customFormat="1" ht="15" customHeight="1">
      <c r="B20" s="8" t="s">
        <v>10</v>
      </c>
      <c r="C20" s="206">
        <v>0</v>
      </c>
      <c r="D20" s="206">
        <v>0</v>
      </c>
      <c r="E20" s="206">
        <f>246525100+32758134</f>
        <v>279283234</v>
      </c>
      <c r="F20" s="206">
        <f>+'1.sz.mell.'!D63</f>
        <v>326210554</v>
      </c>
    </row>
    <row r="21" spans="2:6" s="5" customFormat="1" ht="15" customHeight="1">
      <c r="B21" s="8" t="s">
        <v>11</v>
      </c>
      <c r="C21" s="206">
        <v>700000</v>
      </c>
      <c r="D21" s="206">
        <v>200000</v>
      </c>
      <c r="E21" s="206">
        <v>0</v>
      </c>
      <c r="F21" s="206">
        <v>0</v>
      </c>
    </row>
    <row r="22" spans="2:6" s="5" customFormat="1" ht="15" customHeight="1">
      <c r="B22" s="8" t="s">
        <v>12</v>
      </c>
      <c r="C22" s="206">
        <v>0</v>
      </c>
      <c r="D22" s="206">
        <v>0</v>
      </c>
      <c r="E22" s="206">
        <v>0</v>
      </c>
      <c r="F22" s="206">
        <v>0</v>
      </c>
    </row>
    <row r="23" spans="2:6" s="5" customFormat="1" ht="15" customHeight="1" thickBot="1">
      <c r="B23" s="9" t="s">
        <v>13</v>
      </c>
      <c r="C23" s="207">
        <v>91476000</v>
      </c>
      <c r="D23" s="207">
        <v>23480000</v>
      </c>
      <c r="E23" s="207">
        <v>83953371</v>
      </c>
      <c r="F23" s="207">
        <v>83953371</v>
      </c>
    </row>
    <row r="24" spans="2:6" s="10" customFormat="1" ht="15" customHeight="1" thickBot="1">
      <c r="B24" s="11" t="s">
        <v>14</v>
      </c>
      <c r="C24" s="209">
        <f>SUM(C17:C23)</f>
        <v>92176000</v>
      </c>
      <c r="D24" s="208">
        <f>SUM(D17:D23)</f>
        <v>85380000</v>
      </c>
      <c r="E24" s="208">
        <f>SUM(E17:E23)</f>
        <v>363236605</v>
      </c>
      <c r="F24" s="208">
        <f>SUM(F17:F23)</f>
        <v>410163925</v>
      </c>
    </row>
    <row r="25" spans="2:6" s="10" customFormat="1" ht="15" customHeight="1" thickBot="1">
      <c r="B25" s="13" t="s">
        <v>15</v>
      </c>
      <c r="C25" s="210">
        <f>SUM(C16,C24)</f>
        <v>532150000</v>
      </c>
      <c r="D25" s="210">
        <f>SUM(D16,D24)</f>
        <v>524061800</v>
      </c>
      <c r="E25" s="210">
        <f>+E24+E16</f>
        <v>848895755</v>
      </c>
      <c r="F25" s="210">
        <f>+F24+F16</f>
        <v>965686314</v>
      </c>
    </row>
    <row r="26" spans="2:6" s="10" customFormat="1" ht="15" customHeight="1">
      <c r="B26" s="190"/>
      <c r="C26" s="191"/>
      <c r="D26" s="191"/>
      <c r="E26" s="191"/>
    </row>
    <row r="27" spans="2:6" s="4" customFormat="1" ht="15" customHeight="1"/>
    <row r="28" spans="2:6" s="4" customFormat="1" ht="15" customHeight="1">
      <c r="C28" s="414" t="s">
        <v>230</v>
      </c>
      <c r="D28" s="414"/>
      <c r="E28" s="414"/>
    </row>
    <row r="29" spans="2:6" s="4" customFormat="1" ht="21" customHeight="1">
      <c r="B29" s="412" t="s">
        <v>16</v>
      </c>
      <c r="C29" s="412"/>
      <c r="D29" s="412"/>
      <c r="E29" s="412"/>
      <c r="F29" s="412"/>
    </row>
    <row r="30" spans="2:6" s="4" customFormat="1" ht="39" thickBot="1">
      <c r="B30" s="192" t="s">
        <v>1</v>
      </c>
      <c r="C30" s="194" t="s">
        <v>150</v>
      </c>
      <c r="D30" s="193" t="s">
        <v>226</v>
      </c>
      <c r="E30" s="193" t="s">
        <v>259</v>
      </c>
      <c r="F30" s="193" t="s">
        <v>306</v>
      </c>
    </row>
    <row r="31" spans="2:6" s="4" customFormat="1" ht="15" customHeight="1">
      <c r="B31" s="14" t="s">
        <v>17</v>
      </c>
      <c r="C31" s="211">
        <v>174534000</v>
      </c>
      <c r="D31" s="211">
        <v>168006000</v>
      </c>
      <c r="E31" s="211">
        <v>172604200</v>
      </c>
      <c r="F31" s="211">
        <f>+'4.sz.mell.'!E60</f>
        <v>241707929</v>
      </c>
    </row>
    <row r="32" spans="2:6" s="4" customFormat="1" ht="15" customHeight="1">
      <c r="B32" s="15" t="s">
        <v>18</v>
      </c>
      <c r="C32" s="212">
        <v>41100000</v>
      </c>
      <c r="D32" s="212">
        <v>35676000</v>
      </c>
      <c r="E32" s="212">
        <v>32695500</v>
      </c>
      <c r="F32" s="212">
        <f>+'4.sz.mell.'!G60</f>
        <v>41911788</v>
      </c>
    </row>
    <row r="33" spans="2:6" s="4" customFormat="1" ht="15" customHeight="1">
      <c r="B33" s="15" t="s">
        <v>19</v>
      </c>
      <c r="C33" s="212">
        <v>136780000</v>
      </c>
      <c r="D33" s="212">
        <v>135888000</v>
      </c>
      <c r="E33" s="212">
        <v>135629000</v>
      </c>
      <c r="F33" s="212">
        <f>+'4.sz.mell.'!I60</f>
        <v>162567875</v>
      </c>
    </row>
    <row r="34" spans="2:6" s="4" customFormat="1" ht="15" customHeight="1">
      <c r="B34" s="15" t="s">
        <v>20</v>
      </c>
      <c r="C34" s="212">
        <v>75660000</v>
      </c>
      <c r="D34" s="212">
        <v>74910000</v>
      </c>
      <c r="E34" s="212">
        <f>72104709+2880000</f>
        <v>74984709</v>
      </c>
      <c r="F34" s="212">
        <f>+'1.sz.mell.'!D80+'1.sz.mell.'!D81</f>
        <v>75929098</v>
      </c>
    </row>
    <row r="35" spans="2:6" s="4" customFormat="1" ht="15" customHeight="1">
      <c r="B35" s="16" t="s">
        <v>227</v>
      </c>
      <c r="C35" s="212">
        <v>6900000</v>
      </c>
      <c r="D35" s="212">
        <v>3000000</v>
      </c>
      <c r="E35" s="212">
        <v>3781000</v>
      </c>
      <c r="F35" s="212">
        <f>+'4.sz.mell.'!M60</f>
        <v>4378145</v>
      </c>
    </row>
    <row r="36" spans="2:6" s="4" customFormat="1" ht="15" customHeight="1">
      <c r="B36" s="16" t="s">
        <v>449</v>
      </c>
      <c r="C36" s="213">
        <v>0</v>
      </c>
      <c r="D36" s="213">
        <v>0</v>
      </c>
      <c r="E36" s="213">
        <v>0</v>
      </c>
      <c r="F36" s="213">
        <f>+'1.sz.mell.'!D77</f>
        <v>31326</v>
      </c>
    </row>
    <row r="37" spans="2:6" s="4" customFormat="1" ht="15" customHeight="1">
      <c r="B37" s="16" t="s">
        <v>228</v>
      </c>
      <c r="C37" s="213">
        <v>0</v>
      </c>
      <c r="D37" s="213">
        <v>9097933</v>
      </c>
      <c r="E37" s="213">
        <v>9649634</v>
      </c>
      <c r="F37" s="213">
        <f>+'4.sz.mell.'!Q60</f>
        <v>9649634</v>
      </c>
    </row>
    <row r="38" spans="2:6" s="4" customFormat="1" ht="15" customHeight="1">
      <c r="B38" s="16" t="s">
        <v>450</v>
      </c>
      <c r="C38" s="213">
        <v>0</v>
      </c>
      <c r="D38" s="213">
        <v>0</v>
      </c>
      <c r="E38" s="213">
        <v>0</v>
      </c>
      <c r="F38" s="213">
        <f>+'1.sz.mell.'!D79</f>
        <v>743685</v>
      </c>
    </row>
    <row r="39" spans="2:6" s="4" customFormat="1" ht="15" customHeight="1">
      <c r="B39" s="16" t="s">
        <v>21</v>
      </c>
      <c r="C39" s="213">
        <v>2500000</v>
      </c>
      <c r="D39" s="213">
        <v>2000000</v>
      </c>
      <c r="E39" s="213">
        <v>1415952</v>
      </c>
      <c r="F39" s="213">
        <f>+'1.sz.mell.'!D83</f>
        <v>99540</v>
      </c>
    </row>
    <row r="40" spans="2:6" s="4" customFormat="1" ht="15" customHeight="1" thickBot="1">
      <c r="B40" s="16" t="s">
        <v>22</v>
      </c>
      <c r="C40" s="214">
        <v>2500000</v>
      </c>
      <c r="D40" s="214">
        <v>1000867</v>
      </c>
      <c r="E40" s="214">
        <v>90687347</v>
      </c>
      <c r="F40" s="214">
        <f>+'1.sz.mell.'!D84</f>
        <v>70379265</v>
      </c>
    </row>
    <row r="41" spans="2:6" s="4" customFormat="1" ht="15" customHeight="1" thickBot="1">
      <c r="B41" s="17" t="s">
        <v>23</v>
      </c>
      <c r="C41" s="215">
        <f>SUM(C31:C40)</f>
        <v>439974000</v>
      </c>
      <c r="D41" s="215">
        <f>SUM(D31:D40)</f>
        <v>429578800</v>
      </c>
      <c r="E41" s="215">
        <f>SUM(E31:E40)</f>
        <v>521447342</v>
      </c>
      <c r="F41" s="215">
        <f>SUM(F31:F40)</f>
        <v>607398285</v>
      </c>
    </row>
    <row r="42" spans="2:6" s="4" customFormat="1" ht="15" customHeight="1">
      <c r="B42" s="14" t="s">
        <v>24</v>
      </c>
      <c r="C42" s="211">
        <v>41974000</v>
      </c>
      <c r="D42" s="211">
        <v>86864000</v>
      </c>
      <c r="E42" s="211">
        <v>50435066</v>
      </c>
      <c r="F42" s="211">
        <f>+'4.sz.mell.'!W60</f>
        <v>94717680</v>
      </c>
    </row>
    <row r="43" spans="2:6" s="4" customFormat="1" ht="15" customHeight="1">
      <c r="B43" s="15" t="s">
        <v>212</v>
      </c>
      <c r="C43" s="212">
        <v>4186000</v>
      </c>
      <c r="D43" s="212">
        <v>7619000</v>
      </c>
      <c r="E43" s="212">
        <v>277013347</v>
      </c>
      <c r="F43" s="212">
        <f>+'4.sz.mell.'!U60</f>
        <v>263570349</v>
      </c>
    </row>
    <row r="44" spans="2:6" s="4" customFormat="1" ht="15" customHeight="1" thickBot="1">
      <c r="B44" s="16" t="s">
        <v>211</v>
      </c>
      <c r="C44" s="213">
        <v>46016000</v>
      </c>
      <c r="D44" s="213">
        <v>0</v>
      </c>
      <c r="E44" s="213">
        <v>0</v>
      </c>
      <c r="F44" s="213">
        <v>0</v>
      </c>
    </row>
    <row r="45" spans="2:6" s="4" customFormat="1" ht="15" customHeight="1" thickBot="1">
      <c r="B45" s="17" t="s">
        <v>25</v>
      </c>
      <c r="C45" s="215">
        <f>SUM(C42:C44)</f>
        <v>92176000</v>
      </c>
      <c r="D45" s="215">
        <f>SUM(D42:D44)</f>
        <v>94483000</v>
      </c>
      <c r="E45" s="215">
        <f>SUM(E42:E44)</f>
        <v>327448413</v>
      </c>
      <c r="F45" s="215">
        <f>SUM(F42:F44)</f>
        <v>358288029</v>
      </c>
    </row>
    <row r="46" spans="2:6" s="19" customFormat="1" ht="18.75" customHeight="1" thickBot="1">
      <c r="B46" s="18" t="s">
        <v>26</v>
      </c>
      <c r="C46" s="216">
        <f>SUM(C41,C45)</f>
        <v>532150000</v>
      </c>
      <c r="D46" s="216">
        <f>SUM(D41,D45)</f>
        <v>524061800</v>
      </c>
      <c r="E46" s="216">
        <f>SUM(E41,E45)</f>
        <v>848895755</v>
      </c>
      <c r="F46" s="216">
        <f>SUM(F41,F45)</f>
        <v>965686314</v>
      </c>
    </row>
    <row r="47" spans="2:6">
      <c r="F47" s="384"/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U28"/>
  <sheetViews>
    <sheetView view="pageBreakPreview" topLeftCell="A13" zoomScaleNormal="100" zoomScaleSheetLayoutView="100" workbookViewId="0">
      <selection activeCell="L3" sqref="L3"/>
    </sheetView>
  </sheetViews>
  <sheetFormatPr defaultRowHeight="15"/>
  <cols>
    <col min="1" max="1" width="4.140625" style="34" bestFit="1" customWidth="1"/>
    <col min="2" max="2" width="40" style="34" customWidth="1"/>
    <col min="3" max="4" width="12.42578125" style="27" bestFit="1" customWidth="1"/>
    <col min="5" max="5" width="11.28515625" style="27" bestFit="1" customWidth="1"/>
    <col min="6" max="8" width="12.42578125" style="27" bestFit="1" customWidth="1"/>
    <col min="9" max="9" width="11.28515625" style="27" bestFit="1" customWidth="1"/>
    <col min="10" max="11" width="12.42578125" style="27" bestFit="1" customWidth="1"/>
    <col min="12" max="12" width="14" style="27" bestFit="1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407" t="s">
        <v>474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29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430" t="s">
        <v>260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108"/>
      <c r="R2" s="108"/>
      <c r="S2" s="108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97" t="s">
        <v>225</v>
      </c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424" t="s">
        <v>27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6"/>
      <c r="O4" s="217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431" t="s">
        <v>29</v>
      </c>
      <c r="B5" s="431"/>
      <c r="C5" s="422" t="s">
        <v>30</v>
      </c>
      <c r="D5" s="423"/>
      <c r="E5" s="422" t="s">
        <v>31</v>
      </c>
      <c r="F5" s="423"/>
      <c r="G5" s="422" t="s">
        <v>32</v>
      </c>
      <c r="H5" s="423"/>
      <c r="I5" s="422" t="s">
        <v>451</v>
      </c>
      <c r="J5" s="423"/>
      <c r="K5" s="420" t="s">
        <v>151</v>
      </c>
      <c r="L5" s="421"/>
      <c r="M5" s="422" t="s">
        <v>139</v>
      </c>
      <c r="N5" s="423"/>
      <c r="O5" s="422" t="s">
        <v>308</v>
      </c>
      <c r="P5" s="423"/>
      <c r="Q5" s="422" t="s">
        <v>453</v>
      </c>
      <c r="R5" s="423"/>
      <c r="X5" s="29"/>
      <c r="Y5" s="29"/>
      <c r="Z5" s="29"/>
      <c r="AA5" s="29"/>
      <c r="AB5" s="29"/>
      <c r="AC5" s="29"/>
      <c r="AD5" s="29"/>
      <c r="AE5" s="29"/>
      <c r="AF5" s="29"/>
      <c r="AG5" s="427"/>
      <c r="AH5" s="427"/>
      <c r="AI5" s="427"/>
      <c r="AJ5" s="30"/>
      <c r="AK5" s="30"/>
      <c r="AL5" s="30"/>
    </row>
    <row r="6" spans="1:45" ht="36" customHeight="1" thickBot="1">
      <c r="A6" s="152" t="s">
        <v>36</v>
      </c>
      <c r="B6" s="153"/>
      <c r="C6" s="325" t="s">
        <v>37</v>
      </c>
      <c r="D6" s="325" t="s">
        <v>307</v>
      </c>
      <c r="E6" s="325" t="s">
        <v>37</v>
      </c>
      <c r="F6" s="325" t="s">
        <v>307</v>
      </c>
      <c r="G6" s="325" t="s">
        <v>37</v>
      </c>
      <c r="H6" s="325" t="s">
        <v>307</v>
      </c>
      <c r="I6" s="315" t="s">
        <v>37</v>
      </c>
      <c r="J6" s="325" t="s">
        <v>307</v>
      </c>
      <c r="K6" s="169" t="s">
        <v>153</v>
      </c>
      <c r="L6" s="169" t="s">
        <v>307</v>
      </c>
      <c r="M6" s="325" t="s">
        <v>37</v>
      </c>
      <c r="N6" s="169" t="s">
        <v>307</v>
      </c>
      <c r="O6" s="325" t="s">
        <v>37</v>
      </c>
      <c r="P6" s="169" t="s">
        <v>307</v>
      </c>
      <c r="Q6" s="167" t="s">
        <v>154</v>
      </c>
      <c r="R6" s="167" t="s">
        <v>307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1"/>
    </row>
    <row r="7" spans="1:45" s="348" customFormat="1" ht="30" customHeight="1" thickBot="1">
      <c r="A7" s="327" t="s">
        <v>38</v>
      </c>
      <c r="B7" s="347" t="s">
        <v>111</v>
      </c>
      <c r="C7" s="326">
        <v>31495000</v>
      </c>
      <c r="D7" s="326">
        <f>+'4a.sz.mell.'!E37</f>
        <v>33573115</v>
      </c>
      <c r="E7" s="326">
        <v>59200000</v>
      </c>
      <c r="F7" s="326">
        <f>+'4a.sz.mell.'!O37</f>
        <v>59200000</v>
      </c>
      <c r="G7" s="326">
        <v>323301598</v>
      </c>
      <c r="H7" s="326">
        <f>+'4a.sz.mell.'!G37</f>
        <v>352859215</v>
      </c>
      <c r="I7" s="328">
        <v>0</v>
      </c>
      <c r="J7" s="328">
        <v>0</v>
      </c>
      <c r="K7" s="350">
        <v>0</v>
      </c>
      <c r="L7" s="350">
        <f>+'4a.sz.mell.'!M37</f>
        <v>0</v>
      </c>
      <c r="M7" s="326">
        <v>163821551</v>
      </c>
      <c r="N7" s="326">
        <f>+'4a.sz.mell.'!K37</f>
        <v>163927016</v>
      </c>
      <c r="O7" s="344">
        <f>+M7+K7+I7+G7+E7+C7</f>
        <v>577818149</v>
      </c>
      <c r="P7" s="344">
        <f>+D7+F7+H7+J7+L7+N7</f>
        <v>609559346</v>
      </c>
      <c r="Q7" s="356">
        <f>+O7-K7</f>
        <v>577818149</v>
      </c>
      <c r="R7" s="356">
        <f>+P7-L7</f>
        <v>609559346</v>
      </c>
      <c r="S7" s="27"/>
      <c r="T7" s="27"/>
      <c r="U7" s="27"/>
      <c r="V7" s="27"/>
      <c r="W7" s="27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1"/>
      <c r="AJ7" s="31"/>
      <c r="AK7" s="31"/>
    </row>
    <row r="8" spans="1:45" s="348" customFormat="1" ht="30" customHeight="1" thickBot="1">
      <c r="A8" s="327" t="s">
        <v>39</v>
      </c>
      <c r="B8" s="347" t="s">
        <v>40</v>
      </c>
      <c r="C8" s="326">
        <v>1000000</v>
      </c>
      <c r="D8" s="326">
        <f>+'4a.sz.mell.'!E43</f>
        <v>1028350</v>
      </c>
      <c r="E8" s="326">
        <v>70000</v>
      </c>
      <c r="F8" s="326">
        <f>+'4a.sz.mell.'!N43</f>
        <v>70000</v>
      </c>
      <c r="G8" s="326">
        <v>954210</v>
      </c>
      <c r="H8" s="326">
        <f>+'4a.sz.mell.'!G43</f>
        <v>2323693</v>
      </c>
      <c r="I8" s="328">
        <v>0</v>
      </c>
      <c r="J8" s="328">
        <v>0</v>
      </c>
      <c r="K8" s="350">
        <v>81780606</v>
      </c>
      <c r="L8" s="350">
        <f>+'4a.sz.mell.'!M43</f>
        <v>99884349</v>
      </c>
      <c r="M8" s="326">
        <v>210184</v>
      </c>
      <c r="N8" s="326">
        <f>+'4a.sz.mell.'!K43</f>
        <v>181834</v>
      </c>
      <c r="O8" s="344">
        <f>+M8+K8+I8+G8+E8+C8</f>
        <v>84015000</v>
      </c>
      <c r="P8" s="344">
        <f>+D8+F8+H8+J8+L8+N8</f>
        <v>103488226</v>
      </c>
      <c r="Q8" s="356">
        <f t="shared" ref="Q8:Q11" si="0">+O8-K8</f>
        <v>2234394</v>
      </c>
      <c r="R8" s="356">
        <f t="shared" ref="R8:R11" si="1">+P8-L8</f>
        <v>3603877</v>
      </c>
      <c r="S8" s="27"/>
      <c r="T8" s="27"/>
      <c r="U8" s="27"/>
      <c r="V8" s="27"/>
      <c r="W8" s="27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1"/>
      <c r="AJ8" s="31"/>
      <c r="AK8" s="31"/>
    </row>
    <row r="9" spans="1:45" s="348" customFormat="1" ht="30" customHeight="1" thickBot="1">
      <c r="A9" s="327" t="s">
        <v>41</v>
      </c>
      <c r="B9" s="347" t="s">
        <v>135</v>
      </c>
      <c r="C9" s="326">
        <v>280000</v>
      </c>
      <c r="D9" s="326">
        <f>+'4a.sz.mell.'!E46</f>
        <v>696000</v>
      </c>
      <c r="E9" s="326">
        <v>0</v>
      </c>
      <c r="F9" s="326">
        <f>+'4a.sz.mell.'!O46</f>
        <v>0</v>
      </c>
      <c r="G9" s="326">
        <v>0</v>
      </c>
      <c r="H9" s="326">
        <f>+'4a.sz.mell.'!G46</f>
        <v>0</v>
      </c>
      <c r="I9" s="328">
        <v>0</v>
      </c>
      <c r="J9" s="328">
        <v>0</v>
      </c>
      <c r="K9" s="350">
        <v>14388813</v>
      </c>
      <c r="L9" s="350">
        <f>+'4a.sz.mell.'!M46</f>
        <v>14388813</v>
      </c>
      <c r="M9" s="326">
        <v>126187</v>
      </c>
      <c r="N9" s="326">
        <f>+'4a.sz.mell.'!K46</f>
        <v>126187</v>
      </c>
      <c r="O9" s="344">
        <f>+M9+K9+I9+G9+E9+C9</f>
        <v>14795000</v>
      </c>
      <c r="P9" s="344">
        <f>+D9+F9+H9+J9+L9+N9</f>
        <v>15211000</v>
      </c>
      <c r="Q9" s="356">
        <f t="shared" si="0"/>
        <v>406187</v>
      </c>
      <c r="R9" s="356">
        <f t="shared" si="1"/>
        <v>822187</v>
      </c>
      <c r="S9" s="27"/>
      <c r="T9" s="27"/>
      <c r="U9" s="27"/>
      <c r="V9" s="27"/>
      <c r="W9" s="2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1"/>
      <c r="AJ9" s="31"/>
      <c r="AK9" s="31"/>
    </row>
    <row r="10" spans="1:45" s="348" customFormat="1" ht="30" customHeight="1" thickBot="1">
      <c r="A10" s="327" t="s">
        <v>43</v>
      </c>
      <c r="B10" s="347" t="s">
        <v>136</v>
      </c>
      <c r="C10" s="326">
        <v>140000</v>
      </c>
      <c r="D10" s="326">
        <f>+'4a.sz.mell.'!E50</f>
        <v>140000</v>
      </c>
      <c r="E10" s="326">
        <v>0</v>
      </c>
      <c r="F10" s="326">
        <f>+'4a.sz.mell.'!O50</f>
        <v>0</v>
      </c>
      <c r="G10" s="326">
        <v>2800000</v>
      </c>
      <c r="H10" s="326">
        <f>+'4a.sz.mell.'!G50</f>
        <v>2800000</v>
      </c>
      <c r="I10" s="328">
        <v>0</v>
      </c>
      <c r="J10" s="328">
        <v>0</v>
      </c>
      <c r="K10" s="350">
        <v>3125119</v>
      </c>
      <c r="L10" s="350">
        <f>+'4a.sz.mell.'!M50</f>
        <v>3125119</v>
      </c>
      <c r="M10" s="326">
        <v>775581</v>
      </c>
      <c r="N10" s="326">
        <f>+'4a.sz.mell.'!K50</f>
        <v>775581</v>
      </c>
      <c r="O10" s="344">
        <f>+M10+K10+I10+G10+E10+C10</f>
        <v>6840700</v>
      </c>
      <c r="P10" s="344">
        <f>+D10+F10+H10+J10+L10+N10</f>
        <v>6840700</v>
      </c>
      <c r="Q10" s="356">
        <f t="shared" si="0"/>
        <v>3715581</v>
      </c>
      <c r="R10" s="356">
        <f t="shared" si="1"/>
        <v>3715581</v>
      </c>
      <c r="S10" s="27"/>
      <c r="T10" s="27"/>
      <c r="U10" s="27"/>
      <c r="V10" s="27"/>
      <c r="W10" s="2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1"/>
      <c r="AJ10" s="31"/>
      <c r="AK10" s="31"/>
    </row>
    <row r="11" spans="1:45" s="348" customFormat="1" ht="30" customHeight="1" thickBot="1">
      <c r="A11" s="327" t="s">
        <v>133</v>
      </c>
      <c r="B11" s="349" t="s">
        <v>140</v>
      </c>
      <c r="C11" s="326">
        <v>19294000</v>
      </c>
      <c r="D11" s="326">
        <f>+'4a.sz.mell.'!E60</f>
        <v>21205559</v>
      </c>
      <c r="E11" s="326">
        <v>0</v>
      </c>
      <c r="F11" s="326">
        <f>+'4a.sz.mell.'!O60</f>
        <v>0</v>
      </c>
      <c r="G11" s="326">
        <v>0</v>
      </c>
      <c r="H11" s="326">
        <f>+'4a.sz.mell.'!G60</f>
        <v>0</v>
      </c>
      <c r="I11" s="328">
        <v>0</v>
      </c>
      <c r="J11" s="328">
        <v>0</v>
      </c>
      <c r="K11" s="350">
        <v>91610790</v>
      </c>
      <c r="L11" s="350">
        <f>+'4a.sz.mell.'!M60</f>
        <v>93209223</v>
      </c>
      <c r="M11" s="326">
        <v>569210</v>
      </c>
      <c r="N11" s="326">
        <f>+'4a.sz.mell.'!K60</f>
        <v>569210</v>
      </c>
      <c r="O11" s="344">
        <f>+M11+K11+I11+G11+E11+C11</f>
        <v>111474000</v>
      </c>
      <c r="P11" s="344">
        <f>+D11+F11+H11+J11+L11+N11</f>
        <v>114983992</v>
      </c>
      <c r="Q11" s="356">
        <f t="shared" si="0"/>
        <v>19863210</v>
      </c>
      <c r="R11" s="356">
        <f t="shared" si="1"/>
        <v>21774769</v>
      </c>
      <c r="S11" s="27"/>
      <c r="T11" s="27"/>
      <c r="U11" s="27"/>
      <c r="V11" s="27"/>
      <c r="W11" s="27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1"/>
      <c r="AJ11" s="31"/>
      <c r="AK11" s="31"/>
    </row>
    <row r="12" spans="1:45" s="348" customFormat="1" ht="36.75" customHeight="1" thickBot="1">
      <c r="A12" s="428" t="s">
        <v>44</v>
      </c>
      <c r="B12" s="428"/>
      <c r="C12" s="324">
        <f>SUM(C7:C11)</f>
        <v>52209000</v>
      </c>
      <c r="D12" s="324">
        <f t="shared" ref="D12:M12" si="2">SUM(D7:D11)</f>
        <v>56643024</v>
      </c>
      <c r="E12" s="324">
        <f t="shared" si="2"/>
        <v>59270000</v>
      </c>
      <c r="F12" s="324">
        <f t="shared" si="2"/>
        <v>59270000</v>
      </c>
      <c r="G12" s="324">
        <f t="shared" si="2"/>
        <v>327055808</v>
      </c>
      <c r="H12" s="324">
        <f t="shared" si="2"/>
        <v>357982908</v>
      </c>
      <c r="I12" s="324">
        <f t="shared" si="2"/>
        <v>0</v>
      </c>
      <c r="J12" s="324">
        <f t="shared" si="2"/>
        <v>0</v>
      </c>
      <c r="K12" s="324">
        <f>SUM(K7:K11)</f>
        <v>190905328</v>
      </c>
      <c r="L12" s="324">
        <f t="shared" si="2"/>
        <v>210607504</v>
      </c>
      <c r="M12" s="324">
        <f t="shared" si="2"/>
        <v>165502713</v>
      </c>
      <c r="N12" s="324">
        <f>SUM(N7:N11)</f>
        <v>165579828</v>
      </c>
      <c r="O12" s="344">
        <f>SUM(O7:O11)</f>
        <v>794942849</v>
      </c>
      <c r="P12" s="344">
        <f>SUM(P7:P11)</f>
        <v>850083264</v>
      </c>
      <c r="Q12" s="356">
        <f>SUM(Q7:Q11)</f>
        <v>604037521</v>
      </c>
      <c r="R12" s="356">
        <f>SUM(R7:R11)</f>
        <v>639475760</v>
      </c>
      <c r="S12" s="27"/>
      <c r="T12" s="27"/>
      <c r="U12" s="27"/>
      <c r="V12" s="27"/>
      <c r="W12" s="27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5">
      <c r="AM13" s="27"/>
      <c r="AN13" s="27"/>
      <c r="AO13" s="27"/>
      <c r="AP13" s="27"/>
      <c r="AQ13" s="27"/>
    </row>
    <row r="14" spans="1:45" hidden="1">
      <c r="D14" s="27">
        <f>+'4a.sz.mell.'!E61</f>
        <v>56643024</v>
      </c>
      <c r="F14" s="27">
        <f>+'4a.sz.mell.'!O61</f>
        <v>59270000</v>
      </c>
      <c r="H14" s="27">
        <f>+'4a.sz.mell.'!G61</f>
        <v>357982908</v>
      </c>
      <c r="L14" s="27">
        <f>+'4a.sz.mell.'!M61</f>
        <v>210607504</v>
      </c>
      <c r="N14" s="27">
        <f>+'4a.sz.mell.'!K61</f>
        <v>165579828</v>
      </c>
      <c r="P14" s="27">
        <f>+'4a.sz.mell.'!Q61-'4a.sz.mell.'!I61</f>
        <v>850083264</v>
      </c>
      <c r="R14" s="27">
        <f>+'4a.sz.mell.'!Q61-'4a.sz.mell.'!I61-'4a.sz.mell.'!M61</f>
        <v>639475760</v>
      </c>
      <c r="AM14" s="27"/>
      <c r="AN14" s="27"/>
      <c r="AO14" s="27"/>
      <c r="AP14" s="27"/>
      <c r="AQ14" s="27"/>
    </row>
    <row r="15" spans="1:45"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7" ht="15.75" customHeight="1" thickBot="1">
      <c r="A17" s="418" t="s">
        <v>28</v>
      </c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AM17" s="27"/>
      <c r="AN17" s="27"/>
      <c r="AO17" s="27"/>
      <c r="AP17" s="27"/>
      <c r="AQ17" s="27"/>
    </row>
    <row r="18" spans="1:47" ht="99.95" customHeight="1" thickBot="1">
      <c r="A18" s="433" t="s">
        <v>29</v>
      </c>
      <c r="B18" s="434"/>
      <c r="C18" s="422" t="s">
        <v>193</v>
      </c>
      <c r="D18" s="423"/>
      <c r="E18" s="422" t="s">
        <v>137</v>
      </c>
      <c r="F18" s="423"/>
      <c r="G18" s="422" t="s">
        <v>138</v>
      </c>
      <c r="H18" s="423"/>
      <c r="I18" s="422" t="s">
        <v>33</v>
      </c>
      <c r="J18" s="423"/>
      <c r="K18" s="420" t="s">
        <v>152</v>
      </c>
      <c r="L18" s="421"/>
      <c r="M18" s="422" t="s">
        <v>34</v>
      </c>
      <c r="N18" s="423"/>
      <c r="O18" s="422" t="s">
        <v>452</v>
      </c>
      <c r="P18" s="423"/>
      <c r="Q18" s="422" t="s">
        <v>228</v>
      </c>
      <c r="R18" s="423"/>
      <c r="S18" s="422" t="s">
        <v>35</v>
      </c>
      <c r="T18" s="423"/>
      <c r="U18" s="416" t="s">
        <v>155</v>
      </c>
      <c r="V18" s="417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 ht="26.25" thickBot="1">
      <c r="A19" s="152" t="s">
        <v>36</v>
      </c>
      <c r="B19" s="153"/>
      <c r="C19" s="325" t="s">
        <v>37</v>
      </c>
      <c r="D19" s="325" t="s">
        <v>307</v>
      </c>
      <c r="E19" s="325" t="s">
        <v>37</v>
      </c>
      <c r="F19" s="325" t="s">
        <v>307</v>
      </c>
      <c r="G19" s="325" t="s">
        <v>37</v>
      </c>
      <c r="H19" s="325" t="s">
        <v>307</v>
      </c>
      <c r="I19" s="314" t="s">
        <v>37</v>
      </c>
      <c r="J19" s="325" t="s">
        <v>307</v>
      </c>
      <c r="K19" s="169" t="s">
        <v>153</v>
      </c>
      <c r="L19" s="325" t="s">
        <v>307</v>
      </c>
      <c r="M19" s="325" t="s">
        <v>37</v>
      </c>
      <c r="N19" s="325" t="s">
        <v>307</v>
      </c>
      <c r="O19" s="325" t="s">
        <v>37</v>
      </c>
      <c r="P19" s="325" t="s">
        <v>307</v>
      </c>
      <c r="Q19" s="314" t="s">
        <v>153</v>
      </c>
      <c r="R19" s="325" t="s">
        <v>307</v>
      </c>
      <c r="S19" s="325" t="s">
        <v>37</v>
      </c>
      <c r="T19" s="325" t="s">
        <v>307</v>
      </c>
      <c r="U19" s="345" t="s">
        <v>153</v>
      </c>
      <c r="V19" s="346" t="s">
        <v>307</v>
      </c>
      <c r="AM19" s="27"/>
      <c r="AN19" s="27"/>
      <c r="AO19" s="27"/>
      <c r="AP19" s="27"/>
      <c r="AQ19" s="27"/>
      <c r="AR19" s="27"/>
      <c r="AS19" s="27"/>
      <c r="AT19" s="27"/>
      <c r="AU19" s="27"/>
    </row>
    <row r="20" spans="1:47" ht="30" customHeight="1" thickBot="1">
      <c r="A20" s="154" t="s">
        <v>38</v>
      </c>
      <c r="B20" s="155" t="s">
        <v>111</v>
      </c>
      <c r="C20" s="326">
        <v>64952000</v>
      </c>
      <c r="D20" s="326">
        <f>+'4.sz.mell.'!E41</f>
        <v>119516824</v>
      </c>
      <c r="E20" s="326">
        <v>11769000</v>
      </c>
      <c r="F20" s="351">
        <f>+'4.sz.mell.'!G41</f>
        <v>18318770</v>
      </c>
      <c r="G20" s="351">
        <v>47579000</v>
      </c>
      <c r="H20" s="351">
        <f>+'4.sz.mell.'!I41</f>
        <v>73586890</v>
      </c>
      <c r="I20" s="351">
        <f>72104709+2860000</f>
        <v>74964709</v>
      </c>
      <c r="J20" s="351">
        <f>+'4.sz.mell.'!K41</f>
        <v>75872839</v>
      </c>
      <c r="K20" s="352">
        <f>+K12</f>
        <v>190905328</v>
      </c>
      <c r="L20" s="352">
        <f>+'4a.sz.mell.'!M61</f>
        <v>210607504</v>
      </c>
      <c r="M20" s="351">
        <v>3781000</v>
      </c>
      <c r="N20" s="351">
        <f>+'4.sz.mell.'!M60</f>
        <v>4378145</v>
      </c>
      <c r="O20" s="351">
        <v>0</v>
      </c>
      <c r="P20" s="355">
        <f>+'4.sz.mell.'!S41</f>
        <v>743685</v>
      </c>
      <c r="Q20" s="351">
        <v>9649634</v>
      </c>
      <c r="R20" s="351">
        <f>+'4.sz.mell.'!Q60</f>
        <v>9649634</v>
      </c>
      <c r="S20" s="353">
        <f t="shared" ref="S20:S25" si="3">+Q20+M20+K20+I20+G20+E20+C20</f>
        <v>403600671</v>
      </c>
      <c r="T20" s="353">
        <f>+R20+N20+L20+J20+H20+F20+D20+P20</f>
        <v>512674291</v>
      </c>
      <c r="U20" s="354">
        <f>+S20-K20</f>
        <v>212695343</v>
      </c>
      <c r="V20" s="354">
        <f>+T20-L20</f>
        <v>302066787</v>
      </c>
      <c r="AM20" s="27"/>
      <c r="AN20" s="27"/>
      <c r="AO20" s="27"/>
      <c r="AP20" s="27"/>
      <c r="AQ20" s="27"/>
      <c r="AR20" s="27"/>
      <c r="AS20" s="27"/>
      <c r="AT20" s="27"/>
      <c r="AU20" s="27"/>
    </row>
    <row r="21" spans="1:47" ht="30" customHeight="1" thickBot="1">
      <c r="A21" s="154" t="s">
        <v>39</v>
      </c>
      <c r="B21" s="155" t="s">
        <v>40</v>
      </c>
      <c r="C21" s="326">
        <v>60095000</v>
      </c>
      <c r="D21" s="326">
        <f>+'4.sz.mell.'!E46</f>
        <v>74515205</v>
      </c>
      <c r="E21" s="326">
        <v>11710000</v>
      </c>
      <c r="F21" s="351">
        <f>+'4.sz.mell.'!G46</f>
        <v>14376518</v>
      </c>
      <c r="G21" s="351">
        <v>12210000</v>
      </c>
      <c r="H21" s="351">
        <f>+'4.sz.mell.'!I46</f>
        <v>12277970</v>
      </c>
      <c r="I21" s="351">
        <v>0</v>
      </c>
      <c r="J21" s="351">
        <f>+'4.sz.mell.'!K46</f>
        <v>67585</v>
      </c>
      <c r="K21" s="352">
        <v>0</v>
      </c>
      <c r="L21" s="352"/>
      <c r="M21" s="351">
        <v>0</v>
      </c>
      <c r="N21" s="351">
        <v>0</v>
      </c>
      <c r="O21" s="351">
        <v>0</v>
      </c>
      <c r="P21" s="351">
        <f>+'4.sz.mell.'!S46</f>
        <v>0</v>
      </c>
      <c r="Q21" s="351">
        <v>0</v>
      </c>
      <c r="R21" s="351">
        <v>0</v>
      </c>
      <c r="S21" s="353">
        <f t="shared" si="3"/>
        <v>84015000</v>
      </c>
      <c r="T21" s="353">
        <f t="shared" ref="T21:T25" si="4">+R21+N21+L21+J21+H21+F21+D21+P21</f>
        <v>101237278</v>
      </c>
      <c r="U21" s="354">
        <f>+S21</f>
        <v>84015000</v>
      </c>
      <c r="V21" s="354">
        <f>+T21-L21</f>
        <v>101237278</v>
      </c>
      <c r="AM21" s="27"/>
      <c r="AN21" s="27"/>
      <c r="AO21" s="27"/>
      <c r="AP21" s="27"/>
      <c r="AQ21" s="27"/>
      <c r="AR21" s="27"/>
      <c r="AS21" s="27"/>
      <c r="AT21" s="27"/>
      <c r="AU21" s="27"/>
    </row>
    <row r="22" spans="1:47" ht="30" customHeight="1" thickBot="1">
      <c r="A22" s="154" t="s">
        <v>41</v>
      </c>
      <c r="B22" s="155" t="s">
        <v>42</v>
      </c>
      <c r="C22" s="326">
        <v>6001000</v>
      </c>
      <c r="D22" s="326">
        <f>+'4.sz.mell.'!E48</f>
        <v>6001000</v>
      </c>
      <c r="E22" s="326">
        <v>1180000</v>
      </c>
      <c r="F22" s="351">
        <f>+'4.sz.mell.'!G48</f>
        <v>1180000</v>
      </c>
      <c r="G22" s="351">
        <v>7340000</v>
      </c>
      <c r="H22" s="351">
        <f>+'4.sz.mell.'!I48</f>
        <v>7172156</v>
      </c>
      <c r="I22" s="351">
        <v>20000</v>
      </c>
      <c r="J22" s="351">
        <f>+'4.sz.mell.'!K48</f>
        <v>20000</v>
      </c>
      <c r="K22" s="352">
        <v>0</v>
      </c>
      <c r="L22" s="352"/>
      <c r="M22" s="351">
        <v>0</v>
      </c>
      <c r="N22" s="351">
        <v>0</v>
      </c>
      <c r="O22" s="351">
        <v>0</v>
      </c>
      <c r="P22" s="351">
        <f>+'4.sz.mell.'!S48</f>
        <v>0</v>
      </c>
      <c r="Q22" s="351">
        <v>0</v>
      </c>
      <c r="R22" s="351">
        <v>0</v>
      </c>
      <c r="S22" s="353">
        <f t="shared" si="3"/>
        <v>14541000</v>
      </c>
      <c r="T22" s="353">
        <f t="shared" si="4"/>
        <v>14373156</v>
      </c>
      <c r="U22" s="354">
        <f>+S22</f>
        <v>14541000</v>
      </c>
      <c r="V22" s="354">
        <f>+T22-L22</f>
        <v>14373156</v>
      </c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7" ht="30" customHeight="1" thickBot="1">
      <c r="A23" s="154" t="s">
        <v>43</v>
      </c>
      <c r="B23" s="155" t="s">
        <v>136</v>
      </c>
      <c r="C23" s="326">
        <v>3725200</v>
      </c>
      <c r="D23" s="326">
        <f>+'4.sz.mell.'!E51</f>
        <v>3813900</v>
      </c>
      <c r="E23" s="326">
        <v>733500</v>
      </c>
      <c r="F23" s="351">
        <f>+'4.sz.mell.'!F51</f>
        <v>733500</v>
      </c>
      <c r="G23" s="351">
        <v>2160000</v>
      </c>
      <c r="H23" s="351">
        <f>+'4.sz.mell.'!I51</f>
        <v>2071300</v>
      </c>
      <c r="I23" s="351">
        <v>0</v>
      </c>
      <c r="J23" s="351">
        <v>0</v>
      </c>
      <c r="K23" s="352">
        <v>0</v>
      </c>
      <c r="L23" s="352"/>
      <c r="M23" s="351">
        <v>0</v>
      </c>
      <c r="N23" s="351">
        <v>0</v>
      </c>
      <c r="O23" s="351">
        <v>0</v>
      </c>
      <c r="P23" s="351">
        <f>+'4.sz.mell.'!S51</f>
        <v>0</v>
      </c>
      <c r="Q23" s="351">
        <v>0</v>
      </c>
      <c r="R23" s="351">
        <v>0</v>
      </c>
      <c r="S23" s="353">
        <f t="shared" si="3"/>
        <v>6618700</v>
      </c>
      <c r="T23" s="353">
        <f t="shared" si="4"/>
        <v>6618700</v>
      </c>
      <c r="U23" s="354">
        <f>+S23</f>
        <v>6618700</v>
      </c>
      <c r="V23" s="354">
        <f>+T23-L23</f>
        <v>6618700</v>
      </c>
      <c r="AM23" s="27"/>
      <c r="AN23" s="27"/>
      <c r="AO23" s="27"/>
      <c r="AP23" s="27"/>
      <c r="AQ23" s="27"/>
      <c r="AR23" s="27"/>
      <c r="AS23" s="27"/>
      <c r="AT23" s="27"/>
      <c r="AU23" s="27"/>
    </row>
    <row r="24" spans="1:47" ht="30" customHeight="1" thickBot="1">
      <c r="A24" s="154" t="s">
        <v>133</v>
      </c>
      <c r="B24" s="156" t="s">
        <v>140</v>
      </c>
      <c r="C24" s="326">
        <v>37831000</v>
      </c>
      <c r="D24" s="326">
        <f>+'4.sz.mell.'!E59</f>
        <v>37861000</v>
      </c>
      <c r="E24" s="326">
        <v>7303000</v>
      </c>
      <c r="F24" s="351">
        <f>+'4.sz.mell.'!G59</f>
        <v>7303000</v>
      </c>
      <c r="G24" s="351">
        <v>66340000</v>
      </c>
      <c r="H24" s="351">
        <f>+'4.sz.mell.'!I59</f>
        <v>67459559</v>
      </c>
      <c r="I24" s="351">
        <v>0</v>
      </c>
      <c r="J24" s="351">
        <v>0</v>
      </c>
      <c r="K24" s="352">
        <v>0</v>
      </c>
      <c r="L24" s="352"/>
      <c r="M24" s="351">
        <v>0</v>
      </c>
      <c r="N24" s="351">
        <v>0</v>
      </c>
      <c r="O24" s="351">
        <v>0</v>
      </c>
      <c r="P24" s="351">
        <f>+'4.sz.mell.'!S59</f>
        <v>0</v>
      </c>
      <c r="Q24" s="351">
        <v>0</v>
      </c>
      <c r="R24" s="351">
        <v>0</v>
      </c>
      <c r="S24" s="353">
        <f t="shared" si="3"/>
        <v>111474000</v>
      </c>
      <c r="T24" s="353">
        <f t="shared" si="4"/>
        <v>112623559</v>
      </c>
      <c r="U24" s="354">
        <f>+S24</f>
        <v>111474000</v>
      </c>
      <c r="V24" s="354">
        <f>+T24-L24</f>
        <v>112623559</v>
      </c>
      <c r="AM24" s="27"/>
      <c r="AN24" s="27"/>
      <c r="AO24" s="27"/>
      <c r="AP24" s="27"/>
      <c r="AQ24" s="27"/>
      <c r="AR24" s="27"/>
      <c r="AS24" s="27"/>
      <c r="AT24" s="27"/>
      <c r="AU24" s="27"/>
    </row>
    <row r="25" spans="1:47" ht="15.75" thickBot="1">
      <c r="A25" s="432" t="s">
        <v>44</v>
      </c>
      <c r="B25" s="432"/>
      <c r="C25" s="324">
        <f>SUM(C20:C24)</f>
        <v>172604200</v>
      </c>
      <c r="D25" s="324">
        <f>SUM(D20:D24)</f>
        <v>241707929</v>
      </c>
      <c r="E25" s="324">
        <f t="shared" ref="E25:G25" si="5">SUM(E20:E24)</f>
        <v>32695500</v>
      </c>
      <c r="F25" s="355">
        <f t="shared" si="5"/>
        <v>41911788</v>
      </c>
      <c r="G25" s="355">
        <f t="shared" si="5"/>
        <v>135629000</v>
      </c>
      <c r="H25" s="355">
        <f t="shared" ref="H25" si="6">SUM(H20:H24)</f>
        <v>162567875</v>
      </c>
      <c r="I25" s="355">
        <f t="shared" ref="I25" si="7">SUM(I20:I24)</f>
        <v>74984709</v>
      </c>
      <c r="J25" s="355">
        <f t="shared" ref="J25" si="8">SUM(J20:J24)</f>
        <v>75960424</v>
      </c>
      <c r="K25" s="355">
        <f t="shared" ref="K25" si="9">SUM(K20:K24)</f>
        <v>190905328</v>
      </c>
      <c r="L25" s="355">
        <f t="shared" ref="L25" si="10">SUM(L20:L24)</f>
        <v>210607504</v>
      </c>
      <c r="M25" s="355">
        <f t="shared" ref="M25:R25" si="11">SUM(M20:M24)</f>
        <v>3781000</v>
      </c>
      <c r="N25" s="355">
        <f t="shared" si="11"/>
        <v>4378145</v>
      </c>
      <c r="O25" s="355">
        <f t="shared" si="11"/>
        <v>0</v>
      </c>
      <c r="P25" s="355">
        <f t="shared" si="11"/>
        <v>743685</v>
      </c>
      <c r="Q25" s="355">
        <f t="shared" si="11"/>
        <v>9649634</v>
      </c>
      <c r="R25" s="355">
        <f t="shared" si="11"/>
        <v>9649634</v>
      </c>
      <c r="S25" s="353">
        <f t="shared" si="3"/>
        <v>620249371</v>
      </c>
      <c r="T25" s="353">
        <f t="shared" si="4"/>
        <v>747526984</v>
      </c>
      <c r="U25" s="354">
        <f>+S25-K25</f>
        <v>429344043</v>
      </c>
      <c r="V25" s="354">
        <f>+T25-L25</f>
        <v>536919480</v>
      </c>
      <c r="AM25" s="27"/>
      <c r="AN25" s="27"/>
      <c r="AO25" s="27"/>
      <c r="AP25" s="27"/>
      <c r="AQ25" s="27"/>
      <c r="AR25" s="27"/>
      <c r="AS25" s="27"/>
      <c r="AT25" s="27"/>
      <c r="AU25" s="27"/>
    </row>
    <row r="26" spans="1:47">
      <c r="AM26" s="27"/>
      <c r="AN26" s="27"/>
      <c r="AO26" s="27"/>
      <c r="AP26" s="27"/>
      <c r="AQ26" s="27"/>
      <c r="AR26" s="27"/>
      <c r="AS26" s="27"/>
    </row>
    <row r="27" spans="1:47">
      <c r="D27" s="27">
        <f>+'4.sz.mell.'!E60</f>
        <v>241707929</v>
      </c>
      <c r="F27" s="27">
        <f>+'4.sz.mell.'!G60</f>
        <v>41911788</v>
      </c>
      <c r="H27" s="27">
        <f>+'4.sz.mell.'!I60</f>
        <v>162567875</v>
      </c>
      <c r="J27" s="27">
        <f>+'4.sz.mell.'!K60</f>
        <v>75960424</v>
      </c>
      <c r="L27" s="27">
        <f>+'4a.sz.mell.'!M61</f>
        <v>210607504</v>
      </c>
      <c r="N27" s="27">
        <f>+'4.sz.mell.'!M60</f>
        <v>4378145</v>
      </c>
      <c r="P27" s="27">
        <f>+'4.sz.mell.'!S60</f>
        <v>743685</v>
      </c>
      <c r="R27" s="27">
        <f>+'4.sz.mell.'!Q60</f>
        <v>9649634</v>
      </c>
      <c r="T27" s="27">
        <f>+'4.sz.mell.'!Y60-'4.sz.mell.'!O60-'4.sz.mell.'!U60-'4.sz.mell.'!W60+'4a.sz.mell.'!P67</f>
        <v>747526984</v>
      </c>
      <c r="V27" s="27">
        <f>+'4.sz.mell.'!Y60-'4.sz.mell.'!W60-'4.sz.mell.'!U60-'4.sz.mell.'!O60</f>
        <v>536919480</v>
      </c>
      <c r="AM27" s="27"/>
      <c r="AN27" s="27"/>
      <c r="AO27" s="27"/>
      <c r="AP27" s="27"/>
      <c r="AQ27" s="27"/>
    </row>
    <row r="28" spans="1:47">
      <c r="AM28" s="27"/>
      <c r="AN28" s="27"/>
      <c r="AO28" s="27"/>
      <c r="AP28" s="27"/>
      <c r="AQ28" s="27"/>
    </row>
  </sheetData>
  <mergeCells count="27">
    <mergeCell ref="A25:B25"/>
    <mergeCell ref="S18:T18"/>
    <mergeCell ref="M18:N18"/>
    <mergeCell ref="A18:B18"/>
    <mergeCell ref="C18:D18"/>
    <mergeCell ref="E18:F18"/>
    <mergeCell ref="G18:H18"/>
    <mergeCell ref="O18:P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U18:V18"/>
    <mergeCell ref="A17:T17"/>
    <mergeCell ref="K5:L5"/>
    <mergeCell ref="Q5:R5"/>
    <mergeCell ref="I18:J18"/>
    <mergeCell ref="K18:L18"/>
    <mergeCell ref="Q18:R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Q64"/>
  <sheetViews>
    <sheetView zoomScale="80" zoomScaleNormal="80" workbookViewId="0">
      <pane xSplit="2" ySplit="5" topLeftCell="H12" activePane="bottomRight" state="frozen"/>
      <selection activeCell="B23" activeCellId="1" sqref="D10 B23"/>
      <selection pane="topRight" activeCell="B23" activeCellId="1" sqref="D10 B23"/>
      <selection pane="bottomLeft" activeCell="B23" activeCellId="1" sqref="D10 B23"/>
      <selection pane="bottomRight" activeCell="A2" sqref="A2:Z2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1" width="14.85546875" style="39" customWidth="1"/>
    <col min="12" max="13" width="16.85546875" style="39" customWidth="1"/>
    <col min="14" max="14" width="16.28515625" style="39" customWidth="1"/>
    <col min="15" max="15" width="14.85546875" style="39" customWidth="1"/>
    <col min="16" max="19" width="18.28515625" style="39" customWidth="1"/>
    <col min="20" max="20" width="15.42578125" style="39" customWidth="1"/>
    <col min="21" max="21" width="15.42578125" style="370" customWidth="1"/>
    <col min="22" max="22" width="16" style="39" customWidth="1"/>
    <col min="23" max="23" width="16" style="370" customWidth="1"/>
    <col min="24" max="25" width="18" style="39" customWidth="1"/>
    <col min="26" max="27" width="9.85546875" style="39" customWidth="1"/>
    <col min="28" max="28" width="15.85546875" style="39" customWidth="1"/>
    <col min="29" max="29" width="7.42578125" style="39" bestFit="1" customWidth="1"/>
    <col min="30" max="32" width="10.5703125" style="39" bestFit="1" customWidth="1"/>
    <col min="33" max="33" width="5.140625" style="45" bestFit="1" customWidth="1"/>
    <col min="34" max="34" width="7.140625" style="39" bestFit="1" customWidth="1"/>
    <col min="35" max="16384" width="8.85546875" style="37"/>
  </cols>
  <sheetData>
    <row r="1" spans="1:43" ht="15.75">
      <c r="A1" s="407" t="s">
        <v>475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35"/>
      <c r="AB1" s="35"/>
      <c r="AC1" s="35"/>
      <c r="AD1" s="35"/>
      <c r="AE1" s="35"/>
      <c r="AF1" s="35"/>
      <c r="AG1" s="35"/>
      <c r="AH1" s="36"/>
      <c r="AI1" s="35" t="s">
        <v>45</v>
      </c>
      <c r="AJ1" s="36"/>
    </row>
    <row r="2" spans="1:43" ht="33.75" customHeight="1">
      <c r="A2" s="448" t="s">
        <v>261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38"/>
    </row>
    <row r="3" spans="1:43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66"/>
      <c r="V3" s="41"/>
      <c r="W3" s="366"/>
      <c r="X3" s="41" t="s">
        <v>225</v>
      </c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2"/>
      <c r="AL3" s="42"/>
      <c r="AM3" s="42"/>
      <c r="AN3" s="43"/>
      <c r="AO3" s="39"/>
    </row>
    <row r="4" spans="1:43" ht="21" customHeight="1" thickBot="1">
      <c r="A4" s="449" t="s">
        <v>46</v>
      </c>
      <c r="B4" s="451" t="s">
        <v>223</v>
      </c>
      <c r="C4" s="453" t="s">
        <v>47</v>
      </c>
      <c r="D4" s="455" t="s">
        <v>209</v>
      </c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371"/>
      <c r="X4" s="457" t="s">
        <v>296</v>
      </c>
      <c r="Y4" s="446" t="s">
        <v>298</v>
      </c>
      <c r="Z4" s="435" t="s">
        <v>299</v>
      </c>
      <c r="AA4" s="435" t="s">
        <v>300</v>
      </c>
      <c r="AB4" s="37"/>
      <c r="AC4" s="37"/>
      <c r="AD4" s="37"/>
      <c r="AE4" s="37"/>
      <c r="AF4" s="37"/>
      <c r="AG4" s="37"/>
      <c r="AH4" s="37"/>
    </row>
    <row r="5" spans="1:43" ht="114" customHeight="1" thickBot="1">
      <c r="A5" s="450"/>
      <c r="B5" s="452"/>
      <c r="C5" s="454"/>
      <c r="D5" s="170" t="s">
        <v>408</v>
      </c>
      <c r="E5" s="170" t="s">
        <v>409</v>
      </c>
      <c r="F5" s="170" t="s">
        <v>410</v>
      </c>
      <c r="G5" s="170" t="s">
        <v>411</v>
      </c>
      <c r="H5" s="170" t="s">
        <v>406</v>
      </c>
      <c r="I5" s="170" t="s">
        <v>407</v>
      </c>
      <c r="J5" s="170" t="s">
        <v>424</v>
      </c>
      <c r="K5" s="170" t="s">
        <v>425</v>
      </c>
      <c r="L5" s="170" t="s">
        <v>420</v>
      </c>
      <c r="M5" s="170" t="s">
        <v>421</v>
      </c>
      <c r="N5" s="170" t="s">
        <v>414</v>
      </c>
      <c r="O5" s="170" t="s">
        <v>415</v>
      </c>
      <c r="P5" s="170" t="s">
        <v>418</v>
      </c>
      <c r="Q5" s="170" t="s">
        <v>419</v>
      </c>
      <c r="R5" s="170" t="s">
        <v>423</v>
      </c>
      <c r="S5" s="170" t="s">
        <v>422</v>
      </c>
      <c r="T5" s="170" t="s">
        <v>412</v>
      </c>
      <c r="U5" s="367" t="s">
        <v>413</v>
      </c>
      <c r="V5" s="170" t="s">
        <v>416</v>
      </c>
      <c r="W5" s="367" t="s">
        <v>417</v>
      </c>
      <c r="X5" s="458"/>
      <c r="Y5" s="447"/>
      <c r="Z5" s="436"/>
      <c r="AA5" s="436"/>
      <c r="AB5" s="37"/>
      <c r="AC5" s="37"/>
      <c r="AD5" s="37"/>
      <c r="AE5" s="37"/>
      <c r="AF5" s="37"/>
      <c r="AG5" s="37"/>
      <c r="AH5" s="37"/>
    </row>
    <row r="6" spans="1:43" ht="16.5" thickBot="1">
      <c r="A6" s="437" t="s">
        <v>38</v>
      </c>
      <c r="B6" s="171" t="s">
        <v>141</v>
      </c>
      <c r="C6" s="157" t="s">
        <v>177</v>
      </c>
      <c r="D6" s="281">
        <v>15388000</v>
      </c>
      <c r="E6" s="281">
        <v>15388000</v>
      </c>
      <c r="F6" s="281">
        <v>3352000</v>
      </c>
      <c r="G6" s="281">
        <v>3352000</v>
      </c>
      <c r="H6" s="281">
        <v>102000</v>
      </c>
      <c r="I6" s="281">
        <v>1957000</v>
      </c>
      <c r="J6" s="281">
        <v>0</v>
      </c>
      <c r="K6" s="281">
        <v>0</v>
      </c>
      <c r="L6" s="282">
        <v>0</v>
      </c>
      <c r="M6" s="309">
        <v>0</v>
      </c>
      <c r="N6" s="281">
        <v>92103299</v>
      </c>
      <c r="O6" s="317">
        <v>22110</v>
      </c>
      <c r="P6" s="282">
        <v>0</v>
      </c>
      <c r="Q6" s="309">
        <v>0</v>
      </c>
      <c r="R6" s="309">
        <v>0</v>
      </c>
      <c r="S6" s="309">
        <v>0</v>
      </c>
      <c r="T6" s="309">
        <v>0</v>
      </c>
      <c r="U6" s="288">
        <v>69979</v>
      </c>
      <c r="V6" s="309">
        <v>0</v>
      </c>
      <c r="W6" s="288">
        <v>0</v>
      </c>
      <c r="X6" s="283">
        <f>+V6+T6+P6+N6+L6+J6+H6+F6+D6+R6</f>
        <v>110945299</v>
      </c>
      <c r="Y6" s="323">
        <f>+W6+U6+Q6+O6+M6+K6+I6+G6+E6+S6</f>
        <v>20789089</v>
      </c>
      <c r="Z6" s="303">
        <v>1</v>
      </c>
      <c r="AA6" s="303">
        <v>1</v>
      </c>
      <c r="AB6" s="115"/>
      <c r="AC6" s="37"/>
      <c r="AD6" s="37"/>
      <c r="AE6" s="37"/>
      <c r="AF6" s="37"/>
      <c r="AG6" s="37"/>
      <c r="AH6" s="37"/>
    </row>
    <row r="7" spans="1:43" ht="16.5" thickBot="1">
      <c r="A7" s="437"/>
      <c r="B7" s="171" t="s">
        <v>158</v>
      </c>
      <c r="C7" s="157" t="s">
        <v>237</v>
      </c>
      <c r="D7" s="281">
        <v>0</v>
      </c>
      <c r="E7" s="281">
        <v>0</v>
      </c>
      <c r="F7" s="281">
        <v>0</v>
      </c>
      <c r="G7" s="281">
        <v>0</v>
      </c>
      <c r="H7" s="281">
        <v>533000</v>
      </c>
      <c r="I7" s="281">
        <v>533000</v>
      </c>
      <c r="J7" s="281">
        <v>0</v>
      </c>
      <c r="K7" s="281">
        <v>0</v>
      </c>
      <c r="L7" s="282">
        <v>0</v>
      </c>
      <c r="M7" s="309">
        <v>0</v>
      </c>
      <c r="N7" s="288">
        <v>0</v>
      </c>
      <c r="O7" s="288">
        <v>0</v>
      </c>
      <c r="P7" s="282">
        <v>0</v>
      </c>
      <c r="Q7" s="309">
        <v>0</v>
      </c>
      <c r="R7" s="309">
        <v>0</v>
      </c>
      <c r="S7" s="309">
        <v>0</v>
      </c>
      <c r="T7" s="309">
        <v>0</v>
      </c>
      <c r="U7" s="288">
        <v>0</v>
      </c>
      <c r="V7" s="309">
        <v>0</v>
      </c>
      <c r="W7" s="288">
        <v>0</v>
      </c>
      <c r="X7" s="283">
        <f t="shared" ref="X7:X30" si="0">+V7+T7+P7+N7+L7+J7+H7+F7+D7+R7</f>
        <v>533000</v>
      </c>
      <c r="Y7" s="323">
        <f t="shared" ref="Y7:Y30" si="1">+W7+U7+Q7+O7+M7+K7+I7+G7+E7+S7</f>
        <v>533000</v>
      </c>
      <c r="Z7" s="303">
        <v>0</v>
      </c>
      <c r="AA7" s="303">
        <v>0</v>
      </c>
      <c r="AB7" s="115"/>
      <c r="AC7" s="37"/>
      <c r="AD7" s="37"/>
      <c r="AE7" s="37"/>
      <c r="AF7" s="37"/>
      <c r="AG7" s="37"/>
      <c r="AH7" s="37"/>
    </row>
    <row r="8" spans="1:43" ht="16.5" thickBot="1">
      <c r="A8" s="437"/>
      <c r="B8" s="171" t="s">
        <v>159</v>
      </c>
      <c r="C8" s="157" t="s">
        <v>178</v>
      </c>
      <c r="D8" s="281">
        <v>0</v>
      </c>
      <c r="E8" s="281">
        <v>0</v>
      </c>
      <c r="F8" s="281">
        <v>0</v>
      </c>
      <c r="G8" s="281">
        <v>0</v>
      </c>
      <c r="H8" s="281">
        <v>13015000</v>
      </c>
      <c r="I8" s="281">
        <v>13015000</v>
      </c>
      <c r="J8" s="281">
        <v>0</v>
      </c>
      <c r="K8" s="281">
        <v>0</v>
      </c>
      <c r="L8" s="282">
        <v>0</v>
      </c>
      <c r="M8" s="309">
        <v>0</v>
      </c>
      <c r="N8" s="281">
        <v>0</v>
      </c>
      <c r="O8" s="281">
        <v>0</v>
      </c>
      <c r="P8" s="282">
        <v>0</v>
      </c>
      <c r="Q8" s="309">
        <v>0</v>
      </c>
      <c r="R8" s="309">
        <v>0</v>
      </c>
      <c r="S8" s="309">
        <v>0</v>
      </c>
      <c r="T8" s="309">
        <v>300000</v>
      </c>
      <c r="U8" s="288">
        <v>17970683</v>
      </c>
      <c r="V8" s="309">
        <v>4500000</v>
      </c>
      <c r="W8" s="288">
        <v>8785099</v>
      </c>
      <c r="X8" s="283">
        <f t="shared" si="0"/>
        <v>17815000</v>
      </c>
      <c r="Y8" s="323">
        <f t="shared" si="1"/>
        <v>39770782</v>
      </c>
      <c r="Z8" s="303">
        <v>0</v>
      </c>
      <c r="AA8" s="303">
        <v>0</v>
      </c>
      <c r="AB8" s="115"/>
      <c r="AC8" s="37"/>
      <c r="AD8" s="37"/>
      <c r="AE8" s="37"/>
      <c r="AF8" s="37"/>
      <c r="AG8" s="37"/>
      <c r="AH8" s="37"/>
    </row>
    <row r="9" spans="1:43" ht="16.5" thickBot="1">
      <c r="A9" s="437"/>
      <c r="B9" s="171" t="s">
        <v>276</v>
      </c>
      <c r="C9" s="286" t="s">
        <v>277</v>
      </c>
      <c r="D9" s="281">
        <v>0</v>
      </c>
      <c r="E9" s="281">
        <v>0</v>
      </c>
      <c r="F9" s="281">
        <v>0</v>
      </c>
      <c r="G9" s="281">
        <v>0</v>
      </c>
      <c r="H9" s="281">
        <v>0</v>
      </c>
      <c r="I9" s="281">
        <v>0</v>
      </c>
      <c r="J9" s="309">
        <v>2340400</v>
      </c>
      <c r="K9" s="309">
        <v>0</v>
      </c>
      <c r="L9" s="282">
        <v>0</v>
      </c>
      <c r="M9" s="309">
        <v>0</v>
      </c>
      <c r="N9" s="281">
        <v>0</v>
      </c>
      <c r="O9" s="281">
        <v>0</v>
      </c>
      <c r="P9" s="282">
        <v>0</v>
      </c>
      <c r="Q9" s="309">
        <v>0</v>
      </c>
      <c r="R9" s="309">
        <v>0</v>
      </c>
      <c r="S9" s="309">
        <v>0</v>
      </c>
      <c r="T9" s="309">
        <v>0</v>
      </c>
      <c r="U9" s="288">
        <v>0</v>
      </c>
      <c r="V9" s="309">
        <v>0</v>
      </c>
      <c r="W9" s="288">
        <v>0</v>
      </c>
      <c r="X9" s="283">
        <f t="shared" si="0"/>
        <v>2340400</v>
      </c>
      <c r="Y9" s="323">
        <f t="shared" si="1"/>
        <v>0</v>
      </c>
      <c r="Z9" s="303">
        <v>0</v>
      </c>
      <c r="AA9" s="303">
        <v>0</v>
      </c>
      <c r="AB9" s="115"/>
      <c r="AC9" s="37"/>
      <c r="AD9" s="37"/>
      <c r="AE9" s="37"/>
      <c r="AF9" s="37"/>
      <c r="AG9" s="37"/>
      <c r="AH9" s="37"/>
    </row>
    <row r="10" spans="1:43" ht="16.5" thickBot="1">
      <c r="A10" s="437"/>
      <c r="B10" s="171" t="s">
        <v>358</v>
      </c>
      <c r="C10" s="286" t="s">
        <v>359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140000</v>
      </c>
      <c r="J10" s="309">
        <v>0</v>
      </c>
      <c r="K10" s="309">
        <v>0</v>
      </c>
      <c r="L10" s="282">
        <v>0</v>
      </c>
      <c r="M10" s="309">
        <v>0</v>
      </c>
      <c r="N10" s="281">
        <v>0</v>
      </c>
      <c r="O10" s="281">
        <v>0</v>
      </c>
      <c r="P10" s="282">
        <v>0</v>
      </c>
      <c r="Q10" s="309">
        <v>0</v>
      </c>
      <c r="R10" s="309">
        <v>0</v>
      </c>
      <c r="S10" s="309">
        <v>0</v>
      </c>
      <c r="T10" s="309">
        <v>0</v>
      </c>
      <c r="U10" s="288">
        <v>0</v>
      </c>
      <c r="V10" s="309">
        <v>0</v>
      </c>
      <c r="W10" s="288">
        <v>0</v>
      </c>
      <c r="X10" s="283">
        <f t="shared" si="0"/>
        <v>0</v>
      </c>
      <c r="Y10" s="323">
        <f t="shared" si="1"/>
        <v>140000</v>
      </c>
      <c r="Z10" s="303"/>
      <c r="AA10" s="303"/>
      <c r="AB10" s="115"/>
      <c r="AC10" s="37"/>
      <c r="AD10" s="37"/>
      <c r="AE10" s="37"/>
      <c r="AF10" s="37"/>
      <c r="AG10" s="37"/>
      <c r="AH10" s="37"/>
    </row>
    <row r="11" spans="1:43" ht="16.5" thickBot="1">
      <c r="A11" s="437"/>
      <c r="B11" s="171" t="s">
        <v>161</v>
      </c>
      <c r="C11" s="285" t="s">
        <v>180</v>
      </c>
      <c r="D11" s="281">
        <v>9771000</v>
      </c>
      <c r="E11" s="281">
        <v>38275963</v>
      </c>
      <c r="F11" s="281">
        <v>1017000</v>
      </c>
      <c r="G11" s="281">
        <v>3796204</v>
      </c>
      <c r="H11" s="281">
        <v>0</v>
      </c>
      <c r="I11" s="281">
        <v>7026384</v>
      </c>
      <c r="J11" s="281">
        <v>0</v>
      </c>
      <c r="K11" s="281">
        <v>0</v>
      </c>
      <c r="L11" s="282">
        <v>0</v>
      </c>
      <c r="M11" s="309">
        <v>0</v>
      </c>
      <c r="N11" s="281">
        <v>0</v>
      </c>
      <c r="O11" s="281">
        <v>0</v>
      </c>
      <c r="P11" s="282">
        <v>0</v>
      </c>
      <c r="Q11" s="309">
        <v>0</v>
      </c>
      <c r="R11" s="309">
        <v>0</v>
      </c>
      <c r="S11" s="309">
        <v>0</v>
      </c>
      <c r="T11" s="309">
        <v>0</v>
      </c>
      <c r="U11" s="288">
        <v>128000</v>
      </c>
      <c r="V11" s="309">
        <v>0</v>
      </c>
      <c r="W11" s="288">
        <v>0</v>
      </c>
      <c r="X11" s="283">
        <f t="shared" si="0"/>
        <v>10788000</v>
      </c>
      <c r="Y11" s="323">
        <f t="shared" si="1"/>
        <v>49226551</v>
      </c>
      <c r="Z11" s="303">
        <v>55</v>
      </c>
      <c r="AA11" s="303">
        <v>23</v>
      </c>
      <c r="AB11" s="115"/>
      <c r="AC11" s="37"/>
      <c r="AD11" s="37"/>
      <c r="AE11" s="37"/>
      <c r="AF11" s="37"/>
      <c r="AG11" s="37"/>
      <c r="AH11" s="37"/>
    </row>
    <row r="12" spans="1:43" ht="16.5" thickBot="1">
      <c r="A12" s="437"/>
      <c r="B12" s="171" t="s">
        <v>294</v>
      </c>
      <c r="C12" s="285" t="s">
        <v>295</v>
      </c>
      <c r="D12" s="281"/>
      <c r="E12" s="281">
        <v>12718655</v>
      </c>
      <c r="F12" s="281">
        <v>0</v>
      </c>
      <c r="G12" s="281">
        <v>1240069</v>
      </c>
      <c r="H12" s="281">
        <v>0</v>
      </c>
      <c r="I12" s="281">
        <v>1653063</v>
      </c>
      <c r="J12" s="281">
        <v>0</v>
      </c>
      <c r="K12" s="281">
        <v>0</v>
      </c>
      <c r="L12" s="282">
        <v>0</v>
      </c>
      <c r="M12" s="282">
        <v>0</v>
      </c>
      <c r="N12" s="281">
        <v>0</v>
      </c>
      <c r="O12" s="281">
        <v>0</v>
      </c>
      <c r="P12" s="282">
        <v>0</v>
      </c>
      <c r="Q12" s="282">
        <v>0</v>
      </c>
      <c r="R12" s="282">
        <v>0</v>
      </c>
      <c r="S12" s="282">
        <v>0</v>
      </c>
      <c r="T12" s="309">
        <v>0</v>
      </c>
      <c r="U12" s="288">
        <v>152000</v>
      </c>
      <c r="V12" s="309">
        <v>0</v>
      </c>
      <c r="W12" s="288">
        <v>0</v>
      </c>
      <c r="X12" s="283">
        <f t="shared" si="0"/>
        <v>0</v>
      </c>
      <c r="Y12" s="323">
        <f t="shared" si="1"/>
        <v>15763787</v>
      </c>
      <c r="Z12" s="303">
        <v>0</v>
      </c>
      <c r="AA12" s="303">
        <v>0</v>
      </c>
      <c r="AB12" s="115"/>
      <c r="AC12" s="37"/>
      <c r="AD12" s="37"/>
      <c r="AE12" s="37"/>
      <c r="AF12" s="37"/>
      <c r="AG12" s="37"/>
      <c r="AH12" s="37"/>
    </row>
    <row r="13" spans="1:43" ht="16.5" thickBot="1">
      <c r="A13" s="437"/>
      <c r="B13" s="171" t="s">
        <v>162</v>
      </c>
      <c r="C13" s="285" t="s">
        <v>181</v>
      </c>
      <c r="D13" s="281">
        <v>3180000</v>
      </c>
      <c r="E13" s="281">
        <v>0</v>
      </c>
      <c r="F13" s="281">
        <v>324000</v>
      </c>
      <c r="G13" s="281">
        <v>76000</v>
      </c>
      <c r="H13" s="281">
        <v>0</v>
      </c>
      <c r="I13" s="281">
        <v>60000</v>
      </c>
      <c r="J13" s="281">
        <v>0</v>
      </c>
      <c r="K13" s="281">
        <v>0</v>
      </c>
      <c r="L13" s="282">
        <v>0</v>
      </c>
      <c r="M13" s="282">
        <v>0</v>
      </c>
      <c r="N13" s="281">
        <v>0</v>
      </c>
      <c r="O13" s="281">
        <v>0</v>
      </c>
      <c r="P13" s="282">
        <v>0</v>
      </c>
      <c r="Q13" s="282">
        <v>0</v>
      </c>
      <c r="R13" s="282">
        <v>0</v>
      </c>
      <c r="S13" s="282">
        <v>0</v>
      </c>
      <c r="T13" s="309">
        <v>0</v>
      </c>
      <c r="U13" s="288">
        <v>0</v>
      </c>
      <c r="V13" s="309">
        <v>0</v>
      </c>
      <c r="W13" s="288">
        <v>0</v>
      </c>
      <c r="X13" s="283">
        <f t="shared" si="0"/>
        <v>3504000</v>
      </c>
      <c r="Y13" s="323">
        <f t="shared" si="1"/>
        <v>136000</v>
      </c>
      <c r="Z13" s="303">
        <v>13</v>
      </c>
      <c r="AA13" s="303">
        <f>8+5</f>
        <v>13</v>
      </c>
      <c r="AB13" s="115"/>
      <c r="AC13" s="37"/>
      <c r="AD13" s="37"/>
      <c r="AE13" s="37"/>
      <c r="AF13" s="37"/>
      <c r="AG13" s="37"/>
      <c r="AH13" s="37"/>
    </row>
    <row r="14" spans="1:43" ht="16.5" thickBot="1">
      <c r="A14" s="437"/>
      <c r="B14" s="174" t="s">
        <v>163</v>
      </c>
      <c r="C14" s="285" t="s">
        <v>238</v>
      </c>
      <c r="D14" s="281">
        <v>0</v>
      </c>
      <c r="E14" s="281">
        <v>0</v>
      </c>
      <c r="F14" s="281">
        <v>0</v>
      </c>
      <c r="G14" s="281">
        <v>0</v>
      </c>
      <c r="H14" s="281">
        <v>4200000</v>
      </c>
      <c r="I14" s="281">
        <v>4200000</v>
      </c>
      <c r="J14" s="281">
        <v>0</v>
      </c>
      <c r="K14" s="281">
        <v>0</v>
      </c>
      <c r="L14" s="282">
        <v>0</v>
      </c>
      <c r="M14" s="282">
        <v>0</v>
      </c>
      <c r="N14" s="281">
        <v>0</v>
      </c>
      <c r="O14" s="281">
        <v>0</v>
      </c>
      <c r="P14" s="282">
        <v>0</v>
      </c>
      <c r="Q14" s="282">
        <v>0</v>
      </c>
      <c r="R14" s="282">
        <v>0</v>
      </c>
      <c r="S14" s="282">
        <v>0</v>
      </c>
      <c r="T14" s="309">
        <v>23447542</v>
      </c>
      <c r="U14" s="288">
        <v>23447542</v>
      </c>
      <c r="V14" s="309">
        <v>41745966</v>
      </c>
      <c r="W14" s="288">
        <v>14136116</v>
      </c>
      <c r="X14" s="283">
        <f t="shared" si="0"/>
        <v>69393508</v>
      </c>
      <c r="Y14" s="323">
        <f t="shared" si="1"/>
        <v>41783658</v>
      </c>
      <c r="Z14" s="303">
        <v>0</v>
      </c>
      <c r="AA14" s="303">
        <v>0</v>
      </c>
      <c r="AB14" s="115"/>
      <c r="AC14" s="37"/>
      <c r="AD14" s="37"/>
      <c r="AE14" s="37"/>
      <c r="AF14" s="37"/>
      <c r="AG14" s="37"/>
      <c r="AH14" s="37"/>
    </row>
    <row r="15" spans="1:43" ht="16.5" thickBot="1">
      <c r="A15" s="437"/>
      <c r="B15" s="171" t="s">
        <v>164</v>
      </c>
      <c r="C15" s="285" t="s">
        <v>239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140000</v>
      </c>
      <c r="K15" s="281">
        <v>140000</v>
      </c>
      <c r="L15" s="282">
        <v>0</v>
      </c>
      <c r="M15" s="282">
        <v>0</v>
      </c>
      <c r="N15" s="281">
        <v>0</v>
      </c>
      <c r="O15" s="281">
        <v>0</v>
      </c>
      <c r="P15" s="282">
        <v>0</v>
      </c>
      <c r="Q15" s="282">
        <v>0</v>
      </c>
      <c r="R15" s="282">
        <v>0</v>
      </c>
      <c r="S15" s="282">
        <v>0</v>
      </c>
      <c r="T15" s="309">
        <v>0</v>
      </c>
      <c r="U15" s="288">
        <v>0</v>
      </c>
      <c r="V15" s="309">
        <v>0</v>
      </c>
      <c r="W15" s="288">
        <v>0</v>
      </c>
      <c r="X15" s="283">
        <f t="shared" si="0"/>
        <v>140000</v>
      </c>
      <c r="Y15" s="323">
        <f t="shared" si="1"/>
        <v>140000</v>
      </c>
      <c r="Z15" s="303">
        <v>0</v>
      </c>
      <c r="AA15" s="303">
        <v>0</v>
      </c>
      <c r="AB15" s="115"/>
      <c r="AC15" s="37"/>
      <c r="AD15" s="37"/>
      <c r="AE15" s="37"/>
      <c r="AF15" s="37"/>
      <c r="AG15" s="37"/>
      <c r="AH15" s="37"/>
    </row>
    <row r="16" spans="1:43" ht="16.5" thickBot="1">
      <c r="A16" s="437"/>
      <c r="B16" s="171" t="s">
        <v>165</v>
      </c>
      <c r="C16" s="285" t="s">
        <v>182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2680000</v>
      </c>
      <c r="J16" s="281">
        <v>0</v>
      </c>
      <c r="K16" s="281">
        <v>0</v>
      </c>
      <c r="L16" s="282">
        <v>0</v>
      </c>
      <c r="M16" s="282">
        <v>0</v>
      </c>
      <c r="N16" s="281">
        <v>0</v>
      </c>
      <c r="O16" s="281">
        <v>27298156</v>
      </c>
      <c r="P16" s="282">
        <v>0</v>
      </c>
      <c r="Q16" s="282">
        <v>0</v>
      </c>
      <c r="R16" s="282">
        <v>0</v>
      </c>
      <c r="S16" s="282">
        <v>0</v>
      </c>
      <c r="T16" s="309">
        <v>0</v>
      </c>
      <c r="U16" s="288">
        <v>0</v>
      </c>
      <c r="V16" s="309">
        <v>0</v>
      </c>
      <c r="W16" s="288">
        <v>0</v>
      </c>
      <c r="X16" s="283">
        <f t="shared" si="0"/>
        <v>0</v>
      </c>
      <c r="Y16" s="323">
        <f t="shared" si="1"/>
        <v>29978156</v>
      </c>
      <c r="Z16" s="303">
        <v>0</v>
      </c>
      <c r="AA16" s="303">
        <v>0</v>
      </c>
      <c r="AB16" s="115"/>
      <c r="AC16" s="37"/>
      <c r="AD16" s="37"/>
      <c r="AE16" s="37"/>
      <c r="AF16" s="37"/>
      <c r="AG16" s="37"/>
      <c r="AH16" s="37"/>
    </row>
    <row r="17" spans="1:34" ht="16.5" thickBot="1">
      <c r="A17" s="437"/>
      <c r="B17" s="171" t="s">
        <v>166</v>
      </c>
      <c r="C17" s="285" t="s">
        <v>183</v>
      </c>
      <c r="D17" s="281">
        <v>0</v>
      </c>
      <c r="E17" s="281">
        <v>0</v>
      </c>
      <c r="F17" s="281">
        <v>0</v>
      </c>
      <c r="G17" s="281">
        <v>0</v>
      </c>
      <c r="H17" s="281">
        <v>380000</v>
      </c>
      <c r="I17" s="281">
        <v>682723</v>
      </c>
      <c r="J17" s="281">
        <v>0</v>
      </c>
      <c r="K17" s="281">
        <v>0</v>
      </c>
      <c r="L17" s="282">
        <v>0</v>
      </c>
      <c r="M17" s="282">
        <v>0</v>
      </c>
      <c r="N17" s="281">
        <v>0</v>
      </c>
      <c r="O17" s="281">
        <v>37613790</v>
      </c>
      <c r="P17" s="282">
        <v>0</v>
      </c>
      <c r="Q17" s="282">
        <v>0</v>
      </c>
      <c r="R17" s="282">
        <v>0</v>
      </c>
      <c r="S17" s="282">
        <v>0</v>
      </c>
      <c r="T17" s="309">
        <v>0</v>
      </c>
      <c r="U17" s="288">
        <v>300000</v>
      </c>
      <c r="V17" s="309">
        <v>0</v>
      </c>
      <c r="W17" s="288">
        <v>42066520</v>
      </c>
      <c r="X17" s="283">
        <f t="shared" si="0"/>
        <v>380000</v>
      </c>
      <c r="Y17" s="323">
        <f t="shared" si="1"/>
        <v>80663033</v>
      </c>
      <c r="Z17" s="303">
        <v>0</v>
      </c>
      <c r="AA17" s="303">
        <v>0</v>
      </c>
      <c r="AB17" s="115"/>
      <c r="AC17" s="37"/>
      <c r="AD17" s="37"/>
      <c r="AE17" s="37"/>
      <c r="AF17" s="37"/>
      <c r="AG17" s="37"/>
      <c r="AH17" s="37"/>
    </row>
    <row r="18" spans="1:34" ht="16.5" thickBot="1">
      <c r="A18" s="437"/>
      <c r="B18" s="171" t="s">
        <v>167</v>
      </c>
      <c r="C18" s="285" t="s">
        <v>48</v>
      </c>
      <c r="D18" s="281">
        <v>0</v>
      </c>
      <c r="E18" s="281">
        <v>0</v>
      </c>
      <c r="F18" s="281">
        <v>0</v>
      </c>
      <c r="G18" s="281">
        <v>0</v>
      </c>
      <c r="H18" s="281">
        <v>6400000</v>
      </c>
      <c r="I18" s="281">
        <v>6400000</v>
      </c>
      <c r="J18" s="281">
        <v>0</v>
      </c>
      <c r="K18" s="281">
        <v>0</v>
      </c>
      <c r="L18" s="282">
        <v>0</v>
      </c>
      <c r="M18" s="282">
        <v>0</v>
      </c>
      <c r="N18" s="281">
        <v>0</v>
      </c>
      <c r="O18" s="281">
        <v>0</v>
      </c>
      <c r="P18" s="282">
        <v>0</v>
      </c>
      <c r="Q18" s="282">
        <v>0</v>
      </c>
      <c r="R18" s="282">
        <v>0</v>
      </c>
      <c r="S18" s="282">
        <v>0</v>
      </c>
      <c r="T18" s="309">
        <v>0</v>
      </c>
      <c r="U18" s="288">
        <v>0</v>
      </c>
      <c r="V18" s="309">
        <v>0</v>
      </c>
      <c r="W18" s="288">
        <v>0</v>
      </c>
      <c r="X18" s="283">
        <f t="shared" si="0"/>
        <v>6400000</v>
      </c>
      <c r="Y18" s="323">
        <f t="shared" si="1"/>
        <v>6400000</v>
      </c>
      <c r="Z18" s="303">
        <v>0</v>
      </c>
      <c r="AA18" s="303">
        <v>0</v>
      </c>
      <c r="AB18" s="115"/>
      <c r="AC18" s="37"/>
      <c r="AD18" s="37"/>
      <c r="AE18" s="37"/>
      <c r="AF18" s="37"/>
      <c r="AG18" s="37"/>
      <c r="AH18" s="37"/>
    </row>
    <row r="19" spans="1:34" ht="16.5" thickBot="1">
      <c r="A19" s="437"/>
      <c r="B19" s="171" t="s">
        <v>143</v>
      </c>
      <c r="C19" s="285" t="s">
        <v>142</v>
      </c>
      <c r="D19" s="281">
        <v>2150000</v>
      </c>
      <c r="E19" s="281">
        <v>2150000</v>
      </c>
      <c r="F19" s="281">
        <v>425000</v>
      </c>
      <c r="G19" s="281">
        <v>425000</v>
      </c>
      <c r="H19" s="281">
        <v>1960000</v>
      </c>
      <c r="I19" s="281">
        <v>1985000</v>
      </c>
      <c r="J19" s="281">
        <v>0</v>
      </c>
      <c r="K19" s="281">
        <v>0</v>
      </c>
      <c r="L19" s="282">
        <v>0</v>
      </c>
      <c r="M19" s="282">
        <v>0</v>
      </c>
      <c r="N19" s="281">
        <v>0</v>
      </c>
      <c r="O19" s="281">
        <v>0</v>
      </c>
      <c r="P19" s="282">
        <v>0</v>
      </c>
      <c r="Q19" s="282">
        <v>0</v>
      </c>
      <c r="R19" s="282">
        <v>0</v>
      </c>
      <c r="S19" s="282">
        <v>0</v>
      </c>
      <c r="T19" s="309">
        <v>0</v>
      </c>
      <c r="U19" s="288">
        <v>0</v>
      </c>
      <c r="V19" s="309">
        <v>0</v>
      </c>
      <c r="W19" s="288">
        <v>0</v>
      </c>
      <c r="X19" s="283">
        <f t="shared" si="0"/>
        <v>4535000</v>
      </c>
      <c r="Y19" s="323">
        <f t="shared" si="1"/>
        <v>4560000</v>
      </c>
      <c r="Z19" s="303">
        <v>1</v>
      </c>
      <c r="AA19" s="303">
        <v>1</v>
      </c>
      <c r="AB19" s="115"/>
      <c r="AC19" s="37"/>
      <c r="AD19" s="37"/>
      <c r="AE19" s="37"/>
      <c r="AF19" s="37"/>
      <c r="AG19" s="37"/>
      <c r="AH19" s="37"/>
    </row>
    <row r="20" spans="1:34" ht="16.5" thickBot="1">
      <c r="A20" s="437"/>
      <c r="B20" s="171" t="s">
        <v>144</v>
      </c>
      <c r="C20" s="285" t="s">
        <v>184</v>
      </c>
      <c r="D20" s="281">
        <v>18232000</v>
      </c>
      <c r="E20" s="281">
        <v>18820956</v>
      </c>
      <c r="F20" s="281">
        <v>3475000</v>
      </c>
      <c r="G20" s="281">
        <v>3525497</v>
      </c>
      <c r="H20" s="281">
        <v>13970000</v>
      </c>
      <c r="I20" s="281">
        <v>13920307</v>
      </c>
      <c r="J20" s="281">
        <v>3260000</v>
      </c>
      <c r="K20" s="281">
        <v>3260000</v>
      </c>
      <c r="L20" s="282">
        <v>0</v>
      </c>
      <c r="M20" s="282">
        <v>0</v>
      </c>
      <c r="N20" s="281">
        <v>0</v>
      </c>
      <c r="O20" s="281">
        <v>77430</v>
      </c>
      <c r="P20" s="282">
        <v>0</v>
      </c>
      <c r="Q20" s="282">
        <v>0</v>
      </c>
      <c r="R20" s="282">
        <v>0</v>
      </c>
      <c r="S20" s="282">
        <v>743685</v>
      </c>
      <c r="T20" s="309">
        <v>570000</v>
      </c>
      <c r="U20" s="288">
        <v>450000</v>
      </c>
      <c r="V20" s="309">
        <v>4189100</v>
      </c>
      <c r="W20" s="288">
        <v>4189100</v>
      </c>
      <c r="X20" s="283">
        <f t="shared" si="0"/>
        <v>43696100</v>
      </c>
      <c r="Y20" s="323">
        <f t="shared" si="1"/>
        <v>44986975</v>
      </c>
      <c r="Z20" s="303">
        <v>7</v>
      </c>
      <c r="AA20" s="303">
        <v>8</v>
      </c>
      <c r="AB20" s="115"/>
      <c r="AC20" s="37"/>
      <c r="AD20" s="37"/>
      <c r="AE20" s="37"/>
      <c r="AF20" s="37"/>
      <c r="AG20" s="37"/>
      <c r="AH20" s="37"/>
    </row>
    <row r="21" spans="1:34" ht="16.5" thickBot="1">
      <c r="A21" s="437"/>
      <c r="B21" s="171" t="s">
        <v>168</v>
      </c>
      <c r="C21" s="285" t="s">
        <v>185</v>
      </c>
      <c r="D21" s="281">
        <v>0</v>
      </c>
      <c r="E21" s="281">
        <v>0</v>
      </c>
      <c r="F21" s="281">
        <v>0</v>
      </c>
      <c r="G21" s="281">
        <v>0</v>
      </c>
      <c r="H21" s="281">
        <v>1200000</v>
      </c>
      <c r="I21" s="281">
        <v>1719229</v>
      </c>
      <c r="J21" s="281">
        <v>90000</v>
      </c>
      <c r="K21" s="281">
        <v>90000</v>
      </c>
      <c r="L21" s="282">
        <v>0</v>
      </c>
      <c r="M21" s="282">
        <v>0</v>
      </c>
      <c r="N21" s="281">
        <v>0</v>
      </c>
      <c r="O21" s="281">
        <v>0</v>
      </c>
      <c r="P21" s="282">
        <v>0</v>
      </c>
      <c r="Q21" s="282">
        <v>0</v>
      </c>
      <c r="R21" s="282">
        <v>0</v>
      </c>
      <c r="S21" s="282">
        <v>0</v>
      </c>
      <c r="T21" s="309">
        <v>153625000</v>
      </c>
      <c r="U21" s="288">
        <v>154837440</v>
      </c>
      <c r="V21" s="309">
        <v>0</v>
      </c>
      <c r="W21" s="288">
        <v>0</v>
      </c>
      <c r="X21" s="283">
        <f t="shared" si="0"/>
        <v>154915000</v>
      </c>
      <c r="Y21" s="323">
        <f t="shared" si="1"/>
        <v>156646669</v>
      </c>
      <c r="Z21" s="303">
        <v>0</v>
      </c>
      <c r="AA21" s="303">
        <v>0</v>
      </c>
      <c r="AB21" s="115"/>
      <c r="AC21" s="37"/>
      <c r="AD21" s="37"/>
      <c r="AE21" s="37"/>
      <c r="AF21" s="37"/>
      <c r="AG21" s="37"/>
      <c r="AH21" s="37"/>
    </row>
    <row r="22" spans="1:34" ht="16.5" thickBot="1">
      <c r="A22" s="437"/>
      <c r="B22" s="171" t="s">
        <v>169</v>
      </c>
      <c r="C22" s="285" t="s">
        <v>186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282">
        <v>0</v>
      </c>
      <c r="M22" s="282">
        <v>0</v>
      </c>
      <c r="N22" s="281">
        <v>0</v>
      </c>
      <c r="O22" s="281">
        <v>0</v>
      </c>
      <c r="P22" s="282">
        <v>0</v>
      </c>
      <c r="Q22" s="282">
        <v>0</v>
      </c>
      <c r="R22" s="282">
        <v>0</v>
      </c>
      <c r="S22" s="282">
        <v>0</v>
      </c>
      <c r="T22" s="309">
        <v>0</v>
      </c>
      <c r="U22" s="288">
        <v>0</v>
      </c>
      <c r="V22" s="309">
        <v>0</v>
      </c>
      <c r="W22" s="288">
        <v>0</v>
      </c>
      <c r="X22" s="283">
        <f t="shared" si="0"/>
        <v>0</v>
      </c>
      <c r="Y22" s="323">
        <f t="shared" si="1"/>
        <v>0</v>
      </c>
      <c r="Z22" s="303">
        <v>0</v>
      </c>
      <c r="AA22" s="303">
        <v>0</v>
      </c>
      <c r="AB22" s="115"/>
      <c r="AC22" s="37"/>
      <c r="AD22" s="37"/>
      <c r="AE22" s="37"/>
      <c r="AF22" s="37"/>
      <c r="AG22" s="37"/>
      <c r="AH22" s="37"/>
    </row>
    <row r="23" spans="1:34" ht="16.5" thickBot="1">
      <c r="A23" s="437"/>
      <c r="B23" s="171" t="s">
        <v>145</v>
      </c>
      <c r="C23" s="286" t="s">
        <v>49</v>
      </c>
      <c r="D23" s="281">
        <v>10750000</v>
      </c>
      <c r="E23" s="281">
        <v>10760000</v>
      </c>
      <c r="F23" s="281">
        <v>2110000</v>
      </c>
      <c r="G23" s="281">
        <v>2110000</v>
      </c>
      <c r="H23" s="281">
        <v>1095000</v>
      </c>
      <c r="I23" s="281">
        <v>1085000</v>
      </c>
      <c r="J23" s="281">
        <v>0</v>
      </c>
      <c r="K23" s="281">
        <v>0</v>
      </c>
      <c r="L23" s="282">
        <v>0</v>
      </c>
      <c r="M23" s="282">
        <v>0</v>
      </c>
      <c r="N23" s="281">
        <v>0</v>
      </c>
      <c r="O23" s="281">
        <v>0</v>
      </c>
      <c r="P23" s="282">
        <v>0</v>
      </c>
      <c r="Q23" s="282">
        <v>0</v>
      </c>
      <c r="R23" s="282">
        <v>0</v>
      </c>
      <c r="S23" s="282">
        <v>0</v>
      </c>
      <c r="T23" s="309">
        <v>0</v>
      </c>
      <c r="U23" s="288">
        <v>0</v>
      </c>
      <c r="V23" s="309">
        <v>0</v>
      </c>
      <c r="W23" s="288">
        <v>0</v>
      </c>
      <c r="X23" s="283">
        <f t="shared" si="0"/>
        <v>13955000</v>
      </c>
      <c r="Y23" s="323">
        <f t="shared" si="1"/>
        <v>13955000</v>
      </c>
      <c r="Z23" s="303">
        <v>3</v>
      </c>
      <c r="AA23" s="303">
        <v>3</v>
      </c>
      <c r="AB23" s="115"/>
      <c r="AC23" s="37"/>
      <c r="AD23" s="37"/>
      <c r="AE23" s="37"/>
      <c r="AF23" s="37"/>
      <c r="AG23" s="37"/>
      <c r="AH23" s="37"/>
    </row>
    <row r="24" spans="1:34" ht="16.5" thickBot="1">
      <c r="A24" s="437"/>
      <c r="B24" s="173" t="s">
        <v>171</v>
      </c>
      <c r="C24" s="286" t="s">
        <v>188</v>
      </c>
      <c r="D24" s="281">
        <v>320000</v>
      </c>
      <c r="E24" s="281">
        <v>320000</v>
      </c>
      <c r="F24" s="281">
        <v>64000</v>
      </c>
      <c r="G24" s="281">
        <v>64000</v>
      </c>
      <c r="H24" s="281">
        <v>1572000</v>
      </c>
      <c r="I24" s="281">
        <v>1572000</v>
      </c>
      <c r="J24" s="281">
        <v>1500000</v>
      </c>
      <c r="K24" s="281">
        <v>1500000</v>
      </c>
      <c r="L24" s="282">
        <v>0</v>
      </c>
      <c r="M24" s="282">
        <v>0</v>
      </c>
      <c r="N24" s="281">
        <v>0</v>
      </c>
      <c r="O24" s="281">
        <v>0</v>
      </c>
      <c r="P24" s="282">
        <v>0</v>
      </c>
      <c r="Q24" s="282">
        <v>0</v>
      </c>
      <c r="R24" s="282">
        <v>0</v>
      </c>
      <c r="S24" s="282">
        <v>0</v>
      </c>
      <c r="T24" s="309">
        <v>0</v>
      </c>
      <c r="U24" s="288">
        <v>135400</v>
      </c>
      <c r="V24" s="309">
        <v>0</v>
      </c>
      <c r="W24" s="288">
        <v>23529412</v>
      </c>
      <c r="X24" s="283">
        <f t="shared" si="0"/>
        <v>3456000</v>
      </c>
      <c r="Y24" s="323">
        <f t="shared" si="1"/>
        <v>27120812</v>
      </c>
      <c r="Z24" s="303">
        <v>0</v>
      </c>
      <c r="AA24" s="303">
        <v>0</v>
      </c>
      <c r="AB24" s="115"/>
      <c r="AC24" s="37"/>
      <c r="AD24" s="37"/>
      <c r="AE24" s="37"/>
      <c r="AF24" s="37"/>
      <c r="AG24" s="37"/>
      <c r="AH24" s="37"/>
    </row>
    <row r="25" spans="1:34" ht="16.5" thickBot="1">
      <c r="A25" s="437"/>
      <c r="B25" s="171" t="s">
        <v>240</v>
      </c>
      <c r="C25" s="286" t="s">
        <v>189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1">
        <v>0</v>
      </c>
      <c r="J25" s="281">
        <v>67134309</v>
      </c>
      <c r="K25" s="281">
        <v>69841513</v>
      </c>
      <c r="L25" s="282">
        <v>0</v>
      </c>
      <c r="M25" s="282">
        <v>0</v>
      </c>
      <c r="N25" s="281">
        <v>0</v>
      </c>
      <c r="O25" s="281">
        <v>0</v>
      </c>
      <c r="P25" s="282">
        <v>0</v>
      </c>
      <c r="Q25" s="282">
        <v>0</v>
      </c>
      <c r="R25" s="282">
        <v>0</v>
      </c>
      <c r="S25" s="282">
        <v>0</v>
      </c>
      <c r="T25" s="309">
        <v>0</v>
      </c>
      <c r="U25" s="288">
        <v>0</v>
      </c>
      <c r="V25" s="309">
        <v>0</v>
      </c>
      <c r="W25" s="288">
        <v>0</v>
      </c>
      <c r="X25" s="283">
        <f t="shared" si="0"/>
        <v>67134309</v>
      </c>
      <c r="Y25" s="323">
        <f t="shared" si="1"/>
        <v>69841513</v>
      </c>
      <c r="Z25" s="303">
        <v>0</v>
      </c>
      <c r="AA25" s="303">
        <v>0</v>
      </c>
      <c r="AB25" s="115"/>
      <c r="AC25" s="37"/>
      <c r="AD25" s="37"/>
      <c r="AE25" s="37"/>
      <c r="AF25" s="37"/>
      <c r="AG25" s="37"/>
      <c r="AH25" s="37"/>
    </row>
    <row r="26" spans="1:34" ht="16.5" thickBot="1">
      <c r="A26" s="437"/>
      <c r="B26" s="171" t="s">
        <v>174</v>
      </c>
      <c r="C26" s="286" t="s">
        <v>147</v>
      </c>
      <c r="D26" s="281">
        <v>4390000</v>
      </c>
      <c r="E26" s="281">
        <v>4594000</v>
      </c>
      <c r="F26" s="281">
        <v>850000</v>
      </c>
      <c r="G26" s="281">
        <v>889780</v>
      </c>
      <c r="H26" s="281">
        <v>2110000</v>
      </c>
      <c r="I26" s="281">
        <v>2110000</v>
      </c>
      <c r="J26" s="281">
        <v>0</v>
      </c>
      <c r="K26" s="281">
        <v>0</v>
      </c>
      <c r="L26" s="282">
        <v>0</v>
      </c>
      <c r="M26" s="281">
        <v>0</v>
      </c>
      <c r="N26" s="281">
        <v>0</v>
      </c>
      <c r="O26" s="281">
        <v>0</v>
      </c>
      <c r="P26" s="282">
        <v>0</v>
      </c>
      <c r="Q26" s="309">
        <v>0</v>
      </c>
      <c r="R26" s="309">
        <v>0</v>
      </c>
      <c r="S26" s="309">
        <v>0</v>
      </c>
      <c r="T26" s="309">
        <v>812024</v>
      </c>
      <c r="U26" s="288">
        <v>932024</v>
      </c>
      <c r="V26" s="309">
        <v>0</v>
      </c>
      <c r="W26" s="288">
        <v>0</v>
      </c>
      <c r="X26" s="283">
        <f t="shared" si="0"/>
        <v>8162024</v>
      </c>
      <c r="Y26" s="323">
        <f t="shared" si="1"/>
        <v>8525804</v>
      </c>
      <c r="Z26" s="303">
        <v>2</v>
      </c>
      <c r="AA26" s="303">
        <v>2</v>
      </c>
      <c r="AB26" s="115"/>
      <c r="AC26" s="37"/>
      <c r="AD26" s="37"/>
      <c r="AE26" s="37"/>
      <c r="AF26" s="37"/>
      <c r="AG26" s="37"/>
      <c r="AH26" s="37"/>
    </row>
    <row r="27" spans="1:34" ht="16.5" thickBot="1">
      <c r="A27" s="437"/>
      <c r="B27" s="171" t="s">
        <v>175</v>
      </c>
      <c r="C27" s="286" t="s">
        <v>191</v>
      </c>
      <c r="D27" s="281">
        <v>0</v>
      </c>
      <c r="E27" s="281">
        <v>0</v>
      </c>
      <c r="F27" s="281">
        <v>0</v>
      </c>
      <c r="G27" s="281">
        <v>0</v>
      </c>
      <c r="H27" s="281">
        <v>762000</v>
      </c>
      <c r="I27" s="281">
        <v>762000</v>
      </c>
      <c r="J27" s="281">
        <v>0</v>
      </c>
      <c r="K27" s="281">
        <v>0</v>
      </c>
      <c r="L27" s="282">
        <v>0</v>
      </c>
      <c r="M27" s="281">
        <v>0</v>
      </c>
      <c r="N27" s="281">
        <v>0</v>
      </c>
      <c r="O27" s="281">
        <v>5467319</v>
      </c>
      <c r="P27" s="282">
        <v>0</v>
      </c>
      <c r="Q27" s="309">
        <v>0</v>
      </c>
      <c r="R27" s="309">
        <v>0</v>
      </c>
      <c r="S27" s="309">
        <v>0</v>
      </c>
      <c r="T27" s="309">
        <v>292681</v>
      </c>
      <c r="U27" s="288">
        <v>292681</v>
      </c>
      <c r="V27" s="309">
        <v>0</v>
      </c>
      <c r="W27" s="288">
        <v>540000</v>
      </c>
      <c r="X27" s="283">
        <f t="shared" si="0"/>
        <v>1054681</v>
      </c>
      <c r="Y27" s="323">
        <f t="shared" si="1"/>
        <v>7062000</v>
      </c>
      <c r="Z27" s="303">
        <v>0</v>
      </c>
      <c r="AA27" s="303">
        <v>0</v>
      </c>
      <c r="AB27" s="115"/>
      <c r="AC27" s="37"/>
      <c r="AD27" s="37"/>
      <c r="AE27" s="37"/>
      <c r="AF27" s="37"/>
      <c r="AG27" s="37"/>
      <c r="AH27" s="37"/>
    </row>
    <row r="28" spans="1:34" ht="16.5" thickBot="1">
      <c r="A28" s="437"/>
      <c r="B28" s="171" t="s">
        <v>176</v>
      </c>
      <c r="C28" s="286" t="s">
        <v>192</v>
      </c>
      <c r="D28" s="281">
        <v>0</v>
      </c>
      <c r="E28" s="281">
        <v>0</v>
      </c>
      <c r="F28" s="281">
        <v>0</v>
      </c>
      <c r="G28" s="281">
        <v>0</v>
      </c>
      <c r="H28" s="281">
        <v>20000</v>
      </c>
      <c r="I28" s="281">
        <v>95090</v>
      </c>
      <c r="J28" s="281">
        <v>500000</v>
      </c>
      <c r="K28" s="281">
        <v>500000</v>
      </c>
      <c r="L28" s="282">
        <f>700000+1600000</f>
        <v>2300000</v>
      </c>
      <c r="M28" s="282">
        <f>700000+1600000</f>
        <v>2300000</v>
      </c>
      <c r="N28" s="281">
        <v>0</v>
      </c>
      <c r="O28" s="281">
        <v>0</v>
      </c>
      <c r="P28" s="282">
        <v>0</v>
      </c>
      <c r="Q28" s="309">
        <v>0</v>
      </c>
      <c r="R28" s="309">
        <v>0</v>
      </c>
      <c r="S28" s="309">
        <v>0</v>
      </c>
      <c r="T28" s="309">
        <v>0</v>
      </c>
      <c r="U28" s="288">
        <v>0</v>
      </c>
      <c r="V28" s="309">
        <v>0</v>
      </c>
      <c r="W28" s="288">
        <v>0</v>
      </c>
      <c r="X28" s="283">
        <f t="shared" si="0"/>
        <v>2820000</v>
      </c>
      <c r="Y28" s="323">
        <f t="shared" si="1"/>
        <v>2895090</v>
      </c>
      <c r="Z28" s="303">
        <v>0</v>
      </c>
      <c r="AA28" s="303">
        <v>0</v>
      </c>
      <c r="AB28" s="115"/>
      <c r="AC28" s="37"/>
      <c r="AD28" s="37"/>
      <c r="AE28" s="37"/>
      <c r="AF28" s="37"/>
      <c r="AG28" s="37"/>
      <c r="AH28" s="37"/>
    </row>
    <row r="29" spans="1:34" ht="16.5" thickBot="1">
      <c r="A29" s="437"/>
      <c r="B29" s="171" t="s">
        <v>198</v>
      </c>
      <c r="C29" s="358" t="s">
        <v>200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21130</v>
      </c>
      <c r="J29" s="281">
        <v>0</v>
      </c>
      <c r="K29" s="281">
        <v>0</v>
      </c>
      <c r="L29" s="282">
        <v>0</v>
      </c>
      <c r="M29" s="281">
        <v>0</v>
      </c>
      <c r="N29" s="281">
        <v>0</v>
      </c>
      <c r="O29" s="281">
        <v>0</v>
      </c>
      <c r="P29" s="282">
        <v>0</v>
      </c>
      <c r="Q29" s="309">
        <v>0</v>
      </c>
      <c r="R29" s="309">
        <v>0</v>
      </c>
      <c r="S29" s="309">
        <v>0</v>
      </c>
      <c r="T29" s="309">
        <v>2050000</v>
      </c>
      <c r="U29" s="288">
        <v>4784000</v>
      </c>
      <c r="V29" s="309">
        <v>0</v>
      </c>
      <c r="W29" s="288">
        <v>0</v>
      </c>
      <c r="X29" s="283">
        <f t="shared" si="0"/>
        <v>2050000</v>
      </c>
      <c r="Y29" s="323">
        <f t="shared" si="1"/>
        <v>4805130</v>
      </c>
      <c r="Z29" s="303">
        <v>0</v>
      </c>
      <c r="AA29" s="303">
        <v>0</v>
      </c>
      <c r="AB29" s="115"/>
      <c r="AC29" s="37"/>
      <c r="AD29" s="37"/>
      <c r="AE29" s="37"/>
      <c r="AF29" s="37"/>
      <c r="AG29" s="37"/>
      <c r="AH29" s="37"/>
    </row>
    <row r="30" spans="1:34" ht="16.5" thickBot="1">
      <c r="A30" s="437"/>
      <c r="B30" s="171" t="s">
        <v>241</v>
      </c>
      <c r="C30" s="286" t="s">
        <v>242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31326</v>
      </c>
      <c r="L30" s="282">
        <v>0</v>
      </c>
      <c r="M30" s="281">
        <v>0</v>
      </c>
      <c r="N30" s="281">
        <v>0</v>
      </c>
      <c r="O30" s="281">
        <v>0</v>
      </c>
      <c r="P30" s="282">
        <v>9649634</v>
      </c>
      <c r="Q30" s="282">
        <v>9649634</v>
      </c>
      <c r="R30" s="282">
        <v>0</v>
      </c>
      <c r="S30" s="282">
        <v>0</v>
      </c>
      <c r="T30" s="281">
        <v>0</v>
      </c>
      <c r="U30" s="288">
        <v>0</v>
      </c>
      <c r="V30" s="281">
        <v>0</v>
      </c>
      <c r="W30" s="288">
        <v>0</v>
      </c>
      <c r="X30" s="283">
        <f t="shared" si="0"/>
        <v>9649634</v>
      </c>
      <c r="Y30" s="323">
        <f t="shared" si="1"/>
        <v>9680960</v>
      </c>
      <c r="Z30" s="303">
        <v>0</v>
      </c>
      <c r="AA30" s="303">
        <v>0</v>
      </c>
      <c r="AB30" s="115"/>
      <c r="AC30" s="37"/>
      <c r="AD30" s="37"/>
      <c r="AE30" s="37"/>
      <c r="AF30" s="37"/>
      <c r="AG30" s="37"/>
      <c r="AH30" s="37"/>
    </row>
    <row r="31" spans="1:34" ht="16.5" thickBot="1">
      <c r="A31" s="437"/>
      <c r="B31" s="158" t="s">
        <v>50</v>
      </c>
      <c r="C31" s="158"/>
      <c r="D31" s="283">
        <f t="shared" ref="D31:X31" si="2">SUM(D6:D30)</f>
        <v>64181000</v>
      </c>
      <c r="E31" s="283">
        <f t="shared" si="2"/>
        <v>103027574</v>
      </c>
      <c r="F31" s="283">
        <f t="shared" si="2"/>
        <v>11617000</v>
      </c>
      <c r="G31" s="283">
        <f t="shared" si="2"/>
        <v>15478550</v>
      </c>
      <c r="H31" s="283">
        <f t="shared" si="2"/>
        <v>47319000</v>
      </c>
      <c r="I31" s="283">
        <f t="shared" si="2"/>
        <v>61616926</v>
      </c>
      <c r="J31" s="283">
        <f t="shared" si="2"/>
        <v>74964709</v>
      </c>
      <c r="K31" s="283">
        <f t="shared" si="2"/>
        <v>75362839</v>
      </c>
      <c r="L31" s="283">
        <f t="shared" si="2"/>
        <v>2300000</v>
      </c>
      <c r="M31" s="283">
        <f t="shared" si="2"/>
        <v>2300000</v>
      </c>
      <c r="N31" s="283">
        <f t="shared" si="2"/>
        <v>92103299</v>
      </c>
      <c r="O31" s="283">
        <f t="shared" si="2"/>
        <v>70478805</v>
      </c>
      <c r="P31" s="283">
        <f t="shared" si="2"/>
        <v>9649634</v>
      </c>
      <c r="Q31" s="283">
        <f t="shared" si="2"/>
        <v>9649634</v>
      </c>
      <c r="R31" s="283">
        <f t="shared" si="2"/>
        <v>0</v>
      </c>
      <c r="S31" s="283">
        <f t="shared" si="2"/>
        <v>743685</v>
      </c>
      <c r="T31" s="283">
        <f t="shared" si="2"/>
        <v>181097247</v>
      </c>
      <c r="U31" s="368">
        <f t="shared" si="2"/>
        <v>203499749</v>
      </c>
      <c r="V31" s="283">
        <f t="shared" si="2"/>
        <v>50435066</v>
      </c>
      <c r="W31" s="368">
        <f t="shared" si="2"/>
        <v>93246247</v>
      </c>
      <c r="X31" s="283">
        <f t="shared" si="2"/>
        <v>533666955</v>
      </c>
      <c r="Y31" s="323">
        <f>+SUM(Y6:Y30)</f>
        <v>635404009</v>
      </c>
      <c r="Z31" s="310">
        <f>SUM(Z6:Z30)</f>
        <v>82</v>
      </c>
      <c r="AA31" s="310">
        <f>SUM(AA6:AA30)</f>
        <v>51</v>
      </c>
      <c r="AB31" s="44"/>
      <c r="AC31" s="37"/>
      <c r="AD31" s="115"/>
      <c r="AE31" s="115"/>
      <c r="AF31" s="37"/>
      <c r="AG31" s="37"/>
      <c r="AH31" s="37"/>
    </row>
    <row r="32" spans="1:34" ht="16.5" thickBot="1">
      <c r="A32" s="437"/>
      <c r="B32" s="171" t="s">
        <v>170</v>
      </c>
      <c r="C32" s="286" t="s">
        <v>187</v>
      </c>
      <c r="D32" s="281">
        <v>771000</v>
      </c>
      <c r="E32" s="281">
        <v>771000</v>
      </c>
      <c r="F32" s="281">
        <v>152000</v>
      </c>
      <c r="G32" s="281">
        <v>152000</v>
      </c>
      <c r="H32" s="281">
        <v>260000</v>
      </c>
      <c r="I32" s="281">
        <v>260000</v>
      </c>
      <c r="J32" s="281">
        <v>0</v>
      </c>
      <c r="K32" s="281">
        <v>0</v>
      </c>
      <c r="L32" s="282">
        <v>0</v>
      </c>
      <c r="M32" s="282">
        <v>0</v>
      </c>
      <c r="N32" s="281">
        <v>0</v>
      </c>
      <c r="O32" s="281">
        <v>0</v>
      </c>
      <c r="P32" s="281">
        <v>0</v>
      </c>
      <c r="Q32" s="281">
        <v>0</v>
      </c>
      <c r="R32" s="281">
        <v>0</v>
      </c>
      <c r="S32" s="281">
        <v>0</v>
      </c>
      <c r="T32" s="281">
        <v>0</v>
      </c>
      <c r="U32" s="288">
        <v>0</v>
      </c>
      <c r="V32" s="281">
        <v>0</v>
      </c>
      <c r="W32" s="288">
        <v>0</v>
      </c>
      <c r="X32" s="283">
        <f t="shared" ref="X32" si="3">+V32+T32+P32+N32+L32+J32+H32+F32+D32</f>
        <v>1183000</v>
      </c>
      <c r="Y32" s="323">
        <f t="shared" ref="Y32" si="4">+W32+U32+Q32+O32+M32+K32+I32+G32+E32</f>
        <v>1183000</v>
      </c>
      <c r="Z32" s="303">
        <v>0</v>
      </c>
      <c r="AA32" s="303">
        <v>0</v>
      </c>
      <c r="AB32" s="44"/>
      <c r="AC32" s="37"/>
      <c r="AD32" s="115"/>
      <c r="AE32" s="37"/>
      <c r="AF32" s="37"/>
      <c r="AG32" s="37"/>
      <c r="AH32" s="37"/>
    </row>
    <row r="33" spans="1:34" ht="32.25" thickBot="1">
      <c r="A33" s="437"/>
      <c r="B33" s="171" t="s">
        <v>360</v>
      </c>
      <c r="C33" s="359" t="s">
        <v>361</v>
      </c>
      <c r="D33" s="281">
        <v>0</v>
      </c>
      <c r="E33" s="281">
        <v>0</v>
      </c>
      <c r="F33" s="281">
        <v>0</v>
      </c>
      <c r="G33" s="281">
        <v>0</v>
      </c>
      <c r="H33" s="281">
        <v>0</v>
      </c>
      <c r="I33" s="281">
        <v>1104900</v>
      </c>
      <c r="J33" s="281">
        <v>0</v>
      </c>
      <c r="K33" s="281">
        <v>0</v>
      </c>
      <c r="L33" s="282">
        <v>0</v>
      </c>
      <c r="M33" s="282">
        <v>0</v>
      </c>
      <c r="N33" s="281">
        <v>0</v>
      </c>
      <c r="O33" s="281">
        <v>0</v>
      </c>
      <c r="P33" s="281">
        <v>0</v>
      </c>
      <c r="Q33" s="281">
        <v>0</v>
      </c>
      <c r="R33" s="281">
        <v>0</v>
      </c>
      <c r="S33" s="281">
        <v>0</v>
      </c>
      <c r="T33" s="281">
        <v>0</v>
      </c>
      <c r="U33" s="288">
        <v>0</v>
      </c>
      <c r="V33" s="281">
        <v>0</v>
      </c>
      <c r="W33" s="288">
        <v>0</v>
      </c>
      <c r="X33" s="283">
        <f t="shared" ref="X33:X40" si="5">+V33+T33+P33+N33+L33+J33+H33+F33+D33</f>
        <v>0</v>
      </c>
      <c r="Y33" s="323">
        <f t="shared" ref="Y33:Y40" si="6">+W33+U33+Q33+O33+M33+K33+I33+G33+E33</f>
        <v>1104900</v>
      </c>
      <c r="Z33" s="303"/>
      <c r="AA33" s="303"/>
      <c r="AB33" s="44"/>
      <c r="AC33" s="37"/>
      <c r="AD33" s="115"/>
      <c r="AE33" s="37"/>
      <c r="AF33" s="37"/>
      <c r="AG33" s="37"/>
      <c r="AH33" s="37"/>
    </row>
    <row r="34" spans="1:34" ht="16.5" thickBot="1">
      <c r="A34" s="437"/>
      <c r="B34" s="171" t="s">
        <v>176</v>
      </c>
      <c r="C34" s="286" t="s">
        <v>149</v>
      </c>
      <c r="D34" s="281">
        <v>0</v>
      </c>
      <c r="E34" s="281">
        <v>0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2">
        <v>567000</v>
      </c>
      <c r="M34" s="282">
        <v>567000</v>
      </c>
      <c r="N34" s="281">
        <v>0</v>
      </c>
      <c r="O34" s="281">
        <v>0</v>
      </c>
      <c r="P34" s="281">
        <v>0</v>
      </c>
      <c r="Q34" s="281">
        <v>0</v>
      </c>
      <c r="R34" s="281">
        <v>0</v>
      </c>
      <c r="S34" s="281">
        <v>0</v>
      </c>
      <c r="T34" s="281">
        <v>0</v>
      </c>
      <c r="U34" s="288">
        <v>0</v>
      </c>
      <c r="V34" s="281">
        <v>0</v>
      </c>
      <c r="W34" s="288">
        <v>0</v>
      </c>
      <c r="X34" s="283">
        <f t="shared" si="5"/>
        <v>567000</v>
      </c>
      <c r="Y34" s="323">
        <f t="shared" si="6"/>
        <v>567000</v>
      </c>
      <c r="Z34" s="303">
        <v>0</v>
      </c>
      <c r="AA34" s="303">
        <v>0</v>
      </c>
      <c r="AB34" s="44"/>
      <c r="AC34" s="37"/>
      <c r="AD34" s="115"/>
      <c r="AE34" s="37"/>
      <c r="AF34" s="37"/>
      <c r="AG34" s="37"/>
      <c r="AH34" s="37"/>
    </row>
    <row r="35" spans="1:34" ht="32.25" customHeight="1" thickBot="1">
      <c r="A35" s="437"/>
      <c r="B35" s="171" t="s">
        <v>176</v>
      </c>
      <c r="C35" s="359" t="s">
        <v>210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2">
        <v>800000</v>
      </c>
      <c r="M35" s="282">
        <v>800000</v>
      </c>
      <c r="N35" s="281">
        <v>0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288">
        <v>0</v>
      </c>
      <c r="V35" s="281">
        <v>0</v>
      </c>
      <c r="W35" s="288">
        <v>0</v>
      </c>
      <c r="X35" s="283">
        <f t="shared" si="5"/>
        <v>800000</v>
      </c>
      <c r="Y35" s="323">
        <f t="shared" si="6"/>
        <v>800000</v>
      </c>
      <c r="Z35" s="303">
        <v>0</v>
      </c>
      <c r="AA35" s="303">
        <v>0</v>
      </c>
      <c r="AB35" s="44"/>
      <c r="AC35" s="37"/>
      <c r="AD35" s="37"/>
      <c r="AE35" s="37"/>
      <c r="AF35" s="37"/>
      <c r="AG35" s="37"/>
      <c r="AH35" s="37"/>
    </row>
    <row r="36" spans="1:34" ht="16.5" thickBot="1">
      <c r="A36" s="437"/>
      <c r="B36" s="318" t="s">
        <v>282</v>
      </c>
      <c r="C36" s="286" t="s">
        <v>283</v>
      </c>
      <c r="D36" s="281">
        <v>0</v>
      </c>
      <c r="E36" s="281">
        <v>0</v>
      </c>
      <c r="F36" s="281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2">
        <v>114000</v>
      </c>
      <c r="M36" s="281">
        <v>711145</v>
      </c>
      <c r="N36" s="281">
        <v>0</v>
      </c>
      <c r="O36" s="281">
        <v>0</v>
      </c>
      <c r="P36" s="281">
        <v>0</v>
      </c>
      <c r="Q36" s="281">
        <v>0</v>
      </c>
      <c r="R36" s="281">
        <v>0</v>
      </c>
      <c r="S36" s="281">
        <v>0</v>
      </c>
      <c r="T36" s="281">
        <v>0</v>
      </c>
      <c r="U36" s="288">
        <v>0</v>
      </c>
      <c r="V36" s="281">
        <v>0</v>
      </c>
      <c r="W36" s="288">
        <v>0</v>
      </c>
      <c r="X36" s="283">
        <f t="shared" si="5"/>
        <v>114000</v>
      </c>
      <c r="Y36" s="323">
        <f t="shared" si="6"/>
        <v>711145</v>
      </c>
      <c r="Z36" s="303">
        <v>0</v>
      </c>
      <c r="AA36" s="303">
        <v>0</v>
      </c>
      <c r="AB36" s="44"/>
      <c r="AC36" s="37"/>
      <c r="AD36" s="37"/>
      <c r="AE36" s="37"/>
      <c r="AF36" s="37"/>
      <c r="AG36" s="37"/>
      <c r="AH36" s="37"/>
    </row>
    <row r="37" spans="1:34" ht="16.5" thickBot="1">
      <c r="A37" s="437"/>
      <c r="B37" s="172" t="s">
        <v>160</v>
      </c>
      <c r="C37" s="285" t="s">
        <v>179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2">
        <v>0</v>
      </c>
      <c r="M37" s="281">
        <v>0</v>
      </c>
      <c r="N37" s="281">
        <v>0</v>
      </c>
      <c r="O37" s="281">
        <v>0</v>
      </c>
      <c r="P37" s="281">
        <v>0</v>
      </c>
      <c r="Q37" s="281">
        <v>0</v>
      </c>
      <c r="R37" s="281">
        <v>0</v>
      </c>
      <c r="S37" s="281">
        <v>0</v>
      </c>
      <c r="T37" s="281">
        <v>0</v>
      </c>
      <c r="U37" s="288">
        <v>0</v>
      </c>
      <c r="V37" s="281">
        <v>0</v>
      </c>
      <c r="W37" s="288">
        <v>0</v>
      </c>
      <c r="X37" s="283">
        <f t="shared" si="5"/>
        <v>0</v>
      </c>
      <c r="Y37" s="323">
        <f t="shared" si="6"/>
        <v>0</v>
      </c>
      <c r="Z37" s="303">
        <v>0</v>
      </c>
      <c r="AA37" s="303">
        <v>0</v>
      </c>
      <c r="AB37" s="44"/>
      <c r="AC37" s="37"/>
      <c r="AD37" s="37"/>
      <c r="AE37" s="37"/>
      <c r="AF37" s="37"/>
      <c r="AG37" s="37"/>
      <c r="AH37" s="37"/>
    </row>
    <row r="38" spans="1:34" ht="16.5" thickBot="1">
      <c r="A38" s="437"/>
      <c r="B38" s="287" t="s">
        <v>278</v>
      </c>
      <c r="C38" s="285" t="s">
        <v>280</v>
      </c>
      <c r="D38" s="281">
        <v>0</v>
      </c>
      <c r="E38" s="281">
        <v>3313250</v>
      </c>
      <c r="F38" s="281">
        <v>0</v>
      </c>
      <c r="G38" s="281">
        <v>608540</v>
      </c>
      <c r="H38" s="281">
        <v>0</v>
      </c>
      <c r="I38" s="281">
        <v>8206759</v>
      </c>
      <c r="J38" s="281">
        <v>0</v>
      </c>
      <c r="K38" s="281">
        <v>510000</v>
      </c>
      <c r="L38" s="282">
        <v>0</v>
      </c>
      <c r="M38" s="282">
        <v>0</v>
      </c>
      <c r="N38" s="281">
        <v>0</v>
      </c>
      <c r="O38" s="281">
        <v>0</v>
      </c>
      <c r="P38" s="281">
        <v>0</v>
      </c>
      <c r="Q38" s="281">
        <v>0</v>
      </c>
      <c r="R38" s="281">
        <v>0</v>
      </c>
      <c r="S38" s="281">
        <v>0</v>
      </c>
      <c r="T38" s="309">
        <v>48310000</v>
      </c>
      <c r="U38" s="288">
        <v>28891649</v>
      </c>
      <c r="V38" s="281">
        <v>0</v>
      </c>
      <c r="W38" s="288">
        <v>0</v>
      </c>
      <c r="X38" s="283">
        <f t="shared" si="5"/>
        <v>48310000</v>
      </c>
      <c r="Y38" s="323">
        <f t="shared" si="6"/>
        <v>41530198</v>
      </c>
      <c r="Z38" s="303">
        <v>0</v>
      </c>
      <c r="AA38" s="303">
        <v>0</v>
      </c>
      <c r="AB38" s="44"/>
      <c r="AC38" s="37"/>
      <c r="AD38" s="37"/>
      <c r="AE38" s="37"/>
      <c r="AF38" s="37"/>
      <c r="AG38" s="37"/>
      <c r="AH38" s="37"/>
    </row>
    <row r="39" spans="1:34" ht="16.5" thickBot="1">
      <c r="A39" s="437"/>
      <c r="B39" s="287" t="s">
        <v>279</v>
      </c>
      <c r="C39" s="285" t="s">
        <v>281</v>
      </c>
      <c r="D39" s="281">
        <v>0</v>
      </c>
      <c r="E39" s="281">
        <v>12405000</v>
      </c>
      <c r="F39" s="281">
        <v>0</v>
      </c>
      <c r="G39" s="281">
        <v>2079680</v>
      </c>
      <c r="H39" s="281">
        <v>0</v>
      </c>
      <c r="I39" s="281">
        <v>2398305</v>
      </c>
      <c r="J39" s="281">
        <v>0</v>
      </c>
      <c r="K39" s="281">
        <v>0</v>
      </c>
      <c r="L39" s="282">
        <v>0</v>
      </c>
      <c r="M39" s="282">
        <v>0</v>
      </c>
      <c r="N39" s="281">
        <v>0</v>
      </c>
      <c r="O39" s="281">
        <v>0</v>
      </c>
      <c r="P39" s="281">
        <v>0</v>
      </c>
      <c r="Q39" s="281">
        <v>0</v>
      </c>
      <c r="R39" s="281">
        <v>0</v>
      </c>
      <c r="S39" s="281">
        <v>0</v>
      </c>
      <c r="T39" s="309">
        <v>44590100</v>
      </c>
      <c r="U39" s="288">
        <v>26979159</v>
      </c>
      <c r="V39" s="281">
        <v>0</v>
      </c>
      <c r="W39" s="288">
        <v>0</v>
      </c>
      <c r="X39" s="283">
        <f t="shared" si="5"/>
        <v>44590100</v>
      </c>
      <c r="Y39" s="323">
        <f t="shared" si="6"/>
        <v>43862144</v>
      </c>
      <c r="Z39" s="303">
        <v>0</v>
      </c>
      <c r="AA39" s="303">
        <v>0</v>
      </c>
      <c r="AB39" s="44"/>
      <c r="AC39" s="37"/>
      <c r="AD39" s="37"/>
      <c r="AE39" s="37"/>
      <c r="AF39" s="37"/>
      <c r="AG39" s="37"/>
      <c r="AH39" s="37"/>
    </row>
    <row r="40" spans="1:34" ht="16.5" thickBot="1">
      <c r="A40" s="437"/>
      <c r="B40" s="158" t="s">
        <v>51</v>
      </c>
      <c r="C40" s="158"/>
      <c r="D40" s="283">
        <f>SUM(D32:D39)</f>
        <v>771000</v>
      </c>
      <c r="E40" s="283">
        <f t="shared" ref="E40:W40" si="7">SUM(E32:E39)</f>
        <v>16489250</v>
      </c>
      <c r="F40" s="283">
        <f t="shared" si="7"/>
        <v>152000</v>
      </c>
      <c r="G40" s="283">
        <f t="shared" si="7"/>
        <v>2840220</v>
      </c>
      <c r="H40" s="283">
        <f t="shared" si="7"/>
        <v>260000</v>
      </c>
      <c r="I40" s="283">
        <f t="shared" si="7"/>
        <v>11969964</v>
      </c>
      <c r="J40" s="283">
        <f t="shared" si="7"/>
        <v>0</v>
      </c>
      <c r="K40" s="283">
        <f t="shared" si="7"/>
        <v>510000</v>
      </c>
      <c r="L40" s="283">
        <f t="shared" si="7"/>
        <v>1481000</v>
      </c>
      <c r="M40" s="283">
        <f t="shared" si="7"/>
        <v>2078145</v>
      </c>
      <c r="N40" s="283">
        <f t="shared" si="7"/>
        <v>0</v>
      </c>
      <c r="O40" s="283">
        <f t="shared" si="7"/>
        <v>0</v>
      </c>
      <c r="P40" s="283">
        <f t="shared" si="7"/>
        <v>0</v>
      </c>
      <c r="Q40" s="283">
        <f t="shared" si="7"/>
        <v>0</v>
      </c>
      <c r="R40" s="283">
        <f t="shared" si="7"/>
        <v>0</v>
      </c>
      <c r="S40" s="283">
        <f t="shared" si="7"/>
        <v>0</v>
      </c>
      <c r="T40" s="283">
        <f t="shared" si="7"/>
        <v>92900100</v>
      </c>
      <c r="U40" s="283">
        <f t="shared" si="7"/>
        <v>55870808</v>
      </c>
      <c r="V40" s="283">
        <f t="shared" si="7"/>
        <v>0</v>
      </c>
      <c r="W40" s="283">
        <f t="shared" si="7"/>
        <v>0</v>
      </c>
      <c r="X40" s="283">
        <f t="shared" si="5"/>
        <v>95564100</v>
      </c>
      <c r="Y40" s="323">
        <f t="shared" si="6"/>
        <v>89758387</v>
      </c>
      <c r="Z40" s="301">
        <v>0</v>
      </c>
      <c r="AA40" s="301">
        <v>0</v>
      </c>
      <c r="AB40" s="44"/>
      <c r="AC40" s="37"/>
      <c r="AD40" s="37"/>
      <c r="AE40" s="37"/>
      <c r="AF40" s="37"/>
      <c r="AG40" s="37"/>
      <c r="AH40" s="37"/>
    </row>
    <row r="41" spans="1:34" ht="16.5" thickBot="1">
      <c r="A41" s="437"/>
      <c r="B41" s="438" t="s">
        <v>52</v>
      </c>
      <c r="C41" s="439"/>
      <c r="D41" s="283">
        <f>D31+D40</f>
        <v>64952000</v>
      </c>
      <c r="E41" s="283">
        <f>E31+E40</f>
        <v>119516824</v>
      </c>
      <c r="F41" s="283">
        <f t="shared" ref="F41:W41" si="8">F31+F40</f>
        <v>11769000</v>
      </c>
      <c r="G41" s="283">
        <f t="shared" si="8"/>
        <v>18318770</v>
      </c>
      <c r="H41" s="283">
        <f t="shared" si="8"/>
        <v>47579000</v>
      </c>
      <c r="I41" s="283">
        <f t="shared" si="8"/>
        <v>73586890</v>
      </c>
      <c r="J41" s="283">
        <f t="shared" si="8"/>
        <v>74964709</v>
      </c>
      <c r="K41" s="283">
        <f t="shared" si="8"/>
        <v>75872839</v>
      </c>
      <c r="L41" s="283">
        <f t="shared" si="8"/>
        <v>3781000</v>
      </c>
      <c r="M41" s="283">
        <f t="shared" si="8"/>
        <v>4378145</v>
      </c>
      <c r="N41" s="283">
        <f t="shared" si="8"/>
        <v>92103299</v>
      </c>
      <c r="O41" s="283">
        <f t="shared" si="8"/>
        <v>70478805</v>
      </c>
      <c r="P41" s="283">
        <f t="shared" si="8"/>
        <v>9649634</v>
      </c>
      <c r="Q41" s="283">
        <f t="shared" si="8"/>
        <v>9649634</v>
      </c>
      <c r="R41" s="283">
        <f t="shared" si="8"/>
        <v>0</v>
      </c>
      <c r="S41" s="283">
        <f t="shared" si="8"/>
        <v>743685</v>
      </c>
      <c r="T41" s="283">
        <f t="shared" si="8"/>
        <v>273997347</v>
      </c>
      <c r="U41" s="283">
        <f t="shared" si="8"/>
        <v>259370557</v>
      </c>
      <c r="V41" s="283">
        <f t="shared" si="8"/>
        <v>50435066</v>
      </c>
      <c r="W41" s="283">
        <f t="shared" si="8"/>
        <v>93246247</v>
      </c>
      <c r="X41" s="283">
        <f>+X40+X31</f>
        <v>629231055</v>
      </c>
      <c r="Y41" s="323">
        <f>+Y40+Y31</f>
        <v>725162396</v>
      </c>
      <c r="Z41" s="301">
        <f>SUM(Z31,Z40)</f>
        <v>82</v>
      </c>
      <c r="AA41" s="301">
        <f>SUM(AA31,AA40)</f>
        <v>51</v>
      </c>
      <c r="AB41" s="115"/>
      <c r="AC41" s="37"/>
      <c r="AD41" s="37"/>
      <c r="AE41" s="37"/>
      <c r="AF41" s="37"/>
      <c r="AG41" s="37"/>
      <c r="AH41" s="37"/>
    </row>
    <row r="42" spans="1:34" ht="37.9" customHeight="1" thickBot="1">
      <c r="A42" s="437" t="s">
        <v>39</v>
      </c>
      <c r="B42" s="174" t="s">
        <v>141</v>
      </c>
      <c r="C42" s="286" t="s">
        <v>177</v>
      </c>
      <c r="D42" s="281">
        <v>60095000</v>
      </c>
      <c r="E42" s="281">
        <v>62886338</v>
      </c>
      <c r="F42" s="281">
        <v>11710000</v>
      </c>
      <c r="G42" s="281">
        <v>12257062</v>
      </c>
      <c r="H42" s="281">
        <v>12210000</v>
      </c>
      <c r="I42" s="281">
        <v>12210000</v>
      </c>
      <c r="J42" s="281">
        <v>0</v>
      </c>
      <c r="K42" s="281">
        <v>0</v>
      </c>
      <c r="L42" s="282">
        <v>0</v>
      </c>
      <c r="M42" s="282">
        <v>0</v>
      </c>
      <c r="N42" s="281">
        <v>0</v>
      </c>
      <c r="O42" s="281">
        <v>0</v>
      </c>
      <c r="P42" s="282">
        <v>0</v>
      </c>
      <c r="Q42" s="282">
        <v>0</v>
      </c>
      <c r="R42" s="281">
        <v>0</v>
      </c>
      <c r="S42" s="281">
        <v>0</v>
      </c>
      <c r="T42" s="281">
        <v>1651000</v>
      </c>
      <c r="U42" s="288">
        <v>2250948</v>
      </c>
      <c r="V42" s="281">
        <v>0</v>
      </c>
      <c r="W42" s="288">
        <v>0</v>
      </c>
      <c r="X42" s="283">
        <f t="shared" ref="X42" si="9">+V42+T42+P42+N42+L42+J42+H42+F42+D42</f>
        <v>85666000</v>
      </c>
      <c r="Y42" s="323">
        <f t="shared" ref="Y42" si="10">+W42+U42+Q42+O42+M42+K42+I42+G42+E42</f>
        <v>89604348</v>
      </c>
      <c r="Z42" s="302">
        <v>19</v>
      </c>
      <c r="AA42" s="302">
        <v>18</v>
      </c>
      <c r="AC42" s="37"/>
      <c r="AD42" s="37"/>
      <c r="AE42" s="37"/>
      <c r="AF42" s="37"/>
      <c r="AG42" s="37"/>
      <c r="AH42" s="37"/>
    </row>
    <row r="43" spans="1:34" ht="22.5" customHeight="1" thickBot="1">
      <c r="A43" s="437"/>
      <c r="B43" s="319" t="s">
        <v>301</v>
      </c>
      <c r="C43" s="373" t="s">
        <v>302</v>
      </c>
      <c r="D43" s="281">
        <v>0</v>
      </c>
      <c r="E43" s="281">
        <v>1017867</v>
      </c>
      <c r="F43" s="281">
        <v>0</v>
      </c>
      <c r="G43" s="281">
        <v>216061</v>
      </c>
      <c r="H43" s="281">
        <v>0</v>
      </c>
      <c r="I43" s="281">
        <v>67970</v>
      </c>
      <c r="J43" s="281">
        <v>0</v>
      </c>
      <c r="K43" s="281">
        <v>67585</v>
      </c>
      <c r="L43" s="282">
        <v>0</v>
      </c>
      <c r="M43" s="282">
        <v>0</v>
      </c>
      <c r="N43" s="281">
        <v>0</v>
      </c>
      <c r="O43" s="281">
        <v>0</v>
      </c>
      <c r="P43" s="282">
        <v>0</v>
      </c>
      <c r="Q43" s="282">
        <v>0</v>
      </c>
      <c r="R43" s="281">
        <v>0</v>
      </c>
      <c r="S43" s="281">
        <v>0</v>
      </c>
      <c r="T43" s="281">
        <v>0</v>
      </c>
      <c r="U43" s="288">
        <v>0</v>
      </c>
      <c r="V43" s="281">
        <v>0</v>
      </c>
      <c r="W43" s="288">
        <v>0</v>
      </c>
      <c r="X43" s="283">
        <f t="shared" ref="X43:X45" si="11">+V43+T43+P43+N43+L43+J43+H43+F43+D43</f>
        <v>0</v>
      </c>
      <c r="Y43" s="323">
        <f t="shared" ref="Y43:Y45" si="12">+W43+U43+Q43+O43+M43+K43+I43+G43+E43</f>
        <v>1369483</v>
      </c>
      <c r="Z43" s="302">
        <v>0</v>
      </c>
      <c r="AA43" s="302">
        <v>0</v>
      </c>
      <c r="AB43" s="37"/>
      <c r="AC43" s="37"/>
      <c r="AD43" s="37"/>
      <c r="AE43" s="37"/>
      <c r="AF43" s="37"/>
      <c r="AG43" s="37"/>
      <c r="AH43" s="37"/>
    </row>
    <row r="44" spans="1:34" ht="22.5" customHeight="1" thickBot="1">
      <c r="A44" s="437"/>
      <c r="B44" s="319" t="s">
        <v>278</v>
      </c>
      <c r="C44" s="285" t="s">
        <v>280</v>
      </c>
      <c r="D44" s="281">
        <v>0</v>
      </c>
      <c r="E44" s="281">
        <v>5761000</v>
      </c>
      <c r="F44" s="281">
        <v>0</v>
      </c>
      <c r="G44" s="281">
        <v>1016145</v>
      </c>
      <c r="H44" s="281">
        <v>0</v>
      </c>
      <c r="I44" s="281">
        <v>0</v>
      </c>
      <c r="J44" s="281">
        <v>0</v>
      </c>
      <c r="K44" s="281">
        <v>0</v>
      </c>
      <c r="L44" s="282">
        <v>0</v>
      </c>
      <c r="M44" s="282">
        <v>0</v>
      </c>
      <c r="N44" s="281">
        <v>0</v>
      </c>
      <c r="O44" s="281">
        <v>0</v>
      </c>
      <c r="P44" s="282">
        <v>0</v>
      </c>
      <c r="Q44" s="282">
        <v>0</v>
      </c>
      <c r="R44" s="281">
        <v>0</v>
      </c>
      <c r="S44" s="281">
        <v>0</v>
      </c>
      <c r="T44" s="281">
        <v>0</v>
      </c>
      <c r="U44" s="288">
        <v>0</v>
      </c>
      <c r="V44" s="281">
        <v>0</v>
      </c>
      <c r="W44" s="288">
        <v>0</v>
      </c>
      <c r="X44" s="283">
        <f t="shared" si="11"/>
        <v>0</v>
      </c>
      <c r="Y44" s="323">
        <f t="shared" si="12"/>
        <v>6777145</v>
      </c>
      <c r="Z44" s="302">
        <v>0</v>
      </c>
      <c r="AA44" s="302">
        <v>0</v>
      </c>
      <c r="AB44" s="37"/>
      <c r="AC44" s="37"/>
      <c r="AD44" s="37"/>
      <c r="AE44" s="37"/>
      <c r="AF44" s="37"/>
      <c r="AG44" s="37"/>
      <c r="AH44" s="37"/>
    </row>
    <row r="45" spans="1:34" ht="39" customHeight="1" thickBot="1">
      <c r="A45" s="437"/>
      <c r="B45" s="321" t="s">
        <v>303</v>
      </c>
      <c r="C45" s="285" t="s">
        <v>281</v>
      </c>
      <c r="D45" s="281">
        <v>0</v>
      </c>
      <c r="E45" s="281">
        <v>4850000</v>
      </c>
      <c r="F45" s="281">
        <v>0</v>
      </c>
      <c r="G45" s="281">
        <v>887250</v>
      </c>
      <c r="H45" s="281">
        <v>0</v>
      </c>
      <c r="I45" s="281">
        <v>0</v>
      </c>
      <c r="J45" s="281">
        <v>0</v>
      </c>
      <c r="K45" s="281">
        <v>0</v>
      </c>
      <c r="L45" s="282">
        <v>0</v>
      </c>
      <c r="M45" s="282">
        <v>0</v>
      </c>
      <c r="N45" s="281">
        <v>0</v>
      </c>
      <c r="O45" s="281">
        <v>0</v>
      </c>
      <c r="P45" s="282">
        <v>0</v>
      </c>
      <c r="Q45" s="282">
        <v>0</v>
      </c>
      <c r="R45" s="281">
        <v>0</v>
      </c>
      <c r="S45" s="281">
        <v>0</v>
      </c>
      <c r="T45" s="281">
        <v>0</v>
      </c>
      <c r="U45" s="288">
        <v>0</v>
      </c>
      <c r="V45" s="281">
        <v>0</v>
      </c>
      <c r="W45" s="288">
        <v>0</v>
      </c>
      <c r="X45" s="283">
        <f t="shared" si="11"/>
        <v>0</v>
      </c>
      <c r="Y45" s="323">
        <f t="shared" si="12"/>
        <v>5737250</v>
      </c>
      <c r="Z45" s="302">
        <v>0</v>
      </c>
      <c r="AA45" s="302">
        <v>0</v>
      </c>
      <c r="AB45" s="37"/>
      <c r="AC45" s="37"/>
      <c r="AD45" s="37"/>
      <c r="AE45" s="37"/>
      <c r="AF45" s="37"/>
      <c r="AG45" s="37"/>
      <c r="AH45" s="37"/>
    </row>
    <row r="46" spans="1:34" ht="16.5" thickBot="1">
      <c r="A46" s="437"/>
      <c r="B46" s="438" t="s">
        <v>53</v>
      </c>
      <c r="C46" s="439"/>
      <c r="D46" s="283">
        <f>D42+D43+D44+D45</f>
        <v>60095000</v>
      </c>
      <c r="E46" s="283">
        <f t="shared" ref="E46:W46" si="13">E42+E43+E44+E45</f>
        <v>74515205</v>
      </c>
      <c r="F46" s="283">
        <f t="shared" si="13"/>
        <v>11710000</v>
      </c>
      <c r="G46" s="283">
        <f t="shared" si="13"/>
        <v>14376518</v>
      </c>
      <c r="H46" s="283">
        <f t="shared" si="13"/>
        <v>12210000</v>
      </c>
      <c r="I46" s="283">
        <f t="shared" si="13"/>
        <v>12277970</v>
      </c>
      <c r="J46" s="283">
        <f t="shared" si="13"/>
        <v>0</v>
      </c>
      <c r="K46" s="283">
        <f t="shared" si="13"/>
        <v>67585</v>
      </c>
      <c r="L46" s="283">
        <f t="shared" si="13"/>
        <v>0</v>
      </c>
      <c r="M46" s="283">
        <f t="shared" si="13"/>
        <v>0</v>
      </c>
      <c r="N46" s="283">
        <f t="shared" si="13"/>
        <v>0</v>
      </c>
      <c r="O46" s="283">
        <f t="shared" si="13"/>
        <v>0</v>
      </c>
      <c r="P46" s="283">
        <f t="shared" si="13"/>
        <v>0</v>
      </c>
      <c r="Q46" s="283">
        <f t="shared" si="13"/>
        <v>0</v>
      </c>
      <c r="R46" s="283">
        <f t="shared" si="13"/>
        <v>0</v>
      </c>
      <c r="S46" s="283">
        <f t="shared" si="13"/>
        <v>0</v>
      </c>
      <c r="T46" s="283">
        <f t="shared" si="13"/>
        <v>1651000</v>
      </c>
      <c r="U46" s="283">
        <f t="shared" si="13"/>
        <v>2250948</v>
      </c>
      <c r="V46" s="283">
        <f t="shared" si="13"/>
        <v>0</v>
      </c>
      <c r="W46" s="283">
        <f t="shared" si="13"/>
        <v>0</v>
      </c>
      <c r="X46" s="283">
        <f>X42+X43+X44+X45</f>
        <v>85666000</v>
      </c>
      <c r="Y46" s="283">
        <f>Y42+Y43+Y44+Y45</f>
        <v>103488226</v>
      </c>
      <c r="Z46" s="301">
        <v>19</v>
      </c>
      <c r="AA46" s="301">
        <f>+AA42</f>
        <v>18</v>
      </c>
      <c r="AB46" s="115"/>
      <c r="AC46" s="37"/>
      <c r="AD46" s="37"/>
      <c r="AE46" s="37"/>
      <c r="AF46" s="37"/>
      <c r="AG46" s="37"/>
      <c r="AH46" s="37"/>
    </row>
    <row r="47" spans="1:34" ht="18.95" customHeight="1" thickBot="1">
      <c r="A47" s="437" t="s">
        <v>41</v>
      </c>
      <c r="B47" s="171" t="s">
        <v>198</v>
      </c>
      <c r="C47" s="157" t="s">
        <v>200</v>
      </c>
      <c r="D47" s="281">
        <v>6001000</v>
      </c>
      <c r="E47" s="281">
        <v>6001000</v>
      </c>
      <c r="F47" s="281">
        <v>1180000</v>
      </c>
      <c r="G47" s="281">
        <v>1180000</v>
      </c>
      <c r="H47" s="281">
        <v>7340000</v>
      </c>
      <c r="I47" s="281">
        <v>7172156</v>
      </c>
      <c r="J47" s="281">
        <v>20000</v>
      </c>
      <c r="K47" s="281">
        <v>20000</v>
      </c>
      <c r="L47" s="282">
        <v>0</v>
      </c>
      <c r="M47" s="282">
        <v>0</v>
      </c>
      <c r="N47" s="281">
        <v>0</v>
      </c>
      <c r="O47" s="281">
        <v>0</v>
      </c>
      <c r="P47" s="282">
        <v>0</v>
      </c>
      <c r="Q47" s="282">
        <v>0</v>
      </c>
      <c r="R47" s="282">
        <v>0</v>
      </c>
      <c r="S47" s="282">
        <v>0</v>
      </c>
      <c r="T47" s="281">
        <v>254000</v>
      </c>
      <c r="U47" s="288">
        <v>837844</v>
      </c>
      <c r="V47" s="281">
        <v>0</v>
      </c>
      <c r="W47" s="288">
        <v>0</v>
      </c>
      <c r="X47" s="283">
        <f t="shared" ref="X47" si="14">+V47+T47+P47+N47+L47+J47+H47+F47+D47</f>
        <v>14795000</v>
      </c>
      <c r="Y47" s="323">
        <f t="shared" ref="Y47" si="15">+W47+U47+Q47+O47+M47+K47+I47+G47+E47</f>
        <v>15211000</v>
      </c>
      <c r="Z47" s="302">
        <v>2</v>
      </c>
      <c r="AA47" s="302">
        <v>2</v>
      </c>
      <c r="AB47" s="37"/>
      <c r="AC47" s="37"/>
      <c r="AD47" s="37"/>
      <c r="AE47" s="37"/>
      <c r="AF47" s="37"/>
      <c r="AG47" s="37"/>
      <c r="AH47" s="37"/>
    </row>
    <row r="48" spans="1:34" ht="22.5" customHeight="1" thickBot="1">
      <c r="A48" s="437"/>
      <c r="B48" s="438" t="s">
        <v>199</v>
      </c>
      <c r="C48" s="439"/>
      <c r="D48" s="283">
        <f>SUM(D47)</f>
        <v>6001000</v>
      </c>
      <c r="E48" s="283">
        <f t="shared" ref="E48:W48" si="16">SUM(E47)</f>
        <v>6001000</v>
      </c>
      <c r="F48" s="283">
        <f t="shared" si="16"/>
        <v>1180000</v>
      </c>
      <c r="G48" s="283">
        <f t="shared" si="16"/>
        <v>1180000</v>
      </c>
      <c r="H48" s="283">
        <f t="shared" si="16"/>
        <v>7340000</v>
      </c>
      <c r="I48" s="283">
        <f t="shared" si="16"/>
        <v>7172156</v>
      </c>
      <c r="J48" s="283">
        <f t="shared" si="16"/>
        <v>20000</v>
      </c>
      <c r="K48" s="283">
        <f t="shared" si="16"/>
        <v>20000</v>
      </c>
      <c r="L48" s="283">
        <f t="shared" si="16"/>
        <v>0</v>
      </c>
      <c r="M48" s="283">
        <f t="shared" si="16"/>
        <v>0</v>
      </c>
      <c r="N48" s="283">
        <f t="shared" si="16"/>
        <v>0</v>
      </c>
      <c r="O48" s="283">
        <f t="shared" si="16"/>
        <v>0</v>
      </c>
      <c r="P48" s="283">
        <f t="shared" si="16"/>
        <v>0</v>
      </c>
      <c r="Q48" s="283">
        <f t="shared" si="16"/>
        <v>0</v>
      </c>
      <c r="R48" s="283">
        <f t="shared" si="16"/>
        <v>0</v>
      </c>
      <c r="S48" s="283">
        <f t="shared" si="16"/>
        <v>0</v>
      </c>
      <c r="T48" s="283">
        <f t="shared" si="16"/>
        <v>254000</v>
      </c>
      <c r="U48" s="283">
        <f t="shared" si="16"/>
        <v>837844</v>
      </c>
      <c r="V48" s="283">
        <f t="shared" si="16"/>
        <v>0</v>
      </c>
      <c r="W48" s="283">
        <f t="shared" si="16"/>
        <v>0</v>
      </c>
      <c r="X48" s="283">
        <f>SUM(X47)</f>
        <v>14795000</v>
      </c>
      <c r="Y48" s="283">
        <f>SUM(Y47)</f>
        <v>15211000</v>
      </c>
      <c r="Z48" s="301">
        <v>2</v>
      </c>
      <c r="AA48" s="301">
        <v>2</v>
      </c>
      <c r="AB48" s="115"/>
      <c r="AC48" s="37"/>
      <c r="AD48" s="37"/>
      <c r="AE48" s="37"/>
      <c r="AF48" s="37"/>
      <c r="AG48" s="37"/>
      <c r="AH48" s="37"/>
    </row>
    <row r="49" spans="1:34" ht="15.75" customHeight="1" thickBot="1">
      <c r="A49" s="357"/>
      <c r="B49" s="374" t="s">
        <v>362</v>
      </c>
      <c r="C49" s="286" t="s">
        <v>363</v>
      </c>
      <c r="D49" s="281">
        <v>0</v>
      </c>
      <c r="E49" s="281">
        <v>0</v>
      </c>
      <c r="F49" s="281">
        <v>0</v>
      </c>
      <c r="G49" s="281">
        <v>0</v>
      </c>
      <c r="H49" s="281">
        <v>0</v>
      </c>
      <c r="I49" s="281">
        <v>765000</v>
      </c>
      <c r="J49" s="281">
        <v>0</v>
      </c>
      <c r="K49" s="281">
        <v>0</v>
      </c>
      <c r="L49" s="282">
        <v>0</v>
      </c>
      <c r="M49" s="282">
        <v>0</v>
      </c>
      <c r="N49" s="281">
        <v>0</v>
      </c>
      <c r="O49" s="281">
        <v>0</v>
      </c>
      <c r="P49" s="282">
        <v>0</v>
      </c>
      <c r="Q49" s="282">
        <v>0</v>
      </c>
      <c r="R49" s="282">
        <v>0</v>
      </c>
      <c r="S49" s="282">
        <v>0</v>
      </c>
      <c r="T49" s="281">
        <v>0</v>
      </c>
      <c r="U49" s="288">
        <v>0</v>
      </c>
      <c r="V49" s="281">
        <v>0</v>
      </c>
      <c r="W49" s="288">
        <v>0</v>
      </c>
      <c r="X49" s="283">
        <f t="shared" ref="X49" si="17">+V49+T49+P49+N49+L49+J49+H49+F49+D49</f>
        <v>0</v>
      </c>
      <c r="Y49" s="323">
        <f t="shared" ref="Y49" si="18">+W49+U49+Q49+O49+M49+K49+I49+G49+E49</f>
        <v>765000</v>
      </c>
      <c r="Z49" s="302">
        <v>0</v>
      </c>
      <c r="AA49" s="302">
        <v>0</v>
      </c>
      <c r="AB49" s="37"/>
      <c r="AC49" s="37"/>
      <c r="AD49" s="37"/>
      <c r="AE49" s="37"/>
      <c r="AF49" s="37"/>
      <c r="AG49" s="37"/>
      <c r="AH49" s="37"/>
    </row>
    <row r="50" spans="1:34" ht="15.75" customHeight="1" thickBot="1">
      <c r="A50" s="437" t="s">
        <v>43</v>
      </c>
      <c r="B50" s="374" t="s">
        <v>203</v>
      </c>
      <c r="C50" s="286" t="s">
        <v>201</v>
      </c>
      <c r="D50" s="281">
        <v>3725200</v>
      </c>
      <c r="E50" s="281">
        <v>3813900</v>
      </c>
      <c r="F50" s="281">
        <v>733500</v>
      </c>
      <c r="G50" s="281">
        <v>733500</v>
      </c>
      <c r="H50" s="281">
        <v>2160000</v>
      </c>
      <c r="I50" s="281">
        <v>1306300</v>
      </c>
      <c r="J50" s="281">
        <v>0</v>
      </c>
      <c r="K50" s="281">
        <v>0</v>
      </c>
      <c r="L50" s="282">
        <v>0</v>
      </c>
      <c r="M50" s="282">
        <v>0</v>
      </c>
      <c r="N50" s="281">
        <v>0</v>
      </c>
      <c r="O50" s="281">
        <v>0</v>
      </c>
      <c r="P50" s="282">
        <v>0</v>
      </c>
      <c r="Q50" s="282">
        <v>0</v>
      </c>
      <c r="R50" s="282">
        <v>0</v>
      </c>
      <c r="S50" s="282">
        <v>0</v>
      </c>
      <c r="T50" s="281">
        <v>222000</v>
      </c>
      <c r="U50" s="288">
        <v>222000</v>
      </c>
      <c r="V50" s="281">
        <v>0</v>
      </c>
      <c r="W50" s="288">
        <v>0</v>
      </c>
      <c r="X50" s="283">
        <f t="shared" ref="X50" si="19">+V50+T50+P50+N50+L50+J50+H50+F50+D50</f>
        <v>6840700</v>
      </c>
      <c r="Y50" s="323">
        <f t="shared" ref="Y50" si="20">+W50+U50+Q50+O50+M50+K50+I50+G50+E50</f>
        <v>6075700</v>
      </c>
      <c r="Z50" s="302">
        <v>1</v>
      </c>
      <c r="AA50" s="302">
        <v>1</v>
      </c>
      <c r="AB50" s="37"/>
      <c r="AC50" s="37"/>
      <c r="AD50" s="37"/>
      <c r="AE50" s="37"/>
      <c r="AF50" s="37"/>
      <c r="AG50" s="37"/>
      <c r="AH50" s="37"/>
    </row>
    <row r="51" spans="1:34" ht="21" customHeight="1" thickBot="1">
      <c r="A51" s="437"/>
      <c r="B51" s="438" t="s">
        <v>202</v>
      </c>
      <c r="C51" s="439"/>
      <c r="D51" s="283">
        <f t="shared" ref="D51:H51" si="21">SUM(D49:D50)</f>
        <v>3725200</v>
      </c>
      <c r="E51" s="283">
        <f t="shared" si="21"/>
        <v>3813900</v>
      </c>
      <c r="F51" s="283">
        <f t="shared" si="21"/>
        <v>733500</v>
      </c>
      <c r="G51" s="283">
        <f t="shared" si="21"/>
        <v>733500</v>
      </c>
      <c r="H51" s="283">
        <f t="shared" si="21"/>
        <v>2160000</v>
      </c>
      <c r="I51" s="283">
        <f>SUM(I49:I50)</f>
        <v>2071300</v>
      </c>
      <c r="J51" s="283">
        <f t="shared" ref="J51" si="22">SUM(J49:J50)</f>
        <v>0</v>
      </c>
      <c r="K51" s="283">
        <f t="shared" ref="K51" si="23">SUM(K49:K50)</f>
        <v>0</v>
      </c>
      <c r="L51" s="283">
        <f t="shared" ref="L51" si="24">SUM(L49:L50)</f>
        <v>0</v>
      </c>
      <c r="M51" s="283">
        <f t="shared" ref="M51" si="25">SUM(M49:M50)</f>
        <v>0</v>
      </c>
      <c r="N51" s="283">
        <f t="shared" ref="N51:O51" si="26">SUM(N49:N50)</f>
        <v>0</v>
      </c>
      <c r="O51" s="283">
        <f t="shared" si="26"/>
        <v>0</v>
      </c>
      <c r="P51" s="283">
        <f t="shared" ref="P51" si="27">SUM(P49:P50)</f>
        <v>0</v>
      </c>
      <c r="Q51" s="283">
        <f t="shared" ref="Q51:T51" si="28">SUM(Q49:Q50)</f>
        <v>0</v>
      </c>
      <c r="R51" s="283">
        <f t="shared" si="28"/>
        <v>0</v>
      </c>
      <c r="S51" s="283">
        <f t="shared" si="28"/>
        <v>0</v>
      </c>
      <c r="T51" s="283">
        <f t="shared" si="28"/>
        <v>222000</v>
      </c>
      <c r="U51" s="283">
        <f t="shared" ref="U51" si="29">SUM(U49:U50)</f>
        <v>222000</v>
      </c>
      <c r="V51" s="283">
        <f t="shared" ref="V51:W51" si="30">SUM(V49:V50)</f>
        <v>0</v>
      </c>
      <c r="W51" s="283">
        <f t="shared" si="30"/>
        <v>0</v>
      </c>
      <c r="X51" s="283">
        <f>+X50+X49</f>
        <v>6840700</v>
      </c>
      <c r="Y51" s="283">
        <f>+Y50+Y49</f>
        <v>6840700</v>
      </c>
      <c r="Z51" s="301">
        <v>1</v>
      </c>
      <c r="AA51" s="301">
        <v>1</v>
      </c>
      <c r="AB51" s="115"/>
      <c r="AC51" s="37"/>
      <c r="AD51" s="37"/>
      <c r="AE51" s="37"/>
      <c r="AF51" s="37"/>
      <c r="AG51" s="37"/>
      <c r="AH51" s="37"/>
    </row>
    <row r="52" spans="1:34" ht="21" customHeight="1" thickBot="1">
      <c r="A52" s="440" t="s">
        <v>133</v>
      </c>
      <c r="B52" s="175" t="s">
        <v>204</v>
      </c>
      <c r="C52" s="176" t="s">
        <v>194</v>
      </c>
      <c r="D52" s="298">
        <v>7745000</v>
      </c>
      <c r="E52" s="298">
        <v>7745000</v>
      </c>
      <c r="F52" s="298">
        <v>1517000</v>
      </c>
      <c r="G52" s="298">
        <v>1517000</v>
      </c>
      <c r="H52" s="298">
        <v>1000000</v>
      </c>
      <c r="I52" s="298">
        <v>1150000</v>
      </c>
      <c r="J52" s="298">
        <v>0</v>
      </c>
      <c r="K52" s="298">
        <v>0</v>
      </c>
      <c r="L52" s="299">
        <v>0</v>
      </c>
      <c r="M52" s="298">
        <v>0</v>
      </c>
      <c r="N52" s="298">
        <v>0</v>
      </c>
      <c r="O52" s="298">
        <v>0</v>
      </c>
      <c r="P52" s="299">
        <v>0</v>
      </c>
      <c r="Q52" s="299">
        <v>0</v>
      </c>
      <c r="R52" s="298">
        <v>0</v>
      </c>
      <c r="S52" s="298">
        <v>0</v>
      </c>
      <c r="T52" s="298">
        <v>0</v>
      </c>
      <c r="U52" s="369">
        <v>0</v>
      </c>
      <c r="V52" s="298">
        <v>0</v>
      </c>
      <c r="W52" s="369">
        <v>0</v>
      </c>
      <c r="X52" s="284">
        <f>+V52+T52+P52+N52+L52+J52+H52+F52+D52</f>
        <v>10262000</v>
      </c>
      <c r="Y52" s="284">
        <f>+W52+U52+Q52+O52+M52+K52+I52+G52+E52</f>
        <v>10412000</v>
      </c>
      <c r="Z52" s="300">
        <v>6</v>
      </c>
      <c r="AA52" s="300">
        <v>6</v>
      </c>
      <c r="AB52" s="37"/>
      <c r="AC52" s="37"/>
      <c r="AD52" s="37"/>
      <c r="AE52" s="37"/>
      <c r="AF52" s="37"/>
      <c r="AG52" s="37"/>
      <c r="AH52" s="37"/>
    </row>
    <row r="53" spans="1:34" ht="21" customHeight="1" thickBot="1">
      <c r="A53" s="441"/>
      <c r="B53" s="175" t="s">
        <v>205</v>
      </c>
      <c r="C53" s="176" t="s">
        <v>195</v>
      </c>
      <c r="D53" s="298">
        <v>2640000</v>
      </c>
      <c r="E53" s="298">
        <v>2670000</v>
      </c>
      <c r="F53" s="298">
        <v>482000</v>
      </c>
      <c r="G53" s="298">
        <v>482000</v>
      </c>
      <c r="H53" s="298">
        <v>1700000</v>
      </c>
      <c r="I53" s="298">
        <v>1670000</v>
      </c>
      <c r="J53" s="298">
        <v>0</v>
      </c>
      <c r="K53" s="298">
        <v>0</v>
      </c>
      <c r="L53" s="299">
        <v>0</v>
      </c>
      <c r="M53" s="298">
        <v>0</v>
      </c>
      <c r="N53" s="298">
        <v>0</v>
      </c>
      <c r="O53" s="298">
        <v>0</v>
      </c>
      <c r="P53" s="299">
        <v>0</v>
      </c>
      <c r="Q53" s="299">
        <v>0</v>
      </c>
      <c r="R53" s="298">
        <v>0</v>
      </c>
      <c r="S53" s="298">
        <v>0</v>
      </c>
      <c r="T53" s="298">
        <v>0</v>
      </c>
      <c r="U53" s="369">
        <v>0</v>
      </c>
      <c r="V53" s="298">
        <v>0</v>
      </c>
      <c r="W53" s="369">
        <v>0</v>
      </c>
      <c r="X53" s="284">
        <f t="shared" ref="X53:X58" si="31">+V53+T53+P53+N53+L53+J53+H53+F53+D53</f>
        <v>4822000</v>
      </c>
      <c r="Y53" s="284">
        <f t="shared" ref="Y53:Y58" si="32">+W53+U53+Q53+O53+M53+K53+I53+G53+E53</f>
        <v>4822000</v>
      </c>
      <c r="Z53" s="300">
        <v>1</v>
      </c>
      <c r="AA53" s="300">
        <v>1</v>
      </c>
      <c r="AB53" s="37"/>
      <c r="AC53" s="37"/>
      <c r="AD53" s="37"/>
      <c r="AE53" s="37"/>
      <c r="AF53" s="37"/>
      <c r="AG53" s="37"/>
      <c r="AH53" s="37"/>
    </row>
    <row r="54" spans="1:34" ht="21" customHeight="1" thickBot="1">
      <c r="A54" s="441"/>
      <c r="B54" s="175" t="s">
        <v>206</v>
      </c>
      <c r="C54" s="176" t="s">
        <v>196</v>
      </c>
      <c r="D54" s="298">
        <v>6170000</v>
      </c>
      <c r="E54" s="298">
        <v>6170000</v>
      </c>
      <c r="F54" s="298">
        <v>1228000</v>
      </c>
      <c r="G54" s="298">
        <v>1228000</v>
      </c>
      <c r="H54" s="298">
        <v>2000000</v>
      </c>
      <c r="I54" s="298">
        <v>3290000</v>
      </c>
      <c r="J54" s="298">
        <v>0</v>
      </c>
      <c r="K54" s="298">
        <v>0</v>
      </c>
      <c r="L54" s="299">
        <v>0</v>
      </c>
      <c r="M54" s="298">
        <v>0</v>
      </c>
      <c r="N54" s="298">
        <v>0</v>
      </c>
      <c r="O54" s="298">
        <v>0</v>
      </c>
      <c r="P54" s="299">
        <v>0</v>
      </c>
      <c r="Q54" s="299">
        <v>0</v>
      </c>
      <c r="R54" s="298">
        <v>0</v>
      </c>
      <c r="S54" s="298">
        <v>0</v>
      </c>
      <c r="T54" s="298">
        <v>889000</v>
      </c>
      <c r="U54" s="369">
        <v>889000</v>
      </c>
      <c r="V54" s="298">
        <v>0</v>
      </c>
      <c r="W54" s="369">
        <v>0</v>
      </c>
      <c r="X54" s="284">
        <f t="shared" si="31"/>
        <v>10287000</v>
      </c>
      <c r="Y54" s="284">
        <f t="shared" si="32"/>
        <v>11577000</v>
      </c>
      <c r="Z54" s="300">
        <v>2</v>
      </c>
      <c r="AA54" s="300">
        <v>2</v>
      </c>
      <c r="AB54" s="37"/>
      <c r="AC54" s="37"/>
      <c r="AD54" s="37"/>
      <c r="AE54" s="37"/>
      <c r="AF54" s="37"/>
      <c r="AG54" s="37"/>
      <c r="AH54" s="37"/>
    </row>
    <row r="55" spans="1:34" ht="21" customHeight="1" thickBot="1">
      <c r="A55" s="441"/>
      <c r="B55" s="175" t="s">
        <v>207</v>
      </c>
      <c r="C55" s="176" t="s">
        <v>197</v>
      </c>
      <c r="D55" s="298">
        <v>2220000</v>
      </c>
      <c r="E55" s="298">
        <v>2220000</v>
      </c>
      <c r="F55" s="298">
        <v>443000</v>
      </c>
      <c r="G55" s="298">
        <v>443000</v>
      </c>
      <c r="H55" s="298">
        <v>17000000</v>
      </c>
      <c r="I55" s="298">
        <v>17734000</v>
      </c>
      <c r="J55" s="298">
        <v>0</v>
      </c>
      <c r="K55" s="298">
        <v>0</v>
      </c>
      <c r="L55" s="299">
        <v>0</v>
      </c>
      <c r="M55" s="298">
        <v>0</v>
      </c>
      <c r="N55" s="298">
        <v>0</v>
      </c>
      <c r="O55" s="298">
        <v>0</v>
      </c>
      <c r="P55" s="299">
        <v>0</v>
      </c>
      <c r="Q55" s="299">
        <v>0</v>
      </c>
      <c r="R55" s="298">
        <v>0</v>
      </c>
      <c r="S55" s="298">
        <v>0</v>
      </c>
      <c r="T55" s="298">
        <v>0</v>
      </c>
      <c r="U55" s="369">
        <v>0</v>
      </c>
      <c r="V55" s="298">
        <v>0</v>
      </c>
      <c r="W55" s="369">
        <v>0</v>
      </c>
      <c r="X55" s="284">
        <f t="shared" si="31"/>
        <v>19663000</v>
      </c>
      <c r="Y55" s="284">
        <f t="shared" si="32"/>
        <v>20397000</v>
      </c>
      <c r="Z55" s="300">
        <v>1</v>
      </c>
      <c r="AA55" s="300">
        <v>1</v>
      </c>
      <c r="AB55" s="37"/>
      <c r="AC55" s="37"/>
      <c r="AD55" s="37"/>
      <c r="AE55" s="37"/>
      <c r="AF55" s="37"/>
      <c r="AG55" s="37"/>
      <c r="AH55" s="37"/>
    </row>
    <row r="56" spans="1:34" ht="21" customHeight="1" thickBot="1">
      <c r="A56" s="441"/>
      <c r="B56" s="175" t="s">
        <v>173</v>
      </c>
      <c r="C56" s="176" t="s">
        <v>244</v>
      </c>
      <c r="D56" s="298">
        <v>0</v>
      </c>
      <c r="E56" s="298">
        <v>0</v>
      </c>
      <c r="F56" s="298">
        <v>0</v>
      </c>
      <c r="G56" s="298">
        <v>0</v>
      </c>
      <c r="H56" s="298">
        <v>1200000</v>
      </c>
      <c r="I56" s="298">
        <v>1200000</v>
      </c>
      <c r="J56" s="298">
        <v>0</v>
      </c>
      <c r="K56" s="298">
        <v>0</v>
      </c>
      <c r="L56" s="299">
        <v>0</v>
      </c>
      <c r="M56" s="299">
        <v>0</v>
      </c>
      <c r="N56" s="298">
        <v>0</v>
      </c>
      <c r="O56" s="298">
        <v>0</v>
      </c>
      <c r="P56" s="299">
        <v>0</v>
      </c>
      <c r="Q56" s="299">
        <v>0</v>
      </c>
      <c r="R56" s="298">
        <v>0</v>
      </c>
      <c r="S56" s="298">
        <v>0</v>
      </c>
      <c r="T56" s="298">
        <v>0</v>
      </c>
      <c r="U56" s="369">
        <v>0</v>
      </c>
      <c r="V56" s="298">
        <v>0</v>
      </c>
      <c r="W56" s="369">
        <v>0</v>
      </c>
      <c r="X56" s="284">
        <f>+V56+T56+P56+N56+L56+J56+H56+F56+D56</f>
        <v>1200000</v>
      </c>
      <c r="Y56" s="284">
        <f t="shared" si="32"/>
        <v>1200000</v>
      </c>
      <c r="Z56" s="300">
        <v>0</v>
      </c>
      <c r="AA56" s="300">
        <v>0</v>
      </c>
      <c r="AB56" s="37"/>
      <c r="AC56" s="37"/>
      <c r="AD56" s="37"/>
      <c r="AE56" s="37"/>
      <c r="AF56" s="37"/>
      <c r="AG56" s="37"/>
      <c r="AH56" s="37"/>
    </row>
    <row r="57" spans="1:34" ht="21" customHeight="1" thickBot="1">
      <c r="A57" s="441"/>
      <c r="B57" s="175" t="s">
        <v>172</v>
      </c>
      <c r="C57" s="176" t="s">
        <v>243</v>
      </c>
      <c r="D57" s="298">
        <v>0</v>
      </c>
      <c r="E57" s="298">
        <v>0</v>
      </c>
      <c r="F57" s="298">
        <v>0</v>
      </c>
      <c r="G57" s="298">
        <v>0</v>
      </c>
      <c r="H57" s="298">
        <v>1700000</v>
      </c>
      <c r="I57" s="298">
        <v>2000000</v>
      </c>
      <c r="J57" s="298">
        <v>0</v>
      </c>
      <c r="K57" s="298">
        <v>0</v>
      </c>
      <c r="L57" s="299">
        <v>0</v>
      </c>
      <c r="M57" s="299">
        <v>0</v>
      </c>
      <c r="N57" s="298">
        <v>0</v>
      </c>
      <c r="O57" s="298">
        <v>0</v>
      </c>
      <c r="P57" s="299">
        <v>0</v>
      </c>
      <c r="Q57" s="299">
        <v>0</v>
      </c>
      <c r="R57" s="298">
        <v>0</v>
      </c>
      <c r="S57" s="298">
        <v>0</v>
      </c>
      <c r="T57" s="298">
        <v>0</v>
      </c>
      <c r="U57" s="369">
        <v>0</v>
      </c>
      <c r="V57" s="298">
        <v>0</v>
      </c>
      <c r="W57" s="369">
        <v>0</v>
      </c>
      <c r="X57" s="284">
        <f t="shared" si="31"/>
        <v>1700000</v>
      </c>
      <c r="Y57" s="284">
        <f t="shared" si="32"/>
        <v>2000000</v>
      </c>
      <c r="Z57" s="300">
        <v>0</v>
      </c>
      <c r="AA57" s="300">
        <v>0</v>
      </c>
      <c r="AB57" s="37"/>
      <c r="AC57" s="37"/>
      <c r="AD57" s="37"/>
      <c r="AE57" s="37"/>
      <c r="AF57" s="37"/>
      <c r="AG57" s="37"/>
      <c r="AH57" s="37"/>
    </row>
    <row r="58" spans="1:34" ht="21" customHeight="1" thickBot="1">
      <c r="A58" s="441"/>
      <c r="B58" s="175" t="s">
        <v>146</v>
      </c>
      <c r="C58" s="176" t="s">
        <v>190</v>
      </c>
      <c r="D58" s="298">
        <v>19056000</v>
      </c>
      <c r="E58" s="298">
        <v>19056000</v>
      </c>
      <c r="F58" s="298">
        <v>3633000</v>
      </c>
      <c r="G58" s="298">
        <v>3633000</v>
      </c>
      <c r="H58" s="298">
        <v>41740000</v>
      </c>
      <c r="I58" s="298">
        <v>40415559</v>
      </c>
      <c r="J58" s="298">
        <v>0</v>
      </c>
      <c r="K58" s="298">
        <v>0</v>
      </c>
      <c r="L58" s="299">
        <v>0</v>
      </c>
      <c r="M58" s="299">
        <v>0</v>
      </c>
      <c r="N58" s="298">
        <v>0</v>
      </c>
      <c r="O58" s="298">
        <v>0</v>
      </c>
      <c r="P58" s="299">
        <v>0</v>
      </c>
      <c r="Q58" s="299">
        <v>0</v>
      </c>
      <c r="R58" s="298">
        <v>0</v>
      </c>
      <c r="S58" s="298">
        <v>0</v>
      </c>
      <c r="T58" s="298">
        <v>0</v>
      </c>
      <c r="U58" s="288">
        <v>0</v>
      </c>
      <c r="V58" s="298">
        <v>0</v>
      </c>
      <c r="W58" s="288">
        <v>1471433</v>
      </c>
      <c r="X58" s="284">
        <f t="shared" si="31"/>
        <v>64429000</v>
      </c>
      <c r="Y58" s="284">
        <f t="shared" si="32"/>
        <v>64575992</v>
      </c>
      <c r="Z58" s="300">
        <v>9</v>
      </c>
      <c r="AA58" s="300">
        <v>8</v>
      </c>
      <c r="AB58" s="37"/>
      <c r="AC58" s="37"/>
      <c r="AD58" s="37"/>
      <c r="AE58" s="37"/>
      <c r="AF58" s="37"/>
      <c r="AG58" s="37"/>
      <c r="AH58" s="37"/>
    </row>
    <row r="59" spans="1:34" ht="33" customHeight="1" thickBot="1">
      <c r="A59" s="442"/>
      <c r="B59" s="443" t="s">
        <v>208</v>
      </c>
      <c r="C59" s="444"/>
      <c r="D59" s="283">
        <f>SUM(D52:D58)</f>
        <v>37831000</v>
      </c>
      <c r="E59" s="283">
        <f t="shared" ref="E59:W59" si="33">SUM(E52:E58)</f>
        <v>37861000</v>
      </c>
      <c r="F59" s="283">
        <f t="shared" si="33"/>
        <v>7303000</v>
      </c>
      <c r="G59" s="283">
        <f t="shared" si="33"/>
        <v>7303000</v>
      </c>
      <c r="H59" s="283">
        <f t="shared" si="33"/>
        <v>66340000</v>
      </c>
      <c r="I59" s="283">
        <f t="shared" si="33"/>
        <v>67459559</v>
      </c>
      <c r="J59" s="283">
        <f t="shared" si="33"/>
        <v>0</v>
      </c>
      <c r="K59" s="283">
        <f t="shared" si="33"/>
        <v>0</v>
      </c>
      <c r="L59" s="283">
        <f t="shared" si="33"/>
        <v>0</v>
      </c>
      <c r="M59" s="283">
        <f t="shared" si="33"/>
        <v>0</v>
      </c>
      <c r="N59" s="283">
        <f t="shared" si="33"/>
        <v>0</v>
      </c>
      <c r="O59" s="283">
        <f t="shared" si="33"/>
        <v>0</v>
      </c>
      <c r="P59" s="283">
        <f t="shared" si="33"/>
        <v>0</v>
      </c>
      <c r="Q59" s="283">
        <f t="shared" si="33"/>
        <v>0</v>
      </c>
      <c r="R59" s="283">
        <f t="shared" si="33"/>
        <v>0</v>
      </c>
      <c r="S59" s="283">
        <f t="shared" si="33"/>
        <v>0</v>
      </c>
      <c r="T59" s="283">
        <f t="shared" si="33"/>
        <v>889000</v>
      </c>
      <c r="U59" s="283">
        <f t="shared" si="33"/>
        <v>889000</v>
      </c>
      <c r="V59" s="283">
        <f t="shared" si="33"/>
        <v>0</v>
      </c>
      <c r="W59" s="283">
        <f t="shared" si="33"/>
        <v>1471433</v>
      </c>
      <c r="X59" s="283">
        <f>SUM(X52:X58)</f>
        <v>112363000</v>
      </c>
      <c r="Y59" s="283">
        <f>SUM(Y52:Y58)</f>
        <v>114983992</v>
      </c>
      <c r="Z59" s="301">
        <f>SUM(Z52:Z58)</f>
        <v>19</v>
      </c>
      <c r="AA59" s="301">
        <f>SUM(AA52:AA58)</f>
        <v>18</v>
      </c>
      <c r="AB59" s="115"/>
      <c r="AC59" s="37"/>
      <c r="AD59" s="37"/>
      <c r="AE59" s="37"/>
      <c r="AF59" s="37"/>
      <c r="AG59" s="37"/>
      <c r="AH59" s="37"/>
    </row>
    <row r="60" spans="1:34" ht="26.25" customHeight="1" thickBot="1">
      <c r="A60" s="445" t="s">
        <v>54</v>
      </c>
      <c r="B60" s="445"/>
      <c r="C60" s="445"/>
      <c r="D60" s="283">
        <f>SUM(D41,D46,D48,D51,D59)</f>
        <v>172604200</v>
      </c>
      <c r="E60" s="283">
        <f t="shared" ref="E60:W60" si="34">SUM(E41,E46,E48,E51,E59)</f>
        <v>241707929</v>
      </c>
      <c r="F60" s="283">
        <f t="shared" si="34"/>
        <v>32695500</v>
      </c>
      <c r="G60" s="283">
        <f t="shared" si="34"/>
        <v>41911788</v>
      </c>
      <c r="H60" s="283">
        <f t="shared" si="34"/>
        <v>135629000</v>
      </c>
      <c r="I60" s="283">
        <f t="shared" si="34"/>
        <v>162567875</v>
      </c>
      <c r="J60" s="283">
        <f t="shared" si="34"/>
        <v>74984709</v>
      </c>
      <c r="K60" s="283">
        <f t="shared" si="34"/>
        <v>75960424</v>
      </c>
      <c r="L60" s="283">
        <f t="shared" si="34"/>
        <v>3781000</v>
      </c>
      <c r="M60" s="283">
        <f t="shared" si="34"/>
        <v>4378145</v>
      </c>
      <c r="N60" s="283">
        <f t="shared" si="34"/>
        <v>92103299</v>
      </c>
      <c r="O60" s="283">
        <f t="shared" si="34"/>
        <v>70478805</v>
      </c>
      <c r="P60" s="283">
        <f t="shared" si="34"/>
        <v>9649634</v>
      </c>
      <c r="Q60" s="283">
        <f t="shared" si="34"/>
        <v>9649634</v>
      </c>
      <c r="R60" s="283">
        <f t="shared" si="34"/>
        <v>0</v>
      </c>
      <c r="S60" s="283">
        <f t="shared" si="34"/>
        <v>743685</v>
      </c>
      <c r="T60" s="283">
        <f t="shared" si="34"/>
        <v>277013347</v>
      </c>
      <c r="U60" s="283">
        <f t="shared" si="34"/>
        <v>263570349</v>
      </c>
      <c r="V60" s="283">
        <f t="shared" si="34"/>
        <v>50435066</v>
      </c>
      <c r="W60" s="283">
        <f t="shared" si="34"/>
        <v>94717680</v>
      </c>
      <c r="X60" s="283">
        <f>SUM(X41,X46,X48,X51,X59)</f>
        <v>848895755</v>
      </c>
      <c r="Y60" s="283">
        <f>SUM(Y41,Y46,Y48,Y51,Y59)</f>
        <v>965686314</v>
      </c>
      <c r="Z60" s="301">
        <f>SUM(Z41,Z46,Z48,Z51,Z59)</f>
        <v>123</v>
      </c>
      <c r="AA60" s="301">
        <f>SUM(AA41,AA46,AA48,AA51,AA59)</f>
        <v>90</v>
      </c>
      <c r="AB60" s="37"/>
      <c r="AC60" s="37"/>
      <c r="AD60" s="37"/>
      <c r="AE60" s="37"/>
      <c r="AF60" s="37"/>
      <c r="AG60" s="37"/>
      <c r="AH60" s="37"/>
    </row>
    <row r="62" spans="1:34">
      <c r="Y62" s="44"/>
    </row>
    <row r="63" spans="1:34">
      <c r="Y63" s="44"/>
    </row>
    <row r="64" spans="1:34">
      <c r="X64" s="305"/>
      <c r="Y64" s="322"/>
    </row>
  </sheetData>
  <mergeCells count="21">
    <mergeCell ref="A1:Z1"/>
    <mergeCell ref="A2:Z2"/>
    <mergeCell ref="A4:A5"/>
    <mergeCell ref="B4:B5"/>
    <mergeCell ref="C4:C5"/>
    <mergeCell ref="D4:V4"/>
    <mergeCell ref="X4:X5"/>
    <mergeCell ref="Z4:Z5"/>
    <mergeCell ref="A60:C60"/>
    <mergeCell ref="Y4:Y5"/>
    <mergeCell ref="A6:A41"/>
    <mergeCell ref="B41:C41"/>
    <mergeCell ref="A42:A46"/>
    <mergeCell ref="B46:C46"/>
    <mergeCell ref="A47:A48"/>
    <mergeCell ref="B48:C48"/>
    <mergeCell ref="AA4:AA5"/>
    <mergeCell ref="A50:A51"/>
    <mergeCell ref="B51:C51"/>
    <mergeCell ref="A52:A59"/>
    <mergeCell ref="B59:C59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5" orientation="landscape" r:id="rId1"/>
  <colBreaks count="1" manualBreakCount="1">
    <brk id="2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G69"/>
  <sheetViews>
    <sheetView zoomScale="80" zoomScaleNormal="80" workbookViewId="0">
      <pane xSplit="2" ySplit="5" topLeftCell="H6" activePane="bottomRight" state="frozen"/>
      <selection activeCell="B23" activeCellId="1" sqref="D10 B23"/>
      <selection pane="topRight" activeCell="B23" activeCellId="1" sqref="D10 B23"/>
      <selection pane="bottomLeft" activeCell="B23" activeCellId="1" sqref="D10 B23"/>
      <selection pane="bottomRight" sqref="A1:Q1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3" width="14.85546875" style="39" customWidth="1"/>
    <col min="14" max="15" width="16.85546875" style="39" customWidth="1"/>
    <col min="16" max="17" width="18" style="39" customWidth="1"/>
    <col min="18" max="18" width="15.85546875" style="39" customWidth="1"/>
    <col min="19" max="19" width="7.42578125" style="39" bestFit="1" customWidth="1"/>
    <col min="20" max="22" width="10.5703125" style="39" bestFit="1" customWidth="1"/>
    <col min="23" max="23" width="5.140625" style="45" bestFit="1" customWidth="1"/>
    <col min="24" max="24" width="7.140625" style="39" bestFit="1" customWidth="1"/>
    <col min="25" max="16384" width="8.85546875" style="37"/>
  </cols>
  <sheetData>
    <row r="1" spans="1:33" ht="15.75">
      <c r="A1" s="407" t="s">
        <v>476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35"/>
      <c r="S1" s="35"/>
      <c r="T1" s="35"/>
      <c r="U1" s="35"/>
      <c r="V1" s="35"/>
      <c r="W1" s="35"/>
      <c r="X1" s="36"/>
      <c r="Y1" s="35" t="s">
        <v>45</v>
      </c>
      <c r="Z1" s="36"/>
    </row>
    <row r="2" spans="1:33" ht="33.75" customHeight="1">
      <c r="A2" s="448" t="s">
        <v>384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38"/>
    </row>
    <row r="3" spans="1:33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 t="s">
        <v>225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3"/>
      <c r="AE3" s="39"/>
    </row>
    <row r="4" spans="1:33" ht="21" customHeight="1" thickBot="1">
      <c r="A4" s="449" t="s">
        <v>46</v>
      </c>
      <c r="B4" s="451" t="s">
        <v>223</v>
      </c>
      <c r="C4" s="453" t="s">
        <v>47</v>
      </c>
      <c r="D4" s="455" t="s">
        <v>209</v>
      </c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7" t="s">
        <v>296</v>
      </c>
      <c r="Q4" s="446" t="s">
        <v>298</v>
      </c>
      <c r="R4" s="37"/>
      <c r="S4" s="37"/>
      <c r="T4" s="37"/>
      <c r="U4" s="37"/>
      <c r="V4" s="37"/>
      <c r="W4" s="37"/>
      <c r="X4" s="37"/>
    </row>
    <row r="5" spans="1:33" ht="114" customHeight="1" thickBot="1">
      <c r="A5" s="450"/>
      <c r="B5" s="452"/>
      <c r="C5" s="454"/>
      <c r="D5" s="170" t="s">
        <v>364</v>
      </c>
      <c r="E5" s="170" t="s">
        <v>365</v>
      </c>
      <c r="F5" s="170" t="s">
        <v>366</v>
      </c>
      <c r="G5" s="170" t="s">
        <v>367</v>
      </c>
      <c r="H5" s="360" t="s">
        <v>370</v>
      </c>
      <c r="I5" s="360" t="s">
        <v>369</v>
      </c>
      <c r="J5" s="360" t="s">
        <v>372</v>
      </c>
      <c r="K5" s="360" t="s">
        <v>373</v>
      </c>
      <c r="L5" s="360" t="s">
        <v>381</v>
      </c>
      <c r="M5" s="360" t="s">
        <v>380</v>
      </c>
      <c r="N5" s="360" t="s">
        <v>379</v>
      </c>
      <c r="O5" s="360" t="s">
        <v>378</v>
      </c>
      <c r="P5" s="458"/>
      <c r="Q5" s="447"/>
      <c r="R5" s="37"/>
      <c r="S5" s="37"/>
      <c r="T5" s="37"/>
      <c r="U5" s="37"/>
      <c r="V5" s="37"/>
      <c r="W5" s="37"/>
      <c r="X5" s="37"/>
    </row>
    <row r="6" spans="1:33" ht="16.5" thickBot="1">
      <c r="A6" s="437" t="s">
        <v>38</v>
      </c>
      <c r="B6" s="171" t="s">
        <v>141</v>
      </c>
      <c r="C6" s="157" t="s">
        <v>177</v>
      </c>
      <c r="D6" s="281">
        <v>5000</v>
      </c>
      <c r="E6" s="281">
        <v>5000</v>
      </c>
      <c r="F6" s="281"/>
      <c r="G6" s="281"/>
      <c r="H6" s="281"/>
      <c r="I6" s="281"/>
      <c r="J6" s="281"/>
      <c r="K6" s="281"/>
      <c r="L6" s="281"/>
      <c r="M6" s="281"/>
      <c r="N6" s="282"/>
      <c r="O6" s="309"/>
      <c r="P6" s="283">
        <f t="shared" ref="P6:P36" si="0">+D6+F6+H6+J6+N6+L6</f>
        <v>5000</v>
      </c>
      <c r="Q6" s="323">
        <f>+O6+M6+K6+I6+G6+E6</f>
        <v>5000</v>
      </c>
      <c r="R6" s="115"/>
      <c r="S6" s="37"/>
      <c r="T6" s="37"/>
      <c r="U6" s="37"/>
      <c r="V6" s="37"/>
      <c r="W6" s="37"/>
      <c r="X6" s="37"/>
    </row>
    <row r="7" spans="1:33" ht="16.5" thickBot="1">
      <c r="A7" s="437"/>
      <c r="B7" s="171" t="s">
        <v>158</v>
      </c>
      <c r="C7" s="157" t="s">
        <v>237</v>
      </c>
      <c r="D7" s="281">
        <v>60000</v>
      </c>
      <c r="E7" s="281">
        <v>60000</v>
      </c>
      <c r="F7" s="281"/>
      <c r="G7" s="281"/>
      <c r="H7" s="281"/>
      <c r="I7" s="281"/>
      <c r="J7" s="281"/>
      <c r="K7" s="281"/>
      <c r="L7" s="281"/>
      <c r="M7" s="281"/>
      <c r="N7" s="282"/>
      <c r="O7" s="309"/>
      <c r="P7" s="283">
        <f t="shared" si="0"/>
        <v>60000</v>
      </c>
      <c r="Q7" s="323">
        <f t="shared" ref="Q7:Q36" si="1">+O7+M7+K7+I7+G7+E7</f>
        <v>60000</v>
      </c>
      <c r="R7" s="115"/>
      <c r="S7" s="37"/>
      <c r="T7" s="37"/>
      <c r="U7" s="37"/>
      <c r="V7" s="37"/>
      <c r="W7" s="37"/>
      <c r="X7" s="37"/>
    </row>
    <row r="8" spans="1:33" ht="16.5" thickBot="1">
      <c r="A8" s="437"/>
      <c r="B8" s="171" t="s">
        <v>159</v>
      </c>
      <c r="C8" s="157" t="s">
        <v>178</v>
      </c>
      <c r="D8" s="281">
        <v>9220000</v>
      </c>
      <c r="E8" s="281">
        <v>10540638</v>
      </c>
      <c r="F8" s="281"/>
      <c r="G8" s="281"/>
      <c r="H8" s="281"/>
      <c r="I8" s="281"/>
      <c r="J8" s="281"/>
      <c r="K8" s="281"/>
      <c r="L8" s="281"/>
      <c r="M8" s="281"/>
      <c r="N8" s="282"/>
      <c r="O8" s="309"/>
      <c r="P8" s="283">
        <f t="shared" si="0"/>
        <v>9220000</v>
      </c>
      <c r="Q8" s="323">
        <f t="shared" si="1"/>
        <v>10540638</v>
      </c>
      <c r="R8" s="115"/>
      <c r="S8" s="37"/>
      <c r="T8" s="37"/>
      <c r="U8" s="37"/>
      <c r="V8" s="37"/>
      <c r="W8" s="37"/>
      <c r="X8" s="37"/>
    </row>
    <row r="9" spans="1:33" ht="16.5" thickBot="1">
      <c r="A9" s="437"/>
      <c r="B9" s="171" t="s">
        <v>276</v>
      </c>
      <c r="C9" s="286" t="s">
        <v>277</v>
      </c>
      <c r="D9" s="281"/>
      <c r="E9" s="281"/>
      <c r="F9" s="281">
        <v>618400</v>
      </c>
      <c r="G9" s="281">
        <v>0</v>
      </c>
      <c r="H9" s="281"/>
      <c r="I9" s="281"/>
      <c r="J9" s="309"/>
      <c r="K9" s="309"/>
      <c r="L9" s="309"/>
      <c r="M9" s="309"/>
      <c r="N9" s="282"/>
      <c r="O9" s="309"/>
      <c r="P9" s="283">
        <f t="shared" si="0"/>
        <v>618400</v>
      </c>
      <c r="Q9" s="323">
        <f t="shared" si="1"/>
        <v>0</v>
      </c>
      <c r="R9" s="115"/>
      <c r="S9" s="37"/>
      <c r="T9" s="37"/>
      <c r="U9" s="37"/>
      <c r="V9" s="37"/>
      <c r="W9" s="37"/>
      <c r="X9" s="37"/>
    </row>
    <row r="10" spans="1:33" ht="16.5" thickBot="1">
      <c r="A10" s="437"/>
      <c r="B10" s="171" t="s">
        <v>358</v>
      </c>
      <c r="C10" s="286" t="s">
        <v>359</v>
      </c>
      <c r="D10" s="281"/>
      <c r="E10" s="281"/>
      <c r="F10" s="281"/>
      <c r="G10" s="281"/>
      <c r="H10" s="281"/>
      <c r="I10" s="281"/>
      <c r="J10" s="309"/>
      <c r="K10" s="309"/>
      <c r="L10" s="309"/>
      <c r="M10" s="309"/>
      <c r="N10" s="282"/>
      <c r="O10" s="309"/>
      <c r="P10" s="283">
        <f t="shared" si="0"/>
        <v>0</v>
      </c>
      <c r="Q10" s="323">
        <f t="shared" si="1"/>
        <v>0</v>
      </c>
      <c r="R10" s="115"/>
      <c r="S10" s="37"/>
      <c r="T10" s="37"/>
      <c r="U10" s="37"/>
      <c r="V10" s="37"/>
      <c r="W10" s="37"/>
      <c r="X10" s="37"/>
    </row>
    <row r="11" spans="1:33" ht="16.5" thickBot="1">
      <c r="A11" s="437"/>
      <c r="B11" s="171" t="s">
        <v>161</v>
      </c>
      <c r="C11" s="285" t="s">
        <v>180</v>
      </c>
      <c r="D11" s="281"/>
      <c r="E11" s="281"/>
      <c r="F11" s="281">
        <v>0</v>
      </c>
      <c r="G11" s="281">
        <v>43383018</v>
      </c>
      <c r="H11" s="281"/>
      <c r="I11" s="281"/>
      <c r="J11" s="281"/>
      <c r="K11" s="281"/>
      <c r="L11" s="281"/>
      <c r="M11" s="281"/>
      <c r="N11" s="282"/>
      <c r="O11" s="309"/>
      <c r="P11" s="283">
        <f t="shared" si="0"/>
        <v>0</v>
      </c>
      <c r="Q11" s="323">
        <f t="shared" si="1"/>
        <v>43383018</v>
      </c>
      <c r="R11" s="115"/>
      <c r="S11" s="37"/>
      <c r="T11" s="37"/>
      <c r="U11" s="37"/>
      <c r="V11" s="37"/>
      <c r="W11" s="37"/>
      <c r="X11" s="37"/>
    </row>
    <row r="12" spans="1:33" ht="16.5" thickBot="1">
      <c r="A12" s="437"/>
      <c r="B12" s="171" t="s">
        <v>294</v>
      </c>
      <c r="C12" s="285" t="s">
        <v>295</v>
      </c>
      <c r="D12" s="281"/>
      <c r="E12" s="281"/>
      <c r="F12" s="281">
        <v>0</v>
      </c>
      <c r="G12" s="281">
        <v>17460646</v>
      </c>
      <c r="H12" s="281"/>
      <c r="I12" s="281"/>
      <c r="J12" s="281"/>
      <c r="K12" s="281"/>
      <c r="L12" s="281"/>
      <c r="M12" s="281"/>
      <c r="N12" s="282"/>
      <c r="O12" s="282"/>
      <c r="P12" s="283">
        <f t="shared" si="0"/>
        <v>0</v>
      </c>
      <c r="Q12" s="323">
        <f t="shared" si="1"/>
        <v>17460646</v>
      </c>
      <c r="R12" s="115"/>
      <c r="S12" s="37"/>
      <c r="T12" s="37"/>
      <c r="U12" s="37"/>
      <c r="V12" s="37"/>
      <c r="W12" s="37"/>
      <c r="X12" s="37"/>
    </row>
    <row r="13" spans="1:33" ht="16.5" thickBot="1">
      <c r="A13" s="437"/>
      <c r="B13" s="171" t="s">
        <v>162</v>
      </c>
      <c r="C13" s="285" t="s">
        <v>181</v>
      </c>
      <c r="D13" s="281">
        <v>1325000</v>
      </c>
      <c r="E13" s="281">
        <v>1325000</v>
      </c>
      <c r="F13" s="281"/>
      <c r="G13" s="281"/>
      <c r="H13" s="281"/>
      <c r="I13" s="281"/>
      <c r="J13" s="281"/>
      <c r="K13" s="281"/>
      <c r="L13" s="281"/>
      <c r="M13" s="281"/>
      <c r="N13" s="282"/>
      <c r="O13" s="282"/>
      <c r="P13" s="283">
        <f t="shared" si="0"/>
        <v>1325000</v>
      </c>
      <c r="Q13" s="323">
        <f t="shared" si="1"/>
        <v>1325000</v>
      </c>
      <c r="R13" s="115"/>
      <c r="S13" s="37"/>
      <c r="T13" s="37"/>
      <c r="U13" s="37"/>
      <c r="V13" s="37"/>
      <c r="W13" s="37"/>
      <c r="X13" s="37"/>
    </row>
    <row r="14" spans="1:33" ht="16.5" thickBot="1">
      <c r="A14" s="437"/>
      <c r="B14" s="174" t="s">
        <v>163</v>
      </c>
      <c r="C14" s="285" t="s">
        <v>238</v>
      </c>
      <c r="D14" s="281"/>
      <c r="E14" s="281"/>
      <c r="F14" s="281"/>
      <c r="G14" s="281"/>
      <c r="H14" s="281">
        <v>31946110</v>
      </c>
      <c r="I14" s="281">
        <v>10985336</v>
      </c>
      <c r="J14" s="281"/>
      <c r="K14" s="281"/>
      <c r="L14" s="281"/>
      <c r="M14" s="281"/>
      <c r="N14" s="282"/>
      <c r="O14" s="282"/>
      <c r="P14" s="283">
        <f t="shared" si="0"/>
        <v>31946110</v>
      </c>
      <c r="Q14" s="323">
        <f t="shared" si="1"/>
        <v>10985336</v>
      </c>
      <c r="R14" s="115"/>
      <c r="S14" s="37"/>
      <c r="T14" s="37"/>
      <c r="U14" s="37"/>
      <c r="V14" s="37"/>
      <c r="W14" s="37"/>
      <c r="X14" s="37"/>
    </row>
    <row r="15" spans="1:33" ht="16.5" thickBot="1">
      <c r="A15" s="437"/>
      <c r="B15" s="171" t="s">
        <v>164</v>
      </c>
      <c r="C15" s="285" t="s">
        <v>239</v>
      </c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282"/>
      <c r="P15" s="283">
        <f t="shared" si="0"/>
        <v>0</v>
      </c>
      <c r="Q15" s="323">
        <f t="shared" si="1"/>
        <v>0</v>
      </c>
      <c r="R15" s="115"/>
      <c r="S15" s="37"/>
      <c r="T15" s="37"/>
      <c r="U15" s="37"/>
      <c r="V15" s="37"/>
      <c r="W15" s="37"/>
      <c r="X15" s="37"/>
    </row>
    <row r="16" spans="1:33" ht="16.5" thickBot="1">
      <c r="A16" s="437"/>
      <c r="B16" s="171" t="s">
        <v>165</v>
      </c>
      <c r="C16" s="285" t="s">
        <v>182</v>
      </c>
      <c r="D16" s="281">
        <v>11800000</v>
      </c>
      <c r="E16" s="281">
        <v>11800000</v>
      </c>
      <c r="F16" s="281"/>
      <c r="G16" s="281"/>
      <c r="H16" s="281"/>
      <c r="I16" s="281"/>
      <c r="J16" s="281"/>
      <c r="K16" s="281"/>
      <c r="L16" s="281"/>
      <c r="M16" s="281"/>
      <c r="N16" s="282"/>
      <c r="O16" s="282"/>
      <c r="P16" s="283">
        <f t="shared" si="0"/>
        <v>11800000</v>
      </c>
      <c r="Q16" s="323">
        <f t="shared" si="1"/>
        <v>11800000</v>
      </c>
      <c r="R16" s="115"/>
      <c r="S16" s="37"/>
      <c r="T16" s="37"/>
      <c r="U16" s="37"/>
      <c r="V16" s="37"/>
      <c r="W16" s="37"/>
      <c r="X16" s="37"/>
    </row>
    <row r="17" spans="1:24" ht="16.5" thickBot="1">
      <c r="A17" s="437"/>
      <c r="B17" s="171" t="s">
        <v>166</v>
      </c>
      <c r="C17" s="285" t="s">
        <v>183</v>
      </c>
      <c r="D17" s="281">
        <v>6000000</v>
      </c>
      <c r="E17" s="281">
        <v>6000000</v>
      </c>
      <c r="F17" s="281"/>
      <c r="G17" s="281"/>
      <c r="H17" s="281"/>
      <c r="I17" s="281"/>
      <c r="J17" s="281"/>
      <c r="K17" s="281"/>
      <c r="L17" s="281"/>
      <c r="M17" s="281"/>
      <c r="N17" s="282"/>
      <c r="O17" s="282"/>
      <c r="P17" s="283">
        <f t="shared" si="0"/>
        <v>6000000</v>
      </c>
      <c r="Q17" s="323">
        <f t="shared" si="1"/>
        <v>6000000</v>
      </c>
      <c r="R17" s="115"/>
      <c r="S17" s="37"/>
      <c r="T17" s="37"/>
      <c r="U17" s="37"/>
      <c r="V17" s="37"/>
      <c r="W17" s="37"/>
      <c r="X17" s="37"/>
    </row>
    <row r="18" spans="1:24" ht="16.5" thickBot="1">
      <c r="A18" s="437"/>
      <c r="B18" s="171" t="s">
        <v>167</v>
      </c>
      <c r="C18" s="285" t="s">
        <v>48</v>
      </c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2"/>
      <c r="O18" s="282"/>
      <c r="P18" s="283">
        <f t="shared" si="0"/>
        <v>0</v>
      </c>
      <c r="Q18" s="323">
        <f t="shared" si="1"/>
        <v>0</v>
      </c>
      <c r="R18" s="115"/>
      <c r="S18" s="37"/>
      <c r="T18" s="37"/>
      <c r="U18" s="37"/>
      <c r="V18" s="37"/>
      <c r="W18" s="37"/>
      <c r="X18" s="37"/>
    </row>
    <row r="19" spans="1:24" ht="16.5" thickBot="1">
      <c r="A19" s="437"/>
      <c r="B19" s="171" t="s">
        <v>143</v>
      </c>
      <c r="C19" s="285" t="s">
        <v>142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2"/>
      <c r="O19" s="282"/>
      <c r="P19" s="283">
        <f t="shared" si="0"/>
        <v>0</v>
      </c>
      <c r="Q19" s="323">
        <f t="shared" si="1"/>
        <v>0</v>
      </c>
      <c r="R19" s="115"/>
      <c r="S19" s="37"/>
      <c r="T19" s="37"/>
      <c r="U19" s="37"/>
      <c r="V19" s="37"/>
      <c r="W19" s="37"/>
      <c r="X19" s="37"/>
    </row>
    <row r="20" spans="1:24" ht="16.5" thickBot="1">
      <c r="A20" s="437"/>
      <c r="B20" s="171" t="s">
        <v>144</v>
      </c>
      <c r="C20" s="285" t="s">
        <v>184</v>
      </c>
      <c r="D20" s="281">
        <v>1602000</v>
      </c>
      <c r="E20" s="281">
        <v>2307689</v>
      </c>
      <c r="F20" s="281">
        <v>0</v>
      </c>
      <c r="G20" s="281">
        <v>309453</v>
      </c>
      <c r="H20" s="281"/>
      <c r="I20" s="281"/>
      <c r="J20" s="281"/>
      <c r="K20" s="281"/>
      <c r="L20" s="281"/>
      <c r="M20" s="281"/>
      <c r="N20" s="282"/>
      <c r="O20" s="282"/>
      <c r="P20" s="283">
        <f t="shared" si="0"/>
        <v>1602000</v>
      </c>
      <c r="Q20" s="323">
        <f t="shared" si="1"/>
        <v>2617142</v>
      </c>
      <c r="R20" s="115"/>
      <c r="S20" s="37"/>
      <c r="T20" s="37"/>
      <c r="U20" s="37"/>
      <c r="V20" s="37"/>
      <c r="W20" s="37"/>
      <c r="X20" s="37"/>
    </row>
    <row r="21" spans="1:24" ht="16.5" thickBot="1">
      <c r="A21" s="437"/>
      <c r="B21" s="171" t="s">
        <v>168</v>
      </c>
      <c r="C21" s="285" t="s">
        <v>185</v>
      </c>
      <c r="D21" s="281">
        <v>345000</v>
      </c>
      <c r="E21" s="281">
        <v>396788</v>
      </c>
      <c r="F21" s="281"/>
      <c r="G21" s="281"/>
      <c r="H21" s="281">
        <v>153625000</v>
      </c>
      <c r="I21" s="281">
        <v>0</v>
      </c>
      <c r="J21" s="281"/>
      <c r="K21" s="281"/>
      <c r="L21" s="281"/>
      <c r="M21" s="281"/>
      <c r="N21" s="282"/>
      <c r="O21" s="282"/>
      <c r="P21" s="283">
        <f t="shared" si="0"/>
        <v>153970000</v>
      </c>
      <c r="Q21" s="323">
        <f t="shared" si="1"/>
        <v>396788</v>
      </c>
      <c r="R21" s="115"/>
      <c r="S21" s="37"/>
      <c r="T21" s="37"/>
      <c r="U21" s="37"/>
      <c r="V21" s="37"/>
      <c r="W21" s="37"/>
      <c r="X21" s="37"/>
    </row>
    <row r="22" spans="1:24" ht="16.5" thickBot="1">
      <c r="A22" s="437"/>
      <c r="B22" s="171" t="s">
        <v>170</v>
      </c>
      <c r="C22" s="286" t="s">
        <v>187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  <c r="O22" s="282"/>
      <c r="P22" s="283">
        <f t="shared" si="0"/>
        <v>0</v>
      </c>
      <c r="Q22" s="323">
        <f t="shared" si="1"/>
        <v>0</v>
      </c>
      <c r="R22" s="115"/>
      <c r="S22" s="37"/>
      <c r="T22" s="37"/>
      <c r="U22" s="37"/>
      <c r="V22" s="37"/>
      <c r="W22" s="37"/>
      <c r="X22" s="37"/>
    </row>
    <row r="23" spans="1:24" ht="16.5" thickBot="1">
      <c r="A23" s="437"/>
      <c r="B23" s="171" t="s">
        <v>169</v>
      </c>
      <c r="C23" s="285" t="s">
        <v>186</v>
      </c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2"/>
      <c r="O23" s="282"/>
      <c r="P23" s="283">
        <f t="shared" si="0"/>
        <v>0</v>
      </c>
      <c r="Q23" s="323">
        <f t="shared" si="1"/>
        <v>0</v>
      </c>
      <c r="R23" s="115"/>
      <c r="S23" s="37"/>
      <c r="T23" s="37"/>
      <c r="U23" s="37"/>
      <c r="V23" s="37"/>
      <c r="W23" s="37"/>
      <c r="X23" s="37"/>
    </row>
    <row r="24" spans="1:24" ht="16.5" thickBot="1">
      <c r="A24" s="437"/>
      <c r="B24" s="171" t="s">
        <v>145</v>
      </c>
      <c r="C24" s="286" t="s">
        <v>49</v>
      </c>
      <c r="D24" s="281"/>
      <c r="E24" s="281"/>
      <c r="F24" s="281">
        <v>13848000</v>
      </c>
      <c r="G24" s="281">
        <v>13848000</v>
      </c>
      <c r="H24" s="281"/>
      <c r="I24" s="281"/>
      <c r="J24" s="281"/>
      <c r="K24" s="281"/>
      <c r="L24" s="281"/>
      <c r="M24" s="281"/>
      <c r="N24" s="282"/>
      <c r="O24" s="282"/>
      <c r="P24" s="283">
        <f t="shared" si="0"/>
        <v>13848000</v>
      </c>
      <c r="Q24" s="323">
        <f t="shared" si="1"/>
        <v>13848000</v>
      </c>
      <c r="R24" s="115"/>
      <c r="S24" s="37"/>
      <c r="T24" s="37"/>
      <c r="U24" s="37"/>
      <c r="V24" s="37"/>
      <c r="W24" s="37"/>
      <c r="X24" s="37"/>
    </row>
    <row r="25" spans="1:24" ht="16.5" thickBot="1">
      <c r="A25" s="437"/>
      <c r="B25" s="173" t="s">
        <v>171</v>
      </c>
      <c r="C25" s="286" t="s">
        <v>188</v>
      </c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  <c r="O25" s="282"/>
      <c r="P25" s="283">
        <f t="shared" si="0"/>
        <v>0</v>
      </c>
      <c r="Q25" s="323">
        <f t="shared" si="1"/>
        <v>0</v>
      </c>
      <c r="R25" s="115"/>
      <c r="S25" s="37"/>
      <c r="T25" s="37"/>
      <c r="U25" s="37"/>
      <c r="V25" s="37"/>
      <c r="W25" s="37"/>
      <c r="X25" s="37"/>
    </row>
    <row r="26" spans="1:24" ht="16.5" thickBot="1">
      <c r="A26" s="437"/>
      <c r="B26" s="171" t="s">
        <v>240</v>
      </c>
      <c r="C26" s="286" t="s">
        <v>371</v>
      </c>
      <c r="D26" s="281"/>
      <c r="E26" s="281"/>
      <c r="F26" s="281"/>
      <c r="G26" s="281"/>
      <c r="H26" s="281">
        <v>0</v>
      </c>
      <c r="I26" s="281">
        <v>279663495</v>
      </c>
      <c r="J26" s="281">
        <v>163821551</v>
      </c>
      <c r="K26" s="281">
        <v>163927016</v>
      </c>
      <c r="L26" s="281"/>
      <c r="M26" s="281">
        <v>0</v>
      </c>
      <c r="N26" s="282"/>
      <c r="O26" s="282"/>
      <c r="P26" s="283">
        <f t="shared" si="0"/>
        <v>163821551</v>
      </c>
      <c r="Q26" s="323">
        <f t="shared" si="1"/>
        <v>443590511</v>
      </c>
      <c r="R26" s="115"/>
      <c r="S26" s="37"/>
      <c r="T26" s="37"/>
      <c r="U26" s="37"/>
      <c r="V26" s="37"/>
      <c r="W26" s="37"/>
      <c r="X26" s="37"/>
    </row>
    <row r="27" spans="1:24" ht="16.5" thickBot="1">
      <c r="A27" s="437"/>
      <c r="B27" s="171" t="s">
        <v>174</v>
      </c>
      <c r="C27" s="286" t="s">
        <v>147</v>
      </c>
      <c r="D27" s="281"/>
      <c r="E27" s="281"/>
      <c r="F27" s="281">
        <v>6245115</v>
      </c>
      <c r="G27" s="281">
        <v>6245115</v>
      </c>
      <c r="H27" s="281">
        <v>812024</v>
      </c>
      <c r="I27" s="281">
        <v>812024</v>
      </c>
      <c r="J27" s="281"/>
      <c r="K27" s="281"/>
      <c r="L27" s="281"/>
      <c r="M27" s="281"/>
      <c r="N27" s="282"/>
      <c r="O27" s="281"/>
      <c r="P27" s="283">
        <f t="shared" si="0"/>
        <v>7057139</v>
      </c>
      <c r="Q27" s="323">
        <f t="shared" si="1"/>
        <v>7057139</v>
      </c>
      <c r="R27" s="115"/>
      <c r="S27" s="37"/>
      <c r="T27" s="37"/>
      <c r="U27" s="37"/>
      <c r="V27" s="37"/>
      <c r="W27" s="37"/>
      <c r="X27" s="37"/>
    </row>
    <row r="28" spans="1:24" ht="32.25" thickBot="1">
      <c r="A28" s="437"/>
      <c r="B28" s="318" t="s">
        <v>282</v>
      </c>
      <c r="C28" s="359" t="s">
        <v>283</v>
      </c>
      <c r="D28" s="281"/>
      <c r="E28" s="281"/>
      <c r="F28" s="281">
        <v>114000</v>
      </c>
      <c r="G28" s="281">
        <v>114000</v>
      </c>
      <c r="H28" s="281"/>
      <c r="I28" s="281"/>
      <c r="J28" s="281"/>
      <c r="K28" s="281"/>
      <c r="L28" s="281"/>
      <c r="M28" s="281"/>
      <c r="N28" s="282"/>
      <c r="O28" s="281"/>
      <c r="P28" s="283">
        <f t="shared" si="0"/>
        <v>114000</v>
      </c>
      <c r="Q28" s="323">
        <f t="shared" si="1"/>
        <v>114000</v>
      </c>
      <c r="R28" s="115"/>
      <c r="S28" s="37"/>
      <c r="T28" s="37"/>
      <c r="U28" s="37"/>
      <c r="V28" s="37"/>
      <c r="W28" s="37"/>
      <c r="X28" s="37"/>
    </row>
    <row r="29" spans="1:24" ht="16.5" thickBot="1">
      <c r="A29" s="437"/>
      <c r="B29" s="171" t="s">
        <v>175</v>
      </c>
      <c r="C29" s="286" t="s">
        <v>191</v>
      </c>
      <c r="D29" s="281">
        <v>730000</v>
      </c>
      <c r="E29" s="281">
        <v>730000</v>
      </c>
      <c r="F29" s="281"/>
      <c r="G29" s="281"/>
      <c r="H29" s="281"/>
      <c r="I29" s="281"/>
      <c r="J29" s="281"/>
      <c r="K29" s="281"/>
      <c r="L29" s="281"/>
      <c r="M29" s="281"/>
      <c r="N29" s="282"/>
      <c r="O29" s="281"/>
      <c r="P29" s="283">
        <f t="shared" si="0"/>
        <v>730000</v>
      </c>
      <c r="Q29" s="323">
        <f t="shared" si="1"/>
        <v>730000</v>
      </c>
      <c r="R29" s="115"/>
      <c r="S29" s="37"/>
      <c r="T29" s="37"/>
      <c r="U29" s="37"/>
      <c r="V29" s="37"/>
      <c r="W29" s="37"/>
      <c r="X29" s="37"/>
    </row>
    <row r="30" spans="1:24" ht="32.25" thickBot="1">
      <c r="A30" s="437"/>
      <c r="B30" s="287" t="s">
        <v>360</v>
      </c>
      <c r="C30" s="359" t="s">
        <v>361</v>
      </c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2"/>
      <c r="O30" s="281"/>
      <c r="P30" s="283">
        <f t="shared" si="0"/>
        <v>0</v>
      </c>
      <c r="Q30" s="323">
        <f t="shared" si="1"/>
        <v>0</v>
      </c>
      <c r="R30" s="115"/>
      <c r="S30" s="37"/>
      <c r="T30" s="37"/>
      <c r="U30" s="37"/>
      <c r="V30" s="37"/>
      <c r="W30" s="37"/>
      <c r="X30" s="37"/>
    </row>
    <row r="31" spans="1:24" ht="16.5" thickBot="1">
      <c r="A31" s="437"/>
      <c r="B31" s="171" t="s">
        <v>176</v>
      </c>
      <c r="C31" s="286" t="s">
        <v>192</v>
      </c>
      <c r="D31" s="281">
        <v>408000</v>
      </c>
      <c r="E31" s="281">
        <v>408000</v>
      </c>
      <c r="F31" s="281"/>
      <c r="G31" s="281"/>
      <c r="H31" s="281"/>
      <c r="I31" s="281"/>
      <c r="J31" s="281"/>
      <c r="K31" s="281"/>
      <c r="L31" s="281"/>
      <c r="M31" s="281"/>
      <c r="N31" s="282"/>
      <c r="O31" s="282"/>
      <c r="P31" s="283">
        <f t="shared" si="0"/>
        <v>408000</v>
      </c>
      <c r="Q31" s="323">
        <f t="shared" si="1"/>
        <v>408000</v>
      </c>
      <c r="R31" s="115"/>
      <c r="S31" s="37"/>
      <c r="T31" s="37"/>
      <c r="U31" s="37"/>
      <c r="V31" s="37"/>
      <c r="W31" s="37"/>
      <c r="X31" s="37"/>
    </row>
    <row r="32" spans="1:24" ht="16.5" thickBot="1">
      <c r="A32" s="437"/>
      <c r="B32" s="287" t="s">
        <v>278</v>
      </c>
      <c r="C32" s="285" t="s">
        <v>280</v>
      </c>
      <c r="D32" s="281"/>
      <c r="E32" s="281"/>
      <c r="F32" s="281"/>
      <c r="G32" s="281"/>
      <c r="H32" s="281">
        <v>48310000</v>
      </c>
      <c r="I32" s="281">
        <v>0</v>
      </c>
      <c r="J32" s="281"/>
      <c r="K32" s="281"/>
      <c r="L32" s="281"/>
      <c r="M32" s="281"/>
      <c r="N32" s="282"/>
      <c r="O32" s="282"/>
      <c r="P32" s="283">
        <f t="shared" si="0"/>
        <v>48310000</v>
      </c>
      <c r="Q32" s="323">
        <f t="shared" si="1"/>
        <v>0</v>
      </c>
      <c r="R32" s="115"/>
      <c r="S32" s="37"/>
      <c r="T32" s="37"/>
      <c r="U32" s="37"/>
      <c r="V32" s="37"/>
      <c r="W32" s="37"/>
      <c r="X32" s="37"/>
    </row>
    <row r="33" spans="1:24" ht="16.5" thickBot="1">
      <c r="A33" s="437"/>
      <c r="B33" s="287" t="s">
        <v>279</v>
      </c>
      <c r="C33" s="285" t="s">
        <v>281</v>
      </c>
      <c r="D33" s="281"/>
      <c r="E33" s="281"/>
      <c r="F33" s="281"/>
      <c r="G33" s="281"/>
      <c r="H33" s="281">
        <v>44590100</v>
      </c>
      <c r="I33" s="281">
        <v>0</v>
      </c>
      <c r="J33" s="281"/>
      <c r="K33" s="281"/>
      <c r="L33" s="281"/>
      <c r="M33" s="281"/>
      <c r="N33" s="282"/>
      <c r="O33" s="282"/>
      <c r="P33" s="283">
        <f t="shared" si="0"/>
        <v>44590100</v>
      </c>
      <c r="Q33" s="323">
        <f t="shared" si="1"/>
        <v>0</v>
      </c>
      <c r="R33" s="115"/>
      <c r="S33" s="37"/>
      <c r="T33" s="37"/>
      <c r="U33" s="37"/>
      <c r="V33" s="37"/>
      <c r="W33" s="37"/>
      <c r="X33" s="37"/>
    </row>
    <row r="34" spans="1:24" ht="16.5" thickBot="1">
      <c r="A34" s="437"/>
      <c r="B34" s="171" t="s">
        <v>198</v>
      </c>
      <c r="C34" s="285" t="s">
        <v>200</v>
      </c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2"/>
      <c r="O34" s="281"/>
      <c r="P34" s="283">
        <f t="shared" si="0"/>
        <v>0</v>
      </c>
      <c r="Q34" s="323">
        <f t="shared" si="1"/>
        <v>0</v>
      </c>
      <c r="R34" s="115"/>
      <c r="S34" s="37"/>
      <c r="T34" s="37"/>
      <c r="U34" s="37"/>
      <c r="V34" s="37"/>
      <c r="W34" s="37"/>
      <c r="X34" s="37"/>
    </row>
    <row r="35" spans="1:24" ht="32.25" thickBot="1">
      <c r="A35" s="437"/>
      <c r="B35" s="171" t="s">
        <v>241</v>
      </c>
      <c r="C35" s="359" t="s">
        <v>368</v>
      </c>
      <c r="D35" s="281"/>
      <c r="E35" s="281"/>
      <c r="F35" s="281">
        <v>268051083</v>
      </c>
      <c r="G35" s="281">
        <v>271498983</v>
      </c>
      <c r="H35" s="281">
        <v>0</v>
      </c>
      <c r="I35" s="281">
        <v>34749699</v>
      </c>
      <c r="J35" s="281"/>
      <c r="K35" s="281"/>
      <c r="L35" s="281"/>
      <c r="M35" s="281"/>
      <c r="N35" s="282"/>
      <c r="O35" s="281"/>
      <c r="P35" s="283">
        <f t="shared" si="0"/>
        <v>268051083</v>
      </c>
      <c r="Q35" s="323">
        <f t="shared" si="1"/>
        <v>306248682</v>
      </c>
      <c r="R35" s="115"/>
      <c r="S35" s="37"/>
      <c r="T35" s="37"/>
      <c r="U35" s="37"/>
      <c r="V35" s="37"/>
      <c r="W35" s="37"/>
      <c r="X35" s="37"/>
    </row>
    <row r="36" spans="1:24" ht="16.5" thickBot="1">
      <c r="A36" s="437"/>
      <c r="B36" s="171" t="s">
        <v>376</v>
      </c>
      <c r="C36" s="359" t="s">
        <v>377</v>
      </c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2">
        <v>59200000</v>
      </c>
      <c r="O36" s="281">
        <v>59200000</v>
      </c>
      <c r="P36" s="283">
        <f t="shared" si="0"/>
        <v>59200000</v>
      </c>
      <c r="Q36" s="323">
        <f t="shared" si="1"/>
        <v>59200000</v>
      </c>
      <c r="R36" s="115"/>
      <c r="S36" s="37"/>
      <c r="T36" s="37"/>
      <c r="U36" s="37"/>
      <c r="V36" s="37"/>
      <c r="W36" s="37"/>
      <c r="X36" s="37"/>
    </row>
    <row r="37" spans="1:24" ht="16.5" thickBot="1">
      <c r="A37" s="437"/>
      <c r="B37" s="158" t="s">
        <v>374</v>
      </c>
      <c r="C37" s="158" t="s">
        <v>375</v>
      </c>
      <c r="D37" s="283">
        <f>SUM(D6:D36)</f>
        <v>31495000</v>
      </c>
      <c r="E37" s="283">
        <f t="shared" ref="E37:O37" si="2">SUM(E6:E36)</f>
        <v>33573115</v>
      </c>
      <c r="F37" s="283">
        <f t="shared" si="2"/>
        <v>288876598</v>
      </c>
      <c r="G37" s="283">
        <f t="shared" si="2"/>
        <v>352859215</v>
      </c>
      <c r="H37" s="283">
        <f t="shared" si="2"/>
        <v>279283234</v>
      </c>
      <c r="I37" s="283">
        <f t="shared" si="2"/>
        <v>326210554</v>
      </c>
      <c r="J37" s="283">
        <f t="shared" si="2"/>
        <v>163821551</v>
      </c>
      <c r="K37" s="283">
        <f t="shared" si="2"/>
        <v>163927016</v>
      </c>
      <c r="L37" s="283">
        <f t="shared" si="2"/>
        <v>0</v>
      </c>
      <c r="M37" s="283">
        <f t="shared" si="2"/>
        <v>0</v>
      </c>
      <c r="N37" s="283">
        <f t="shared" si="2"/>
        <v>59200000</v>
      </c>
      <c r="O37" s="283">
        <f t="shared" si="2"/>
        <v>59200000</v>
      </c>
      <c r="P37" s="283">
        <f>SUM(P6:P36)</f>
        <v>822676383</v>
      </c>
      <c r="Q37" s="323">
        <f>+SUM(Q6:Q36)</f>
        <v>935769900</v>
      </c>
      <c r="R37" s="44"/>
      <c r="S37" s="37"/>
      <c r="T37" s="115"/>
      <c r="U37" s="115"/>
      <c r="V37" s="37"/>
      <c r="W37" s="37"/>
      <c r="X37" s="37"/>
    </row>
    <row r="38" spans="1:24" ht="37.9" customHeight="1" thickBot="1">
      <c r="A38" s="437" t="s">
        <v>39</v>
      </c>
      <c r="B38" s="174" t="s">
        <v>141</v>
      </c>
      <c r="C38" s="157" t="s">
        <v>177</v>
      </c>
      <c r="D38" s="281">
        <v>1000000</v>
      </c>
      <c r="E38" s="281">
        <v>1028350</v>
      </c>
      <c r="F38" s="281"/>
      <c r="G38" s="281"/>
      <c r="H38" s="281"/>
      <c r="I38" s="281"/>
      <c r="J38" s="281"/>
      <c r="K38" s="281"/>
      <c r="L38" s="281"/>
      <c r="M38" s="281"/>
      <c r="N38" s="282">
        <v>70000</v>
      </c>
      <c r="O38" s="282">
        <v>70000</v>
      </c>
      <c r="P38" s="283">
        <f>+D38+F38+H38+J38+N38+L38</f>
        <v>1070000</v>
      </c>
      <c r="Q38" s="283">
        <f>+O38+I38+G38+E38+K38+M38</f>
        <v>1098350</v>
      </c>
      <c r="S38" s="37"/>
      <c r="T38" s="37"/>
      <c r="U38" s="37"/>
      <c r="V38" s="37"/>
      <c r="W38" s="37"/>
      <c r="X38" s="37"/>
    </row>
    <row r="39" spans="1:24" ht="22.5" customHeight="1" thickBot="1">
      <c r="A39" s="437"/>
      <c r="B39" s="319" t="s">
        <v>301</v>
      </c>
      <c r="C39" s="320" t="s">
        <v>302</v>
      </c>
      <c r="D39" s="281"/>
      <c r="E39" s="281"/>
      <c r="F39" s="281">
        <v>0</v>
      </c>
      <c r="G39" s="281">
        <v>1369483</v>
      </c>
      <c r="H39" s="281"/>
      <c r="I39" s="281"/>
      <c r="J39" s="281"/>
      <c r="K39" s="281"/>
      <c r="L39" s="281"/>
      <c r="M39" s="281"/>
      <c r="N39" s="282"/>
      <c r="O39" s="282"/>
      <c r="P39" s="283">
        <f>+D39+F39+H39+J39+N39+L39</f>
        <v>0</v>
      </c>
      <c r="Q39" s="283">
        <f t="shared" ref="Q39:Q44" si="3">+O39+I39+G39+E39+K39+M39</f>
        <v>1369483</v>
      </c>
      <c r="R39" s="37"/>
      <c r="S39" s="37"/>
      <c r="T39" s="37"/>
      <c r="U39" s="37"/>
      <c r="V39" s="37"/>
      <c r="W39" s="37"/>
      <c r="X39" s="37"/>
    </row>
    <row r="40" spans="1:24" ht="22.5" customHeight="1" thickBot="1">
      <c r="A40" s="437"/>
      <c r="B40" s="319" t="s">
        <v>240</v>
      </c>
      <c r="C40" s="320" t="s">
        <v>371</v>
      </c>
      <c r="D40" s="281"/>
      <c r="E40" s="281"/>
      <c r="F40" s="281"/>
      <c r="G40" s="281">
        <v>954210</v>
      </c>
      <c r="H40" s="281">
        <v>954210</v>
      </c>
      <c r="I40" s="281"/>
      <c r="J40" s="281">
        <v>210184</v>
      </c>
      <c r="K40" s="281">
        <v>181834</v>
      </c>
      <c r="L40" s="281">
        <f>83641790-J40</f>
        <v>83431606</v>
      </c>
      <c r="M40" s="281">
        <v>99884349</v>
      </c>
      <c r="N40" s="282"/>
      <c r="O40" s="282"/>
      <c r="P40" s="283">
        <f>+D40+F40+H40+J40+N40+L40</f>
        <v>84596000</v>
      </c>
      <c r="Q40" s="283">
        <f t="shared" si="3"/>
        <v>101020393</v>
      </c>
      <c r="R40" s="37"/>
      <c r="S40" s="37"/>
      <c r="T40" s="37"/>
      <c r="U40" s="37"/>
      <c r="V40" s="37"/>
      <c r="W40" s="37"/>
      <c r="X40" s="37"/>
    </row>
    <row r="41" spans="1:24" ht="22.5" customHeight="1" thickBot="1">
      <c r="A41" s="437"/>
      <c r="B41" s="319" t="s">
        <v>278</v>
      </c>
      <c r="C41" s="285" t="s">
        <v>280</v>
      </c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2"/>
      <c r="O41" s="282"/>
      <c r="P41" s="283">
        <f>+D41+F41+H41+J41+N41+L41</f>
        <v>0</v>
      </c>
      <c r="Q41" s="283">
        <f t="shared" si="3"/>
        <v>0</v>
      </c>
      <c r="R41" s="37"/>
      <c r="S41" s="37"/>
      <c r="T41" s="37"/>
      <c r="U41" s="37"/>
      <c r="V41" s="37"/>
      <c r="W41" s="37"/>
      <c r="X41" s="37"/>
    </row>
    <row r="42" spans="1:24" ht="39" customHeight="1" thickBot="1">
      <c r="A42" s="437"/>
      <c r="B42" s="321" t="s">
        <v>303</v>
      </c>
      <c r="C42" s="361" t="s">
        <v>281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2"/>
      <c r="O42" s="282"/>
      <c r="P42" s="283">
        <f>+D42+F42+H42+J42+N42+L42</f>
        <v>0</v>
      </c>
      <c r="Q42" s="283">
        <f t="shared" si="3"/>
        <v>0</v>
      </c>
      <c r="R42" s="37"/>
      <c r="S42" s="37"/>
      <c r="T42" s="37"/>
      <c r="U42" s="37"/>
      <c r="V42" s="37"/>
      <c r="W42" s="37"/>
      <c r="X42" s="37"/>
    </row>
    <row r="43" spans="1:24" ht="16.5" thickBot="1">
      <c r="A43" s="437"/>
      <c r="B43" s="438" t="s">
        <v>53</v>
      </c>
      <c r="C43" s="439"/>
      <c r="D43" s="283">
        <f>D38+D39+D41+D42+D40</f>
        <v>1000000</v>
      </c>
      <c r="E43" s="283">
        <f t="shared" ref="E43:O43" si="4">E38+E39+E41+E42+E40</f>
        <v>1028350</v>
      </c>
      <c r="F43" s="283">
        <f t="shared" si="4"/>
        <v>0</v>
      </c>
      <c r="G43" s="283">
        <f t="shared" si="4"/>
        <v>2323693</v>
      </c>
      <c r="H43" s="283">
        <f t="shared" si="4"/>
        <v>954210</v>
      </c>
      <c r="I43" s="283">
        <f t="shared" si="4"/>
        <v>0</v>
      </c>
      <c r="J43" s="283">
        <f t="shared" si="4"/>
        <v>210184</v>
      </c>
      <c r="K43" s="283">
        <f t="shared" si="4"/>
        <v>181834</v>
      </c>
      <c r="L43" s="283">
        <f t="shared" si="4"/>
        <v>83431606</v>
      </c>
      <c r="M43" s="283">
        <f t="shared" si="4"/>
        <v>99884349</v>
      </c>
      <c r="N43" s="283">
        <f t="shared" si="4"/>
        <v>70000</v>
      </c>
      <c r="O43" s="283">
        <f t="shared" si="4"/>
        <v>70000</v>
      </c>
      <c r="P43" s="283">
        <f>P38+P39+P41+P42+P40</f>
        <v>85666000</v>
      </c>
      <c r="Q43" s="283">
        <f>Q38+Q39+Q41+Q42+Q40</f>
        <v>103488226</v>
      </c>
      <c r="R43" s="115"/>
      <c r="S43" s="37"/>
      <c r="T43" s="37"/>
      <c r="U43" s="37"/>
      <c r="V43" s="37"/>
      <c r="W43" s="37"/>
      <c r="X43" s="37"/>
    </row>
    <row r="44" spans="1:24" ht="18.95" customHeight="1" thickBot="1">
      <c r="A44" s="459" t="s">
        <v>41</v>
      </c>
      <c r="B44" s="287" t="s">
        <v>240</v>
      </c>
      <c r="C44" s="286" t="s">
        <v>371</v>
      </c>
      <c r="D44" s="281"/>
      <c r="E44" s="281"/>
      <c r="F44" s="281"/>
      <c r="G44" s="281"/>
      <c r="H44" s="281"/>
      <c r="I44" s="281"/>
      <c r="J44" s="281">
        <v>120000</v>
      </c>
      <c r="K44" s="281">
        <v>120000</v>
      </c>
      <c r="L44" s="281">
        <f>14508813-120000</f>
        <v>14388813</v>
      </c>
      <c r="M44" s="281">
        <f>14508813-120000</f>
        <v>14388813</v>
      </c>
      <c r="N44" s="282"/>
      <c r="O44" s="282"/>
      <c r="P44" s="283">
        <f>+D44+F44+H44+J44+N44+L44</f>
        <v>14508813</v>
      </c>
      <c r="Q44" s="283">
        <f t="shared" si="3"/>
        <v>14508813</v>
      </c>
      <c r="R44" s="37"/>
      <c r="S44" s="37"/>
      <c r="T44" s="37"/>
      <c r="U44" s="37"/>
      <c r="V44" s="37"/>
      <c r="W44" s="37"/>
      <c r="X44" s="37"/>
    </row>
    <row r="45" spans="1:24" ht="18.95" customHeight="1" thickBot="1">
      <c r="A45" s="460"/>
      <c r="B45" s="287" t="s">
        <v>198</v>
      </c>
      <c r="C45" s="286" t="s">
        <v>200</v>
      </c>
      <c r="D45" s="281">
        <v>280000</v>
      </c>
      <c r="E45" s="281">
        <v>696000</v>
      </c>
      <c r="F45" s="281"/>
      <c r="G45" s="281"/>
      <c r="H45" s="281"/>
      <c r="I45" s="281"/>
      <c r="J45" s="281">
        <v>6187</v>
      </c>
      <c r="K45" s="281">
        <v>6187</v>
      </c>
      <c r="L45" s="281"/>
      <c r="M45" s="281"/>
      <c r="N45" s="282"/>
      <c r="O45" s="282"/>
      <c r="P45" s="283">
        <f>+D45+F45+H45+J45+N45+L45</f>
        <v>286187</v>
      </c>
      <c r="Q45" s="283">
        <f t="shared" ref="Q45" si="5">+O45+I45+G45+E45+K45+M45</f>
        <v>702187</v>
      </c>
      <c r="R45" s="37"/>
      <c r="S45" s="37"/>
      <c r="T45" s="37"/>
      <c r="U45" s="37"/>
      <c r="V45" s="37"/>
      <c r="W45" s="37"/>
      <c r="X45" s="37"/>
    </row>
    <row r="46" spans="1:24" ht="22.5" customHeight="1" thickBot="1">
      <c r="A46" s="461"/>
      <c r="B46" s="438" t="s">
        <v>199</v>
      </c>
      <c r="C46" s="439"/>
      <c r="D46" s="283">
        <f t="shared" ref="D46:E46" si="6">SUM(D44:D45)</f>
        <v>280000</v>
      </c>
      <c r="E46" s="283">
        <f t="shared" si="6"/>
        <v>696000</v>
      </c>
      <c r="F46" s="283">
        <f>SUM(F44:F45)</f>
        <v>0</v>
      </c>
      <c r="G46" s="283">
        <f t="shared" ref="G46:O46" si="7">SUM(G44:G45)</f>
        <v>0</v>
      </c>
      <c r="H46" s="283">
        <f t="shared" si="7"/>
        <v>0</v>
      </c>
      <c r="I46" s="283">
        <f t="shared" si="7"/>
        <v>0</v>
      </c>
      <c r="J46" s="283">
        <f t="shared" si="7"/>
        <v>126187</v>
      </c>
      <c r="K46" s="283">
        <f t="shared" si="7"/>
        <v>126187</v>
      </c>
      <c r="L46" s="283">
        <f t="shared" si="7"/>
        <v>14388813</v>
      </c>
      <c r="M46" s="283">
        <f t="shared" si="7"/>
        <v>14388813</v>
      </c>
      <c r="N46" s="283">
        <f t="shared" si="7"/>
        <v>0</v>
      </c>
      <c r="O46" s="283">
        <f t="shared" si="7"/>
        <v>0</v>
      </c>
      <c r="P46" s="283">
        <f>SUM(P44:P45)</f>
        <v>14795000</v>
      </c>
      <c r="Q46" s="283">
        <f>SUM(Q44:Q45)</f>
        <v>15211000</v>
      </c>
      <c r="R46" s="115"/>
      <c r="S46" s="37"/>
      <c r="T46" s="37"/>
      <c r="U46" s="37"/>
      <c r="V46" s="37"/>
      <c r="W46" s="37"/>
      <c r="X46" s="37"/>
    </row>
    <row r="47" spans="1:24" ht="18.95" customHeight="1" thickBot="1">
      <c r="A47" s="459" t="s">
        <v>43</v>
      </c>
      <c r="B47" s="287" t="s">
        <v>240</v>
      </c>
      <c r="C47" s="286" t="s">
        <v>371</v>
      </c>
      <c r="D47" s="281"/>
      <c r="E47" s="281"/>
      <c r="F47" s="281"/>
      <c r="G47" s="281"/>
      <c r="H47" s="281"/>
      <c r="I47" s="281"/>
      <c r="J47" s="281">
        <v>775581</v>
      </c>
      <c r="K47" s="281">
        <v>775581</v>
      </c>
      <c r="L47" s="281">
        <f>3900700-775581</f>
        <v>3125119</v>
      </c>
      <c r="M47" s="281">
        <f>3900700-K47</f>
        <v>3125119</v>
      </c>
      <c r="N47" s="282"/>
      <c r="O47" s="282"/>
      <c r="P47" s="283">
        <f>+D47+F47+H47+J47+N47+L47</f>
        <v>3900700</v>
      </c>
      <c r="Q47" s="283">
        <f>+O47+I47+G47+E47+K47+M47</f>
        <v>3900700</v>
      </c>
      <c r="R47" s="37"/>
      <c r="S47" s="37"/>
      <c r="T47" s="37"/>
      <c r="U47" s="37"/>
      <c r="V47" s="37"/>
      <c r="W47" s="37"/>
      <c r="X47" s="37"/>
    </row>
    <row r="48" spans="1:24" ht="15.75" customHeight="1" thickBot="1">
      <c r="A48" s="460"/>
      <c r="B48" s="374" t="s">
        <v>362</v>
      </c>
      <c r="C48" s="286" t="s">
        <v>363</v>
      </c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2"/>
      <c r="O48" s="282"/>
      <c r="P48" s="283">
        <f t="shared" ref="P48:P49" si="8">+D48+F48+H48+J48+N48+L48</f>
        <v>0</v>
      </c>
      <c r="Q48" s="283">
        <f t="shared" ref="Q48:Q49" si="9">+O48+I48+G48+E48+K48+M48</f>
        <v>0</v>
      </c>
      <c r="R48" s="37"/>
      <c r="S48" s="37"/>
      <c r="T48" s="37"/>
      <c r="U48" s="37"/>
      <c r="V48" s="37"/>
      <c r="W48" s="37"/>
      <c r="X48" s="37"/>
    </row>
    <row r="49" spans="1:24" ht="15.75" customHeight="1" thickBot="1">
      <c r="A49" s="460"/>
      <c r="B49" s="374" t="s">
        <v>203</v>
      </c>
      <c r="C49" s="286" t="s">
        <v>201</v>
      </c>
      <c r="D49" s="281">
        <v>140000</v>
      </c>
      <c r="E49" s="281">
        <v>140000</v>
      </c>
      <c r="F49" s="281">
        <v>2800000</v>
      </c>
      <c r="G49" s="281">
        <v>2800000</v>
      </c>
      <c r="H49" s="281"/>
      <c r="I49" s="281"/>
      <c r="J49" s="281"/>
      <c r="K49" s="281"/>
      <c r="L49" s="281"/>
      <c r="M49" s="281"/>
      <c r="N49" s="282"/>
      <c r="O49" s="282"/>
      <c r="P49" s="283">
        <f t="shared" si="8"/>
        <v>2940000</v>
      </c>
      <c r="Q49" s="283">
        <f t="shared" si="9"/>
        <v>2940000</v>
      </c>
      <c r="R49" s="37"/>
      <c r="S49" s="37"/>
      <c r="T49" s="37"/>
      <c r="U49" s="37"/>
      <c r="V49" s="37"/>
      <c r="W49" s="37"/>
      <c r="X49" s="37"/>
    </row>
    <row r="50" spans="1:24" ht="21" customHeight="1" thickBot="1">
      <c r="A50" s="461"/>
      <c r="B50" s="438" t="s">
        <v>202</v>
      </c>
      <c r="C50" s="439"/>
      <c r="D50" s="283">
        <f>SUM(D47:D49)</f>
        <v>140000</v>
      </c>
      <c r="E50" s="283">
        <f t="shared" ref="E50:O50" si="10">SUM(E47:E49)</f>
        <v>140000</v>
      </c>
      <c r="F50" s="283">
        <f t="shared" si="10"/>
        <v>2800000</v>
      </c>
      <c r="G50" s="283">
        <f t="shared" si="10"/>
        <v>2800000</v>
      </c>
      <c r="H50" s="283">
        <f t="shared" si="10"/>
        <v>0</v>
      </c>
      <c r="I50" s="283">
        <f t="shared" si="10"/>
        <v>0</v>
      </c>
      <c r="J50" s="283">
        <f t="shared" si="10"/>
        <v>775581</v>
      </c>
      <c r="K50" s="283">
        <f t="shared" si="10"/>
        <v>775581</v>
      </c>
      <c r="L50" s="283">
        <f t="shared" si="10"/>
        <v>3125119</v>
      </c>
      <c r="M50" s="283">
        <f t="shared" si="10"/>
        <v>3125119</v>
      </c>
      <c r="N50" s="283">
        <f t="shared" si="10"/>
        <v>0</v>
      </c>
      <c r="O50" s="283">
        <f t="shared" si="10"/>
        <v>0</v>
      </c>
      <c r="P50" s="283">
        <f>+SUM(P47:P49)</f>
        <v>6840700</v>
      </c>
      <c r="Q50" s="283">
        <f>SUM(Q47:Q49)</f>
        <v>6840700</v>
      </c>
      <c r="R50" s="115"/>
      <c r="S50" s="37"/>
      <c r="T50" s="37"/>
      <c r="U50" s="37"/>
      <c r="V50" s="37"/>
      <c r="W50" s="37"/>
      <c r="X50" s="37"/>
    </row>
    <row r="51" spans="1:24" ht="18.95" customHeight="1" thickBot="1">
      <c r="A51" s="440" t="s">
        <v>133</v>
      </c>
      <c r="B51" s="287" t="s">
        <v>240</v>
      </c>
      <c r="C51" s="286" t="s">
        <v>371</v>
      </c>
      <c r="D51" s="281"/>
      <c r="E51" s="281"/>
      <c r="F51" s="281"/>
      <c r="G51" s="281"/>
      <c r="H51" s="281"/>
      <c r="I51" s="281"/>
      <c r="J51" s="281">
        <v>569210</v>
      </c>
      <c r="K51" s="281">
        <v>569210</v>
      </c>
      <c r="L51" s="281">
        <f>93069000-569210</f>
        <v>92499790</v>
      </c>
      <c r="M51" s="281">
        <f>93778433-K51</f>
        <v>93209223</v>
      </c>
      <c r="N51" s="282"/>
      <c r="O51" s="282"/>
      <c r="P51" s="283">
        <f>+D51+F51+H51+J51+N51+L51</f>
        <v>93069000</v>
      </c>
      <c r="Q51" s="283">
        <f t="shared" ref="Q51:Q52" si="11">+O51+I51+G51+E51+K51+M51</f>
        <v>93778433</v>
      </c>
      <c r="R51" s="37"/>
      <c r="S51" s="37"/>
      <c r="T51" s="37"/>
      <c r="U51" s="37"/>
      <c r="V51" s="37"/>
      <c r="W51" s="37"/>
      <c r="X51" s="37"/>
    </row>
    <row r="52" spans="1:24" ht="21" customHeight="1" thickBot="1">
      <c r="A52" s="441"/>
      <c r="B52" s="175" t="s">
        <v>204</v>
      </c>
      <c r="C52" s="176" t="s">
        <v>194</v>
      </c>
      <c r="D52" s="298">
        <v>55000</v>
      </c>
      <c r="E52" s="298">
        <v>55000</v>
      </c>
      <c r="F52" s="298"/>
      <c r="G52" s="298"/>
      <c r="H52" s="298"/>
      <c r="I52" s="298"/>
      <c r="J52" s="298"/>
      <c r="K52" s="298"/>
      <c r="L52" s="298"/>
      <c r="M52" s="298"/>
      <c r="N52" s="299"/>
      <c r="O52" s="298"/>
      <c r="P52" s="283">
        <f t="shared" ref="P52" si="12">+D52+F52+H52+J52+N52+L52</f>
        <v>55000</v>
      </c>
      <c r="Q52" s="283">
        <f t="shared" si="11"/>
        <v>55000</v>
      </c>
      <c r="R52" s="37"/>
      <c r="S52" s="37"/>
      <c r="T52" s="37"/>
      <c r="U52" s="37"/>
      <c r="V52" s="37"/>
      <c r="W52" s="37"/>
      <c r="X52" s="37"/>
    </row>
    <row r="53" spans="1:24" ht="21" customHeight="1" thickBot="1">
      <c r="A53" s="441"/>
      <c r="B53" s="175" t="s">
        <v>205</v>
      </c>
      <c r="C53" s="176" t="s">
        <v>195</v>
      </c>
      <c r="D53" s="298">
        <v>15000</v>
      </c>
      <c r="E53" s="298">
        <v>15000</v>
      </c>
      <c r="F53" s="298"/>
      <c r="G53" s="298"/>
      <c r="H53" s="298"/>
      <c r="I53" s="298"/>
      <c r="J53" s="298"/>
      <c r="K53" s="298"/>
      <c r="L53" s="298"/>
      <c r="M53" s="298"/>
      <c r="N53" s="299"/>
      <c r="O53" s="298"/>
      <c r="P53" s="283">
        <f t="shared" ref="P53:P59" si="13">+D53+F53+H53+J53+N53+L53</f>
        <v>15000</v>
      </c>
      <c r="Q53" s="283">
        <f t="shared" ref="Q53:Q59" si="14">+O53+I53+G53+E53+K53+M53</f>
        <v>15000</v>
      </c>
      <c r="R53" s="37"/>
      <c r="S53" s="37"/>
      <c r="T53" s="37"/>
      <c r="U53" s="37"/>
      <c r="V53" s="37"/>
      <c r="W53" s="37"/>
      <c r="X53" s="37"/>
    </row>
    <row r="54" spans="1:24" ht="21" customHeight="1" thickBot="1">
      <c r="A54" s="441"/>
      <c r="B54" s="175" t="s">
        <v>282</v>
      </c>
      <c r="C54" s="176" t="s">
        <v>382</v>
      </c>
      <c r="D54" s="298">
        <v>5000</v>
      </c>
      <c r="E54" s="298">
        <v>5000</v>
      </c>
      <c r="F54" s="298"/>
      <c r="G54" s="298"/>
      <c r="H54" s="298"/>
      <c r="I54" s="298"/>
      <c r="J54" s="298"/>
      <c r="K54" s="298"/>
      <c r="L54" s="298"/>
      <c r="M54" s="298"/>
      <c r="N54" s="299"/>
      <c r="O54" s="298"/>
      <c r="P54" s="283">
        <f t="shared" si="13"/>
        <v>5000</v>
      </c>
      <c r="Q54" s="283">
        <f t="shared" si="14"/>
        <v>5000</v>
      </c>
      <c r="R54" s="37"/>
      <c r="S54" s="37"/>
      <c r="T54" s="37"/>
      <c r="U54" s="37"/>
      <c r="V54" s="37"/>
      <c r="W54" s="37"/>
      <c r="X54" s="37"/>
    </row>
    <row r="55" spans="1:24" ht="21" customHeight="1" thickBot="1">
      <c r="A55" s="441"/>
      <c r="B55" s="175" t="s">
        <v>206</v>
      </c>
      <c r="C55" s="176" t="s">
        <v>196</v>
      </c>
      <c r="D55" s="298">
        <v>260000</v>
      </c>
      <c r="E55" s="298">
        <v>260000</v>
      </c>
      <c r="F55" s="298"/>
      <c r="G55" s="298"/>
      <c r="H55" s="298"/>
      <c r="I55" s="298"/>
      <c r="J55" s="298"/>
      <c r="K55" s="298"/>
      <c r="L55" s="298"/>
      <c r="M55" s="298"/>
      <c r="N55" s="299"/>
      <c r="O55" s="298"/>
      <c r="P55" s="283">
        <f t="shared" si="13"/>
        <v>260000</v>
      </c>
      <c r="Q55" s="283">
        <f t="shared" si="14"/>
        <v>260000</v>
      </c>
      <c r="R55" s="37"/>
      <c r="S55" s="37"/>
      <c r="T55" s="37"/>
      <c r="U55" s="37"/>
      <c r="V55" s="37"/>
      <c r="W55" s="37"/>
      <c r="X55" s="37"/>
    </row>
    <row r="56" spans="1:24" ht="21" customHeight="1" thickBot="1">
      <c r="A56" s="441"/>
      <c r="B56" s="175" t="s">
        <v>207</v>
      </c>
      <c r="C56" s="176" t="s">
        <v>197</v>
      </c>
      <c r="D56" s="298">
        <v>11009000</v>
      </c>
      <c r="E56" s="298">
        <v>11143000</v>
      </c>
      <c r="F56" s="298"/>
      <c r="G56" s="298"/>
      <c r="H56" s="298"/>
      <c r="I56" s="298"/>
      <c r="J56" s="298"/>
      <c r="K56" s="298"/>
      <c r="L56" s="298"/>
      <c r="M56" s="298"/>
      <c r="N56" s="299"/>
      <c r="O56" s="298"/>
      <c r="P56" s="283">
        <f t="shared" si="13"/>
        <v>11009000</v>
      </c>
      <c r="Q56" s="283">
        <f t="shared" si="14"/>
        <v>11143000</v>
      </c>
      <c r="R56" s="37"/>
      <c r="S56" s="37"/>
      <c r="T56" s="37"/>
      <c r="U56" s="37"/>
      <c r="V56" s="37"/>
      <c r="W56" s="37"/>
      <c r="X56" s="37"/>
    </row>
    <row r="57" spans="1:24" ht="21" customHeight="1" thickBot="1">
      <c r="A57" s="441"/>
      <c r="B57" s="175" t="s">
        <v>173</v>
      </c>
      <c r="C57" s="176" t="s">
        <v>244</v>
      </c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9"/>
      <c r="O57" s="299"/>
      <c r="P57" s="283">
        <f t="shared" si="13"/>
        <v>0</v>
      </c>
      <c r="Q57" s="283">
        <f t="shared" si="14"/>
        <v>0</v>
      </c>
      <c r="R57" s="37"/>
      <c r="S57" s="37"/>
      <c r="T57" s="37"/>
      <c r="U57" s="37"/>
      <c r="V57" s="37"/>
      <c r="W57" s="37"/>
      <c r="X57" s="37"/>
    </row>
    <row r="58" spans="1:24" ht="21" customHeight="1" thickBot="1">
      <c r="A58" s="441"/>
      <c r="B58" s="175" t="s">
        <v>172</v>
      </c>
      <c r="C58" s="176" t="s">
        <v>243</v>
      </c>
      <c r="D58" s="298">
        <v>2500000</v>
      </c>
      <c r="E58" s="298">
        <v>2500000</v>
      </c>
      <c r="F58" s="298"/>
      <c r="G58" s="298"/>
      <c r="H58" s="298"/>
      <c r="I58" s="298"/>
      <c r="J58" s="298"/>
      <c r="K58" s="298"/>
      <c r="L58" s="298"/>
      <c r="M58" s="298"/>
      <c r="N58" s="299"/>
      <c r="O58" s="299"/>
      <c r="P58" s="283">
        <f t="shared" si="13"/>
        <v>2500000</v>
      </c>
      <c r="Q58" s="283">
        <f t="shared" si="14"/>
        <v>2500000</v>
      </c>
      <c r="R58" s="37"/>
      <c r="S58" s="37"/>
      <c r="T58" s="37"/>
      <c r="U58" s="37"/>
      <c r="V58" s="37"/>
      <c r="W58" s="37"/>
      <c r="X58" s="37"/>
    </row>
    <row r="59" spans="1:24" ht="21" customHeight="1" thickBot="1">
      <c r="A59" s="441"/>
      <c r="B59" s="175" t="s">
        <v>146</v>
      </c>
      <c r="C59" s="176" t="s">
        <v>190</v>
      </c>
      <c r="D59" s="298">
        <v>5450000</v>
      </c>
      <c r="E59" s="298">
        <v>7227559</v>
      </c>
      <c r="F59" s="298"/>
      <c r="G59" s="298"/>
      <c r="H59" s="298"/>
      <c r="I59" s="298"/>
      <c r="J59" s="298"/>
      <c r="K59" s="298"/>
      <c r="L59" s="298"/>
      <c r="M59" s="298"/>
      <c r="N59" s="299"/>
      <c r="O59" s="299"/>
      <c r="P59" s="283">
        <f t="shared" si="13"/>
        <v>5450000</v>
      </c>
      <c r="Q59" s="283">
        <f t="shared" si="14"/>
        <v>7227559</v>
      </c>
      <c r="R59" s="37"/>
      <c r="S59" s="37"/>
      <c r="T59" s="37"/>
      <c r="U59" s="37"/>
      <c r="V59" s="37"/>
      <c r="W59" s="37"/>
      <c r="X59" s="37"/>
    </row>
    <row r="60" spans="1:24" ht="33" customHeight="1" thickBot="1">
      <c r="A60" s="442"/>
      <c r="B60" s="443" t="s">
        <v>208</v>
      </c>
      <c r="C60" s="444"/>
      <c r="D60" s="283">
        <f>SUM(D51:D59)</f>
        <v>19294000</v>
      </c>
      <c r="E60" s="283">
        <f>SUM(E51:E59)</f>
        <v>21205559</v>
      </c>
      <c r="F60" s="283">
        <f t="shared" ref="F60:O60" si="15">SUM(F51:F59)</f>
        <v>0</v>
      </c>
      <c r="G60" s="283">
        <f t="shared" si="15"/>
        <v>0</v>
      </c>
      <c r="H60" s="283">
        <f t="shared" si="15"/>
        <v>0</v>
      </c>
      <c r="I60" s="283">
        <f t="shared" si="15"/>
        <v>0</v>
      </c>
      <c r="J60" s="283">
        <f t="shared" si="15"/>
        <v>569210</v>
      </c>
      <c r="K60" s="283">
        <f t="shared" si="15"/>
        <v>569210</v>
      </c>
      <c r="L60" s="283">
        <f t="shared" si="15"/>
        <v>92499790</v>
      </c>
      <c r="M60" s="283">
        <f t="shared" si="15"/>
        <v>93209223</v>
      </c>
      <c r="N60" s="283">
        <f t="shared" si="15"/>
        <v>0</v>
      </c>
      <c r="O60" s="283">
        <f t="shared" si="15"/>
        <v>0</v>
      </c>
      <c r="P60" s="283">
        <f>SUM(P51:P59)</f>
        <v>112363000</v>
      </c>
      <c r="Q60" s="283">
        <f>SUM(Q51:Q59)</f>
        <v>114983992</v>
      </c>
      <c r="R60" s="115"/>
      <c r="S60" s="37"/>
      <c r="T60" s="37"/>
      <c r="U60" s="37"/>
      <c r="V60" s="37"/>
      <c r="W60" s="37"/>
      <c r="X60" s="37"/>
    </row>
    <row r="61" spans="1:24" ht="26.25" customHeight="1" thickBot="1">
      <c r="A61" s="445" t="s">
        <v>54</v>
      </c>
      <c r="B61" s="445"/>
      <c r="C61" s="445"/>
      <c r="D61" s="283">
        <f>+D60+D50+D46+D43+D37</f>
        <v>52209000</v>
      </c>
      <c r="E61" s="283">
        <f t="shared" ref="E61:O61" si="16">+E60+E50+E46+E43+E37</f>
        <v>56643024</v>
      </c>
      <c r="F61" s="283">
        <f t="shared" si="16"/>
        <v>291676598</v>
      </c>
      <c r="G61" s="283">
        <f t="shared" si="16"/>
        <v>357982908</v>
      </c>
      <c r="H61" s="283">
        <f t="shared" si="16"/>
        <v>280237444</v>
      </c>
      <c r="I61" s="283">
        <f t="shared" si="16"/>
        <v>326210554</v>
      </c>
      <c r="J61" s="283">
        <f t="shared" si="16"/>
        <v>165502713</v>
      </c>
      <c r="K61" s="283">
        <f t="shared" si="16"/>
        <v>165579828</v>
      </c>
      <c r="L61" s="283">
        <f t="shared" si="16"/>
        <v>193445328</v>
      </c>
      <c r="M61" s="283">
        <f t="shared" si="16"/>
        <v>210607504</v>
      </c>
      <c r="N61" s="283">
        <f t="shared" si="16"/>
        <v>59270000</v>
      </c>
      <c r="O61" s="283">
        <f t="shared" si="16"/>
        <v>59270000</v>
      </c>
      <c r="P61" s="283">
        <f>SUM(+P60+P50+P46+P43+P37)</f>
        <v>1042341083</v>
      </c>
      <c r="Q61" s="283">
        <f>+Q60+Q50+Q46+Q43+Q37</f>
        <v>1176293818</v>
      </c>
      <c r="R61" s="37"/>
      <c r="S61" s="37"/>
      <c r="T61" s="37"/>
      <c r="U61" s="37"/>
      <c r="V61" s="37"/>
      <c r="W61" s="37"/>
      <c r="X61" s="37"/>
    </row>
    <row r="63" spans="1:24">
      <c r="P63" s="44">
        <f>+N61+L61+J61+H61+F61+D61</f>
        <v>1042341083</v>
      </c>
      <c r="Q63" s="44">
        <f>+O61+M61+K61+I61+G61+E61</f>
        <v>1176293818</v>
      </c>
    </row>
    <row r="64" spans="1:24">
      <c r="Q64" s="44"/>
    </row>
    <row r="65" spans="16:17">
      <c r="P65" s="322">
        <f>+P61-P63</f>
        <v>0</v>
      </c>
      <c r="Q65" s="322">
        <f>+Q61-Q63</f>
        <v>0</v>
      </c>
    </row>
    <row r="67" spans="16:17">
      <c r="P67" s="44">
        <f>+Q61-'4.sz.mell.'!Y60</f>
        <v>210607504</v>
      </c>
      <c r="Q67" s="39" t="s">
        <v>383</v>
      </c>
    </row>
    <row r="69" spans="16:17">
      <c r="P69" s="44"/>
    </row>
  </sheetData>
  <mergeCells count="18">
    <mergeCell ref="A6:A37"/>
    <mergeCell ref="A38:A43"/>
    <mergeCell ref="B43:C43"/>
    <mergeCell ref="B46:C46"/>
    <mergeCell ref="A1:Q1"/>
    <mergeCell ref="A2:Q2"/>
    <mergeCell ref="A4:A5"/>
    <mergeCell ref="B4:B5"/>
    <mergeCell ref="C4:C5"/>
    <mergeCell ref="D4:O4"/>
    <mergeCell ref="P4:P5"/>
    <mergeCell ref="Q4:Q5"/>
    <mergeCell ref="B50:C50"/>
    <mergeCell ref="B60:C60"/>
    <mergeCell ref="A61:C61"/>
    <mergeCell ref="A44:A46"/>
    <mergeCell ref="A47:A50"/>
    <mergeCell ref="A51:A60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5"/>
  <sheetViews>
    <sheetView zoomScaleNormal="100" workbookViewId="0">
      <selection activeCell="H28" sqref="H28"/>
    </sheetView>
  </sheetViews>
  <sheetFormatPr defaultRowHeight="12.75"/>
  <cols>
    <col min="1" max="1" width="10.28515625" style="46" customWidth="1"/>
    <col min="2" max="2" width="55" style="46" customWidth="1"/>
    <col min="3" max="3" width="17" style="46" customWidth="1"/>
    <col min="4" max="4" width="16.42578125" style="46" customWidth="1"/>
    <col min="5" max="5" width="9.140625" style="46"/>
    <col min="6" max="6" width="10.85546875" style="46" bestFit="1" customWidth="1"/>
    <col min="7" max="16384" width="9.140625" style="46"/>
  </cols>
  <sheetData>
    <row r="1" spans="1:6" ht="22.5" customHeight="1">
      <c r="A1" s="463" t="s">
        <v>477</v>
      </c>
      <c r="B1" s="463"/>
      <c r="C1" s="463"/>
      <c r="D1" s="463"/>
      <c r="E1" s="180"/>
      <c r="F1" s="180"/>
    </row>
    <row r="2" spans="1:6" ht="22.5" customHeight="1">
      <c r="A2" s="178"/>
      <c r="B2" s="178"/>
      <c r="C2" s="178"/>
      <c r="D2" s="178"/>
      <c r="E2" s="180"/>
      <c r="F2" s="180"/>
    </row>
    <row r="3" spans="1:6" ht="39" customHeight="1">
      <c r="A3" s="462" t="s">
        <v>262</v>
      </c>
      <c r="B3" s="462"/>
      <c r="C3" s="462"/>
      <c r="D3" s="462"/>
      <c r="E3" s="179"/>
      <c r="F3" s="179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165"/>
      <c r="D7" s="165" t="s">
        <v>225</v>
      </c>
    </row>
    <row r="8" spans="1:6" ht="26.25" customHeight="1" thickBot="1">
      <c r="B8" s="330" t="s">
        <v>62</v>
      </c>
      <c r="C8" s="330" t="s">
        <v>309</v>
      </c>
      <c r="D8" s="330" t="s">
        <v>393</v>
      </c>
    </row>
    <row r="9" spans="1:6" ht="16.5" thickBot="1">
      <c r="B9" s="52" t="s">
        <v>284</v>
      </c>
      <c r="C9" s="329">
        <v>153625000</v>
      </c>
      <c r="D9" s="329">
        <f>+'1.sz.mell.'!D55</f>
        <v>155500000</v>
      </c>
    </row>
    <row r="10" spans="1:6" ht="15.75">
      <c r="B10" s="202" t="s">
        <v>390</v>
      </c>
      <c r="C10" s="244">
        <v>31946110</v>
      </c>
      <c r="D10" s="244">
        <f>+'1.sz.mell.'!D56</f>
        <v>19930411</v>
      </c>
    </row>
    <row r="11" spans="1:6" ht="15.75">
      <c r="B11" s="385" t="s">
        <v>454</v>
      </c>
      <c r="C11" s="244">
        <v>12015699</v>
      </c>
      <c r="D11" s="244">
        <v>12015699</v>
      </c>
    </row>
    <row r="12" spans="1:6" ht="15.75">
      <c r="B12" s="52" t="s">
        <v>403</v>
      </c>
      <c r="C12" s="244">
        <v>44590100</v>
      </c>
      <c r="D12" s="244">
        <f>44590100+5009294</f>
        <v>49599394</v>
      </c>
    </row>
    <row r="13" spans="1:6" ht="15.75">
      <c r="B13" s="52" t="s">
        <v>404</v>
      </c>
      <c r="C13" s="244">
        <v>48310000</v>
      </c>
      <c r="D13" s="244">
        <f>48310000-2657</f>
        <v>48307343</v>
      </c>
    </row>
    <row r="14" spans="1:6" s="53" customFormat="1" ht="15" customHeight="1">
      <c r="B14" s="50" t="s">
        <v>267</v>
      </c>
      <c r="C14" s="244">
        <v>812024</v>
      </c>
      <c r="D14" s="244">
        <f>+'1.sz.mell.'!D59</f>
        <v>812024</v>
      </c>
    </row>
    <row r="15" spans="1:6" s="53" customFormat="1" ht="15" customHeight="1">
      <c r="B15" s="203" t="s">
        <v>387</v>
      </c>
      <c r="C15" s="244">
        <v>0</v>
      </c>
      <c r="D15" s="244">
        <f>+'1.sz.mell.'!D60</f>
        <v>17311683</v>
      </c>
    </row>
    <row r="16" spans="1:6" s="53" customFormat="1" ht="15" customHeight="1">
      <c r="B16" s="203" t="s">
        <v>386</v>
      </c>
      <c r="C16" s="244">
        <v>0</v>
      </c>
      <c r="D16" s="244">
        <f>+'1.sz.mell.'!D61</f>
        <v>20000000</v>
      </c>
    </row>
    <row r="17" spans="2:6" s="53" customFormat="1" ht="15" customHeight="1">
      <c r="B17" s="203" t="s">
        <v>389</v>
      </c>
      <c r="C17" s="244">
        <v>0</v>
      </c>
      <c r="D17" s="244">
        <f>+'1.sz.mell.'!D62</f>
        <v>2734000</v>
      </c>
    </row>
    <row r="18" spans="2:6" s="51" customFormat="1" ht="15" customHeight="1">
      <c r="B18" s="49" t="s">
        <v>56</v>
      </c>
      <c r="C18" s="245">
        <f>SUM(C9:C17)</f>
        <v>291298933</v>
      </c>
      <c r="D18" s="245">
        <f>SUM(D9:D17)</f>
        <v>326210554</v>
      </c>
      <c r="F18" s="334">
        <f>+'4a.sz.mell.'!I61</f>
        <v>326210554</v>
      </c>
    </row>
    <row r="19" spans="2:6" s="51" customFormat="1" ht="15" customHeight="1">
      <c r="B19" s="52" t="s">
        <v>236</v>
      </c>
      <c r="C19" s="244">
        <v>48165179</v>
      </c>
      <c r="D19" s="244">
        <f>17950240+14127235</f>
        <v>32077475</v>
      </c>
      <c r="F19" s="334"/>
    </row>
    <row r="20" spans="2:6" ht="15" customHeight="1">
      <c r="B20" s="49" t="s">
        <v>56</v>
      </c>
      <c r="C20" s="245">
        <f>SUM(C19)</f>
        <v>48165179</v>
      </c>
      <c r="D20" s="245">
        <f>SUM(D19)</f>
        <v>32077475</v>
      </c>
    </row>
    <row r="21" spans="2:6" ht="15" customHeight="1">
      <c r="B21" s="54" t="s">
        <v>57</v>
      </c>
      <c r="C21" s="245">
        <f>SUM(C18,C20)</f>
        <v>339464112</v>
      </c>
      <c r="D21" s="245">
        <f>SUM(D18,D20)</f>
        <v>358288029</v>
      </c>
      <c r="F21" s="304"/>
    </row>
    <row r="23" spans="2:6">
      <c r="C23" s="304">
        <f>+'1.sz.mell.'!C89</f>
        <v>327448413</v>
      </c>
      <c r="D23" s="304">
        <f>+'1.sz.mell.'!D89</f>
        <v>358288029</v>
      </c>
    </row>
    <row r="24" spans="2:6">
      <c r="C24" s="304"/>
    </row>
    <row r="25" spans="2:6">
      <c r="D25" s="304"/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F129"/>
  <sheetViews>
    <sheetView topLeftCell="A13" zoomScaleNormal="100" workbookViewId="0">
      <selection activeCell="G24" sqref="G24"/>
    </sheetView>
  </sheetViews>
  <sheetFormatPr defaultRowHeight="15.75"/>
  <cols>
    <col min="1" max="1" width="5.85546875" style="46" customWidth="1"/>
    <col min="2" max="2" width="57.140625" style="61" customWidth="1"/>
    <col min="3" max="3" width="30.85546875" style="61" customWidth="1"/>
    <col min="4" max="4" width="18.5703125" style="67" customWidth="1"/>
    <col min="5" max="5" width="18.85546875" style="46" customWidth="1"/>
    <col min="6" max="16384" width="9.140625" style="46"/>
  </cols>
  <sheetData>
    <row r="1" spans="1:6" ht="30" customHeight="1">
      <c r="A1" s="407" t="s">
        <v>478</v>
      </c>
      <c r="B1" s="407"/>
      <c r="C1" s="407"/>
      <c r="D1" s="407"/>
      <c r="E1" s="407"/>
    </row>
    <row r="2" spans="1:6" ht="30" customHeight="1">
      <c r="A2" s="177"/>
      <c r="B2" s="177"/>
      <c r="C2" s="177"/>
      <c r="D2" s="177"/>
      <c r="E2" s="177"/>
    </row>
    <row r="3" spans="1:6" ht="49.5" customHeight="1">
      <c r="A3" s="464" t="s">
        <v>263</v>
      </c>
      <c r="B3" s="464"/>
      <c r="C3" s="464"/>
      <c r="D3" s="464"/>
      <c r="E3" s="464"/>
    </row>
    <row r="4" spans="1:6">
      <c r="B4" s="55"/>
      <c r="C4" s="55"/>
      <c r="D4" s="56"/>
    </row>
    <row r="5" spans="1:6" ht="19.5" customHeight="1" thickBot="1">
      <c r="B5" s="55"/>
      <c r="C5" s="55"/>
      <c r="D5" s="56" t="s">
        <v>225</v>
      </c>
    </row>
    <row r="6" spans="1:6" s="51" customFormat="1" ht="39" customHeight="1" thickBot="1">
      <c r="B6" s="181" t="s">
        <v>221</v>
      </c>
      <c r="C6" s="182" t="s">
        <v>214</v>
      </c>
      <c r="D6" s="331" t="s">
        <v>310</v>
      </c>
      <c r="E6" s="331" t="s">
        <v>311</v>
      </c>
    </row>
    <row r="7" spans="1:6">
      <c r="B7" s="57" t="s">
        <v>59</v>
      </c>
      <c r="C7" s="57"/>
      <c r="D7" s="184">
        <f>SUM(D8:D10)</f>
        <v>246525100</v>
      </c>
      <c r="E7" s="184">
        <f>SUM(E8:E10)</f>
        <v>210708248</v>
      </c>
    </row>
    <row r="8" spans="1:6">
      <c r="B8" s="290" t="s">
        <v>284</v>
      </c>
      <c r="C8" s="57"/>
      <c r="D8" s="289">
        <v>153625000</v>
      </c>
      <c r="E8" s="289">
        <v>154837440</v>
      </c>
    </row>
    <row r="9" spans="1:6" ht="31.5">
      <c r="B9" s="249" t="s">
        <v>354</v>
      </c>
      <c r="C9" s="247" t="s">
        <v>215</v>
      </c>
      <c r="D9" s="248">
        <v>44590100</v>
      </c>
      <c r="E9" s="248">
        <f>+'4.sz.mell.'!U39</f>
        <v>26979159</v>
      </c>
    </row>
    <row r="10" spans="1:6" ht="36" customHeight="1">
      <c r="B10" s="249" t="s">
        <v>353</v>
      </c>
      <c r="C10" s="247" t="s">
        <v>215</v>
      </c>
      <c r="D10" s="294">
        <v>48310000</v>
      </c>
      <c r="E10" s="294">
        <f>+'4.sz.mell.'!U38</f>
        <v>28891649</v>
      </c>
    </row>
    <row r="11" spans="1:6">
      <c r="B11" s="58" t="s">
        <v>60</v>
      </c>
      <c r="C11" s="57"/>
      <c r="D11" s="295">
        <f>+SUM(D15:D35)</f>
        <v>80573313</v>
      </c>
      <c r="E11" s="295">
        <f>+SUM(E12:E38)</f>
        <v>147579781</v>
      </c>
    </row>
    <row r="12" spans="1:6" ht="31.5">
      <c r="B12" s="249" t="s">
        <v>387</v>
      </c>
      <c r="C12" s="247" t="s">
        <v>216</v>
      </c>
      <c r="D12" s="294">
        <v>0</v>
      </c>
      <c r="E12" s="294">
        <f>+'1.sz.mell.'!D60</f>
        <v>17311683</v>
      </c>
      <c r="F12" s="372"/>
    </row>
    <row r="13" spans="1:6">
      <c r="B13" s="246" t="s">
        <v>285</v>
      </c>
      <c r="C13" s="183" t="s">
        <v>215</v>
      </c>
      <c r="D13" s="291">
        <v>350000</v>
      </c>
      <c r="E13" s="291">
        <v>380619</v>
      </c>
    </row>
    <row r="14" spans="1:6">
      <c r="B14" s="246" t="s">
        <v>400</v>
      </c>
      <c r="C14" s="183" t="s">
        <v>215</v>
      </c>
      <c r="D14" s="291">
        <v>0</v>
      </c>
      <c r="E14" s="291">
        <f>269240+9141</f>
        <v>278381</v>
      </c>
    </row>
    <row r="15" spans="1:6">
      <c r="B15" s="246" t="s">
        <v>213</v>
      </c>
      <c r="C15" s="183" t="s">
        <v>215</v>
      </c>
      <c r="D15" s="291">
        <v>1651000</v>
      </c>
      <c r="E15" s="291">
        <f>+'4.sz.mell.'!U46</f>
        <v>2250948</v>
      </c>
    </row>
    <row r="16" spans="1:6">
      <c r="B16" s="246" t="s">
        <v>222</v>
      </c>
      <c r="C16" s="183" t="s">
        <v>215</v>
      </c>
      <c r="D16" s="291">
        <v>254000</v>
      </c>
      <c r="E16" s="291">
        <f>+'4.sz.mell.'!U48</f>
        <v>837844</v>
      </c>
    </row>
    <row r="17" spans="2:5">
      <c r="B17" s="246" t="s">
        <v>232</v>
      </c>
      <c r="C17" s="183" t="s">
        <v>215</v>
      </c>
      <c r="D17" s="291">
        <v>222000</v>
      </c>
      <c r="E17" s="291">
        <f>+'4.sz.mell.'!U51</f>
        <v>222000</v>
      </c>
    </row>
    <row r="18" spans="2:5">
      <c r="B18" s="246" t="s">
        <v>233</v>
      </c>
      <c r="C18" s="183" t="s">
        <v>215</v>
      </c>
      <c r="D18" s="291">
        <v>889000</v>
      </c>
      <c r="E18" s="291">
        <f>+'4.sz.mell.'!U59</f>
        <v>889000</v>
      </c>
    </row>
    <row r="19" spans="2:5">
      <c r="B19" s="246" t="s">
        <v>396</v>
      </c>
      <c r="C19" s="183" t="s">
        <v>215</v>
      </c>
      <c r="D19" s="291">
        <v>0</v>
      </c>
      <c r="E19" s="244">
        <f>+'4.sz.mell.'!U11+'4.sz.mell.'!U12+'4.sz.mell.'!U13+'4.sz.mell.'!U10+'4.sz.mell.'!W10+'4.sz.mell.'!W11+'4.sz.mell.'!W12+'4.sz.mell.'!W13</f>
        <v>280000</v>
      </c>
    </row>
    <row r="20" spans="2:5">
      <c r="B20" s="246" t="s">
        <v>234</v>
      </c>
      <c r="C20" s="183" t="s">
        <v>215</v>
      </c>
      <c r="D20" s="291">
        <v>1100000</v>
      </c>
      <c r="E20" s="291">
        <v>1450000</v>
      </c>
    </row>
    <row r="21" spans="2:5">
      <c r="B21" s="246" t="s">
        <v>455</v>
      </c>
      <c r="C21" s="183" t="s">
        <v>215</v>
      </c>
      <c r="D21" s="291">
        <v>600000</v>
      </c>
      <c r="E21" s="291">
        <v>600000</v>
      </c>
    </row>
    <row r="22" spans="2:5">
      <c r="B22" s="246" t="s">
        <v>395</v>
      </c>
      <c r="C22" s="183" t="s">
        <v>215</v>
      </c>
      <c r="D22" s="291">
        <v>0</v>
      </c>
      <c r="E22" s="291">
        <f>+'1.sz.mell.'!D62</f>
        <v>2734000</v>
      </c>
    </row>
    <row r="23" spans="2:5">
      <c r="B23" s="246" t="s">
        <v>268</v>
      </c>
      <c r="C23" s="183" t="s">
        <v>215</v>
      </c>
      <c r="D23" s="291">
        <v>300000</v>
      </c>
      <c r="E23" s="291">
        <v>300000</v>
      </c>
    </row>
    <row r="24" spans="2:5">
      <c r="B24" s="246" t="s">
        <v>269</v>
      </c>
      <c r="C24" s="183" t="s">
        <v>215</v>
      </c>
      <c r="D24" s="291">
        <v>23447542</v>
      </c>
      <c r="E24" s="291">
        <v>23447542</v>
      </c>
    </row>
    <row r="25" spans="2:5">
      <c r="B25" s="246" t="s">
        <v>286</v>
      </c>
      <c r="C25" s="183" t="s">
        <v>215</v>
      </c>
      <c r="D25" s="291">
        <v>292681</v>
      </c>
      <c r="E25" s="291">
        <v>292681</v>
      </c>
    </row>
    <row r="26" spans="2:5">
      <c r="B26" s="246" t="s">
        <v>397</v>
      </c>
      <c r="C26" s="183" t="s">
        <v>216</v>
      </c>
      <c r="D26" s="291">
        <v>0</v>
      </c>
      <c r="E26" s="291">
        <v>540000</v>
      </c>
    </row>
    <row r="27" spans="2:5">
      <c r="B27" s="246" t="s">
        <v>272</v>
      </c>
      <c r="C27" s="183" t="s">
        <v>215</v>
      </c>
      <c r="D27" s="291">
        <v>130000</v>
      </c>
      <c r="E27" s="291">
        <v>130000</v>
      </c>
    </row>
    <row r="28" spans="2:5">
      <c r="B28" s="246" t="s">
        <v>273</v>
      </c>
      <c r="C28" s="183" t="s">
        <v>215</v>
      </c>
      <c r="D28" s="291">
        <v>440000</v>
      </c>
      <c r="E28" s="291">
        <v>320000</v>
      </c>
    </row>
    <row r="29" spans="2:5">
      <c r="B29" s="246" t="s">
        <v>274</v>
      </c>
      <c r="C29" s="183" t="s">
        <v>216</v>
      </c>
      <c r="D29" s="291">
        <v>4189100</v>
      </c>
      <c r="E29" s="291">
        <v>4189100</v>
      </c>
    </row>
    <row r="30" spans="2:5">
      <c r="B30" s="246" t="s">
        <v>267</v>
      </c>
      <c r="C30" s="183" t="s">
        <v>215</v>
      </c>
      <c r="D30" s="291">
        <v>812024</v>
      </c>
      <c r="E30" s="291">
        <v>932024</v>
      </c>
    </row>
    <row r="31" spans="2:5">
      <c r="B31" s="246" t="s">
        <v>355</v>
      </c>
      <c r="C31" s="183" t="s">
        <v>216</v>
      </c>
      <c r="D31" s="291">
        <v>0</v>
      </c>
      <c r="E31" s="291">
        <v>709433</v>
      </c>
    </row>
    <row r="32" spans="2:5">
      <c r="B32" s="246" t="s">
        <v>402</v>
      </c>
      <c r="C32" s="183" t="s">
        <v>216</v>
      </c>
      <c r="D32" s="291">
        <v>0</v>
      </c>
      <c r="E32" s="291">
        <v>762000</v>
      </c>
    </row>
    <row r="33" spans="2:5">
      <c r="B33" s="246" t="s">
        <v>398</v>
      </c>
      <c r="C33" s="183" t="s">
        <v>216</v>
      </c>
      <c r="D33" s="291">
        <v>4500000</v>
      </c>
      <c r="E33" s="291">
        <v>8785099</v>
      </c>
    </row>
    <row r="34" spans="2:5">
      <c r="B34" s="246" t="s">
        <v>270</v>
      </c>
      <c r="C34" s="183" t="s">
        <v>216</v>
      </c>
      <c r="D34" s="291">
        <v>14136116</v>
      </c>
      <c r="E34" s="291">
        <v>14136116</v>
      </c>
    </row>
    <row r="35" spans="2:5">
      <c r="B35" s="246" t="s">
        <v>271</v>
      </c>
      <c r="C35" s="183" t="s">
        <v>216</v>
      </c>
      <c r="D35" s="291">
        <v>27609850</v>
      </c>
      <c r="E35" s="291">
        <f>27706312+14360208</f>
        <v>42066520</v>
      </c>
    </row>
    <row r="36" spans="2:5">
      <c r="B36" s="246" t="s">
        <v>394</v>
      </c>
      <c r="C36" s="183" t="s">
        <v>216</v>
      </c>
      <c r="D36" s="291">
        <v>0</v>
      </c>
      <c r="E36" s="291">
        <v>23529412</v>
      </c>
    </row>
    <row r="37" spans="2:5">
      <c r="B37" s="246" t="s">
        <v>399</v>
      </c>
      <c r="C37" s="183" t="s">
        <v>215</v>
      </c>
      <c r="D37" s="291">
        <v>0</v>
      </c>
      <c r="E37" s="291">
        <v>69979</v>
      </c>
    </row>
    <row r="38" spans="2:5">
      <c r="B38" s="246" t="s">
        <v>401</v>
      </c>
      <c r="C38" s="183" t="s">
        <v>215</v>
      </c>
      <c r="D38" s="291">
        <v>0</v>
      </c>
      <c r="E38" s="291">
        <v>135400</v>
      </c>
    </row>
    <row r="39" spans="2:5">
      <c r="B39" s="54" t="s">
        <v>56</v>
      </c>
      <c r="C39" s="54"/>
      <c r="D39" s="245">
        <f>+D11+D7</f>
        <v>327098413</v>
      </c>
      <c r="E39" s="245">
        <f>+E11+E7</f>
        <v>358288029</v>
      </c>
    </row>
    <row r="40" spans="2:5" s="51" customFormat="1">
      <c r="B40" s="59"/>
      <c r="C40" s="59"/>
      <c r="D40" s="60"/>
      <c r="E40" s="334"/>
    </row>
    <row r="41" spans="2:5" ht="24.75" customHeight="1">
      <c r="B41" s="59"/>
      <c r="C41" s="59"/>
      <c r="D41" s="60"/>
      <c r="E41" s="304">
        <f>+'1.sz.mell.'!D89</f>
        <v>358288029</v>
      </c>
    </row>
    <row r="42" spans="2:5" ht="11.25" customHeight="1">
      <c r="B42" s="59"/>
      <c r="C42" s="59"/>
      <c r="D42" s="60"/>
    </row>
    <row r="43" spans="2:5" s="51" customFormat="1">
      <c r="B43" s="59"/>
      <c r="C43" s="59"/>
      <c r="D43" s="59"/>
      <c r="E43" s="334">
        <f>+E41-E39</f>
        <v>0</v>
      </c>
    </row>
    <row r="44" spans="2:5" s="51" customFormat="1">
      <c r="B44" s="61"/>
      <c r="C44" s="61"/>
      <c r="D44" s="61"/>
    </row>
    <row r="45" spans="2:5">
      <c r="D45" s="61"/>
    </row>
    <row r="46" spans="2:5" s="51" customFormat="1">
      <c r="B46" s="61"/>
      <c r="C46" s="61"/>
      <c r="D46" s="61"/>
    </row>
    <row r="47" spans="2:5">
      <c r="D47" s="61"/>
    </row>
    <row r="48" spans="2:5">
      <c r="D48" s="61"/>
    </row>
    <row r="49" spans="2:4">
      <c r="D49" s="61"/>
    </row>
    <row r="50" spans="2:4">
      <c r="D50" s="61"/>
    </row>
    <row r="51" spans="2:4">
      <c r="D51" s="61"/>
    </row>
    <row r="52" spans="2:4">
      <c r="D52" s="61"/>
    </row>
    <row r="53" spans="2:4">
      <c r="D53" s="61"/>
    </row>
    <row r="54" spans="2:4">
      <c r="D54" s="61"/>
    </row>
    <row r="55" spans="2:4">
      <c r="D55" s="61"/>
    </row>
    <row r="56" spans="2:4">
      <c r="D56" s="61"/>
    </row>
    <row r="57" spans="2:4">
      <c r="B57" s="62"/>
      <c r="C57" s="62"/>
      <c r="D57" s="63"/>
    </row>
    <row r="58" spans="2:4">
      <c r="B58" s="62"/>
      <c r="C58" s="62"/>
      <c r="D58" s="63"/>
    </row>
    <row r="59" spans="2:4">
      <c r="B59" s="62"/>
      <c r="C59" s="62"/>
      <c r="D59" s="63"/>
    </row>
    <row r="60" spans="2:4">
      <c r="B60" s="62"/>
      <c r="C60" s="62"/>
      <c r="D60" s="63"/>
    </row>
    <row r="61" spans="2:4" s="53" customFormat="1">
      <c r="B61" s="62"/>
      <c r="C61" s="62"/>
      <c r="D61" s="63"/>
    </row>
    <row r="62" spans="2:4" s="51" customFormat="1">
      <c r="B62" s="62"/>
      <c r="C62" s="62"/>
      <c r="D62" s="63"/>
    </row>
    <row r="63" spans="2:4" s="64" customFormat="1">
      <c r="B63" s="62"/>
      <c r="C63" s="62"/>
      <c r="D63" s="63"/>
    </row>
    <row r="64" spans="2:4">
      <c r="B64" s="62"/>
      <c r="C64" s="62"/>
      <c r="D64" s="63"/>
    </row>
    <row r="65" spans="2:4">
      <c r="B65" s="62"/>
      <c r="C65" s="62"/>
      <c r="D65" s="63"/>
    </row>
    <row r="66" spans="2:4">
      <c r="B66" s="62"/>
      <c r="C66" s="62"/>
      <c r="D66" s="63"/>
    </row>
    <row r="67" spans="2:4">
      <c r="B67" s="62"/>
      <c r="C67" s="62"/>
      <c r="D67" s="63"/>
    </row>
    <row r="68" spans="2:4">
      <c r="B68" s="62"/>
      <c r="C68" s="62"/>
      <c r="D68" s="63"/>
    </row>
    <row r="69" spans="2:4">
      <c r="B69" s="62"/>
      <c r="C69" s="62"/>
      <c r="D69" s="63"/>
    </row>
    <row r="70" spans="2:4">
      <c r="B70" s="62"/>
      <c r="C70" s="62"/>
      <c r="D70" s="63"/>
    </row>
    <row r="71" spans="2:4">
      <c r="B71" s="62"/>
      <c r="C71" s="62"/>
      <c r="D71" s="63"/>
    </row>
    <row r="72" spans="2:4">
      <c r="B72" s="62"/>
      <c r="C72" s="62"/>
      <c r="D72" s="63"/>
    </row>
    <row r="73" spans="2:4">
      <c r="B73" s="62"/>
      <c r="C73" s="62"/>
      <c r="D73" s="63"/>
    </row>
    <row r="74" spans="2:4">
      <c r="B74" s="62"/>
      <c r="C74" s="62"/>
      <c r="D74" s="63"/>
    </row>
    <row r="75" spans="2:4">
      <c r="B75" s="59"/>
      <c r="C75" s="59"/>
      <c r="D75" s="65"/>
    </row>
    <row r="76" spans="2:4">
      <c r="D76" s="61"/>
    </row>
    <row r="77" spans="2:4">
      <c r="D77" s="61"/>
    </row>
    <row r="78" spans="2:4" s="51" customFormat="1">
      <c r="B78" s="59"/>
      <c r="C78" s="59"/>
      <c r="D78" s="59"/>
    </row>
    <row r="79" spans="2:4">
      <c r="D79" s="61"/>
    </row>
    <row r="80" spans="2:4">
      <c r="D80" s="61"/>
    </row>
    <row r="81" spans="2:4" s="51" customFormat="1">
      <c r="B81" s="59"/>
      <c r="C81" s="59"/>
      <c r="D81" s="61"/>
    </row>
    <row r="82" spans="2:4">
      <c r="B82" s="62"/>
      <c r="C82" s="62"/>
      <c r="D82" s="66"/>
    </row>
    <row r="83" spans="2:4">
      <c r="B83" s="62"/>
      <c r="C83" s="62"/>
      <c r="D83" s="66"/>
    </row>
    <row r="84" spans="2:4">
      <c r="B84" s="62"/>
      <c r="C84" s="62"/>
      <c r="D84" s="66"/>
    </row>
    <row r="85" spans="2:4">
      <c r="B85" s="62"/>
      <c r="C85" s="62"/>
      <c r="D85" s="66"/>
    </row>
    <row r="86" spans="2:4">
      <c r="B86" s="62"/>
      <c r="C86" s="62"/>
      <c r="D86" s="66"/>
    </row>
    <row r="87" spans="2:4">
      <c r="B87" s="62"/>
      <c r="C87" s="62"/>
      <c r="D87" s="66"/>
    </row>
    <row r="88" spans="2:4">
      <c r="B88" s="62"/>
      <c r="C88" s="62"/>
      <c r="D88" s="66"/>
    </row>
    <row r="89" spans="2:4">
      <c r="B89" s="62"/>
      <c r="C89" s="62"/>
      <c r="D89" s="66"/>
    </row>
    <row r="90" spans="2:4">
      <c r="B90" s="59"/>
      <c r="C90" s="59"/>
      <c r="D90" s="60"/>
    </row>
    <row r="91" spans="2:4">
      <c r="B91" s="59"/>
      <c r="C91" s="59"/>
    </row>
    <row r="92" spans="2:4">
      <c r="D92" s="60"/>
    </row>
    <row r="93" spans="2:4">
      <c r="B93" s="59"/>
      <c r="C93" s="59"/>
    </row>
    <row r="95" spans="2:4">
      <c r="D95" s="60"/>
    </row>
    <row r="96" spans="2:4">
      <c r="B96" s="59"/>
      <c r="C96" s="59"/>
      <c r="D96" s="60"/>
    </row>
    <row r="97" spans="2:4">
      <c r="B97" s="59"/>
      <c r="C97" s="59"/>
    </row>
    <row r="98" spans="2:4">
      <c r="D98" s="60"/>
    </row>
    <row r="99" spans="2:4">
      <c r="B99" s="59"/>
      <c r="C99" s="59"/>
      <c r="D99" s="66"/>
    </row>
    <row r="100" spans="2:4">
      <c r="B100" s="68"/>
      <c r="C100" s="68"/>
      <c r="D100" s="66"/>
    </row>
    <row r="101" spans="2:4">
      <c r="B101" s="68"/>
      <c r="C101" s="68"/>
      <c r="D101" s="66"/>
    </row>
    <row r="102" spans="2:4">
      <c r="B102" s="68"/>
      <c r="C102" s="68"/>
      <c r="D102" s="66"/>
    </row>
    <row r="103" spans="2:4">
      <c r="B103" s="68"/>
      <c r="C103" s="68"/>
      <c r="D103" s="66"/>
    </row>
    <row r="104" spans="2:4">
      <c r="B104" s="68"/>
      <c r="C104" s="68"/>
      <c r="D104" s="66"/>
    </row>
    <row r="105" spans="2:4">
      <c r="B105" s="68"/>
      <c r="C105" s="68"/>
      <c r="D105" s="66"/>
    </row>
    <row r="106" spans="2:4">
      <c r="B106" s="68"/>
      <c r="C106" s="68"/>
      <c r="D106" s="66"/>
    </row>
    <row r="107" spans="2:4">
      <c r="B107" s="68"/>
      <c r="C107" s="68"/>
      <c r="D107" s="66"/>
    </row>
    <row r="108" spans="2:4">
      <c r="B108" s="68"/>
      <c r="C108" s="68"/>
    </row>
    <row r="115" spans="2:4">
      <c r="D115" s="60"/>
    </row>
    <row r="116" spans="2:4">
      <c r="B116" s="59"/>
      <c r="C116" s="59"/>
    </row>
    <row r="117" spans="2:4">
      <c r="D117" s="60"/>
    </row>
    <row r="118" spans="2:4">
      <c r="B118" s="59"/>
      <c r="C118" s="59"/>
    </row>
    <row r="121" spans="2:4">
      <c r="D121" s="60"/>
    </row>
    <row r="122" spans="2:4">
      <c r="D122" s="61"/>
    </row>
    <row r="123" spans="2:4">
      <c r="D123" s="60"/>
    </row>
    <row r="124" spans="2:4">
      <c r="B124" s="59"/>
      <c r="C124" s="59"/>
      <c r="D124" s="66"/>
    </row>
    <row r="125" spans="2:4">
      <c r="B125" s="68"/>
      <c r="C125" s="68"/>
    </row>
    <row r="126" spans="2:4">
      <c r="D126" s="60"/>
    </row>
    <row r="127" spans="2:4">
      <c r="B127" s="59"/>
      <c r="C127" s="59"/>
    </row>
    <row r="128" spans="2:4">
      <c r="D128" s="60"/>
    </row>
    <row r="129" spans="2:3">
      <c r="B129" s="59"/>
      <c r="C129" s="59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J15"/>
  <sheetViews>
    <sheetView topLeftCell="B1" zoomScaleNormal="100" workbookViewId="0">
      <selection activeCell="I23" sqref="I23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5.7109375" style="70" customWidth="1"/>
    <col min="4" max="4" width="20.7109375" style="70" customWidth="1"/>
    <col min="5" max="5" width="8.85546875" style="70"/>
    <col min="6" max="8" width="9.140625" style="70" customWidth="1"/>
    <col min="9" max="10" width="8.85546875" style="77"/>
    <col min="11" max="16384" width="8.85546875" style="37"/>
  </cols>
  <sheetData>
    <row r="1" spans="1:10">
      <c r="A1" s="410" t="s">
        <v>479</v>
      </c>
      <c r="B1" s="410"/>
      <c r="C1" s="410"/>
      <c r="D1" s="410"/>
      <c r="E1" s="166"/>
      <c r="F1" s="166"/>
      <c r="G1" s="166"/>
      <c r="H1" s="166"/>
    </row>
    <row r="4" spans="1:10" ht="38.25" customHeight="1">
      <c r="A4" s="466" t="s">
        <v>264</v>
      </c>
      <c r="B4" s="466"/>
      <c r="C4" s="466"/>
      <c r="D4" s="466"/>
      <c r="E4" s="466"/>
      <c r="F4" s="292"/>
      <c r="G4" s="292"/>
      <c r="H4" s="292"/>
    </row>
    <row r="6" spans="1:10" ht="16.5" thickBot="1">
      <c r="C6" s="78" t="s">
        <v>235</v>
      </c>
    </row>
    <row r="7" spans="1:10" ht="16.5" customHeight="1" thickBot="1">
      <c r="C7" s="336" t="s">
        <v>297</v>
      </c>
      <c r="D7" s="336" t="s">
        <v>356</v>
      </c>
    </row>
    <row r="8" spans="1:10" s="39" customFormat="1" ht="35.1" customHeight="1" thickBot="1">
      <c r="B8" s="339" t="s">
        <v>65</v>
      </c>
      <c r="C8" s="337">
        <f>+C9+C10+C11</f>
        <v>90687347</v>
      </c>
      <c r="D8" s="335">
        <f>+D9+D10+D11</f>
        <v>70379265</v>
      </c>
      <c r="E8" s="81"/>
      <c r="F8" s="79"/>
      <c r="G8" s="79"/>
      <c r="H8" s="79"/>
      <c r="I8" s="80"/>
      <c r="J8" s="80"/>
    </row>
    <row r="9" spans="1:10">
      <c r="B9" s="338" t="s">
        <v>287</v>
      </c>
      <c r="C9" s="250">
        <v>29080156</v>
      </c>
      <c r="D9" s="250">
        <v>27298156</v>
      </c>
    </row>
    <row r="10" spans="1:10" ht="47.25">
      <c r="B10" s="114" t="s">
        <v>288</v>
      </c>
      <c r="C10" s="250">
        <v>55599872</v>
      </c>
      <c r="D10" s="250">
        <f>55503410-3529412-14360208</f>
        <v>37613790</v>
      </c>
    </row>
    <row r="11" spans="1:10" ht="47.25">
      <c r="B11" s="114" t="s">
        <v>289</v>
      </c>
      <c r="C11" s="250">
        <v>6007319</v>
      </c>
      <c r="D11" s="250">
        <f>6007319-540000</f>
        <v>5467319</v>
      </c>
    </row>
    <row r="12" spans="1:10" s="39" customFormat="1" ht="28.5" customHeight="1">
      <c r="B12" s="312" t="s">
        <v>290</v>
      </c>
      <c r="C12" s="311">
        <v>1415952</v>
      </c>
      <c r="D12" s="311">
        <v>99540</v>
      </c>
      <c r="E12" s="81"/>
      <c r="F12" s="79"/>
      <c r="G12" s="79"/>
      <c r="H12" s="79"/>
      <c r="I12" s="80"/>
      <c r="J12" s="80"/>
    </row>
    <row r="13" spans="1:10" ht="20.25">
      <c r="B13" s="296" t="s">
        <v>148</v>
      </c>
      <c r="C13" s="297">
        <f>SUM(C8,C12)</f>
        <v>92103299</v>
      </c>
      <c r="D13" s="297">
        <f>+D12+D8</f>
        <v>70478805</v>
      </c>
    </row>
    <row r="15" spans="1:10">
      <c r="D15" s="69">
        <f>+'4.sz.mell.'!O60</f>
        <v>70478805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58"/>
  <sheetViews>
    <sheetView view="pageBreakPreview" zoomScale="60" zoomScaleNormal="100" workbookViewId="0">
      <selection activeCell="L50" sqref="L50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5" width="20.7109375" customWidth="1"/>
    <col min="6" max="6" width="16.28515625" customWidth="1"/>
  </cols>
  <sheetData>
    <row r="1" spans="1:10" ht="15.75">
      <c r="A1" s="468" t="s">
        <v>480</v>
      </c>
      <c r="B1" s="468"/>
      <c r="C1" s="468"/>
      <c r="D1" s="468"/>
      <c r="E1" s="468"/>
      <c r="F1" s="468"/>
      <c r="G1" s="313"/>
      <c r="H1" s="313"/>
      <c r="I1" s="313"/>
      <c r="J1" s="104"/>
    </row>
    <row r="2" spans="1:10" ht="15.75">
      <c r="A2" s="470" t="s">
        <v>61</v>
      </c>
      <c r="B2" s="470"/>
      <c r="C2" s="470"/>
      <c r="D2" s="470"/>
      <c r="E2" s="470"/>
      <c r="F2" s="470"/>
      <c r="G2" s="105"/>
      <c r="H2" s="105"/>
      <c r="I2" s="105"/>
      <c r="J2" s="104"/>
    </row>
    <row r="3" spans="1:10">
      <c r="A3" s="470"/>
      <c r="B3" s="470"/>
      <c r="C3" s="470"/>
      <c r="D3" s="470"/>
      <c r="E3" s="470"/>
      <c r="F3" s="470"/>
      <c r="G3" s="405"/>
      <c r="H3" s="405"/>
      <c r="I3" s="405"/>
    </row>
    <row r="4" spans="1:10" ht="41.45" customHeight="1">
      <c r="A4" s="469" t="s">
        <v>66</v>
      </c>
      <c r="B4" s="469"/>
      <c r="C4" s="469"/>
      <c r="D4" s="469"/>
      <c r="E4" s="469"/>
      <c r="F4" s="469"/>
      <c r="G4" s="404"/>
      <c r="H4" s="404"/>
      <c r="I4" s="404"/>
    </row>
    <row r="7" spans="1:10" ht="24" customHeight="1">
      <c r="A7" s="471" t="s">
        <v>456</v>
      </c>
      <c r="B7" s="471"/>
      <c r="C7" s="471"/>
      <c r="D7" s="471"/>
      <c r="E7" s="471"/>
      <c r="F7" s="471"/>
      <c r="G7" s="406"/>
      <c r="H7" s="406"/>
      <c r="I7" s="406"/>
    </row>
    <row r="9" spans="1:10" ht="30">
      <c r="A9" s="388" t="s">
        <v>460</v>
      </c>
      <c r="B9" s="389">
        <v>2018</v>
      </c>
      <c r="C9" s="389">
        <v>2019</v>
      </c>
      <c r="D9" s="389">
        <v>2020</v>
      </c>
      <c r="E9" s="389">
        <v>2021</v>
      </c>
      <c r="F9" s="389" t="s">
        <v>64</v>
      </c>
    </row>
    <row r="10" spans="1:10" s="392" customFormat="1" ht="21.75" customHeight="1">
      <c r="A10" s="390" t="s">
        <v>457</v>
      </c>
      <c r="B10" s="391">
        <v>743685</v>
      </c>
      <c r="C10" s="391">
        <v>523716</v>
      </c>
      <c r="D10" s="391">
        <v>550014</v>
      </c>
      <c r="E10" s="391">
        <v>528257</v>
      </c>
      <c r="F10" s="397">
        <f>+E10+D10+C10+B10</f>
        <v>2345672</v>
      </c>
    </row>
    <row r="11" spans="1:10" s="392" customFormat="1" ht="21.75" customHeight="1">
      <c r="A11" s="390" t="s">
        <v>459</v>
      </c>
      <c r="B11" s="391">
        <v>200795</v>
      </c>
      <c r="C11" s="391">
        <v>141403</v>
      </c>
      <c r="D11" s="391">
        <v>148504</v>
      </c>
      <c r="E11" s="391">
        <v>142629</v>
      </c>
      <c r="F11" s="397">
        <f t="shared" ref="F11:F12" si="0">+E11+D11+C11+B11</f>
        <v>633331</v>
      </c>
    </row>
    <row r="12" spans="1:10" s="392" customFormat="1" ht="21.75" customHeight="1">
      <c r="A12" s="390" t="s">
        <v>458</v>
      </c>
      <c r="B12" s="391">
        <v>11709</v>
      </c>
      <c r="C12" s="391">
        <v>84748</v>
      </c>
      <c r="D12" s="391">
        <v>51349</v>
      </c>
      <c r="E12" s="391">
        <v>16491</v>
      </c>
      <c r="F12" s="397">
        <f t="shared" si="0"/>
        <v>164297</v>
      </c>
    </row>
    <row r="13" spans="1:10" s="392" customFormat="1" ht="21.75" customHeight="1">
      <c r="A13" s="390" t="s">
        <v>63</v>
      </c>
      <c r="B13" s="391">
        <f>+B10+B11+B12</f>
        <v>956189</v>
      </c>
      <c r="C13" s="391">
        <f t="shared" ref="C13:E13" si="1">+C10+C11+C12</f>
        <v>749867</v>
      </c>
      <c r="D13" s="391">
        <f t="shared" si="1"/>
        <v>749867</v>
      </c>
      <c r="E13" s="391">
        <f t="shared" si="1"/>
        <v>687377</v>
      </c>
      <c r="F13" s="397">
        <f>+F10+F11+F12</f>
        <v>3143300</v>
      </c>
    </row>
    <row r="16" spans="1:10" ht="22.5" customHeight="1">
      <c r="A16" s="467" t="s">
        <v>461</v>
      </c>
      <c r="B16" s="467"/>
      <c r="C16" s="467"/>
      <c r="D16" s="467"/>
      <c r="E16" s="467"/>
      <c r="F16" s="467"/>
    </row>
    <row r="18" spans="2:5" ht="27.75" customHeight="1">
      <c r="B18" s="389" t="s">
        <v>462</v>
      </c>
      <c r="C18" s="389" t="s">
        <v>463</v>
      </c>
      <c r="D18" s="389" t="s">
        <v>465</v>
      </c>
      <c r="E18" s="389" t="s">
        <v>464</v>
      </c>
    </row>
    <row r="19" spans="2:5" ht="27.75" customHeight="1">
      <c r="B19" s="396" t="s">
        <v>467</v>
      </c>
      <c r="C19" s="391">
        <v>893700</v>
      </c>
      <c r="D19" s="389">
        <v>0</v>
      </c>
      <c r="E19" s="391">
        <f>+C19+D19</f>
        <v>893700</v>
      </c>
    </row>
    <row r="20" spans="2:5">
      <c r="B20" s="393">
        <v>43449</v>
      </c>
      <c r="C20" s="387">
        <v>50780</v>
      </c>
      <c r="D20" s="387">
        <v>11709</v>
      </c>
      <c r="E20" s="387">
        <f>+C20+D20</f>
        <v>62489</v>
      </c>
    </row>
    <row r="21" spans="2:5">
      <c r="B21" s="393">
        <v>43480</v>
      </c>
      <c r="C21" s="387">
        <v>54057</v>
      </c>
      <c r="D21" s="387">
        <v>8432</v>
      </c>
      <c r="E21" s="387">
        <f t="shared" ref="E21:E55" si="2">+C21+D21</f>
        <v>62489</v>
      </c>
    </row>
    <row r="22" spans="2:5">
      <c r="B22" s="393">
        <v>43511</v>
      </c>
      <c r="C22" s="387">
        <v>54281</v>
      </c>
      <c r="D22" s="387">
        <v>8208</v>
      </c>
      <c r="E22" s="387">
        <f t="shared" si="2"/>
        <v>62489</v>
      </c>
    </row>
    <row r="23" spans="2:5">
      <c r="B23" s="393">
        <v>43542</v>
      </c>
      <c r="C23" s="387">
        <v>54506</v>
      </c>
      <c r="D23" s="387">
        <v>7983</v>
      </c>
      <c r="E23" s="387">
        <f t="shared" si="2"/>
        <v>62489</v>
      </c>
    </row>
    <row r="24" spans="2:5">
      <c r="B24" s="393">
        <v>43570</v>
      </c>
      <c r="C24" s="387">
        <v>55483</v>
      </c>
      <c r="D24" s="387">
        <v>7006</v>
      </c>
      <c r="E24" s="387">
        <f t="shared" si="2"/>
        <v>62489</v>
      </c>
    </row>
    <row r="25" spans="2:5">
      <c r="B25" s="393">
        <v>43600</v>
      </c>
      <c r="C25" s="387">
        <v>55205</v>
      </c>
      <c r="D25" s="387">
        <v>7284</v>
      </c>
      <c r="E25" s="387">
        <f t="shared" si="2"/>
        <v>62489</v>
      </c>
    </row>
    <row r="26" spans="2:5">
      <c r="B26" s="393">
        <v>43633</v>
      </c>
      <c r="C26" s="387">
        <v>54720</v>
      </c>
      <c r="D26" s="387">
        <v>7769</v>
      </c>
      <c r="E26" s="387">
        <f t="shared" si="2"/>
        <v>62489</v>
      </c>
    </row>
    <row r="27" spans="2:5">
      <c r="B27" s="393">
        <v>43661</v>
      </c>
      <c r="C27" s="387">
        <v>56102</v>
      </c>
      <c r="D27" s="387">
        <v>6387</v>
      </c>
      <c r="E27" s="387">
        <f t="shared" si="2"/>
        <v>62489</v>
      </c>
    </row>
    <row r="28" spans="2:5">
      <c r="B28" s="393">
        <v>43692</v>
      </c>
      <c r="C28" s="387">
        <v>55650</v>
      </c>
      <c r="D28" s="387">
        <v>6839</v>
      </c>
      <c r="E28" s="387">
        <f t="shared" si="2"/>
        <v>62489</v>
      </c>
    </row>
    <row r="29" spans="2:5">
      <c r="B29" s="393">
        <v>43724</v>
      </c>
      <c r="C29" s="387">
        <v>55667</v>
      </c>
      <c r="D29" s="387">
        <v>6821</v>
      </c>
      <c r="E29" s="387">
        <f t="shared" si="2"/>
        <v>62488</v>
      </c>
    </row>
    <row r="30" spans="2:5">
      <c r="B30" s="393">
        <v>43753</v>
      </c>
      <c r="C30" s="387">
        <v>56523</v>
      </c>
      <c r="D30" s="387">
        <v>5966</v>
      </c>
      <c r="E30" s="387">
        <f t="shared" si="2"/>
        <v>62489</v>
      </c>
    </row>
    <row r="31" spans="2:5">
      <c r="B31" s="393">
        <v>43784</v>
      </c>
      <c r="C31" s="387">
        <v>56346</v>
      </c>
      <c r="D31" s="387">
        <v>6143</v>
      </c>
      <c r="E31" s="387">
        <f t="shared" si="2"/>
        <v>62489</v>
      </c>
    </row>
    <row r="32" spans="2:5">
      <c r="B32" s="393">
        <v>43815</v>
      </c>
      <c r="C32" s="387">
        <v>56579</v>
      </c>
      <c r="D32" s="387">
        <v>5910</v>
      </c>
      <c r="E32" s="387">
        <f t="shared" si="2"/>
        <v>62489</v>
      </c>
    </row>
    <row r="33" spans="2:5">
      <c r="B33" s="393">
        <v>43845</v>
      </c>
      <c r="C33" s="387">
        <v>56997</v>
      </c>
      <c r="D33" s="387">
        <v>5492</v>
      </c>
      <c r="E33" s="387">
        <f t="shared" si="2"/>
        <v>62489</v>
      </c>
    </row>
    <row r="34" spans="2:5">
      <c r="B34" s="393">
        <v>43878</v>
      </c>
      <c r="C34" s="387">
        <v>56699</v>
      </c>
      <c r="D34" s="387">
        <v>5790</v>
      </c>
      <c r="E34" s="387">
        <f t="shared" si="2"/>
        <v>62489</v>
      </c>
    </row>
    <row r="35" spans="2:5">
      <c r="B35" s="393">
        <v>43906</v>
      </c>
      <c r="C35" s="387">
        <v>57788</v>
      </c>
      <c r="D35" s="387">
        <v>4701</v>
      </c>
      <c r="E35" s="387">
        <f t="shared" si="2"/>
        <v>62489</v>
      </c>
    </row>
    <row r="36" spans="2:5">
      <c r="B36" s="393">
        <v>43936</v>
      </c>
      <c r="C36" s="387">
        <v>57684</v>
      </c>
      <c r="D36" s="387">
        <v>4805</v>
      </c>
      <c r="E36" s="387">
        <f t="shared" si="2"/>
        <v>62489</v>
      </c>
    </row>
    <row r="37" spans="2:5">
      <c r="B37" s="393">
        <v>43966</v>
      </c>
      <c r="C37" s="387">
        <v>57916</v>
      </c>
      <c r="D37" s="387">
        <v>4573</v>
      </c>
      <c r="E37" s="387">
        <f t="shared" si="2"/>
        <v>62489</v>
      </c>
    </row>
    <row r="38" spans="2:5">
      <c r="B38" s="393">
        <v>43997</v>
      </c>
      <c r="C38" s="387">
        <v>58003</v>
      </c>
      <c r="D38" s="387">
        <v>4486</v>
      </c>
      <c r="E38" s="387">
        <f t="shared" si="2"/>
        <v>62489</v>
      </c>
    </row>
    <row r="39" spans="2:5">
      <c r="B39" s="393">
        <v>44027</v>
      </c>
      <c r="C39" s="387">
        <v>58381</v>
      </c>
      <c r="D39" s="387">
        <v>4108</v>
      </c>
      <c r="E39" s="387">
        <f t="shared" si="2"/>
        <v>62489</v>
      </c>
    </row>
    <row r="40" spans="2:5">
      <c r="B40" s="393">
        <v>44060</v>
      </c>
      <c r="C40" s="387">
        <v>58227</v>
      </c>
      <c r="D40" s="387">
        <v>4261</v>
      </c>
      <c r="E40" s="387">
        <f t="shared" si="2"/>
        <v>62488</v>
      </c>
    </row>
    <row r="41" spans="2:5">
      <c r="B41" s="393">
        <v>44089</v>
      </c>
      <c r="C41" s="387">
        <v>58970</v>
      </c>
      <c r="D41" s="387">
        <v>3519</v>
      </c>
      <c r="E41" s="387">
        <f t="shared" si="2"/>
        <v>62489</v>
      </c>
    </row>
    <row r="42" spans="2:5">
      <c r="B42" s="393">
        <v>44119</v>
      </c>
      <c r="C42" s="387">
        <v>59085</v>
      </c>
      <c r="D42" s="387">
        <v>3404</v>
      </c>
      <c r="E42" s="387">
        <f t="shared" si="2"/>
        <v>62489</v>
      </c>
    </row>
    <row r="43" spans="2:5">
      <c r="B43" s="393">
        <v>44151</v>
      </c>
      <c r="C43" s="387">
        <v>59111</v>
      </c>
      <c r="D43" s="387">
        <v>3378</v>
      </c>
      <c r="E43" s="387">
        <f t="shared" si="2"/>
        <v>62489</v>
      </c>
    </row>
    <row r="44" spans="2:5">
      <c r="B44" s="393">
        <v>44180</v>
      </c>
      <c r="C44" s="387">
        <v>59657</v>
      </c>
      <c r="D44" s="387">
        <v>2832</v>
      </c>
      <c r="E44" s="387">
        <f t="shared" si="2"/>
        <v>62489</v>
      </c>
    </row>
    <row r="45" spans="2:5">
      <c r="B45" s="393">
        <v>44211</v>
      </c>
      <c r="C45" s="387">
        <v>59708</v>
      </c>
      <c r="D45" s="387">
        <v>2780</v>
      </c>
      <c r="E45" s="387">
        <f t="shared" si="2"/>
        <v>62488</v>
      </c>
    </row>
    <row r="46" spans="2:5">
      <c r="B46" s="393">
        <v>44242</v>
      </c>
      <c r="C46" s="387">
        <v>59956</v>
      </c>
      <c r="D46" s="387">
        <v>2533</v>
      </c>
      <c r="E46" s="387">
        <f t="shared" si="2"/>
        <v>62489</v>
      </c>
    </row>
    <row r="47" spans="2:5">
      <c r="B47" s="393">
        <v>44271</v>
      </c>
      <c r="C47" s="387">
        <v>60352</v>
      </c>
      <c r="D47" s="387">
        <v>2137</v>
      </c>
      <c r="E47" s="387">
        <f t="shared" si="2"/>
        <v>62489</v>
      </c>
    </row>
    <row r="48" spans="2:5">
      <c r="B48" s="393">
        <v>44301</v>
      </c>
      <c r="C48" s="387">
        <v>60520</v>
      </c>
      <c r="D48" s="387">
        <v>1969</v>
      </c>
      <c r="E48" s="387">
        <f t="shared" si="2"/>
        <v>62489</v>
      </c>
    </row>
    <row r="49" spans="2:5">
      <c r="B49" s="393">
        <v>44333</v>
      </c>
      <c r="C49" s="387">
        <v>60648</v>
      </c>
      <c r="D49" s="387">
        <v>1841</v>
      </c>
      <c r="E49" s="387">
        <f t="shared" si="2"/>
        <v>62489</v>
      </c>
    </row>
    <row r="50" spans="2:5">
      <c r="B50" s="393">
        <v>44362</v>
      </c>
      <c r="C50" s="387">
        <v>61056</v>
      </c>
      <c r="D50" s="387">
        <v>1433</v>
      </c>
      <c r="E50" s="387">
        <f t="shared" si="2"/>
        <v>62489</v>
      </c>
    </row>
    <row r="51" spans="2:5">
      <c r="B51" s="393">
        <v>44392</v>
      </c>
      <c r="C51" s="387">
        <v>61251</v>
      </c>
      <c r="D51" s="387">
        <v>1238</v>
      </c>
      <c r="E51" s="387">
        <f t="shared" si="2"/>
        <v>62489</v>
      </c>
    </row>
    <row r="52" spans="2:5">
      <c r="B52" s="393">
        <v>44424</v>
      </c>
      <c r="C52" s="387">
        <v>61430</v>
      </c>
      <c r="D52" s="387">
        <v>1058</v>
      </c>
      <c r="E52" s="387">
        <f t="shared" si="2"/>
        <v>62488</v>
      </c>
    </row>
    <row r="53" spans="2:5">
      <c r="B53" s="393">
        <v>44454</v>
      </c>
      <c r="C53" s="387">
        <v>61743</v>
      </c>
      <c r="D53" s="387">
        <v>746</v>
      </c>
      <c r="E53" s="387">
        <f t="shared" si="2"/>
        <v>62489</v>
      </c>
    </row>
    <row r="54" spans="2:5">
      <c r="B54" s="393">
        <v>44484</v>
      </c>
      <c r="C54" s="387">
        <v>61991</v>
      </c>
      <c r="D54" s="387">
        <v>498</v>
      </c>
      <c r="E54" s="387">
        <f t="shared" si="2"/>
        <v>62489</v>
      </c>
    </row>
    <row r="55" spans="2:5">
      <c r="B55" s="393">
        <v>44515</v>
      </c>
      <c r="C55" s="387">
        <v>62231</v>
      </c>
      <c r="D55" s="387">
        <v>258</v>
      </c>
      <c r="E55" s="387">
        <f t="shared" si="2"/>
        <v>62489</v>
      </c>
    </row>
    <row r="56" spans="2:5" ht="30.75" customHeight="1">
      <c r="B56" s="394" t="s">
        <v>466</v>
      </c>
      <c r="C56" s="395">
        <f>SUM(C19:C55)</f>
        <v>2979003</v>
      </c>
      <c r="D56" s="395">
        <f>SUM(D19:D55)</f>
        <v>164297</v>
      </c>
      <c r="E56" s="395">
        <f>SUM(E19:E55)</f>
        <v>3143300</v>
      </c>
    </row>
    <row r="58" spans="2:5">
      <c r="C58" s="386"/>
    </row>
  </sheetData>
  <mergeCells count="5">
    <mergeCell ref="A16:F16"/>
    <mergeCell ref="A1:F1"/>
    <mergeCell ref="A4:F4"/>
    <mergeCell ref="A2:F3"/>
    <mergeCell ref="A7:F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14</vt:i4>
      </vt:variant>
    </vt:vector>
  </HeadingPairs>
  <TitlesOfParts>
    <vt:vector size="28" baseType="lpstr">
      <vt:lpstr>1.sz.mell.</vt:lpstr>
      <vt:lpstr>2.sz.mell.</vt:lpstr>
      <vt:lpstr>3.sz.mell.</vt:lpstr>
      <vt:lpstr>4.sz.mell.</vt:lpstr>
      <vt:lpstr>4a.sz.mell.</vt:lpstr>
      <vt:lpstr>5.sz.mell.</vt:lpstr>
      <vt:lpstr>6.sz.mell.</vt:lpstr>
      <vt:lpstr>7.sz.mell.</vt:lpstr>
      <vt:lpstr>8.sz.mell.</vt:lpstr>
      <vt:lpstr>9. sz.mell.</vt:lpstr>
      <vt:lpstr>10.sz.mell.</vt:lpstr>
      <vt:lpstr>11.sz.m.</vt:lpstr>
      <vt:lpstr>12.sz.mell</vt:lpstr>
      <vt:lpstr>Munka1</vt:lpstr>
      <vt:lpstr>'1.sz.mell.'!Nyomtatási_cím</vt:lpstr>
      <vt:lpstr>'2.sz.mell.'!Nyomtatási_cím</vt:lpstr>
      <vt:lpstr>'1.sz.mell.'!Nyomtatási_terület</vt:lpstr>
      <vt:lpstr>'10.sz.mell.'!Nyomtatási_terület</vt:lpstr>
      <vt:lpstr>'12.sz.mell'!Nyomtatási_terület</vt:lpstr>
      <vt:lpstr>'2.sz.mell.'!Nyomtatási_terület</vt:lpstr>
      <vt:lpstr>'3.sz.mell.'!Nyomtatási_terület</vt:lpstr>
      <vt:lpstr>'4.sz.mell.'!Nyomtatási_terület</vt:lpstr>
      <vt:lpstr>'4a.sz.mell.'!Nyomtatási_terület</vt:lpstr>
      <vt:lpstr>'5.sz.mell.'!Nyomtatási_terület</vt:lpstr>
      <vt:lpstr>'6.sz.mell.'!Nyomtatási_terület</vt:lpstr>
      <vt:lpstr>'7.sz.mell.'!Nyomtatási_terület</vt:lpstr>
      <vt:lpstr>'8.sz.mell.'!Nyomtatási_terület</vt:lpstr>
      <vt:lpstr>'9. 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2018-11-09T12:02:56Z</cp:lastPrinted>
  <dcterms:created xsi:type="dcterms:W3CDTF">2015-02-02T07:42:02Z</dcterms:created>
  <dcterms:modified xsi:type="dcterms:W3CDTF">2018-11-09T12:04:02Z</dcterms:modified>
</cp:coreProperties>
</file>