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K:\Hivatal\NJT\Sármellék\"/>
    </mc:Choice>
  </mc:AlternateContent>
  <xr:revisionPtr revIDLastSave="0" documentId="8_{AFEABEA2-B855-42C3-88F5-D61B71F72207}" xr6:coauthVersionLast="45" xr6:coauthVersionMax="45" xr10:uidLastSave="{00000000-0000-0000-0000-000000000000}"/>
  <bookViews>
    <workbookView xWindow="3510" yWindow="3510" windowWidth="21600" windowHeight="11385" tabRatio="775" activeTab="16" xr2:uid="{00000000-000D-0000-FFFF-FFFF00000000}"/>
  </bookViews>
  <sheets>
    <sheet name="1" sheetId="7" r:id="rId1"/>
    <sheet name="3" sheetId="42" r:id="rId2"/>
    <sheet name="15" sheetId="9" r:id="rId3"/>
    <sheet name="5" sheetId="12" r:id="rId4"/>
    <sheet name="6" sheetId="13" r:id="rId5"/>
    <sheet name="4" sheetId="30" r:id="rId6"/>
    <sheet name="7" sheetId="29" r:id="rId7"/>
    <sheet name="8" sheetId="28" r:id="rId8"/>
    <sheet name="9" sheetId="26" r:id="rId9"/>
    <sheet name="14" sheetId="49" r:id="rId10"/>
    <sheet name="13" sheetId="48" r:id="rId11"/>
    <sheet name="12" sheetId="47" r:id="rId12"/>
    <sheet name="11" sheetId="46" r:id="rId13"/>
    <sheet name="10" sheetId="25" r:id="rId14"/>
    <sheet name="2" sheetId="45" r:id="rId15"/>
    <sheet name="16" sheetId="22" r:id="rId16"/>
    <sheet name="17" sheetId="51" r:id="rId17"/>
  </sheets>
  <definedNames>
    <definedName name="_xlnm.Print_Titles" localSheetId="5">'4'!$1:$7</definedName>
    <definedName name="_xlnm.Print_Titles" localSheetId="3">'5'!$1:$8</definedName>
    <definedName name="_xlnm.Print_Titles" localSheetId="4">'6'!$3:$10</definedName>
    <definedName name="_xlnm.Print_Area" localSheetId="13">'10'!$A$1:$T$20</definedName>
    <definedName name="_xlnm.Print_Area" localSheetId="12">'11'!$A$1:$K$82</definedName>
    <definedName name="_xlnm.Print_Area" localSheetId="11">'12'!$A$1:$N$22</definedName>
    <definedName name="_xlnm.Print_Area" localSheetId="10">'13'!$A$1:$K$82</definedName>
    <definedName name="_xlnm.Print_Area" localSheetId="9">'14'!$A$1:$N$22</definedName>
    <definedName name="_xlnm.Print_Area" localSheetId="2">'15'!$A$1:$K$83</definedName>
    <definedName name="_xlnm.Print_Area" localSheetId="15">'16'!$A$1:$N$26</definedName>
    <definedName name="_xlnm.Print_Area" localSheetId="16">'17'!$A$1:$F$83</definedName>
    <definedName name="_xlnm.Print_Area" localSheetId="14">'2'!$A$1:$K$84</definedName>
    <definedName name="_xlnm.Print_Area" localSheetId="1">'3'!$A$1:$H$34</definedName>
    <definedName name="_xlnm.Print_Area" localSheetId="3">'5'!#REF!</definedName>
    <definedName name="_xlnm.Print_Area" localSheetId="4">'6'!$B$3:$AH$35</definedName>
    <definedName name="_xlnm.Print_Area" localSheetId="7">'8'!$A$1:$D$26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34" i="13" l="1"/>
  <c r="Z33" i="13"/>
  <c r="Z35" i="13" s="1"/>
  <c r="U33" i="13"/>
  <c r="Z31" i="13"/>
  <c r="Z32" i="13" s="1"/>
  <c r="Z23" i="13"/>
  <c r="U23" i="13"/>
  <c r="U31" i="13" s="1"/>
  <c r="U17" i="13"/>
  <c r="U14" i="13"/>
  <c r="U19" i="13" s="1"/>
  <c r="Z13" i="13"/>
  <c r="Z19" i="13" s="1"/>
  <c r="W19" i="12"/>
  <c r="V19" i="12"/>
  <c r="U16" i="12"/>
  <c r="U19" i="12" s="1"/>
  <c r="F100" i="30"/>
  <c r="F99" i="30"/>
  <c r="F98" i="30"/>
  <c r="F97" i="30"/>
  <c r="F96" i="30"/>
  <c r="F95" i="30"/>
  <c r="F94" i="30"/>
  <c r="F93" i="30"/>
  <c r="F92" i="30"/>
  <c r="F91" i="30"/>
  <c r="F90" i="30"/>
  <c r="F89" i="30"/>
  <c r="F88" i="30"/>
  <c r="F87" i="30"/>
  <c r="F86" i="30"/>
  <c r="F85" i="30"/>
  <c r="F84" i="30"/>
  <c r="F83" i="30"/>
  <c r="F82" i="30"/>
  <c r="F81" i="30"/>
  <c r="F80" i="30"/>
  <c r="F79" i="30"/>
  <c r="F78" i="30"/>
  <c r="F77" i="30"/>
  <c r="F76" i="30"/>
  <c r="F75" i="30"/>
  <c r="F74" i="30"/>
  <c r="F73" i="30"/>
  <c r="F72" i="30"/>
  <c r="F71" i="30"/>
  <c r="F70" i="30"/>
  <c r="F69" i="30"/>
  <c r="F68" i="30"/>
  <c r="F67" i="30"/>
  <c r="F66" i="30"/>
  <c r="F65" i="30"/>
  <c r="F64" i="30"/>
  <c r="F63" i="30"/>
  <c r="F62" i="30"/>
  <c r="F61" i="30"/>
  <c r="F60" i="30"/>
  <c r="F59" i="30"/>
  <c r="F58" i="30"/>
  <c r="F57" i="30"/>
  <c r="F56" i="30"/>
  <c r="F55" i="30"/>
  <c r="F54" i="30"/>
  <c r="F53" i="30"/>
  <c r="F52" i="30"/>
  <c r="F51" i="30"/>
  <c r="F50" i="30"/>
  <c r="F49" i="30"/>
  <c r="F48" i="30"/>
  <c r="F46" i="30"/>
  <c r="F45" i="30"/>
  <c r="F42" i="30"/>
  <c r="F41" i="30"/>
  <c r="F38" i="30"/>
  <c r="F36" i="30"/>
  <c r="F34" i="30"/>
  <c r="F33" i="30"/>
  <c r="F30" i="30"/>
  <c r="F29" i="30"/>
  <c r="F28" i="30"/>
  <c r="F27" i="30"/>
  <c r="F26" i="30"/>
  <c r="F25" i="30"/>
  <c r="F24" i="30"/>
  <c r="F23" i="30"/>
  <c r="F14" i="30" s="1"/>
  <c r="F12" i="30"/>
  <c r="F11" i="30"/>
  <c r="F10" i="30"/>
  <c r="U35" i="13" l="1"/>
  <c r="U32" i="13"/>
  <c r="D29" i="42" l="1"/>
  <c r="I68" i="45"/>
  <c r="I76" i="45"/>
  <c r="I25" i="45"/>
  <c r="I26" i="45" s="1"/>
  <c r="I24" i="45"/>
  <c r="I23" i="45"/>
  <c r="I19" i="45"/>
  <c r="H82" i="45"/>
  <c r="I81" i="45"/>
  <c r="I82" i="45" s="1"/>
  <c r="J80" i="45"/>
  <c r="J79" i="45"/>
  <c r="J78" i="45"/>
  <c r="J77" i="45"/>
  <c r="J82" i="45" s="1"/>
  <c r="H77" i="45"/>
  <c r="H76" i="45"/>
  <c r="J71" i="45"/>
  <c r="J70" i="45"/>
  <c r="H69" i="45"/>
  <c r="J69" i="45" s="1"/>
  <c r="I67" i="45"/>
  <c r="I75" i="45" s="1"/>
  <c r="J65" i="45"/>
  <c r="H65" i="45" s="1"/>
  <c r="I65" i="45"/>
  <c r="I64" i="45"/>
  <c r="J63" i="45"/>
  <c r="I63" i="45"/>
  <c r="H63" i="45" s="1"/>
  <c r="K58" i="45"/>
  <c r="J57" i="45"/>
  <c r="I57" i="45"/>
  <c r="J56" i="45"/>
  <c r="I56" i="45"/>
  <c r="H56" i="45" s="1"/>
  <c r="J55" i="45"/>
  <c r="J54" i="45" s="1"/>
  <c r="I55" i="45"/>
  <c r="I54" i="45" s="1"/>
  <c r="J53" i="45"/>
  <c r="I53" i="45"/>
  <c r="J52" i="45"/>
  <c r="I52" i="45"/>
  <c r="J51" i="45"/>
  <c r="I51" i="45"/>
  <c r="H51" i="45"/>
  <c r="J50" i="45"/>
  <c r="I50" i="45"/>
  <c r="H50" i="45" s="1"/>
  <c r="J49" i="45"/>
  <c r="I49" i="45"/>
  <c r="H49" i="45"/>
  <c r="J48" i="45"/>
  <c r="K47" i="45"/>
  <c r="K61" i="45" s="1"/>
  <c r="K84" i="45" s="1"/>
  <c r="J46" i="45"/>
  <c r="I46" i="45"/>
  <c r="J45" i="45"/>
  <c r="H45" i="45" s="1"/>
  <c r="I45" i="45"/>
  <c r="J44" i="45"/>
  <c r="H44" i="45" s="1"/>
  <c r="I44" i="45"/>
  <c r="J43" i="45"/>
  <c r="I43" i="45"/>
  <c r="H43" i="45"/>
  <c r="J41" i="45"/>
  <c r="I41" i="45"/>
  <c r="J40" i="45"/>
  <c r="I40" i="45"/>
  <c r="H40" i="45" s="1"/>
  <c r="J39" i="45"/>
  <c r="J38" i="45" s="1"/>
  <c r="I39" i="45"/>
  <c r="H39" i="45" s="1"/>
  <c r="J37" i="45"/>
  <c r="H37" i="45" s="1"/>
  <c r="I37" i="45"/>
  <c r="J36" i="45"/>
  <c r="I36" i="45"/>
  <c r="J35" i="45"/>
  <c r="J34" i="45" s="1"/>
  <c r="I35" i="45"/>
  <c r="I34" i="45" s="1"/>
  <c r="J33" i="45"/>
  <c r="I33" i="45"/>
  <c r="K30" i="45"/>
  <c r="K83" i="45" s="1"/>
  <c r="J29" i="45"/>
  <c r="J28" i="45"/>
  <c r="J25" i="45"/>
  <c r="J24" i="45"/>
  <c r="J23" i="45"/>
  <c r="J21" i="45"/>
  <c r="I21" i="45"/>
  <c r="H21" i="45" s="1"/>
  <c r="I20" i="45"/>
  <c r="H20" i="45" s="1"/>
  <c r="J19" i="45"/>
  <c r="J18" i="45"/>
  <c r="I18" i="45"/>
  <c r="H18" i="45" s="1"/>
  <c r="J17" i="45"/>
  <c r="H17" i="45" s="1"/>
  <c r="I17" i="45"/>
  <c r="J16" i="45"/>
  <c r="I16" i="45"/>
  <c r="H16" i="45" s="1"/>
  <c r="J15" i="45"/>
  <c r="J14" i="45" s="1"/>
  <c r="I15" i="45"/>
  <c r="H15" i="45" s="1"/>
  <c r="J13" i="45"/>
  <c r="I13" i="45"/>
  <c r="J12" i="45"/>
  <c r="I12" i="45"/>
  <c r="H12" i="45" s="1"/>
  <c r="J11" i="45"/>
  <c r="I11" i="45"/>
  <c r="H11" i="45" s="1"/>
  <c r="J10" i="45"/>
  <c r="I10" i="45"/>
  <c r="H10" i="45"/>
  <c r="H48" i="45" l="1"/>
  <c r="J22" i="45"/>
  <c r="J30" i="45" s="1"/>
  <c r="H34" i="45"/>
  <c r="H41" i="45"/>
  <c r="J58" i="45"/>
  <c r="H24" i="45"/>
  <c r="H13" i="45"/>
  <c r="H33" i="45"/>
  <c r="H36" i="45"/>
  <c r="I42" i="45"/>
  <c r="I48" i="45"/>
  <c r="I58" i="45" s="1"/>
  <c r="H19" i="45"/>
  <c r="J26" i="45"/>
  <c r="H35" i="45"/>
  <c r="I38" i="45"/>
  <c r="H38" i="45" s="1"/>
  <c r="J42" i="45"/>
  <c r="J47" i="45" s="1"/>
  <c r="J61" i="45" s="1"/>
  <c r="K86" i="45"/>
  <c r="H55" i="45"/>
  <c r="H54" i="45"/>
  <c r="H58" i="45" s="1"/>
  <c r="H47" i="45"/>
  <c r="H42" i="45"/>
  <c r="H25" i="45"/>
  <c r="I14" i="45"/>
  <c r="H14" i="45" s="1"/>
  <c r="H22" i="45" s="1"/>
  <c r="J83" i="45"/>
  <c r="J64" i="45"/>
  <c r="J67" i="45" s="1"/>
  <c r="H23" i="45"/>
  <c r="K62" i="45"/>
  <c r="N25" i="22"/>
  <c r="O25" i="22"/>
  <c r="O14" i="22"/>
  <c r="O10" i="22"/>
  <c r="B10" i="22" s="1"/>
  <c r="I26" i="9"/>
  <c r="J14" i="9"/>
  <c r="I74" i="9"/>
  <c r="H80" i="9"/>
  <c r="J79" i="9"/>
  <c r="J78" i="9"/>
  <c r="J77" i="9" s="1"/>
  <c r="J81" i="9" s="1"/>
  <c r="H76" i="9"/>
  <c r="J71" i="9"/>
  <c r="J70" i="9"/>
  <c r="H69" i="9"/>
  <c r="J69" i="9" s="1"/>
  <c r="I67" i="9"/>
  <c r="I75" i="9" s="1"/>
  <c r="H65" i="9"/>
  <c r="J64" i="9"/>
  <c r="J67" i="9" s="1"/>
  <c r="H64" i="9"/>
  <c r="D28" i="42" s="1"/>
  <c r="H55" i="9"/>
  <c r="H54" i="9" s="1"/>
  <c r="I54" i="9"/>
  <c r="I51" i="9"/>
  <c r="H51" i="9"/>
  <c r="H50" i="9"/>
  <c r="H49" i="9"/>
  <c r="I48" i="9"/>
  <c r="H45" i="9"/>
  <c r="H43" i="9"/>
  <c r="H42" i="9" s="1"/>
  <c r="I42" i="9"/>
  <c r="H41" i="9"/>
  <c r="H40" i="9"/>
  <c r="H39" i="9"/>
  <c r="I38" i="9"/>
  <c r="H38" i="9" s="1"/>
  <c r="H37" i="9"/>
  <c r="H36" i="9"/>
  <c r="H35" i="9"/>
  <c r="I34" i="9"/>
  <c r="H34" i="9"/>
  <c r="D11" i="42" s="1"/>
  <c r="H33" i="9"/>
  <c r="D10" i="42" s="1"/>
  <c r="K30" i="9"/>
  <c r="K82" i="9" s="1"/>
  <c r="J29" i="9"/>
  <c r="J28" i="9"/>
  <c r="J26" i="9"/>
  <c r="H25" i="9"/>
  <c r="H24" i="42" s="1"/>
  <c r="H24" i="9"/>
  <c r="H23" i="42" s="1"/>
  <c r="H23" i="9"/>
  <c r="H22" i="42" s="1"/>
  <c r="J22" i="9"/>
  <c r="H21" i="9"/>
  <c r="H19" i="42" s="1"/>
  <c r="H20" i="9"/>
  <c r="H19" i="9"/>
  <c r="H16" i="42" s="1"/>
  <c r="H18" i="9"/>
  <c r="H18" i="42" s="1"/>
  <c r="H17" i="9"/>
  <c r="H16" i="9"/>
  <c r="H15" i="42" s="1"/>
  <c r="H15" i="9"/>
  <c r="I14" i="9"/>
  <c r="I22" i="9" s="1"/>
  <c r="I30" i="9" s="1"/>
  <c r="H13" i="9"/>
  <c r="H12" i="9"/>
  <c r="H12" i="42" s="1"/>
  <c r="H11" i="9"/>
  <c r="H11" i="42" s="1"/>
  <c r="H10" i="9"/>
  <c r="H10" i="42" s="1"/>
  <c r="F48" i="9"/>
  <c r="M12" i="47"/>
  <c r="D11" i="47"/>
  <c r="E11" i="47"/>
  <c r="F11" i="47"/>
  <c r="G11" i="47"/>
  <c r="H11" i="47"/>
  <c r="I11" i="47"/>
  <c r="J11" i="47"/>
  <c r="K11" i="47"/>
  <c r="L11" i="47"/>
  <c r="M11" i="47"/>
  <c r="F131" i="30"/>
  <c r="F122" i="30"/>
  <c r="F116" i="30"/>
  <c r="F115" i="30"/>
  <c r="F114" i="30"/>
  <c r="F126" i="30"/>
  <c r="F130" i="30"/>
  <c r="F113" i="30"/>
  <c r="F110" i="30"/>
  <c r="F112" i="30"/>
  <c r="F121" i="30"/>
  <c r="F129" i="30"/>
  <c r="F103" i="30"/>
  <c r="F134" i="30"/>
  <c r="D12" i="42" l="1"/>
  <c r="O21" i="22"/>
  <c r="B21" i="22" s="1"/>
  <c r="D13" i="42"/>
  <c r="O22" i="22"/>
  <c r="B22" i="22" s="1"/>
  <c r="O7" i="22"/>
  <c r="B7" i="22" s="1"/>
  <c r="O11" i="22"/>
  <c r="B11" i="22" s="1"/>
  <c r="H61" i="45"/>
  <c r="F117" i="30"/>
  <c r="F109" i="30" s="1"/>
  <c r="O20" i="22"/>
  <c r="B20" i="22" s="1"/>
  <c r="F133" i="30"/>
  <c r="O9" i="22"/>
  <c r="B9" i="22" s="1"/>
  <c r="O12" i="22"/>
  <c r="H48" i="9"/>
  <c r="O8" i="22"/>
  <c r="B8" i="22" s="1"/>
  <c r="O19" i="22"/>
  <c r="O24" i="22"/>
  <c r="B24" i="22" s="1"/>
  <c r="I47" i="45"/>
  <c r="I61" i="45" s="1"/>
  <c r="I84" i="45" s="1"/>
  <c r="H26" i="45"/>
  <c r="H30" i="45" s="1"/>
  <c r="H83" i="45" s="1"/>
  <c r="I22" i="45"/>
  <c r="I30" i="45" s="1"/>
  <c r="I62" i="45" s="1"/>
  <c r="H67" i="45"/>
  <c r="H64" i="45"/>
  <c r="J62" i="45"/>
  <c r="H26" i="9"/>
  <c r="O13" i="22" s="1"/>
  <c r="B13" i="22" s="1"/>
  <c r="J30" i="9"/>
  <c r="J82" i="9" s="1"/>
  <c r="H14" i="9"/>
  <c r="H22" i="9" s="1"/>
  <c r="H81" i="9"/>
  <c r="H58" i="9"/>
  <c r="I58" i="9"/>
  <c r="I47" i="9"/>
  <c r="I61" i="9" s="1"/>
  <c r="I83" i="9" s="1"/>
  <c r="H47" i="9"/>
  <c r="K83" i="9"/>
  <c r="H67" i="9"/>
  <c r="H74" i="9"/>
  <c r="J75" i="9" s="1"/>
  <c r="I81" i="9"/>
  <c r="I82" i="9" s="1"/>
  <c r="K82" i="46"/>
  <c r="J82" i="46"/>
  <c r="K81" i="46"/>
  <c r="J81" i="46"/>
  <c r="I80" i="46"/>
  <c r="H76" i="46"/>
  <c r="H80" i="46" s="1"/>
  <c r="H68" i="46"/>
  <c r="H73" i="46" s="1"/>
  <c r="I66" i="46"/>
  <c r="I74" i="46" s="1"/>
  <c r="H63" i="46"/>
  <c r="H62" i="46"/>
  <c r="O19" i="47" s="1"/>
  <c r="B19" i="47" s="1"/>
  <c r="I53" i="46"/>
  <c r="H53" i="46"/>
  <c r="I50" i="46"/>
  <c r="H50" i="46"/>
  <c r="H57" i="46" s="1"/>
  <c r="I47" i="46"/>
  <c r="I57" i="46" s="1"/>
  <c r="H47" i="46"/>
  <c r="H42" i="46"/>
  <c r="I41" i="46"/>
  <c r="H41" i="46"/>
  <c r="H37" i="46"/>
  <c r="I33" i="46"/>
  <c r="H33" i="46"/>
  <c r="H32" i="46"/>
  <c r="O16" i="47" s="1"/>
  <c r="H22" i="46"/>
  <c r="I21" i="46"/>
  <c r="I29" i="46" s="1"/>
  <c r="H14" i="46"/>
  <c r="H12" i="46"/>
  <c r="O9" i="47" s="1"/>
  <c r="B9" i="47" s="1"/>
  <c r="H11" i="46"/>
  <c r="O8" i="47" s="1"/>
  <c r="B8" i="47" s="1"/>
  <c r="H10" i="46"/>
  <c r="H61" i="9" l="1"/>
  <c r="H31" i="42"/>
  <c r="O16" i="22"/>
  <c r="B16" i="22" s="1"/>
  <c r="O26" i="22"/>
  <c r="B19" i="22"/>
  <c r="D22" i="42"/>
  <c r="O23" i="22"/>
  <c r="B23" i="22" s="1"/>
  <c r="I46" i="46"/>
  <c r="I60" i="46" s="1"/>
  <c r="I61" i="46" s="1"/>
  <c r="H66" i="46"/>
  <c r="O21" i="47"/>
  <c r="O22" i="47"/>
  <c r="H21" i="46"/>
  <c r="H29" i="46" s="1"/>
  <c r="O7" i="47"/>
  <c r="H25" i="46"/>
  <c r="O12" i="47"/>
  <c r="B12" i="47" s="1"/>
  <c r="H46" i="46"/>
  <c r="H60" i="46" s="1"/>
  <c r="H82" i="46" s="1"/>
  <c r="I83" i="45"/>
  <c r="I86" i="45" s="1"/>
  <c r="H62" i="45"/>
  <c r="H30" i="9"/>
  <c r="H62" i="9" s="1"/>
  <c r="J61" i="9"/>
  <c r="J83" i="9" s="1"/>
  <c r="I62" i="9"/>
  <c r="H75" i="9"/>
  <c r="H83" i="9" s="1"/>
  <c r="H74" i="46"/>
  <c r="I81" i="46"/>
  <c r="I82" i="46"/>
  <c r="H82" i="9" l="1"/>
  <c r="B7" i="47"/>
  <c r="O14" i="47"/>
  <c r="J62" i="9"/>
  <c r="H81" i="46"/>
  <c r="H61" i="46"/>
  <c r="E133" i="30" l="1"/>
  <c r="E117" i="30"/>
  <c r="E109" i="30" l="1"/>
  <c r="B21" i="49"/>
  <c r="O18" i="49"/>
  <c r="B18" i="49" s="1"/>
  <c r="O16" i="49"/>
  <c r="I74" i="48"/>
  <c r="H74" i="48" s="1"/>
  <c r="H63" i="48"/>
  <c r="H64" i="48"/>
  <c r="H22" i="48"/>
  <c r="H25" i="48" s="1"/>
  <c r="O12" i="49" s="1"/>
  <c r="K82" i="48"/>
  <c r="J82" i="48"/>
  <c r="I80" i="48"/>
  <c r="H76" i="48"/>
  <c r="H80" i="48" s="1"/>
  <c r="H68" i="48"/>
  <c r="H73" i="48" s="1"/>
  <c r="I53" i="48"/>
  <c r="H53" i="48"/>
  <c r="I50" i="48"/>
  <c r="I57" i="48" s="1"/>
  <c r="H50" i="48"/>
  <c r="I47" i="48"/>
  <c r="H47" i="48"/>
  <c r="H57" i="48" s="1"/>
  <c r="I41" i="48"/>
  <c r="I46" i="48" s="1"/>
  <c r="I60" i="48" s="1"/>
  <c r="I82" i="48" s="1"/>
  <c r="H41" i="48"/>
  <c r="O17" i="49" s="1"/>
  <c r="O22" i="49" s="1"/>
  <c r="H37" i="48"/>
  <c r="I33" i="48"/>
  <c r="H33" i="48"/>
  <c r="K29" i="48"/>
  <c r="K81" i="48" s="1"/>
  <c r="J29" i="48"/>
  <c r="J81" i="48" s="1"/>
  <c r="I21" i="48"/>
  <c r="I29" i="48" s="1"/>
  <c r="H14" i="48"/>
  <c r="H12" i="48"/>
  <c r="O9" i="49" s="1"/>
  <c r="B9" i="49" s="1"/>
  <c r="H11" i="48"/>
  <c r="O8" i="49" s="1"/>
  <c r="B8" i="49" s="1"/>
  <c r="H10" i="48"/>
  <c r="O7" i="49" s="1"/>
  <c r="D11" i="48"/>
  <c r="D12" i="48"/>
  <c r="D10" i="48"/>
  <c r="B7" i="49" l="1"/>
  <c r="O14" i="49"/>
  <c r="H46" i="48"/>
  <c r="H21" i="48"/>
  <c r="H29" i="48" s="1"/>
  <c r="H81" i="48" s="1"/>
  <c r="I81" i="48"/>
  <c r="I61" i="48"/>
  <c r="H60" i="48"/>
  <c r="H82" i="48" s="1"/>
  <c r="H61" i="48" l="1"/>
  <c r="D48" i="51" l="1"/>
  <c r="F40" i="51"/>
  <c r="E40" i="51" s="1"/>
  <c r="E38" i="51" s="1"/>
  <c r="F38" i="51"/>
  <c r="D34" i="51"/>
  <c r="F34" i="51"/>
  <c r="E34" i="51"/>
  <c r="E42" i="51"/>
  <c r="F42" i="51"/>
  <c r="F46" i="51"/>
  <c r="D54" i="51"/>
  <c r="E54" i="51"/>
  <c r="F54" i="51"/>
  <c r="E14" i="51"/>
  <c r="E22" i="51" s="1"/>
  <c r="F14" i="51"/>
  <c r="F22" i="51"/>
  <c r="E26" i="51"/>
  <c r="F26" i="51"/>
  <c r="D26" i="51"/>
  <c r="D14" i="51"/>
  <c r="D22" i="51" s="1"/>
  <c r="F79" i="51"/>
  <c r="F78" i="51"/>
  <c r="E77" i="51"/>
  <c r="F71" i="51"/>
  <c r="F70" i="51"/>
  <c r="D69" i="51"/>
  <c r="D74" i="51" s="1"/>
  <c r="F74" i="51" s="1"/>
  <c r="F68" i="51"/>
  <c r="F64" i="51"/>
  <c r="F57" i="51"/>
  <c r="F56" i="51"/>
  <c r="F53" i="51"/>
  <c r="F52" i="51"/>
  <c r="E51" i="51"/>
  <c r="E48" i="51" s="1"/>
  <c r="D51" i="51"/>
  <c r="F51" i="51" s="1"/>
  <c r="F48" i="51" s="1"/>
  <c r="F25" i="45"/>
  <c r="F23" i="45"/>
  <c r="E23" i="45"/>
  <c r="F69" i="51" l="1"/>
  <c r="F77" i="51"/>
  <c r="F81" i="51" s="1"/>
  <c r="E30" i="51"/>
  <c r="F30" i="51"/>
  <c r="F47" i="51"/>
  <c r="D40" i="51"/>
  <c r="D38" i="51" s="1"/>
  <c r="E47" i="51"/>
  <c r="D58" i="51"/>
  <c r="E58" i="51"/>
  <c r="D30" i="51"/>
  <c r="F82" i="51"/>
  <c r="F58" i="51"/>
  <c r="F75" i="51"/>
  <c r="D42" i="51"/>
  <c r="E64" i="51"/>
  <c r="E81" i="51"/>
  <c r="E14" i="30"/>
  <c r="E82" i="51" l="1"/>
  <c r="D77" i="51"/>
  <c r="D81" i="51" s="1"/>
  <c r="E61" i="51"/>
  <c r="D82" i="51"/>
  <c r="D47" i="51"/>
  <c r="D61" i="51" s="1"/>
  <c r="F61" i="51"/>
  <c r="F83" i="51" s="1"/>
  <c r="D75" i="51"/>
  <c r="E75" i="51"/>
  <c r="C11" i="47"/>
  <c r="E62" i="51" l="1"/>
  <c r="E83" i="51"/>
  <c r="D62" i="51"/>
  <c r="D83" i="51"/>
  <c r="D85" i="51" s="1"/>
  <c r="E85" i="51"/>
  <c r="F62" i="51"/>
  <c r="F85" i="51"/>
  <c r="N12" i="22" l="1"/>
  <c r="E81" i="45" l="1"/>
  <c r="E82" i="45" s="1"/>
  <c r="N16" i="47"/>
  <c r="N12" i="47"/>
  <c r="Q8" i="25" l="1"/>
  <c r="E9" i="30" l="1"/>
  <c r="E139" i="30" s="1"/>
  <c r="E77" i="9"/>
  <c r="E81" i="9"/>
  <c r="L14" i="47" l="1"/>
  <c r="C14" i="47"/>
  <c r="D14" i="47"/>
  <c r="E14" i="47"/>
  <c r="F14" i="47"/>
  <c r="G14" i="47"/>
  <c r="H14" i="47"/>
  <c r="J14" i="47"/>
  <c r="D76" i="9"/>
  <c r="F63" i="45"/>
  <c r="F12" i="45"/>
  <c r="F26" i="9"/>
  <c r="D15" i="9"/>
  <c r="M17" i="22"/>
  <c r="N21" i="22"/>
  <c r="M26" i="22"/>
  <c r="D19" i="9"/>
  <c r="D10" i="9"/>
  <c r="D55" i="9"/>
  <c r="D54" i="9" s="1"/>
  <c r="D24" i="42" s="1"/>
  <c r="D12" i="9"/>
  <c r="G20" i="26"/>
  <c r="F20" i="26"/>
  <c r="I20" i="26" s="1"/>
  <c r="D20" i="9"/>
  <c r="D11" i="9"/>
  <c r="F24" i="45"/>
  <c r="E33" i="45"/>
  <c r="J26" i="22"/>
  <c r="J17" i="22"/>
  <c r="L17" i="22"/>
  <c r="C17" i="22"/>
  <c r="D17" i="22"/>
  <c r="E17" i="22"/>
  <c r="F17" i="22"/>
  <c r="G17" i="22"/>
  <c r="H17" i="22"/>
  <c r="I17" i="22"/>
  <c r="K17" i="22"/>
  <c r="B17" i="22"/>
  <c r="N16" i="22"/>
  <c r="N7" i="22"/>
  <c r="N8" i="22"/>
  <c r="N9" i="22"/>
  <c r="N10" i="22"/>
  <c r="N11" i="22"/>
  <c r="N13" i="22"/>
  <c r="N15" i="22"/>
  <c r="B43" i="29"/>
  <c r="C43" i="29"/>
  <c r="D43" i="29"/>
  <c r="E42" i="29"/>
  <c r="B36" i="29"/>
  <c r="C36" i="29"/>
  <c r="D36" i="29"/>
  <c r="E35" i="29"/>
  <c r="E34" i="29"/>
  <c r="E33" i="29"/>
  <c r="E32" i="29"/>
  <c r="E31" i="29"/>
  <c r="E30" i="29"/>
  <c r="D16" i="28"/>
  <c r="C16" i="28"/>
  <c r="C26" i="28" s="1"/>
  <c r="E49" i="45"/>
  <c r="F21" i="45"/>
  <c r="D49" i="9"/>
  <c r="E20" i="45"/>
  <c r="D20" i="45" s="1"/>
  <c r="E63" i="45"/>
  <c r="Q9" i="25"/>
  <c r="Q14" i="25" s="1"/>
  <c r="J14" i="25"/>
  <c r="E34" i="9"/>
  <c r="E36" i="45"/>
  <c r="E37" i="45"/>
  <c r="E39" i="45"/>
  <c r="E40" i="45"/>
  <c r="E41" i="45"/>
  <c r="E43" i="45"/>
  <c r="E44" i="45"/>
  <c r="E45" i="45"/>
  <c r="E46" i="45"/>
  <c r="E50" i="45"/>
  <c r="E52" i="45"/>
  <c r="E53" i="45"/>
  <c r="E55" i="45"/>
  <c r="E56" i="45"/>
  <c r="E57" i="45"/>
  <c r="E65" i="45"/>
  <c r="E67" i="45" s="1"/>
  <c r="F33" i="45"/>
  <c r="F35" i="45"/>
  <c r="F36" i="45"/>
  <c r="F37" i="45"/>
  <c r="F39" i="45"/>
  <c r="F41" i="45"/>
  <c r="F43" i="45"/>
  <c r="F44" i="45"/>
  <c r="F45" i="45"/>
  <c r="F46" i="9"/>
  <c r="F42" i="9" s="1"/>
  <c r="F50" i="45"/>
  <c r="D51" i="45"/>
  <c r="F51" i="45"/>
  <c r="F55" i="45"/>
  <c r="F56" i="9"/>
  <c r="F57" i="9"/>
  <c r="F57" i="45" s="1"/>
  <c r="F65" i="45"/>
  <c r="D69" i="45"/>
  <c r="F69" i="45"/>
  <c r="D74" i="45"/>
  <c r="F74" i="45" s="1"/>
  <c r="F53" i="9"/>
  <c r="F53" i="45" s="1"/>
  <c r="F52" i="9"/>
  <c r="F19" i="45"/>
  <c r="D19" i="45" s="1"/>
  <c r="F18" i="45"/>
  <c r="F17" i="45"/>
  <c r="F16" i="45"/>
  <c r="F13" i="45"/>
  <c r="E18" i="45"/>
  <c r="E17" i="45"/>
  <c r="E16" i="45"/>
  <c r="D16" i="45" s="1"/>
  <c r="E15" i="45"/>
  <c r="E13" i="45"/>
  <c r="D13" i="45" s="1"/>
  <c r="E11" i="45"/>
  <c r="F11" i="45"/>
  <c r="D11" i="45" s="1"/>
  <c r="F10" i="45"/>
  <c r="E10" i="45"/>
  <c r="G47" i="45"/>
  <c r="G61" i="45"/>
  <c r="G62" i="45" s="1"/>
  <c r="G58" i="45"/>
  <c r="G30" i="45"/>
  <c r="G83" i="45"/>
  <c r="F28" i="45"/>
  <c r="F29" i="45"/>
  <c r="D77" i="45"/>
  <c r="F77" i="45"/>
  <c r="F82" i="45" s="1"/>
  <c r="D76" i="45"/>
  <c r="F80" i="45"/>
  <c r="F79" i="45"/>
  <c r="F78" i="45"/>
  <c r="F71" i="45"/>
  <c r="F70" i="45"/>
  <c r="F68" i="45"/>
  <c r="N16" i="49"/>
  <c r="N17" i="49"/>
  <c r="B20" i="49"/>
  <c r="C22" i="49"/>
  <c r="D22" i="49"/>
  <c r="E22" i="49"/>
  <c r="F22" i="49"/>
  <c r="G22" i="49"/>
  <c r="H22" i="49"/>
  <c r="I22" i="49"/>
  <c r="J22" i="49"/>
  <c r="K22" i="49"/>
  <c r="L22" i="49"/>
  <c r="M22" i="49"/>
  <c r="N21" i="49"/>
  <c r="N20" i="49"/>
  <c r="N19" i="49"/>
  <c r="N18" i="49"/>
  <c r="N7" i="49"/>
  <c r="N8" i="49"/>
  <c r="N9" i="49"/>
  <c r="B10" i="49"/>
  <c r="B11" i="49"/>
  <c r="N11" i="49" s="1"/>
  <c r="N12" i="49"/>
  <c r="L14" i="49"/>
  <c r="K14" i="49"/>
  <c r="J14" i="49"/>
  <c r="I14" i="49"/>
  <c r="H14" i="49"/>
  <c r="G14" i="49"/>
  <c r="F14" i="49"/>
  <c r="E14" i="49"/>
  <c r="D14" i="49"/>
  <c r="C14" i="49"/>
  <c r="B17" i="47"/>
  <c r="B18" i="47"/>
  <c r="N18" i="47" s="1"/>
  <c r="B20" i="47"/>
  <c r="N20" i="47" s="1"/>
  <c r="C22" i="47"/>
  <c r="D22" i="47"/>
  <c r="E22" i="47"/>
  <c r="F22" i="47"/>
  <c r="G22" i="47"/>
  <c r="H22" i="47"/>
  <c r="I22" i="47"/>
  <c r="J22" i="47"/>
  <c r="K22" i="47"/>
  <c r="L22" i="47"/>
  <c r="M22" i="47"/>
  <c r="N21" i="47"/>
  <c r="N19" i="47"/>
  <c r="N7" i="47"/>
  <c r="N8" i="47"/>
  <c r="N10" i="47"/>
  <c r="B11" i="47"/>
  <c r="B14" i="47" s="1"/>
  <c r="N11" i="47"/>
  <c r="M14" i="47"/>
  <c r="K14" i="47"/>
  <c r="I14" i="47"/>
  <c r="G29" i="48"/>
  <c r="G81" i="48"/>
  <c r="D76" i="48"/>
  <c r="D80" i="48" s="1"/>
  <c r="E80" i="48"/>
  <c r="D50" i="48"/>
  <c r="D68" i="48"/>
  <c r="D73" i="48" s="1"/>
  <c r="E33" i="48"/>
  <c r="E41" i="48"/>
  <c r="E46" i="48" s="1"/>
  <c r="E47" i="48"/>
  <c r="E50" i="48"/>
  <c r="E53" i="48"/>
  <c r="E57" i="48"/>
  <c r="E21" i="48"/>
  <c r="E29" i="48" s="1"/>
  <c r="E81" i="48" s="1"/>
  <c r="D33" i="48"/>
  <c r="D46" i="48" s="1"/>
  <c r="D37" i="48"/>
  <c r="D41" i="48"/>
  <c r="D47" i="48"/>
  <c r="D53" i="48"/>
  <c r="D14" i="48"/>
  <c r="D21" i="48" s="1"/>
  <c r="D29" i="48" s="1"/>
  <c r="D25" i="48"/>
  <c r="G81" i="46"/>
  <c r="D50" i="46"/>
  <c r="D68" i="46"/>
  <c r="D73" i="46" s="1"/>
  <c r="D76" i="46"/>
  <c r="D80" i="46"/>
  <c r="E80" i="46"/>
  <c r="E33" i="46"/>
  <c r="E41" i="46"/>
  <c r="E47" i="46"/>
  <c r="E57" i="46" s="1"/>
  <c r="E50" i="46"/>
  <c r="E53" i="46"/>
  <c r="E66" i="46"/>
  <c r="E74" i="46"/>
  <c r="D32" i="46"/>
  <c r="D33" i="46"/>
  <c r="D37" i="46"/>
  <c r="D47" i="46"/>
  <c r="D57" i="46" s="1"/>
  <c r="D53" i="46"/>
  <c r="D63" i="46"/>
  <c r="D66" i="46" s="1"/>
  <c r="D10" i="46"/>
  <c r="D11" i="46"/>
  <c r="D14" i="46"/>
  <c r="D22" i="46"/>
  <c r="D25" i="46" s="1"/>
  <c r="D42" i="46"/>
  <c r="C14" i="25"/>
  <c r="C20" i="25" s="1"/>
  <c r="D13" i="9"/>
  <c r="E14" i="9"/>
  <c r="F64" i="9"/>
  <c r="D64" i="9" s="1"/>
  <c r="D50" i="9"/>
  <c r="D51" i="9"/>
  <c r="F51" i="9" s="1"/>
  <c r="D65" i="9"/>
  <c r="E67" i="9"/>
  <c r="E75" i="9" s="1"/>
  <c r="D23" i="9"/>
  <c r="E38" i="9"/>
  <c r="F38" i="9"/>
  <c r="D33" i="9"/>
  <c r="F34" i="9"/>
  <c r="F47" i="9"/>
  <c r="D43" i="9"/>
  <c r="D16" i="9"/>
  <c r="D17" i="9"/>
  <c r="H17" i="42" s="1"/>
  <c r="D18" i="9"/>
  <c r="D69" i="9"/>
  <c r="D74" i="9" s="1"/>
  <c r="D24" i="9"/>
  <c r="D25" i="9"/>
  <c r="D36" i="9"/>
  <c r="D37" i="9"/>
  <c r="D39" i="9"/>
  <c r="D41" i="9"/>
  <c r="C26" i="22"/>
  <c r="D26" i="22"/>
  <c r="E26" i="22"/>
  <c r="F26" i="22"/>
  <c r="G26" i="22"/>
  <c r="H26" i="22"/>
  <c r="I26" i="22"/>
  <c r="B26" i="22"/>
  <c r="K26" i="22"/>
  <c r="L26" i="22"/>
  <c r="N24" i="22"/>
  <c r="N20" i="22"/>
  <c r="F28" i="9"/>
  <c r="F29" i="9"/>
  <c r="F74" i="9"/>
  <c r="E42" i="9"/>
  <c r="E48" i="9"/>
  <c r="E58" i="9" s="1"/>
  <c r="E51" i="9"/>
  <c r="E54" i="9"/>
  <c r="G30" i="9"/>
  <c r="G47" i="9"/>
  <c r="G58" i="9"/>
  <c r="F68" i="9"/>
  <c r="F69" i="9"/>
  <c r="F70" i="9"/>
  <c r="F71" i="9"/>
  <c r="F78" i="9"/>
  <c r="F79" i="9"/>
  <c r="N19" i="22"/>
  <c r="N26" i="22" s="1"/>
  <c r="N22" i="22"/>
  <c r="N23" i="22"/>
  <c r="Q53" i="22"/>
  <c r="D9" i="26"/>
  <c r="D21" i="26" s="1"/>
  <c r="I10" i="26"/>
  <c r="I11" i="26"/>
  <c r="D12" i="26"/>
  <c r="E12" i="26"/>
  <c r="F12" i="26"/>
  <c r="G12" i="26"/>
  <c r="H12" i="26"/>
  <c r="I13" i="26"/>
  <c r="I14" i="26"/>
  <c r="D15" i="26"/>
  <c r="H15" i="26"/>
  <c r="I15" i="26"/>
  <c r="I16" i="26"/>
  <c r="D17" i="26"/>
  <c r="E17" i="26"/>
  <c r="F17" i="26"/>
  <c r="G17" i="26"/>
  <c r="H17" i="26"/>
  <c r="I18" i="26"/>
  <c r="D19" i="26"/>
  <c r="E19" i="26"/>
  <c r="G19" i="26"/>
  <c r="E21" i="26"/>
  <c r="D26" i="28"/>
  <c r="E11" i="29"/>
  <c r="E12" i="29"/>
  <c r="E13" i="29"/>
  <c r="E14" i="29"/>
  <c r="E15" i="29"/>
  <c r="E16" i="29"/>
  <c r="B17" i="29"/>
  <c r="C17" i="29"/>
  <c r="D17" i="29"/>
  <c r="E23" i="29"/>
  <c r="B24" i="29"/>
  <c r="C24" i="29"/>
  <c r="D24" i="29"/>
  <c r="F13" i="30"/>
  <c r="F9" i="30" s="1"/>
  <c r="F139" i="30" s="1"/>
  <c r="B139" i="30"/>
  <c r="D139" i="30"/>
  <c r="D40" i="9"/>
  <c r="D45" i="9"/>
  <c r="D35" i="9"/>
  <c r="F64" i="45"/>
  <c r="F67" i="45" s="1"/>
  <c r="N14" i="22"/>
  <c r="F40" i="45"/>
  <c r="F15" i="45"/>
  <c r="F22" i="9"/>
  <c r="M14" i="49"/>
  <c r="F46" i="45"/>
  <c r="E35" i="45"/>
  <c r="D34" i="9" l="1"/>
  <c r="D57" i="48"/>
  <c r="D60" i="48" s="1"/>
  <c r="D82" i="48" s="1"/>
  <c r="F75" i="45"/>
  <c r="G21" i="26"/>
  <c r="F77" i="9"/>
  <c r="D77" i="9" s="1"/>
  <c r="G84" i="45"/>
  <c r="G86" i="45" s="1"/>
  <c r="F54" i="9"/>
  <c r="E36" i="29"/>
  <c r="J27" i="22"/>
  <c r="E60" i="48"/>
  <c r="E82" i="48" s="1"/>
  <c r="I17" i="26"/>
  <c r="G61" i="9"/>
  <c r="G83" i="9" s="1"/>
  <c r="F67" i="9"/>
  <c r="F75" i="9" s="1"/>
  <c r="D82" i="45"/>
  <c r="D36" i="45"/>
  <c r="L27" i="22"/>
  <c r="O15" i="22"/>
  <c r="D31" i="42"/>
  <c r="C27" i="22"/>
  <c r="D43" i="45"/>
  <c r="E43" i="29"/>
  <c r="H13" i="42"/>
  <c r="E14" i="45"/>
  <c r="K27" i="22"/>
  <c r="M27" i="22"/>
  <c r="F27" i="22"/>
  <c r="I27" i="22"/>
  <c r="E27" i="22"/>
  <c r="D27" i="22"/>
  <c r="B27" i="22"/>
  <c r="N17" i="22"/>
  <c r="E54" i="45"/>
  <c r="D41" i="45"/>
  <c r="D23" i="45"/>
  <c r="E26" i="45"/>
  <c r="D40" i="45"/>
  <c r="D50" i="45"/>
  <c r="D63" i="45"/>
  <c r="F42" i="45"/>
  <c r="D24" i="45"/>
  <c r="D15" i="45"/>
  <c r="D45" i="45"/>
  <c r="D10" i="45"/>
  <c r="E51" i="45"/>
  <c r="E38" i="45"/>
  <c r="D17" i="45"/>
  <c r="F34" i="45"/>
  <c r="E48" i="45"/>
  <c r="E42" i="45"/>
  <c r="F30" i="9"/>
  <c r="H25" i="42"/>
  <c r="D14" i="9"/>
  <c r="E64" i="45"/>
  <c r="D64" i="45" s="1"/>
  <c r="D65" i="45"/>
  <c r="D48" i="9"/>
  <c r="D58" i="9" s="1"/>
  <c r="G82" i="48"/>
  <c r="G84" i="48" s="1"/>
  <c r="E61" i="48"/>
  <c r="E84" i="48"/>
  <c r="G82" i="9"/>
  <c r="G62" i="9"/>
  <c r="D81" i="48"/>
  <c r="F49" i="45"/>
  <c r="D49" i="45" s="1"/>
  <c r="N9" i="47"/>
  <c r="N14" i="47" s="1"/>
  <c r="D61" i="48"/>
  <c r="F19" i="26"/>
  <c r="I19" i="26" s="1"/>
  <c r="H21" i="26"/>
  <c r="B22" i="47"/>
  <c r="N22" i="47" s="1"/>
  <c r="N10" i="49"/>
  <c r="N14" i="49" s="1"/>
  <c r="B14" i="49"/>
  <c r="F56" i="45"/>
  <c r="F54" i="45" s="1"/>
  <c r="H27" i="22"/>
  <c r="D21" i="9"/>
  <c r="E21" i="45"/>
  <c r="D21" i="45" s="1"/>
  <c r="F14" i="45"/>
  <c r="F22" i="45" s="1"/>
  <c r="D26" i="9"/>
  <c r="D55" i="45"/>
  <c r="D54" i="45" s="1"/>
  <c r="I12" i="26"/>
  <c r="D42" i="9"/>
  <c r="D23" i="42"/>
  <c r="E46" i="46"/>
  <c r="E60" i="46" s="1"/>
  <c r="E82" i="46" s="1"/>
  <c r="E12" i="45"/>
  <c r="D12" i="46"/>
  <c r="D21" i="46" s="1"/>
  <c r="D29" i="46" s="1"/>
  <c r="G27" i="22"/>
  <c r="D39" i="45"/>
  <c r="B22" i="49"/>
  <c r="N22" i="49" s="1"/>
  <c r="E24" i="29"/>
  <c r="E17" i="29"/>
  <c r="E22" i="9"/>
  <c r="E30" i="9" s="1"/>
  <c r="E82" i="9" s="1"/>
  <c r="D62" i="46"/>
  <c r="D74" i="46" s="1"/>
  <c r="E21" i="46"/>
  <c r="E29" i="46" s="1"/>
  <c r="F29" i="48"/>
  <c r="N17" i="47"/>
  <c r="D18" i="45"/>
  <c r="F52" i="45"/>
  <c r="F38" i="45"/>
  <c r="D25" i="45"/>
  <c r="D38" i="9"/>
  <c r="D67" i="9"/>
  <c r="D75" i="9" s="1"/>
  <c r="D37" i="45"/>
  <c r="D33" i="45"/>
  <c r="E75" i="45"/>
  <c r="D67" i="45"/>
  <c r="D75" i="45" s="1"/>
  <c r="F58" i="9"/>
  <c r="F61" i="9" s="1"/>
  <c r="E47" i="9"/>
  <c r="E61" i="9" s="1"/>
  <c r="E34" i="45"/>
  <c r="D35" i="45"/>
  <c r="G85" i="9" l="1"/>
  <c r="D42" i="45"/>
  <c r="F82" i="48"/>
  <c r="D48" i="45"/>
  <c r="D58" i="45" s="1"/>
  <c r="D25" i="42"/>
  <c r="D26" i="42" s="1"/>
  <c r="H20" i="42"/>
  <c r="D26" i="45"/>
  <c r="E58" i="45"/>
  <c r="D47" i="9"/>
  <c r="D61" i="9" s="1"/>
  <c r="D83" i="9" s="1"/>
  <c r="D84" i="48"/>
  <c r="F62" i="9"/>
  <c r="F47" i="45"/>
  <c r="E47" i="45"/>
  <c r="F26" i="45"/>
  <c r="F30" i="45" s="1"/>
  <c r="F83" i="45" s="1"/>
  <c r="D22" i="9"/>
  <c r="D30" i="9" s="1"/>
  <c r="E62" i="9"/>
  <c r="D34" i="45"/>
  <c r="F83" i="9"/>
  <c r="D81" i="46"/>
  <c r="G82" i="46"/>
  <c r="G84" i="46" s="1"/>
  <c r="F81" i="46"/>
  <c r="F82" i="46"/>
  <c r="D41" i="46"/>
  <c r="D46" i="46" s="1"/>
  <c r="D60" i="46" s="1"/>
  <c r="D82" i="46" s="1"/>
  <c r="F81" i="48"/>
  <c r="D38" i="45"/>
  <c r="F21" i="26"/>
  <c r="I21" i="26" s="1"/>
  <c r="F48" i="45"/>
  <c r="F58" i="45" s="1"/>
  <c r="E81" i="46"/>
  <c r="E84" i="46" s="1"/>
  <c r="E61" i="46"/>
  <c r="D12" i="45"/>
  <c r="E22" i="45"/>
  <c r="E30" i="45" s="1"/>
  <c r="E83" i="45" s="1"/>
  <c r="D14" i="45"/>
  <c r="E83" i="9"/>
  <c r="E85" i="9" s="1"/>
  <c r="E61" i="45" l="1"/>
  <c r="E84" i="45" s="1"/>
  <c r="F84" i="48"/>
  <c r="D20" i="42"/>
  <c r="D21" i="42" s="1"/>
  <c r="D47" i="45"/>
  <c r="D61" i="45" s="1"/>
  <c r="F61" i="45"/>
  <c r="F84" i="45" s="1"/>
  <c r="F86" i="45" s="1"/>
  <c r="D61" i="46"/>
  <c r="D84" i="46"/>
  <c r="D22" i="45"/>
  <c r="D30" i="45" s="1"/>
  <c r="D83" i="45" s="1"/>
  <c r="E62" i="45"/>
  <c r="E86" i="45"/>
  <c r="F84" i="46"/>
  <c r="D62" i="9"/>
  <c r="D80" i="9"/>
  <c r="D81" i="9" s="1"/>
  <c r="O17" i="22" s="1"/>
  <c r="F81" i="9"/>
  <c r="F82" i="9" s="1"/>
  <c r="F85" i="9" s="1"/>
  <c r="H85" i="9" s="1"/>
  <c r="D33" i="42" l="1"/>
  <c r="F62" i="45"/>
  <c r="O27" i="22"/>
  <c r="D62" i="45"/>
  <c r="D84" i="45"/>
  <c r="D86" i="45" s="1"/>
  <c r="H33" i="42"/>
  <c r="D82" i="9"/>
  <c r="D85" i="9" s="1"/>
  <c r="D34" i="42" l="1"/>
  <c r="H68" i="45"/>
  <c r="H74" i="45" s="1"/>
  <c r="H75" i="45" l="1"/>
  <c r="H84" i="45" s="1"/>
  <c r="H86" i="45" s="1"/>
  <c r="J75" i="45"/>
  <c r="J84" i="45" s="1"/>
  <c r="J86" i="45" s="1"/>
</calcChain>
</file>

<file path=xl/sharedStrings.xml><?xml version="1.0" encoding="utf-8"?>
<sst xmlns="http://schemas.openxmlformats.org/spreadsheetml/2006/main" count="1288" uniqueCount="479">
  <si>
    <t xml:space="preserve"> Ezer forintban </t>
  </si>
  <si>
    <t>Önkormányzatok sajátos felhalmozási és tőke bevételei</t>
  </si>
  <si>
    <t>Felhalmozási célú pénzeszközátvétel államháztartáson kívülről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</si>
  <si>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</si>
  <si>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</si>
  <si>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</si>
  <si>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</si>
  <si>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</si>
  <si>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</si>
  <si>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</si>
  <si>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</si>
  <si>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</si>
  <si>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</si>
  <si>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</si>
  <si>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</si>
  <si>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</si>
  <si>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Munkaadót terhelő járulékok</t>
  </si>
  <si>
    <t>Végleges pénzeszközátadás, egyéb támogatás</t>
  </si>
  <si>
    <t>Társadalom és szoc.pol. Ellátások</t>
  </si>
  <si>
    <t xml:space="preserve">Kiadások összesen </t>
  </si>
  <si>
    <t>Intézményi müködési bevételek</t>
  </si>
  <si>
    <t>Pénzforgalom nélküli bevételek</t>
  </si>
  <si>
    <t xml:space="preserve">Bevételek összesen </t>
  </si>
  <si>
    <t>Működési célú pénzeszköz átadás ÁHT-n belül</t>
  </si>
  <si>
    <t>Működési célú pénzeszköz átadás ÁHT-n belül összesen</t>
  </si>
  <si>
    <t>Működési célú pénzeszköz átadás ÁHT-n kívül</t>
  </si>
  <si>
    <t>Működési célú pénzeszköz átadás ÁHT-n kívül összesen</t>
  </si>
  <si>
    <t>Finanszírozási kiadások</t>
  </si>
  <si>
    <t>Támogatásértékű bevételek, átvett pénzeszközök</t>
  </si>
  <si>
    <t>1.</t>
  </si>
  <si>
    <t>10.</t>
  </si>
  <si>
    <t xml:space="preserve">Egyéb forrás </t>
  </si>
  <si>
    <t>Rendszeres szociális segély az SZt. 37/B (1) bek. b-c) pontok szerint</t>
  </si>
  <si>
    <t>Szakfeladat száma</t>
  </si>
  <si>
    <t>Szakfeladat megnevezése</t>
  </si>
  <si>
    <t>Éves létszám-előirányzat (fő)</t>
  </si>
  <si>
    <t>Önkormányzat összesen</t>
  </si>
  <si>
    <t>Sor-
szám</t>
  </si>
  <si>
    <t>Kötelezettség jogcíme</t>
  </si>
  <si>
    <t>Köt. váll.
 éve</t>
  </si>
  <si>
    <t>Kiadás vonzata évenként</t>
  </si>
  <si>
    <t>Összesen</t>
  </si>
  <si>
    <t>9=(4+5+6+7+8)</t>
  </si>
  <si>
    <t>2.</t>
  </si>
  <si>
    <t>3.</t>
  </si>
  <si>
    <t>4.</t>
  </si>
  <si>
    <t>Felhalmozási célú hiteltörlesztés (tőke+kamat)</t>
  </si>
  <si>
    <t>5.</t>
  </si>
  <si>
    <t>6.</t>
  </si>
  <si>
    <t>7.</t>
  </si>
  <si>
    <t>Beruházás feladatonként</t>
  </si>
  <si>
    <t>8.</t>
  </si>
  <si>
    <t>9.</t>
  </si>
  <si>
    <t>Felújítás célonként</t>
  </si>
  <si>
    <t>............................</t>
  </si>
  <si>
    <t>11.</t>
  </si>
  <si>
    <t xml:space="preserve">Egyéb </t>
  </si>
  <si>
    <t>12.</t>
  </si>
  <si>
    <t>Összesen (1+4+7+9+11)</t>
  </si>
  <si>
    <t>Összesen:</t>
  </si>
  <si>
    <t>Bevételi jogcím</t>
  </si>
  <si>
    <t>Kedvezmény nélkül elérhető bevétel</t>
  </si>
  <si>
    <t>Kedvezmények összege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</si>
  <si>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</si>
  <si>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</si>
  <si>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</si>
  <si>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</si>
  <si>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</si>
  <si>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</si>
  <si>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</si>
  <si>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</si>
  <si>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</si>
  <si>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</si>
  <si>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>d.</t>
  </si>
  <si>
    <t>Előző évi működési célú előirányzat-maradvány, pénzmaradvány átadás</t>
  </si>
  <si>
    <t>2.1.</t>
  </si>
  <si>
    <t>2.2.</t>
  </si>
  <si>
    <t>2.3.</t>
  </si>
  <si>
    <t>3.1.</t>
  </si>
  <si>
    <t>3.2.</t>
  </si>
  <si>
    <t>3.3.</t>
  </si>
  <si>
    <t>Központosított előirányzatokból a működési célúak</t>
  </si>
  <si>
    <t>4.1.</t>
  </si>
  <si>
    <t>4.2.</t>
  </si>
  <si>
    <t>4.3.</t>
  </si>
  <si>
    <t>4.4.</t>
  </si>
  <si>
    <t>Támogatásértékű működési bevételek összesen</t>
  </si>
  <si>
    <t>Működési célú pénzeszköz átvétel államháztartáson kívülről</t>
  </si>
  <si>
    <t>Előző évi költségvetési kiegészítések, visszatérülések</t>
  </si>
  <si>
    <t>Működési bevételek (1+2+3+4)</t>
  </si>
  <si>
    <t>5.1.</t>
  </si>
  <si>
    <t>5.2.</t>
  </si>
  <si>
    <t>Tárgyi eszközök, immateriális javak értékesítése</t>
  </si>
  <si>
    <t>6.1.</t>
  </si>
  <si>
    <t>6.2.</t>
  </si>
  <si>
    <t>Köpontosított előirányzatokból fejlesztési célúak</t>
  </si>
  <si>
    <t>Fejlesztési célú támogatások</t>
  </si>
  <si>
    <t>7.1.</t>
  </si>
  <si>
    <t>7.2.</t>
  </si>
  <si>
    <t>7.3.</t>
  </si>
  <si>
    <t>Támogatásértékű felhalmozási bevételek összesen</t>
  </si>
  <si>
    <t>előző évi felhalmozási célú előirányzat-maradvány</t>
  </si>
  <si>
    <t>Működési célra</t>
  </si>
  <si>
    <t>Felhalmozási célra</t>
  </si>
  <si>
    <t xml:space="preserve">Működési célú hitel felvétele </t>
  </si>
  <si>
    <t>Felhalmozási célú hitel felvétele</t>
  </si>
  <si>
    <t>Felhalmozási célú hitel törlesztése</t>
  </si>
  <si>
    <t xml:space="preserve">Működési bevételek és működési kiadások különbözete: </t>
  </si>
  <si>
    <t>Éves létszám-előirányzat  (fő)</t>
  </si>
  <si>
    <t xml:space="preserve">Idegenforgalmi adó épület után </t>
  </si>
  <si>
    <t xml:space="preserve">Iparűzési adó állandó jelleggel végzett iparűzési tevékenység után </t>
  </si>
  <si>
    <t>13.</t>
  </si>
  <si>
    <t>Gépjárműadóból biztosított kedvezmény, mentesség</t>
  </si>
  <si>
    <t>14.</t>
  </si>
  <si>
    <t>Helyiségek hasznosítása utáni kedvezmény, menteség</t>
  </si>
  <si>
    <t>15.</t>
  </si>
  <si>
    <t>Eszközök hasznosítása utáni kedvezmény, menteség</t>
  </si>
  <si>
    <t>16.</t>
  </si>
  <si>
    <t>Egyéb kedvezmény</t>
  </si>
  <si>
    <t>17.</t>
  </si>
  <si>
    <t>Egyéb kölcsön elengedése</t>
  </si>
  <si>
    <t>18.</t>
  </si>
  <si>
    <t>19.</t>
  </si>
  <si>
    <t>Európai Uniós támogatással megvalósuló projektek bevételei, kiadásai, hozzájárulások</t>
  </si>
  <si>
    <t>EU-s projekt azonosítója:</t>
  </si>
  <si>
    <t>Források</t>
  </si>
  <si>
    <t>Saját erő</t>
  </si>
  <si>
    <t>saját erőből központi támogatás</t>
  </si>
  <si>
    <t>EU-s forrás</t>
  </si>
  <si>
    <t>Társfinanszírozás</t>
  </si>
  <si>
    <t>Hitel</t>
  </si>
  <si>
    <t>Források összesen</t>
  </si>
  <si>
    <t>Kiadások, költségek</t>
  </si>
  <si>
    <t>Személyi jellegű</t>
  </si>
  <si>
    <t>Beruházások, beszerzések</t>
  </si>
  <si>
    <t>Szolgáltatások igénybevétele</t>
  </si>
  <si>
    <t>Felhalmozási kiadás  megnevezése</t>
  </si>
  <si>
    <t>Teljes költség</t>
  </si>
  <si>
    <t>Kivitelezés kezdési és befejezési éve</t>
  </si>
  <si>
    <t>Felújítási kiadások célonként</t>
  </si>
  <si>
    <t>Beruházási kiadások feladatonként</t>
  </si>
  <si>
    <t>ÖSSZESEN:</t>
  </si>
  <si>
    <t>Tárgyévi kiadások és bevételek egyenlege</t>
  </si>
  <si>
    <t>Működési támogatások</t>
  </si>
  <si>
    <t>Egyéb működési bevételek</t>
  </si>
  <si>
    <t>Működési bevételek</t>
  </si>
  <si>
    <t>Felhalmozási támogatások</t>
  </si>
  <si>
    <t>Egyéb felhalmozási bevételek</t>
  </si>
  <si>
    <t>Támogatási kölcsönök visszatérülése</t>
  </si>
  <si>
    <t>B.</t>
  </si>
  <si>
    <t>Költségvetési bevételek összesen (I+II+III+IV)</t>
  </si>
  <si>
    <t>A.Költségvetési kiadások és B.költségvetési bevételek egyenlege (A-B)</t>
  </si>
  <si>
    <t>Pénzmaradvány igénybevétele</t>
  </si>
  <si>
    <t>C.</t>
  </si>
  <si>
    <t>Értékpapír értékesítésének bevétele</t>
  </si>
  <si>
    <t>Hitelek felvétele</t>
  </si>
  <si>
    <t>D.</t>
  </si>
  <si>
    <t>Költségvetési hiány belső finanszírozására szolgáló pénzforgalom nélküli bevételek (V)</t>
  </si>
  <si>
    <t>Költségvetési hiány belső finanszírozását meghaladó összegének külső finanszírozására szolgáló bevételek  (VI+VII)</t>
  </si>
  <si>
    <t>E.</t>
  </si>
  <si>
    <t>Finanszírozási bevételek (C+D)</t>
  </si>
  <si>
    <t>Hitelek törlesztése</t>
  </si>
  <si>
    <t>F.</t>
  </si>
  <si>
    <t>Finanszírozási kiadások összesen (VIII+IX)</t>
  </si>
  <si>
    <t>Működési kiadások (1+….+5)</t>
  </si>
  <si>
    <t>a.</t>
  </si>
  <si>
    <t>b.</t>
  </si>
  <si>
    <t>c.</t>
  </si>
  <si>
    <t>Támogatásértékű működési kiadások</t>
  </si>
  <si>
    <t>Társadalom-, szociálpolitikai és egyéb juttatás, Önormányzat által folyósított ellátások</t>
  </si>
  <si>
    <t>Egyéb felhalmozási kiadások</t>
  </si>
  <si>
    <t>A.</t>
  </si>
  <si>
    <r>
      <t xml:space="preserve">Költségvetési kiadások összesen </t>
    </r>
    <r>
      <rPr>
        <sz val="12"/>
        <rFont val="Times New Roman"/>
        <family val="1"/>
        <charset val="238"/>
      </rPr>
      <t>(I+II+III+IV+V)</t>
    </r>
  </si>
  <si>
    <t>Egyéb működési kiadások (a+b+c+d)</t>
  </si>
  <si>
    <t>Irányítószerv alá tartozó költségvetési szervnek folyósított támogatás</t>
  </si>
  <si>
    <t>Helyi adók</t>
  </si>
  <si>
    <t>Átengedett központi adók</t>
  </si>
  <si>
    <t>Bírságok, egyéb bevételek</t>
  </si>
  <si>
    <t>Közfoglalkoztatás éves létszám-előirányzata</t>
  </si>
  <si>
    <t>Ellátottak pénzbeli juttatásai</t>
  </si>
  <si>
    <t>IV.</t>
  </si>
  <si>
    <t>V.</t>
  </si>
  <si>
    <t>VI.</t>
  </si>
  <si>
    <t>VII.</t>
  </si>
  <si>
    <t>VIII.</t>
  </si>
  <si>
    <t>IX.</t>
  </si>
  <si>
    <t>Megnevezés</t>
  </si>
  <si>
    <t>Személyi juttatások</t>
  </si>
  <si>
    <t>Felújítás</t>
  </si>
  <si>
    <t>Beruházás</t>
  </si>
  <si>
    <t>Felhalmozási és tőkejellegű bevételek</t>
  </si>
  <si>
    <t>Felhalmozási kiadások</t>
  </si>
  <si>
    <t>CÍMREND</t>
  </si>
  <si>
    <t>I.</t>
  </si>
  <si>
    <t>II.</t>
  </si>
  <si>
    <t>III.</t>
  </si>
  <si>
    <t xml:space="preserve">Munkaadókat terhelő járulékok </t>
  </si>
  <si>
    <t>Dologi és egyéb folyó kiadások</t>
  </si>
  <si>
    <t>Önkormányzatok sajátos működési bevételei</t>
  </si>
  <si>
    <t>Kiadásainak és bevételeinek fő összesítője</t>
  </si>
  <si>
    <t>Sor-szám</t>
  </si>
  <si>
    <t>KIADÁSOK</t>
  </si>
  <si>
    <t>BEVÉTELEK</t>
  </si>
  <si>
    <t>01</t>
  </si>
  <si>
    <t>G.</t>
  </si>
  <si>
    <t>H.</t>
  </si>
  <si>
    <t>Tárgyévi kiadások  össsesen (A+F)</t>
  </si>
  <si>
    <t>Tárgyévi bevételek összesen (B+E)</t>
  </si>
  <si>
    <t>Önkormányzatok által folyósított ellátások részletezése</t>
  </si>
  <si>
    <t>Teljesítés</t>
  </si>
  <si>
    <t>Eredeti előirányzat</t>
  </si>
  <si>
    <t>Működési célú pénzeszköz-átadások részletezése</t>
  </si>
  <si>
    <t>Bursa Hungarica ösztöndíj-támogatás</t>
  </si>
  <si>
    <t>Beruházási kiadások</t>
  </si>
  <si>
    <t>Működési bevételek (1+2+3+49)</t>
  </si>
  <si>
    <t>Felhalmozási bevételek (5+6+7)</t>
  </si>
  <si>
    <t>Finanszírozási bevételek (8+9+10+11)</t>
  </si>
  <si>
    <t>Költségvetési Bevételek Összesen (A+B+C)</t>
  </si>
  <si>
    <t>Felhalmozási kiadások (6+….+8)</t>
  </si>
  <si>
    <r>
      <t xml:space="preserve">Költségvetési kiadások összesen </t>
    </r>
    <r>
      <rPr>
        <sz val="12"/>
        <rFont val="Times New Roman"/>
        <family val="1"/>
        <charset val="238"/>
      </rPr>
      <t>(A+B+C+D)</t>
    </r>
  </si>
  <si>
    <t>Felhalmozási bevételek és kiadások különbözete:</t>
  </si>
  <si>
    <t xml:space="preserve"> működési és felhalmozási célú bevételi éskiadási előirányzatok bemutatása tájékoztató jelleggel</t>
  </si>
  <si>
    <t>Felhalmozási kiadások feladatonként</t>
  </si>
  <si>
    <t xml:space="preserve">Adott, közvetett támogatások  </t>
  </si>
  <si>
    <t>2014.</t>
  </si>
  <si>
    <t>Többéves kihatással járó kötelezettségvállalások listája</t>
  </si>
  <si>
    <t>Működési célú hitel törlesztése (éven túli)</t>
  </si>
  <si>
    <t>Működési célú hitel törlesztése (folyószámlahitel)</t>
  </si>
  <si>
    <t>Önkormányzat által saját hatáskörben (nem szociális és gyermekvédelmi előírások alapján) adott természetbeni ellátás (szociális tüzifa)</t>
  </si>
  <si>
    <t>Tartalék</t>
  </si>
  <si>
    <t>Működési célú hiteltörlesztés tőke</t>
  </si>
  <si>
    <t>Bérhitel</t>
  </si>
  <si>
    <t>Folyószámlahitel</t>
  </si>
  <si>
    <t>Intézményi Működési bevételek</t>
  </si>
  <si>
    <t>Általános és céltartalék</t>
  </si>
  <si>
    <t>Felhalmozási kiadások (6+7+8)</t>
  </si>
  <si>
    <t>Helyi Önkormányzatok általános működésének támogatása</t>
  </si>
  <si>
    <t>Helyi önkormányzatok kiegészítő támogatása</t>
  </si>
  <si>
    <t>Működési célú pénzeszközátadás AHT-n kívülre és belül</t>
  </si>
  <si>
    <t>Kötelező feladat</t>
  </si>
  <si>
    <t>Önként vállalt feladat</t>
  </si>
  <si>
    <t>Állami feladat</t>
  </si>
  <si>
    <t>2.melléklet</t>
  </si>
  <si>
    <t>3 melléklet</t>
  </si>
  <si>
    <t>4.melléklet</t>
  </si>
  <si>
    <t>6.melléklet</t>
  </si>
  <si>
    <t>7.melléklet</t>
  </si>
  <si>
    <t>Sármelléki Közös Önkormányzati Hivatal</t>
  </si>
  <si>
    <t>Közös Önk.Hiv.</t>
  </si>
  <si>
    <t>Sármellék Község Önkormányzata</t>
  </si>
  <si>
    <t>Keszthelyi Kistérségi támogatás ( belső ellenőr)</t>
  </si>
  <si>
    <t>Sármelléki Sportegyesület</t>
  </si>
  <si>
    <t>RNÖ</t>
  </si>
  <si>
    <t>Erdős Bt (Iskola e.ü.)</t>
  </si>
  <si>
    <t>Hévízi TASZI</t>
  </si>
  <si>
    <t>Felügyeleti szervi támogatás</t>
  </si>
  <si>
    <t>2014. előtti kifizetés</t>
  </si>
  <si>
    <t>2015.</t>
  </si>
  <si>
    <t>2016.</t>
  </si>
  <si>
    <t>2016. után</t>
  </si>
  <si>
    <t>Sármelléki Polgárőrség</t>
  </si>
  <si>
    <t>8.melléklet</t>
  </si>
  <si>
    <t>9.melléklet</t>
  </si>
  <si>
    <t>066020</t>
  </si>
  <si>
    <t>Községgazdálkodás</t>
  </si>
  <si>
    <t>041233</t>
  </si>
  <si>
    <t>Közfoglalkoztatás</t>
  </si>
  <si>
    <t>011130</t>
  </si>
  <si>
    <t>Önkormányzati jogalkotás</t>
  </si>
  <si>
    <t>FHT</t>
  </si>
  <si>
    <t>Felhalmozási célú pe.átadás, Római Katolikus Plébánia</t>
  </si>
  <si>
    <t>ÁFA visszaigénylés</t>
  </si>
  <si>
    <t>család és nővédelem</t>
  </si>
  <si>
    <t>074031</t>
  </si>
  <si>
    <t>Előző évi működési célú előirányzat-maradvány, pénzmaradvány átvétel</t>
  </si>
  <si>
    <t>2015 évi eredeti előirányzat (eFt)</t>
  </si>
  <si>
    <t>Sármelléki Óvoda Általános Művelődési Központ</t>
  </si>
  <si>
    <t>Felügyeleti szervtől kapott támogatás</t>
  </si>
  <si>
    <t>Értékpapír vásárlásainak kiadása</t>
  </si>
  <si>
    <t>11.melléklet</t>
  </si>
  <si>
    <r>
      <t xml:space="preserve">Költségvetési kiadások összesen </t>
    </r>
    <r>
      <rPr>
        <i/>
        <sz val="16"/>
        <rFont val="Times New Roman"/>
        <family val="1"/>
        <charset val="238"/>
      </rPr>
      <t>(I+II+III+IV+V)</t>
    </r>
  </si>
  <si>
    <t>Kötött-,  céltartalék</t>
  </si>
  <si>
    <t>Önkormányzatok igazgatási tevékenysége</t>
  </si>
  <si>
    <t>011131</t>
  </si>
  <si>
    <t>Önkományzati jogalkotás</t>
  </si>
  <si>
    <t>011220</t>
  </si>
  <si>
    <t>Sármelléki Óvoda Művelődési Központ</t>
  </si>
  <si>
    <t>091110</t>
  </si>
  <si>
    <t>Óvodai nevelés szakmai feladatai</t>
  </si>
  <si>
    <t>082092</t>
  </si>
  <si>
    <t>Közművelődés</t>
  </si>
  <si>
    <t>Bölcsőde</t>
  </si>
  <si>
    <t>10. melléklet</t>
  </si>
  <si>
    <t>Óvoda működtetés</t>
  </si>
  <si>
    <t>Éves létszám-előirányzat</t>
  </si>
  <si>
    <t>Sármelléki Önkormányzat</t>
  </si>
  <si>
    <t>Keszthelyi és Környéke többcélú Kistérségi Társulás 2015</t>
  </si>
  <si>
    <t>Felhalmozási célú pe.átadás Sármelléki Sport Egy.</t>
  </si>
  <si>
    <t>Működési célú pénzeszköz átadás ÁHT-n belűl és kívül összesen</t>
  </si>
  <si>
    <t>Felhalmozási célúcélú pénzeszköz átadás  összesen</t>
  </si>
  <si>
    <t>Sármellékért Közh. Nonpr. Kft</t>
  </si>
  <si>
    <t>Sármellék összesen</t>
  </si>
  <si>
    <t>Sármellék Önkorm.</t>
  </si>
  <si>
    <t xml:space="preserve"> Általános Tartalék</t>
  </si>
  <si>
    <t>Intézmény finanszírozás</t>
  </si>
  <si>
    <t>Előző évi állami támogatás visszafizetés</t>
  </si>
  <si>
    <t>Felhalmozási célú támogatásérétkű kiadás</t>
  </si>
  <si>
    <t>Hévíz családsegítés, gyerekjóléti szolgáltatás 2013.1231-ig</t>
  </si>
  <si>
    <t>Előző évi állami visszafiz.</t>
  </si>
  <si>
    <t>12.melléklet</t>
  </si>
  <si>
    <t>13.melléklet</t>
  </si>
  <si>
    <t>14.melléklet</t>
  </si>
  <si>
    <t>15.melléklet</t>
  </si>
  <si>
    <t>Lakásfenntartási támogatás t (államilag kötelező normatív)</t>
  </si>
  <si>
    <t>Települési támogatás, Lakásfenntartási támogatás</t>
  </si>
  <si>
    <t>Egyéb önkormányzati támogatás</t>
  </si>
  <si>
    <t>Temetési segély</t>
  </si>
  <si>
    <t>Rendkívüli települési támogatás (pénzbeli)</t>
  </si>
  <si>
    <t>216 évi állami előleg visszafizetése</t>
  </si>
  <si>
    <t>X.</t>
  </si>
  <si>
    <t>Sármellék Zalavár Kármentesítő Társulás</t>
  </si>
  <si>
    <t xml:space="preserve">2016 ÉVI KÖLTSÉGVETÉS  </t>
  </si>
  <si>
    <t>2016 ÉVI KÖLTSÉGVETÉS</t>
  </si>
  <si>
    <t>2016 Évi költségvetés</t>
  </si>
  <si>
    <t xml:space="preserve"> 2016 évi költségevetés</t>
  </si>
  <si>
    <t xml:space="preserve">2016 év Költségvetés </t>
  </si>
  <si>
    <t>2016 ÉVI ELŐIRÁNYZAT-FELHASZNÁLÁSI TERV</t>
  </si>
  <si>
    <t>Zalaegerszegi Mentőszolg.Alapítvány</t>
  </si>
  <si>
    <t>Dózsa 314 lakás felújítás (tető, festés, kazán, kerítés)</t>
  </si>
  <si>
    <t>Felhasználás
2015. XII.31-ig</t>
  </si>
  <si>
    <t>Buszmegálló (vasútállomás)</t>
  </si>
  <si>
    <t>Közfoglalkoztatotti támogatás kisértékű t.e.</t>
  </si>
  <si>
    <t>Fénymásoló</t>
  </si>
  <si>
    <t>Kisértékű tárgyieszközök</t>
  </si>
  <si>
    <t>096015</t>
  </si>
  <si>
    <t>Kötött  céltartalék , koncessziós díj+bank szla , lakásért.</t>
  </si>
  <si>
    <t>Finanszírozási kiadások összesen (VIII+IX+X)</t>
  </si>
  <si>
    <t>Általánostartalék</t>
  </si>
  <si>
    <t>Közvilágítás tovább fejlesztése</t>
  </si>
  <si>
    <t>Hungaricum pályázat (ÁMK-ból 401eFt)</t>
  </si>
  <si>
    <t xml:space="preserve">Működési célú pénzeszközátadás </t>
  </si>
  <si>
    <t>16.melléklet</t>
  </si>
  <si>
    <t>Kiadásainak és bevételeinek fő összesítője költségvetési évet követő három év</t>
  </si>
  <si>
    <t>2016 évi eredeti előirányzat (Ft)</t>
  </si>
  <si>
    <t>2016 évi módosított előirányzat (Ft)</t>
  </si>
  <si>
    <t>Önkormányzatok  működési bevételei</t>
  </si>
  <si>
    <t>Ft-ban</t>
  </si>
  <si>
    <t>2016. évi eredeti előirányzat</t>
  </si>
  <si>
    <t>2016. évi módosított előirányzat</t>
  </si>
  <si>
    <t>E-Kata szoftver</t>
  </si>
  <si>
    <t>Szünetmentes tápegység</t>
  </si>
  <si>
    <t>Iratmegsemmisítő</t>
  </si>
  <si>
    <t>ÁMK porszívó</t>
  </si>
  <si>
    <t>ÁMK ping-pong háló</t>
  </si>
  <si>
    <t>ÁMK összesen:</t>
  </si>
  <si>
    <t>Óvoda</t>
  </si>
  <si>
    <t>zsúrkocsi</t>
  </si>
  <si>
    <t>hűtőszekrény</t>
  </si>
  <si>
    <t>tálalószekrény</t>
  </si>
  <si>
    <t>cd-s magnó 3 db</t>
  </si>
  <si>
    <t>fénymásoló</t>
  </si>
  <si>
    <t>fektetők 25 db</t>
  </si>
  <si>
    <t>fényképezőgép</t>
  </si>
  <si>
    <t>tornaeszközök</t>
  </si>
  <si>
    <t>gyerekplédek 50 db</t>
  </si>
  <si>
    <t>Óvoda összesen:</t>
  </si>
  <si>
    <t>könyvtári érdekeltségnövelő támogatás</t>
  </si>
  <si>
    <t>Sármelléki Óvoda ÁMK</t>
  </si>
  <si>
    <t>mozgáskotta készlet</t>
  </si>
  <si>
    <t>Router</t>
  </si>
  <si>
    <t>Otello Borbarátok</t>
  </si>
  <si>
    <t>Mosógép</t>
  </si>
  <si>
    <t>Nőklub blúzok</t>
  </si>
  <si>
    <t>Műfenyő</t>
  </si>
  <si>
    <t>LED fényfűzér</t>
  </si>
  <si>
    <t>Vitrin</t>
  </si>
  <si>
    <t>Kisértékű tárgyieszközök szakmai anyagok játékok</t>
  </si>
  <si>
    <t>Államháztartáson belüli megelőlegezések</t>
  </si>
  <si>
    <t>Államháztartáson belüli megelőlegezés</t>
  </si>
  <si>
    <t>Dózsa 324 . Járda kialakítása, redőny</t>
  </si>
  <si>
    <t xml:space="preserve">Sármellék 063 hrsz közút </t>
  </si>
  <si>
    <t xml:space="preserve">Módosítás: immateriális javak </t>
  </si>
  <si>
    <t>Bölcsőde korsz.építési terv.</t>
  </si>
  <si>
    <t>Óvoda fejl. Pályá.tanácsadás</t>
  </si>
  <si>
    <t>Ipari park fejl. Tanácsadás</t>
  </si>
  <si>
    <t>Vírusellenőrző prg.</t>
  </si>
  <si>
    <t>Energia pályázat</t>
  </si>
  <si>
    <t xml:space="preserve">Ipari park </t>
  </si>
  <si>
    <t>Építési szabályozási terv</t>
  </si>
  <si>
    <t>Iskola energetikai pályázat</t>
  </si>
  <si>
    <t>Honlapkészítés</t>
  </si>
  <si>
    <t>Módosítás: ingatlanok</t>
  </si>
  <si>
    <t>Tanyafejl. Talajelőkész.</t>
  </si>
  <si>
    <t>Kerékpárútbépítési engedély</t>
  </si>
  <si>
    <t>Tanyafejlesztés szőlőoltvány</t>
  </si>
  <si>
    <t>Építőanyag hulladékgyűjtő</t>
  </si>
  <si>
    <t>Módosítás: Informatikai eszközök</t>
  </si>
  <si>
    <t xml:space="preserve">HP DeskJet </t>
  </si>
  <si>
    <t>ASP Intensa PC</t>
  </si>
  <si>
    <t>Módosítás: egyéb tárgyi eszközök</t>
  </si>
  <si>
    <t>HP Elite számítógép</t>
  </si>
  <si>
    <t>Utcanévtábla 5 db</t>
  </si>
  <si>
    <t>Zászlók magyar, EU, Székely</t>
  </si>
  <si>
    <t>Pillanatszorító nagy</t>
  </si>
  <si>
    <t xml:space="preserve">Pillanatszorító </t>
  </si>
  <si>
    <t>Kalapács 3db</t>
  </si>
  <si>
    <t>Vízmérték</t>
  </si>
  <si>
    <t>Fém vödör 10 db</t>
  </si>
  <si>
    <t>Satu forgatható</t>
  </si>
  <si>
    <t>Ágazófűrész gardena 3db</t>
  </si>
  <si>
    <t>Cseh talicska 2db</t>
  </si>
  <si>
    <t>Magasnyomású mosó</t>
  </si>
  <si>
    <t>Emelő krokodil</t>
  </si>
  <si>
    <t>Ágvágó göllerolló 5 db</t>
  </si>
  <si>
    <t>Forgalomtechnikai tükör</t>
  </si>
  <si>
    <t>Védőnő számítógépes hálózat kiépítés</t>
  </si>
  <si>
    <t>Fémállvány 4 polcos</t>
  </si>
  <si>
    <t>Roló</t>
  </si>
  <si>
    <t>Tork kéztörlőadagoló</t>
  </si>
  <si>
    <t>102 db leves- és főzelékes tál</t>
  </si>
  <si>
    <t>Település címeres zászló 4 db</t>
  </si>
  <si>
    <t>Nyeles lábas, alacsonylábas,</t>
  </si>
  <si>
    <t>Dinamikus mikrofon 2db</t>
  </si>
  <si>
    <t>Komplett mikrofon szett 2db</t>
  </si>
  <si>
    <t>2db hangszóró, 2db kézi és 2db fejmikrofon</t>
  </si>
  <si>
    <t>LED PAR  fénytechnika 2db</t>
  </si>
  <si>
    <t>Cameo Light DMX hangvezérlő</t>
  </si>
  <si>
    <t>Pulpitus</t>
  </si>
  <si>
    <t>Audio hosszabbító 5 m</t>
  </si>
  <si>
    <t>Audio hossabbító 10 m</t>
  </si>
  <si>
    <t>Audio kábel 10 2 db</t>
  </si>
  <si>
    <t>Panasonic DMC fényképező</t>
  </si>
  <si>
    <t>Hama 4161 állvány táskával</t>
  </si>
  <si>
    <t>Panasonic HC-V180EP FHD video</t>
  </si>
  <si>
    <t>Halogén reflektor 2 db</t>
  </si>
  <si>
    <t>Üvegajtós szekrény 3db</t>
  </si>
  <si>
    <t xml:space="preserve">Vasgereblye </t>
  </si>
  <si>
    <t>Sony Xperia telefon</t>
  </si>
  <si>
    <t>2 db lengő hosszabbító</t>
  </si>
  <si>
    <t>Hosszabbító 3-as</t>
  </si>
  <si>
    <t>4 db hosszabító asztali 6-os</t>
  </si>
  <si>
    <t>Lengőhosszabbító</t>
  </si>
  <si>
    <t>12 db Luminarc tányér</t>
  </si>
  <si>
    <t>Lapozható tábla</t>
  </si>
  <si>
    <t>2 db Rollexco 6 kg-os tűzoltó készülék</t>
  </si>
  <si>
    <t>Trágyavilla</t>
  </si>
  <si>
    <t>1956-os emlékzászló</t>
  </si>
  <si>
    <t>Lengőhosszabító 10 m</t>
  </si>
  <si>
    <t>Samsung SLM2875 nyomtató</t>
  </si>
  <si>
    <t>LG 8 db monitor</t>
  </si>
  <si>
    <t>TP link</t>
  </si>
  <si>
    <t>Kyocera fénymásoló</t>
  </si>
  <si>
    <t>Reiner kártyaolvasó 8 db</t>
  </si>
  <si>
    <t>adatok Ft</t>
  </si>
  <si>
    <t>forintban</t>
  </si>
  <si>
    <t>Sr.</t>
  </si>
  <si>
    <t>Eredeti e.i.</t>
  </si>
  <si>
    <t>Módosított e.i.</t>
  </si>
  <si>
    <t>02</t>
  </si>
  <si>
    <t>03</t>
  </si>
  <si>
    <t>04</t>
  </si>
  <si>
    <t>05</t>
  </si>
  <si>
    <t>06</t>
  </si>
  <si>
    <t>07</t>
  </si>
  <si>
    <t>Rendkívüli települési támogatás (babakötvény)+ gyerekvédelmi támogatás</t>
  </si>
  <si>
    <t>08</t>
  </si>
  <si>
    <t>09</t>
  </si>
  <si>
    <t>10</t>
  </si>
  <si>
    <t>Önkormányzatok által folyósított ellátások összesen</t>
  </si>
  <si>
    <t>11</t>
  </si>
  <si>
    <t>2016 Évi költségvetéss</t>
  </si>
  <si>
    <t>Felsőtiszavidéki Társulás</t>
  </si>
  <si>
    <t>Zalamegyei Polgárőrség</t>
  </si>
  <si>
    <t>ÉFOÉSZ</t>
  </si>
  <si>
    <t>Zalamegyei Polgárvédelem</t>
  </si>
  <si>
    <t>DRV Zrt. Lakossági víz támogatás</t>
  </si>
  <si>
    <t>Módosított előirányzat</t>
  </si>
  <si>
    <t xml:space="preserve"> forintban</t>
  </si>
  <si>
    <t>Iskolai Intézményi étkeztetés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</si>
</sst>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F_t_-;\-* #,##0.00\ _F_t_-;_-* &quot;-&quot;??\ _F_t_-;_-@_-"/>
    <numFmt numFmtId="165" formatCode="_-* #,##0.00\ _€_-;\-* #,##0.00\ _€_-;_-* &quot;-&quot;??\ _€_-;_-@_-"/>
    <numFmt numFmtId="166" formatCode="#,##0\ _F_t"/>
    <numFmt numFmtId="167" formatCode="0__"/>
    <numFmt numFmtId="168" formatCode="#,###"/>
    <numFmt numFmtId="169" formatCode="#"/>
    <numFmt numFmtId="170" formatCode="_-* #,##0\ _F_t_-;\-* #,##0\ _F_t_-;_-* &quot;-&quot;??\ _F_t_-;_-@_-"/>
    <numFmt numFmtId="171" formatCode="#,##0.00\ _F_t"/>
  </numFmts>
  <fonts count="73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u/>
      <sz val="14"/>
      <name val="Times New Roman"/>
      <family val="1"/>
      <charset val="238"/>
    </font>
    <font>
      <sz val="14"/>
      <name val="Times New Roman"/>
      <family val="1"/>
      <charset val="238"/>
    </font>
    <font>
      <sz val="12"/>
      <name val="Arial"/>
      <family val="2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0"/>
      <name val="Times New Roman CE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9"/>
      <name val="Times New Roman CE"/>
      <family val="1"/>
      <charset val="238"/>
    </font>
    <font>
      <sz val="12"/>
      <name val="Times New Roman CE"/>
      <charset val="238"/>
    </font>
    <font>
      <sz val="12"/>
      <name val="Times New Roman CE"/>
      <family val="1"/>
      <charset val="238"/>
    </font>
    <font>
      <b/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b/>
      <sz val="12"/>
      <name val="Arial"/>
      <family val="2"/>
      <charset val="238"/>
    </font>
    <font>
      <b/>
      <sz val="14"/>
      <name val="Times New Roman CE"/>
      <charset val="238"/>
    </font>
    <font>
      <sz val="14"/>
      <name val="Times New Roman CE"/>
      <charset val="238"/>
    </font>
    <font>
      <sz val="14"/>
      <name val="Arial CE"/>
      <charset val="238"/>
    </font>
    <font>
      <b/>
      <sz val="10"/>
      <name val="Arial CE"/>
      <charset val="238"/>
    </font>
    <font>
      <b/>
      <sz val="13"/>
      <name val="Times New Roman"/>
      <family val="1"/>
      <charset val="238"/>
    </font>
    <font>
      <b/>
      <i/>
      <sz val="16"/>
      <name val="Times New Roman"/>
      <family val="1"/>
      <charset val="238"/>
    </font>
    <font>
      <i/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name val="Times New Roman CE"/>
      <family val="1"/>
      <charset val="238"/>
    </font>
    <font>
      <i/>
      <sz val="12"/>
      <name val="Times New Roman CE"/>
      <charset val="238"/>
    </font>
    <font>
      <sz val="9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lightHorizontal"/>
    </fill>
    <fill>
      <patternFill patternType="solid">
        <fgColor indexed="65"/>
        <bgColor indexed="64"/>
      </patternFill>
    </fill>
    <fill>
      <patternFill patternType="gray0625">
        <bgColor indexed="43"/>
      </patternFill>
    </fill>
    <fill>
      <patternFill patternType="gray0625">
        <bgColor indexed="41"/>
      </patternFill>
    </fill>
    <fill>
      <patternFill patternType="gray0625"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4" borderId="0" applyNumberFormat="0" applyBorder="0" applyAlignment="0" applyProtection="0"/>
    <xf numFmtId="0" fontId="21" fillId="7" borderId="0" applyNumberFormat="0" applyBorder="0" applyAlignment="0" applyProtection="0"/>
    <xf numFmtId="0" fontId="21" fillId="6" borderId="0" applyNumberFormat="0" applyBorder="0" applyAlignment="0" applyProtection="0"/>
    <xf numFmtId="0" fontId="21" fillId="9" borderId="0" applyNumberFormat="0" applyBorder="0" applyAlignment="0" applyProtection="0"/>
    <xf numFmtId="0" fontId="21" fillId="5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0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2" fillId="10" borderId="0" applyNumberFormat="0" applyBorder="0" applyAlignment="0" applyProtection="0"/>
    <xf numFmtId="0" fontId="22" fillId="9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3" fillId="10" borderId="1" applyNumberFormat="0" applyAlignment="0" applyProtection="0"/>
    <xf numFmtId="0" fontId="24" fillId="0" borderId="0" applyNumberFormat="0" applyFill="0" applyBorder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7" fillId="0" borderId="4" applyNumberFormat="0" applyFill="0" applyAlignment="0" applyProtection="0"/>
    <xf numFmtId="0" fontId="27" fillId="0" borderId="0" applyNumberFormat="0" applyFill="0" applyBorder="0" applyAlignment="0" applyProtection="0"/>
    <xf numFmtId="0" fontId="28" fillId="8" borderId="5" applyNumberFormat="0" applyAlignment="0" applyProtection="0"/>
    <xf numFmtId="164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6" borderId="7" applyNumberFormat="0" applyFont="0" applyAlignment="0" applyProtection="0"/>
    <xf numFmtId="0" fontId="22" fillId="2" borderId="0" applyNumberFormat="0" applyBorder="0" applyAlignment="0" applyProtection="0"/>
    <xf numFmtId="0" fontId="22" fillId="13" borderId="0" applyNumberFormat="0" applyBorder="0" applyAlignment="0" applyProtection="0"/>
    <xf numFmtId="0" fontId="22" fillId="12" borderId="0" applyNumberFormat="0" applyBorder="0" applyAlignment="0" applyProtection="0"/>
    <xf numFmtId="0" fontId="22" fillId="14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32" fillId="15" borderId="0" applyNumberFormat="0" applyBorder="0" applyAlignment="0" applyProtection="0"/>
    <xf numFmtId="0" fontId="33" fillId="16" borderId="8" applyNumberFormat="0" applyAlignment="0" applyProtection="0"/>
    <xf numFmtId="0" fontId="34" fillId="0" borderId="0" applyNumberFormat="0" applyFill="0" applyBorder="0" applyAlignment="0" applyProtection="0"/>
    <xf numFmtId="0" fontId="2" fillId="0" borderId="0"/>
    <xf numFmtId="0" fontId="31" fillId="0" borderId="0"/>
    <xf numFmtId="0" fontId="2" fillId="0" borderId="0"/>
    <xf numFmtId="0" fontId="35" fillId="0" borderId="9" applyNumberFormat="0" applyFill="0" applyAlignment="0" applyProtection="0"/>
    <xf numFmtId="0" fontId="36" fillId="17" borderId="0" applyNumberFormat="0" applyBorder="0" applyAlignment="0" applyProtection="0"/>
    <xf numFmtId="0" fontId="37" fillId="10" borderId="0" applyNumberFormat="0" applyBorder="0" applyAlignment="0" applyProtection="0"/>
    <xf numFmtId="0" fontId="38" fillId="16" borderId="1" applyNumberFormat="0" applyAlignment="0" applyProtection="0"/>
  </cellStyleXfs>
  <cellXfs count="683">
    <xf numFmtId="0" fontId="0" fillId="0" borderId="0" xfId="0"/>
    <xf numFmtId="0" fontId="5" fillId="0" borderId="0" xfId="40" applyFont="1" applyAlignment="1">
      <alignment vertical="center"/>
    </xf>
    <xf numFmtId="0" fontId="5" fillId="0" borderId="0" xfId="40" applyFont="1" applyAlignment="1">
      <alignment horizontal="center" vertical="center"/>
    </xf>
    <xf numFmtId="0" fontId="6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7" fillId="0" borderId="0" xfId="40" applyFont="1" applyAlignment="1">
      <alignment vertical="center"/>
    </xf>
    <xf numFmtId="0" fontId="7" fillId="0" borderId="0" xfId="40" applyFont="1" applyAlignment="1">
      <alignment horizontal="left" vertical="center"/>
    </xf>
    <xf numFmtId="0" fontId="8" fillId="0" borderId="0" xfId="40" applyFont="1" applyAlignment="1">
      <alignment horizontal="left" vertical="center"/>
    </xf>
    <xf numFmtId="0" fontId="9" fillId="0" borderId="0" xfId="40" applyFont="1" applyAlignment="1">
      <alignment horizontal="center" vertical="center"/>
    </xf>
    <xf numFmtId="0" fontId="5" fillId="0" borderId="10" xfId="40" applyFont="1" applyBorder="1" applyAlignment="1">
      <alignment horizontal="center" vertical="center"/>
    </xf>
    <xf numFmtId="0" fontId="10" fillId="0" borderId="0" xfId="40" applyFont="1" applyAlignment="1">
      <alignment horizontal="center" vertical="center"/>
    </xf>
    <xf numFmtId="0" fontId="6" fillId="0" borderId="0" xfId="40" applyFont="1" applyAlignment="1">
      <alignment vertical="center"/>
    </xf>
    <xf numFmtId="166" fontId="4" fillId="0" borderId="11" xfId="27" applyNumberFormat="1" applyFont="1" applyFill="1" applyBorder="1" applyAlignment="1">
      <alignment horizontal="center"/>
    </xf>
    <xf numFmtId="166" fontId="5" fillId="0" borderId="12" xfId="40" applyNumberFormat="1" applyFont="1" applyBorder="1" applyAlignment="1">
      <alignment horizontal="center" vertical="center"/>
    </xf>
    <xf numFmtId="166" fontId="5" fillId="0" borderId="11" xfId="27" applyNumberFormat="1" applyFont="1" applyFill="1" applyBorder="1" applyAlignment="1">
      <alignment horizontal="center"/>
    </xf>
    <xf numFmtId="0" fontId="5" fillId="0" borderId="0" xfId="40" applyFont="1" applyAlignment="1">
      <alignment vertical="center" wrapText="1"/>
    </xf>
    <xf numFmtId="0" fontId="5" fillId="0" borderId="0" xfId="40" applyFont="1" applyAlignment="1">
      <alignment horizontal="center" vertical="center" wrapText="1"/>
    </xf>
    <xf numFmtId="166" fontId="7" fillId="0" borderId="11" xfId="27" applyNumberFormat="1" applyFont="1" applyFill="1" applyBorder="1" applyAlignment="1">
      <alignment horizontal="center"/>
    </xf>
    <xf numFmtId="0" fontId="5" fillId="18" borderId="10" xfId="40" applyFont="1" applyFill="1" applyBorder="1" applyAlignment="1">
      <alignment horizontal="center" vertical="center"/>
    </xf>
    <xf numFmtId="166" fontId="5" fillId="18" borderId="12" xfId="27" applyNumberFormat="1" applyFont="1" applyFill="1" applyBorder="1" applyAlignment="1">
      <alignment horizontal="center"/>
    </xf>
    <xf numFmtId="166" fontId="5" fillId="18" borderId="11" xfId="27" applyNumberFormat="1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Border="1" applyAlignment="1">
      <alignment horizontal="centerContinuous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4" fillId="0" borderId="16" xfId="0" applyFont="1" applyBorder="1" applyAlignment="1">
      <alignment horizontal="centerContinuous"/>
    </xf>
    <xf numFmtId="167" fontId="14" fillId="0" borderId="0" xfId="0" applyNumberFormat="1" applyFont="1"/>
    <xf numFmtId="0" fontId="14" fillId="0" borderId="0" xfId="0" applyFont="1" applyAlignment="1"/>
    <xf numFmtId="0" fontId="16" fillId="0" borderId="0" xfId="0" applyFont="1" applyAlignment="1">
      <alignment horizontal="center"/>
    </xf>
    <xf numFmtId="0" fontId="7" fillId="0" borderId="0" xfId="42" applyFont="1" applyBorder="1" applyAlignment="1">
      <alignment horizontal="center" vertical="center"/>
    </xf>
    <xf numFmtId="0" fontId="3" fillId="0" borderId="0" xfId="42" applyFont="1" applyAlignment="1">
      <alignment vertical="center"/>
    </xf>
    <xf numFmtId="0" fontId="7" fillId="0" borderId="12" xfId="42" applyFont="1" applyBorder="1" applyAlignment="1">
      <alignment horizontal="center" vertical="center"/>
    </xf>
    <xf numFmtId="0" fontId="11" fillId="0" borderId="12" xfId="42" applyFont="1" applyBorder="1" applyAlignment="1">
      <alignment horizontal="center" vertical="center"/>
    </xf>
    <xf numFmtId="0" fontId="13" fillId="0" borderId="12" xfId="42" applyFont="1" applyBorder="1" applyAlignment="1">
      <alignment vertical="center"/>
    </xf>
    <xf numFmtId="0" fontId="19" fillId="18" borderId="12" xfId="42" applyFont="1" applyFill="1" applyBorder="1" applyAlignment="1">
      <alignment vertical="center"/>
    </xf>
    <xf numFmtId="0" fontId="5" fillId="0" borderId="0" xfId="42" applyFont="1" applyAlignment="1">
      <alignment vertical="center"/>
    </xf>
    <xf numFmtId="166" fontId="4" fillId="0" borderId="23" xfId="40" applyNumberFormat="1" applyFont="1" applyBorder="1" applyAlignment="1">
      <alignment horizontal="center"/>
    </xf>
    <xf numFmtId="166" fontId="11" fillId="0" borderId="12" xfId="42" applyNumberFormat="1" applyFont="1" applyBorder="1" applyAlignment="1">
      <alignment vertical="center"/>
    </xf>
    <xf numFmtId="166" fontId="12" fillId="0" borderId="12" xfId="42" applyNumberFormat="1" applyFont="1" applyBorder="1" applyAlignment="1">
      <alignment horizontal="center" vertical="center"/>
    </xf>
    <xf numFmtId="166" fontId="11" fillId="18" borderId="12" xfId="42" applyNumberFormat="1" applyFont="1" applyFill="1" applyBorder="1" applyAlignment="1">
      <alignment vertical="center"/>
    </xf>
    <xf numFmtId="166" fontId="12" fillId="18" borderId="12" xfId="42" applyNumberFormat="1" applyFont="1" applyFill="1" applyBorder="1" applyAlignment="1">
      <alignment horizontal="center" vertical="center"/>
    </xf>
    <xf numFmtId="166" fontId="12" fillId="0" borderId="12" xfId="42" applyNumberFormat="1" applyFont="1" applyBorder="1" applyAlignment="1">
      <alignment vertical="center"/>
    </xf>
    <xf numFmtId="0" fontId="11" fillId="0" borderId="12" xfId="42" applyFont="1" applyBorder="1" applyAlignment="1">
      <alignment vertical="center"/>
    </xf>
    <xf numFmtId="0" fontId="12" fillId="0" borderId="12" xfId="42" applyFont="1" applyBorder="1" applyAlignment="1">
      <alignment vertical="center"/>
    </xf>
    <xf numFmtId="0" fontId="11" fillId="0" borderId="0" xfId="0" applyFont="1"/>
    <xf numFmtId="0" fontId="5" fillId="0" borderId="0" xfId="0" applyFont="1"/>
    <xf numFmtId="0" fontId="7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168" fontId="31" fillId="0" borderId="0" xfId="41" applyNumberFormat="1" applyFill="1" applyAlignment="1">
      <alignment horizontal="center" vertical="center" wrapText="1"/>
    </xf>
    <xf numFmtId="168" fontId="31" fillId="0" borderId="0" xfId="41" applyNumberFormat="1" applyFill="1" applyAlignment="1">
      <alignment vertical="center" wrapText="1"/>
    </xf>
    <xf numFmtId="168" fontId="40" fillId="0" borderId="24" xfId="41" applyNumberFormat="1" applyFont="1" applyFill="1" applyBorder="1" applyAlignment="1">
      <alignment horizontal="center" vertical="center"/>
    </xf>
    <xf numFmtId="168" fontId="40" fillId="0" borderId="25" xfId="41" applyNumberFormat="1" applyFont="1" applyFill="1" applyBorder="1" applyAlignment="1">
      <alignment horizontal="center" vertical="center"/>
    </xf>
    <xf numFmtId="168" fontId="40" fillId="0" borderId="26" xfId="41" applyNumberFormat="1" applyFont="1" applyFill="1" applyBorder="1" applyAlignment="1">
      <alignment horizontal="center" vertical="center" wrapText="1"/>
    </xf>
    <xf numFmtId="168" fontId="41" fillId="0" borderId="27" xfId="41" applyNumberFormat="1" applyFont="1" applyFill="1" applyBorder="1" applyAlignment="1">
      <alignment horizontal="center" vertical="center" wrapText="1"/>
    </xf>
    <xf numFmtId="168" fontId="41" fillId="0" borderId="28" xfId="41" applyNumberFormat="1" applyFont="1" applyFill="1" applyBorder="1" applyAlignment="1">
      <alignment horizontal="center" vertical="center" wrapText="1"/>
    </xf>
    <xf numFmtId="168" fontId="41" fillId="0" borderId="29" xfId="41" applyNumberFormat="1" applyFont="1" applyFill="1" applyBorder="1" applyAlignment="1">
      <alignment horizontal="center" vertical="center" wrapText="1"/>
    </xf>
    <xf numFmtId="168" fontId="41" fillId="0" borderId="30" xfId="41" applyNumberFormat="1" applyFont="1" applyFill="1" applyBorder="1" applyAlignment="1">
      <alignment horizontal="center" vertical="center" wrapText="1"/>
    </xf>
    <xf numFmtId="168" fontId="41" fillId="0" borderId="31" xfId="41" applyNumberFormat="1" applyFont="1" applyFill="1" applyBorder="1" applyAlignment="1">
      <alignment horizontal="center" vertical="center" wrapText="1"/>
    </xf>
    <xf numFmtId="168" fontId="41" fillId="0" borderId="32" xfId="41" applyNumberFormat="1" applyFont="1" applyFill="1" applyBorder="1" applyAlignment="1">
      <alignment horizontal="center" vertical="center" wrapText="1"/>
    </xf>
    <xf numFmtId="168" fontId="41" fillId="0" borderId="28" xfId="41" applyNumberFormat="1" applyFont="1" applyFill="1" applyBorder="1" applyAlignment="1">
      <alignment horizontal="left" vertical="center" wrapText="1" indent="1"/>
    </xf>
    <xf numFmtId="168" fontId="42" fillId="0" borderId="33" xfId="41" applyNumberFormat="1" applyFont="1" applyFill="1" applyBorder="1" applyAlignment="1" applyProtection="1">
      <alignment horizontal="left" vertical="center" wrapText="1" indent="2"/>
    </xf>
    <xf numFmtId="168" fontId="42" fillId="0" borderId="28" xfId="41" applyNumberFormat="1" applyFont="1" applyFill="1" applyBorder="1" applyAlignment="1" applyProtection="1">
      <alignment vertical="center" wrapText="1"/>
    </xf>
    <xf numFmtId="168" fontId="42" fillId="0" borderId="32" xfId="41" applyNumberFormat="1" applyFont="1" applyFill="1" applyBorder="1" applyAlignment="1" applyProtection="1">
      <alignment vertical="center" wrapText="1"/>
    </xf>
    <xf numFmtId="168" fontId="42" fillId="0" borderId="33" xfId="41" applyNumberFormat="1" applyFont="1" applyFill="1" applyBorder="1" applyAlignment="1" applyProtection="1">
      <alignment vertical="center" wrapText="1"/>
    </xf>
    <xf numFmtId="168" fontId="42" fillId="0" borderId="30" xfId="41" applyNumberFormat="1" applyFont="1" applyFill="1" applyBorder="1" applyAlignment="1" applyProtection="1">
      <alignment vertical="center" wrapText="1"/>
    </xf>
    <xf numFmtId="168" fontId="42" fillId="0" borderId="28" xfId="41" applyNumberFormat="1" applyFont="1" applyFill="1" applyBorder="1" applyAlignment="1">
      <alignment vertical="center" wrapText="1"/>
    </xf>
    <xf numFmtId="168" fontId="41" fillId="0" borderId="10" xfId="41" applyNumberFormat="1" applyFont="1" applyFill="1" applyBorder="1" applyAlignment="1">
      <alignment horizontal="center" vertical="center" wrapText="1"/>
    </xf>
    <xf numFmtId="168" fontId="42" fillId="0" borderId="34" xfId="41" applyNumberFormat="1" applyFont="1" applyFill="1" applyBorder="1" applyAlignment="1" applyProtection="1">
      <alignment horizontal="left" vertical="center" wrapText="1" indent="1"/>
      <protection locked="0"/>
    </xf>
    <xf numFmtId="169" fontId="43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168" fontId="42" fillId="0" borderId="34" xfId="41" applyNumberFormat="1" applyFont="1" applyFill="1" applyBorder="1" applyAlignment="1" applyProtection="1">
      <alignment vertical="center" wrapText="1"/>
      <protection locked="0"/>
    </xf>
    <xf numFmtId="168" fontId="42" fillId="0" borderId="10" xfId="41" applyNumberFormat="1" applyFont="1" applyFill="1" applyBorder="1" applyAlignment="1" applyProtection="1">
      <alignment vertical="center" wrapText="1"/>
      <protection locked="0"/>
    </xf>
    <xf numFmtId="168" fontId="42" fillId="0" borderId="12" xfId="41" applyNumberFormat="1" applyFont="1" applyFill="1" applyBorder="1" applyAlignment="1" applyProtection="1">
      <alignment vertical="center" wrapText="1"/>
      <protection locked="0"/>
    </xf>
    <xf numFmtId="168" fontId="42" fillId="0" borderId="11" xfId="41" applyNumberFormat="1" applyFont="1" applyFill="1" applyBorder="1" applyAlignment="1" applyProtection="1">
      <alignment vertical="center" wrapText="1"/>
      <protection locked="0"/>
    </xf>
    <xf numFmtId="168" fontId="42" fillId="0" borderId="34" xfId="41" applyNumberFormat="1" applyFont="1" applyFill="1" applyBorder="1" applyAlignment="1">
      <alignment vertical="center" wrapText="1"/>
    </xf>
    <xf numFmtId="168" fontId="41" fillId="0" borderId="28" xfId="41" applyNumberFormat="1" applyFont="1" applyFill="1" applyBorder="1" applyAlignment="1" applyProtection="1">
      <alignment horizontal="left" vertical="center" wrapText="1" indent="1"/>
      <protection locked="0"/>
    </xf>
    <xf numFmtId="168" fontId="43" fillId="0" borderId="33" xfId="41" applyNumberFormat="1" applyFont="1" applyFill="1" applyBorder="1" applyAlignment="1" applyProtection="1">
      <alignment horizontal="left" vertical="center" wrapText="1" indent="2"/>
    </xf>
    <xf numFmtId="168" fontId="41" fillId="0" borderId="35" xfId="41" applyNumberFormat="1" applyFont="1" applyFill="1" applyBorder="1" applyAlignment="1">
      <alignment horizontal="center" vertical="center" wrapText="1"/>
    </xf>
    <xf numFmtId="168" fontId="42" fillId="0" borderId="36" xfId="41" applyNumberFormat="1" applyFont="1" applyFill="1" applyBorder="1" applyAlignment="1" applyProtection="1">
      <alignment horizontal="left" vertical="center" wrapText="1" indent="1"/>
      <protection locked="0"/>
    </xf>
    <xf numFmtId="169" fontId="43" fillId="0" borderId="37" xfId="41" applyNumberFormat="1" applyFont="1" applyFill="1" applyBorder="1" applyAlignment="1" applyProtection="1">
      <alignment horizontal="left" vertical="center" wrapText="1" indent="2"/>
      <protection locked="0"/>
    </xf>
    <xf numFmtId="168" fontId="42" fillId="0" borderId="36" xfId="41" applyNumberFormat="1" applyFont="1" applyFill="1" applyBorder="1" applyAlignment="1" applyProtection="1">
      <alignment vertical="center" wrapText="1"/>
      <protection locked="0"/>
    </xf>
    <xf numFmtId="168" fontId="42" fillId="0" borderId="35" xfId="41" applyNumberFormat="1" applyFont="1" applyFill="1" applyBorder="1" applyAlignment="1" applyProtection="1">
      <alignment vertical="center" wrapText="1"/>
      <protection locked="0"/>
    </xf>
    <xf numFmtId="168" fontId="42" fillId="0" borderId="37" xfId="41" applyNumberFormat="1" applyFont="1" applyFill="1" applyBorder="1" applyAlignment="1" applyProtection="1">
      <alignment vertical="center" wrapText="1"/>
      <protection locked="0"/>
    </xf>
    <xf numFmtId="168" fontId="42" fillId="0" borderId="38" xfId="41" applyNumberFormat="1" applyFont="1" applyFill="1" applyBorder="1" applyAlignment="1" applyProtection="1">
      <alignment vertical="center" wrapText="1"/>
      <protection locked="0"/>
    </xf>
    <xf numFmtId="168" fontId="42" fillId="0" borderId="36" xfId="41" applyNumberFormat="1" applyFont="1" applyFill="1" applyBorder="1" applyAlignment="1">
      <alignment vertical="center" wrapText="1"/>
    </xf>
    <xf numFmtId="168" fontId="44" fillId="0" borderId="28" xfId="41" applyNumberFormat="1" applyFont="1" applyFill="1" applyBorder="1" applyAlignment="1" applyProtection="1">
      <alignment horizontal="left" vertical="center" wrapText="1" indent="1"/>
      <protection locked="0"/>
    </xf>
    <xf numFmtId="168" fontId="42" fillId="0" borderId="28" xfId="41" applyNumberFormat="1" applyFont="1" applyFill="1" applyBorder="1" applyAlignment="1" applyProtection="1">
      <alignment vertical="center" wrapText="1"/>
      <protection locked="0"/>
    </xf>
    <xf numFmtId="168" fontId="42" fillId="0" borderId="32" xfId="41" applyNumberFormat="1" applyFont="1" applyFill="1" applyBorder="1" applyAlignment="1" applyProtection="1">
      <alignment vertical="center" wrapText="1"/>
      <protection locked="0"/>
    </xf>
    <xf numFmtId="168" fontId="42" fillId="0" borderId="33" xfId="41" applyNumberFormat="1" applyFont="1" applyFill="1" applyBorder="1" applyAlignment="1" applyProtection="1">
      <alignment vertical="center" wrapText="1"/>
      <protection locked="0"/>
    </xf>
    <xf numFmtId="168" fontId="42" fillId="0" borderId="30" xfId="41" applyNumberFormat="1" applyFont="1" applyFill="1" applyBorder="1" applyAlignment="1" applyProtection="1">
      <alignment vertical="center" wrapText="1"/>
      <protection locked="0"/>
    </xf>
    <xf numFmtId="168" fontId="41" fillId="0" borderId="39" xfId="41" applyNumberFormat="1" applyFont="1" applyFill="1" applyBorder="1" applyAlignment="1">
      <alignment horizontal="center" vertical="center" wrapText="1"/>
    </xf>
    <xf numFmtId="168" fontId="42" fillId="0" borderId="40" xfId="41" applyNumberFormat="1" applyFont="1" applyFill="1" applyBorder="1" applyAlignment="1" applyProtection="1">
      <alignment horizontal="left" vertical="center" wrapText="1" indent="1"/>
      <protection locked="0"/>
    </xf>
    <xf numFmtId="169" fontId="43" fillId="0" borderId="15" xfId="41" applyNumberFormat="1" applyFont="1" applyFill="1" applyBorder="1" applyAlignment="1" applyProtection="1">
      <alignment horizontal="left" vertical="center" wrapText="1" indent="2"/>
      <protection locked="0"/>
    </xf>
    <xf numFmtId="168" fontId="42" fillId="0" borderId="31" xfId="41" applyNumberFormat="1" applyFont="1" applyFill="1" applyBorder="1" applyAlignment="1" applyProtection="1">
      <alignment vertical="center" wrapText="1"/>
      <protection locked="0"/>
    </xf>
    <xf numFmtId="168" fontId="42" fillId="0" borderId="39" xfId="41" applyNumberFormat="1" applyFont="1" applyFill="1" applyBorder="1" applyAlignment="1" applyProtection="1">
      <alignment vertical="center" wrapText="1"/>
      <protection locked="0"/>
    </xf>
    <xf numFmtId="168" fontId="42" fillId="0" borderId="41" xfId="41" applyNumberFormat="1" applyFont="1" applyFill="1" applyBorder="1" applyAlignment="1" applyProtection="1">
      <alignment vertical="center" wrapText="1"/>
      <protection locked="0"/>
    </xf>
    <xf numFmtId="168" fontId="42" fillId="0" borderId="42" xfId="41" applyNumberFormat="1" applyFont="1" applyFill="1" applyBorder="1" applyAlignment="1" applyProtection="1">
      <alignment vertical="center" wrapText="1"/>
      <protection locked="0"/>
    </xf>
    <xf numFmtId="168" fontId="42" fillId="0" borderId="31" xfId="41" applyNumberFormat="1" applyFont="1" applyFill="1" applyBorder="1" applyAlignment="1">
      <alignment vertical="center" wrapText="1"/>
    </xf>
    <xf numFmtId="168" fontId="43" fillId="18" borderId="29" xfId="41" applyNumberFormat="1" applyFont="1" applyFill="1" applyBorder="1" applyAlignment="1" applyProtection="1">
      <alignment horizontal="left" vertical="center" wrapText="1" indent="2"/>
    </xf>
    <xf numFmtId="168" fontId="46" fillId="0" borderId="0" xfId="41" applyNumberFormat="1" applyFont="1" applyFill="1" applyAlignment="1">
      <alignment horizontal="center" vertical="center" wrapText="1"/>
    </xf>
    <xf numFmtId="168" fontId="46" fillId="0" borderId="0" xfId="41" applyNumberFormat="1" applyFont="1" applyFill="1" applyAlignment="1">
      <alignment vertical="center" wrapText="1"/>
    </xf>
    <xf numFmtId="0" fontId="40" fillId="0" borderId="32" xfId="41" applyFont="1" applyFill="1" applyBorder="1" applyAlignment="1">
      <alignment horizontal="center" vertical="center" wrapText="1"/>
    </xf>
    <xf numFmtId="0" fontId="40" fillId="0" borderId="33" xfId="41" applyFont="1" applyFill="1" applyBorder="1" applyAlignment="1">
      <alignment horizontal="center" vertical="center" wrapText="1"/>
    </xf>
    <xf numFmtId="0" fontId="40" fillId="0" borderId="30" xfId="41" applyFont="1" applyFill="1" applyBorder="1" applyAlignment="1">
      <alignment horizontal="center" vertical="center" wrapText="1"/>
    </xf>
    <xf numFmtId="0" fontId="47" fillId="0" borderId="0" xfId="41" applyFont="1" applyFill="1" applyAlignment="1">
      <alignment horizontal="center" vertical="center" wrapText="1"/>
    </xf>
    <xf numFmtId="0" fontId="41" fillId="0" borderId="32" xfId="41" applyFont="1" applyFill="1" applyBorder="1" applyAlignment="1">
      <alignment horizontal="center" vertical="center" wrapText="1"/>
    </xf>
    <xf numFmtId="0" fontId="41" fillId="0" borderId="33" xfId="41" applyFont="1" applyFill="1" applyBorder="1" applyAlignment="1">
      <alignment horizontal="center" vertical="center" wrapText="1"/>
    </xf>
    <xf numFmtId="0" fontId="41" fillId="0" borderId="30" xfId="41" applyFont="1" applyFill="1" applyBorder="1" applyAlignment="1">
      <alignment horizontal="center" vertical="center" wrapText="1"/>
    </xf>
    <xf numFmtId="0" fontId="48" fillId="0" borderId="43" xfId="41" applyFont="1" applyFill="1" applyBorder="1" applyAlignment="1">
      <alignment horizontal="center" vertical="center" wrapText="1"/>
    </xf>
    <xf numFmtId="0" fontId="45" fillId="0" borderId="22" xfId="41" applyFont="1" applyFill="1" applyBorder="1" applyAlignment="1" applyProtection="1">
      <alignment horizontal="left" vertical="center" wrapText="1" indent="1"/>
      <protection locked="0"/>
    </xf>
    <xf numFmtId="168" fontId="48" fillId="0" borderId="22" xfId="41" applyNumberFormat="1" applyFont="1" applyFill="1" applyBorder="1" applyAlignment="1" applyProtection="1">
      <alignment horizontal="right" vertical="center" wrapText="1" indent="1"/>
      <protection locked="0"/>
    </xf>
    <xf numFmtId="168" fontId="48" fillId="0" borderId="44" xfId="41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0" xfId="41" applyFill="1" applyAlignment="1">
      <alignment vertical="center" wrapText="1"/>
    </xf>
    <xf numFmtId="0" fontId="48" fillId="0" borderId="10" xfId="41" applyFont="1" applyFill="1" applyBorder="1" applyAlignment="1">
      <alignment horizontal="center" vertical="center" wrapText="1"/>
    </xf>
    <xf numFmtId="0" fontId="45" fillId="0" borderId="19" xfId="41" applyFont="1" applyFill="1" applyBorder="1" applyAlignment="1" applyProtection="1">
      <alignment horizontal="left" vertical="center" wrapText="1" indent="1"/>
      <protection locked="0"/>
    </xf>
    <xf numFmtId="168" fontId="48" fillId="0" borderId="19" xfId="41" applyNumberFormat="1" applyFont="1" applyFill="1" applyBorder="1" applyAlignment="1" applyProtection="1">
      <alignment horizontal="right" vertical="center" wrapText="1" indent="1"/>
      <protection locked="0"/>
    </xf>
    <xf numFmtId="168" fontId="48" fillId="0" borderId="11" xfId="41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19" xfId="41" applyFont="1" applyFill="1" applyBorder="1" applyAlignment="1" applyProtection="1">
      <alignment horizontal="left" vertical="center" wrapText="1" indent="8"/>
      <protection locked="0"/>
    </xf>
    <xf numFmtId="0" fontId="48" fillId="0" borderId="45" xfId="41" applyFont="1" applyFill="1" applyBorder="1" applyAlignment="1" applyProtection="1">
      <alignment vertical="center" wrapText="1"/>
      <protection locked="0"/>
    </xf>
    <xf numFmtId="168" fontId="48" fillId="0" borderId="12" xfId="41" applyNumberFormat="1" applyFont="1" applyFill="1" applyBorder="1" applyAlignment="1" applyProtection="1">
      <alignment horizontal="right" vertical="center" wrapText="1" indent="1"/>
      <protection locked="0"/>
    </xf>
    <xf numFmtId="0" fontId="44" fillId="0" borderId="32" xfId="41" applyFont="1" applyFill="1" applyBorder="1" applyAlignment="1">
      <alignment horizontal="center" vertical="center" wrapText="1"/>
    </xf>
    <xf numFmtId="0" fontId="49" fillId="0" borderId="46" xfId="41" applyFont="1" applyFill="1" applyBorder="1" applyAlignment="1">
      <alignment vertical="center" wrapText="1"/>
    </xf>
    <xf numFmtId="168" fontId="44" fillId="0" borderId="46" xfId="41" applyNumberFormat="1" applyFont="1" applyFill="1" applyBorder="1" applyAlignment="1">
      <alignment vertical="center" wrapText="1"/>
    </xf>
    <xf numFmtId="168" fontId="44" fillId="0" borderId="47" xfId="41" applyNumberFormat="1" applyFont="1" applyFill="1" applyBorder="1" applyAlignment="1">
      <alignment vertical="center" wrapText="1"/>
    </xf>
    <xf numFmtId="0" fontId="31" fillId="0" borderId="0" xfId="41" applyFill="1" applyAlignment="1">
      <alignment horizontal="right" vertical="center" wrapText="1"/>
    </xf>
    <xf numFmtId="0" fontId="31" fillId="0" borderId="0" xfId="41" applyFill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32" xfId="0" applyFont="1" applyBorder="1"/>
    <xf numFmtId="0" fontId="5" fillId="0" borderId="48" xfId="0" applyFont="1" applyBorder="1"/>
    <xf numFmtId="0" fontId="50" fillId="0" borderId="10" xfId="0" applyFont="1" applyBorder="1" applyAlignment="1">
      <alignment horizontal="right"/>
    </xf>
    <xf numFmtId="0" fontId="5" fillId="0" borderId="12" xfId="0" applyFont="1" applyBorder="1"/>
    <xf numFmtId="0" fontId="5" fillId="0" borderId="10" xfId="0" applyFont="1" applyBorder="1"/>
    <xf numFmtId="0" fontId="5" fillId="0" borderId="35" xfId="0" applyFont="1" applyBorder="1"/>
    <xf numFmtId="168" fontId="39" fillId="0" borderId="0" xfId="41" applyNumberFormat="1" applyFont="1" applyFill="1" applyAlignment="1">
      <alignment horizontal="right" wrapText="1"/>
    </xf>
    <xf numFmtId="168" fontId="40" fillId="0" borderId="32" xfId="41" applyNumberFormat="1" applyFont="1" applyFill="1" applyBorder="1" applyAlignment="1">
      <alignment horizontal="center" vertical="center" wrapText="1"/>
    </xf>
    <xf numFmtId="168" fontId="40" fillId="0" borderId="33" xfId="41" applyNumberFormat="1" applyFont="1" applyFill="1" applyBorder="1" applyAlignment="1">
      <alignment horizontal="center" vertical="center" wrapText="1"/>
    </xf>
    <xf numFmtId="168" fontId="41" fillId="0" borderId="49" xfId="41" applyNumberFormat="1" applyFont="1" applyFill="1" applyBorder="1" applyAlignment="1" applyProtection="1">
      <alignment horizontal="center" vertical="center" wrapText="1"/>
    </xf>
    <xf numFmtId="168" fontId="41" fillId="0" borderId="46" xfId="41" applyNumberFormat="1" applyFont="1" applyFill="1" applyBorder="1" applyAlignment="1" applyProtection="1">
      <alignment horizontal="center" vertical="center" wrapText="1"/>
    </xf>
    <xf numFmtId="168" fontId="41" fillId="0" borderId="47" xfId="41" applyNumberFormat="1" applyFont="1" applyFill="1" applyBorder="1" applyAlignment="1" applyProtection="1">
      <alignment horizontal="center" vertical="center" wrapText="1"/>
    </xf>
    <xf numFmtId="168" fontId="51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8" fontId="52" fillId="0" borderId="12" xfId="41" applyNumberFormat="1" applyFont="1" applyFill="1" applyBorder="1" applyAlignment="1" applyProtection="1">
      <alignment vertical="center" wrapText="1"/>
      <protection locked="0"/>
    </xf>
    <xf numFmtId="1" fontId="52" fillId="0" borderId="12" xfId="41" applyNumberFormat="1" applyFont="1" applyFill="1" applyBorder="1" applyAlignment="1" applyProtection="1">
      <alignment vertical="center" wrapText="1"/>
      <protection locked="0"/>
    </xf>
    <xf numFmtId="168" fontId="52" fillId="0" borderId="11" xfId="41" applyNumberFormat="1" applyFont="1" applyFill="1" applyBorder="1" applyAlignment="1" applyProtection="1">
      <alignment vertical="center" wrapText="1"/>
    </xf>
    <xf numFmtId="168" fontId="53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8" fontId="54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8" fontId="40" fillId="0" borderId="32" xfId="41" applyNumberFormat="1" applyFont="1" applyFill="1" applyBorder="1" applyAlignment="1">
      <alignment horizontal="left" vertical="center" wrapText="1"/>
    </xf>
    <xf numFmtId="168" fontId="40" fillId="0" borderId="33" xfId="41" applyNumberFormat="1" applyFont="1" applyFill="1" applyBorder="1" applyAlignment="1">
      <alignment vertical="center" wrapText="1"/>
    </xf>
    <xf numFmtId="168" fontId="40" fillId="18" borderId="33" xfId="41" applyNumberFormat="1" applyFont="1" applyFill="1" applyBorder="1" applyAlignment="1" applyProtection="1">
      <alignment vertical="center" wrapText="1"/>
    </xf>
    <xf numFmtId="168" fontId="40" fillId="0" borderId="30" xfId="41" applyNumberFormat="1" applyFont="1" applyFill="1" applyBorder="1" applyAlignment="1" applyProtection="1">
      <alignment vertical="center" wrapText="1"/>
    </xf>
    <xf numFmtId="0" fontId="0" fillId="0" borderId="12" xfId="0" applyBorder="1"/>
    <xf numFmtId="1" fontId="52" fillId="0" borderId="12" xfId="41" applyNumberFormat="1" applyFont="1" applyFill="1" applyBorder="1" applyAlignment="1" applyProtection="1">
      <alignment horizontal="right" vertical="center" wrapText="1"/>
      <protection locked="0"/>
    </xf>
    <xf numFmtId="0" fontId="4" fillId="0" borderId="10" xfId="40" applyFont="1" applyBorder="1" applyAlignment="1">
      <alignment horizontal="center" vertical="center"/>
    </xf>
    <xf numFmtId="0" fontId="55" fillId="0" borderId="0" xfId="40" applyFont="1" applyAlignment="1">
      <alignment vertical="center"/>
    </xf>
    <xf numFmtId="166" fontId="3" fillId="0" borderId="0" xfId="42" applyNumberFormat="1" applyFont="1" applyAlignment="1">
      <alignment vertical="center"/>
    </xf>
    <xf numFmtId="0" fontId="5" fillId="0" borderId="0" xfId="42" applyFont="1" applyAlignment="1">
      <alignment horizontal="right" vertical="center"/>
    </xf>
    <xf numFmtId="3" fontId="5" fillId="0" borderId="0" xfId="42" applyNumberFormat="1" applyFont="1" applyAlignment="1">
      <alignment vertical="center"/>
    </xf>
    <xf numFmtId="166" fontId="5" fillId="0" borderId="0" xfId="42" applyNumberFormat="1" applyFont="1" applyAlignment="1">
      <alignment vertical="center"/>
    </xf>
    <xf numFmtId="0" fontId="11" fillId="0" borderId="12" xfId="42" applyFont="1" applyBorder="1" applyAlignment="1">
      <alignment horizontal="left" vertical="center"/>
    </xf>
    <xf numFmtId="166" fontId="6" fillId="0" borderId="0" xfId="40" applyNumberFormat="1" applyFont="1" applyAlignment="1">
      <alignment vertical="center"/>
    </xf>
    <xf numFmtId="0" fontId="0" fillId="0" borderId="48" xfId="0" applyBorder="1"/>
    <xf numFmtId="0" fontId="0" fillId="0" borderId="35" xfId="0" applyBorder="1"/>
    <xf numFmtId="0" fontId="0" fillId="0" borderId="10" xfId="0" applyBorder="1"/>
    <xf numFmtId="0" fontId="0" fillId="0" borderId="50" xfId="0" applyBorder="1"/>
    <xf numFmtId="0" fontId="13" fillId="0" borderId="0" xfId="42" applyFont="1" applyBorder="1" applyAlignment="1">
      <alignment vertical="center"/>
    </xf>
    <xf numFmtId="166" fontId="12" fillId="0" borderId="0" xfId="42" applyNumberFormat="1" applyFont="1" applyBorder="1" applyAlignment="1">
      <alignment vertical="center"/>
    </xf>
    <xf numFmtId="166" fontId="12" fillId="0" borderId="0" xfId="42" applyNumberFormat="1" applyFont="1" applyBorder="1" applyAlignment="1">
      <alignment horizontal="center" vertical="center"/>
    </xf>
    <xf numFmtId="0" fontId="0" fillId="0" borderId="0" xfId="0" applyBorder="1"/>
    <xf numFmtId="0" fontId="0" fillId="0" borderId="43" xfId="0" applyBorder="1"/>
    <xf numFmtId="0" fontId="7" fillId="0" borderId="0" xfId="40" applyFont="1" applyBorder="1" applyAlignment="1">
      <alignment horizontal="right"/>
    </xf>
    <xf numFmtId="166" fontId="4" fillId="0" borderId="11" xfId="40" applyNumberFormat="1" applyFont="1" applyBorder="1" applyAlignment="1">
      <alignment horizontal="center"/>
    </xf>
    <xf numFmtId="0" fontId="4" fillId="0" borderId="50" xfId="40" applyFont="1" applyBorder="1" applyAlignment="1">
      <alignment horizontal="center" vertical="center"/>
    </xf>
    <xf numFmtId="0" fontId="4" fillId="0" borderId="23" xfId="40" applyFont="1" applyBorder="1" applyAlignment="1">
      <alignment vertical="center"/>
    </xf>
    <xf numFmtId="0" fontId="4" fillId="0" borderId="23" xfId="40" applyFont="1" applyBorder="1" applyAlignment="1">
      <alignment horizontal="center" vertical="center"/>
    </xf>
    <xf numFmtId="166" fontId="4" fillId="0" borderId="26" xfId="40" applyNumberFormat="1" applyFont="1" applyBorder="1" applyAlignment="1">
      <alignment horizontal="center"/>
    </xf>
    <xf numFmtId="14" fontId="43" fillId="0" borderId="12" xfId="41" applyNumberFormat="1" applyFont="1" applyFill="1" applyBorder="1" applyAlignment="1" applyProtection="1">
      <alignment horizontal="left" vertical="center" wrapText="1" indent="2"/>
      <protection locked="0"/>
    </xf>
    <xf numFmtId="0" fontId="12" fillId="0" borderId="11" xfId="40" applyFont="1" applyBorder="1" applyAlignment="1">
      <alignment horizontal="center" vertical="center" wrapText="1"/>
    </xf>
    <xf numFmtId="166" fontId="14" fillId="0" borderId="0" xfId="0" applyNumberFormat="1" applyFont="1"/>
    <xf numFmtId="166" fontId="5" fillId="0" borderId="0" xfId="40" applyNumberFormat="1" applyFont="1" applyAlignment="1">
      <alignment horizontal="center" vertical="center" wrapText="1"/>
    </xf>
    <xf numFmtId="0" fontId="5" fillId="0" borderId="0" xfId="40" applyFont="1" applyBorder="1" applyAlignment="1">
      <alignment horizontal="center" vertical="center"/>
    </xf>
    <xf numFmtId="166" fontId="5" fillId="0" borderId="0" xfId="27" applyNumberFormat="1" applyFont="1" applyFill="1" applyBorder="1" applyAlignment="1">
      <alignment horizontal="center"/>
    </xf>
    <xf numFmtId="166" fontId="4" fillId="0" borderId="0" xfId="27" applyNumberFormat="1" applyFont="1" applyFill="1" applyBorder="1" applyAlignment="1">
      <alignment horizontal="center"/>
    </xf>
    <xf numFmtId="0" fontId="4" fillId="0" borderId="0" xfId="40" applyFont="1" applyBorder="1" applyAlignment="1">
      <alignment horizontal="center" vertical="center"/>
    </xf>
    <xf numFmtId="166" fontId="4" fillId="0" borderId="0" xfId="40" applyNumberFormat="1" applyFont="1" applyBorder="1" applyAlignment="1">
      <alignment horizontal="center"/>
    </xf>
    <xf numFmtId="0" fontId="58" fillId="0" borderId="0" xfId="0" applyFont="1"/>
    <xf numFmtId="0" fontId="13" fillId="0" borderId="12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center" vertical="center"/>
    </xf>
    <xf numFmtId="166" fontId="5" fillId="0" borderId="12" xfId="27" applyNumberFormat="1" applyFont="1" applyFill="1" applyBorder="1" applyAlignment="1">
      <alignment horizontal="center"/>
    </xf>
    <xf numFmtId="0" fontId="5" fillId="0" borderId="12" xfId="40" applyFont="1" applyBorder="1" applyAlignment="1">
      <alignment horizontal="center" vertical="center"/>
    </xf>
    <xf numFmtId="166" fontId="13" fillId="0" borderId="12" xfId="27" applyNumberFormat="1" applyFont="1" applyFill="1" applyBorder="1" applyAlignment="1">
      <alignment horizontal="center"/>
    </xf>
    <xf numFmtId="0" fontId="4" fillId="0" borderId="12" xfId="40" applyFont="1" applyBorder="1" applyAlignment="1">
      <alignment horizontal="center" vertical="center"/>
    </xf>
    <xf numFmtId="166" fontId="4" fillId="0" borderId="12" xfId="27" applyNumberFormat="1" applyFont="1" applyFill="1" applyBorder="1" applyAlignment="1">
      <alignment horizontal="center"/>
    </xf>
    <xf numFmtId="0" fontId="5" fillId="18" borderId="12" xfId="40" applyFont="1" applyFill="1" applyBorder="1" applyAlignment="1">
      <alignment horizontal="center" vertical="center"/>
    </xf>
    <xf numFmtId="0" fontId="12" fillId="18" borderId="11" xfId="40" applyFont="1" applyFill="1" applyBorder="1" applyAlignment="1">
      <alignment horizontal="center" vertical="center" wrapText="1"/>
    </xf>
    <xf numFmtId="0" fontId="58" fillId="0" borderId="10" xfId="0" applyFont="1" applyBorder="1"/>
    <xf numFmtId="166" fontId="4" fillId="0" borderId="26" xfId="27" applyNumberFormat="1" applyFont="1" applyFill="1" applyBorder="1" applyAlignment="1">
      <alignment horizontal="center"/>
    </xf>
    <xf numFmtId="0" fontId="13" fillId="0" borderId="51" xfId="40" applyFont="1" applyBorder="1" applyAlignment="1">
      <alignment horizontal="center" vertical="center" wrapText="1"/>
    </xf>
    <xf numFmtId="0" fontId="0" fillId="18" borderId="10" xfId="0" applyFill="1" applyBorder="1"/>
    <xf numFmtId="166" fontId="7" fillId="18" borderId="11" xfId="27" applyNumberFormat="1" applyFont="1" applyFill="1" applyBorder="1" applyAlignment="1">
      <alignment horizontal="center"/>
    </xf>
    <xf numFmtId="0" fontId="0" fillId="18" borderId="35" xfId="0" applyFill="1" applyBorder="1"/>
    <xf numFmtId="166" fontId="5" fillId="18" borderId="37" xfId="27" applyNumberFormat="1" applyFont="1" applyFill="1" applyBorder="1" applyAlignment="1">
      <alignment horizontal="center"/>
    </xf>
    <xf numFmtId="0" fontId="5" fillId="0" borderId="37" xfId="40" applyFont="1" applyBorder="1" applyAlignment="1">
      <alignment horizontal="center" vertical="center"/>
    </xf>
    <xf numFmtId="166" fontId="5" fillId="0" borderId="38" xfId="27" applyNumberFormat="1" applyFont="1" applyFill="1" applyBorder="1" applyAlignment="1">
      <alignment horizontal="center"/>
    </xf>
    <xf numFmtId="166" fontId="5" fillId="0" borderId="45" xfId="27" applyNumberFormat="1" applyFont="1" applyFill="1" applyBorder="1" applyAlignment="1">
      <alignment horizontal="center"/>
    </xf>
    <xf numFmtId="0" fontId="5" fillId="0" borderId="45" xfId="40" applyFont="1" applyBorder="1" applyAlignment="1">
      <alignment horizontal="center" vertical="center"/>
    </xf>
    <xf numFmtId="166" fontId="5" fillId="0" borderId="44" xfId="27" applyNumberFormat="1" applyFont="1" applyFill="1" applyBorder="1" applyAlignment="1">
      <alignment horizontal="center"/>
    </xf>
    <xf numFmtId="0" fontId="58" fillId="0" borderId="32" xfId="0" applyFont="1" applyBorder="1"/>
    <xf numFmtId="166" fontId="13" fillId="0" borderId="33" xfId="27" applyNumberFormat="1" applyFont="1" applyFill="1" applyBorder="1" applyAlignment="1">
      <alignment horizontal="center"/>
    </xf>
    <xf numFmtId="0" fontId="13" fillId="0" borderId="33" xfId="40" applyFont="1" applyBorder="1" applyAlignment="1">
      <alignment horizontal="center" vertical="center"/>
    </xf>
    <xf numFmtId="0" fontId="13" fillId="0" borderId="33" xfId="40" applyFont="1" applyBorder="1" applyAlignment="1">
      <alignment horizontal="left" vertical="center"/>
    </xf>
    <xf numFmtId="0" fontId="58" fillId="0" borderId="33" xfId="0" applyFont="1" applyBorder="1"/>
    <xf numFmtId="166" fontId="13" fillId="0" borderId="30" xfId="27" applyNumberFormat="1" applyFont="1" applyFill="1" applyBorder="1" applyAlignment="1">
      <alignment horizontal="center"/>
    </xf>
    <xf numFmtId="166" fontId="5" fillId="0" borderId="37" xfId="27" applyNumberFormat="1" applyFont="1" applyFill="1" applyBorder="1" applyAlignment="1">
      <alignment horizontal="center"/>
    </xf>
    <xf numFmtId="166" fontId="13" fillId="0" borderId="30" xfId="27" applyNumberFormat="1" applyFont="1" applyBorder="1" applyAlignment="1">
      <alignment horizontal="center"/>
    </xf>
    <xf numFmtId="0" fontId="7" fillId="18" borderId="12" xfId="40" applyFont="1" applyFill="1" applyBorder="1" applyAlignment="1">
      <alignment horizontal="center" vertical="center"/>
    </xf>
    <xf numFmtId="0" fontId="0" fillId="18" borderId="39" xfId="0" applyFill="1" applyBorder="1"/>
    <xf numFmtId="0" fontId="5" fillId="18" borderId="41" xfId="40" applyFont="1" applyFill="1" applyBorder="1" applyAlignment="1">
      <alignment horizontal="left"/>
    </xf>
    <xf numFmtId="166" fontId="5" fillId="18" borderId="41" xfId="27" applyNumberFormat="1" applyFont="1" applyFill="1" applyBorder="1" applyAlignment="1">
      <alignment horizontal="center"/>
    </xf>
    <xf numFmtId="0" fontId="11" fillId="0" borderId="12" xfId="40" applyFont="1" applyBorder="1" applyAlignment="1">
      <alignment horizontal="center" vertical="center"/>
    </xf>
    <xf numFmtId="166" fontId="5" fillId="0" borderId="0" xfId="40" applyNumberFormat="1" applyFont="1" applyBorder="1" applyAlignment="1">
      <alignment horizontal="center" vertical="center"/>
    </xf>
    <xf numFmtId="0" fontId="5" fillId="0" borderId="12" xfId="40" applyFont="1" applyBorder="1" applyAlignment="1">
      <alignment horizontal="left"/>
    </xf>
    <xf numFmtId="49" fontId="5" fillId="0" borderId="12" xfId="0" applyNumberFormat="1" applyFont="1" applyBorder="1" applyAlignment="1">
      <alignment horizontal="center"/>
    </xf>
    <xf numFmtId="49" fontId="5" fillId="0" borderId="12" xfId="40" applyNumberFormat="1" applyFont="1" applyBorder="1" applyAlignment="1">
      <alignment horizontal="left"/>
    </xf>
    <xf numFmtId="0" fontId="7" fillId="0" borderId="10" xfId="40" applyFont="1" applyBorder="1" applyAlignment="1">
      <alignment horizontal="center" vertical="center"/>
    </xf>
    <xf numFmtId="0" fontId="59" fillId="0" borderId="0" xfId="40" applyFont="1" applyAlignment="1">
      <alignment vertical="center"/>
    </xf>
    <xf numFmtId="166" fontId="13" fillId="0" borderId="41" xfId="27" applyNumberFormat="1" applyFont="1" applyFill="1" applyBorder="1" applyAlignment="1">
      <alignment horizontal="center"/>
    </xf>
    <xf numFmtId="0" fontId="13" fillId="0" borderId="41" xfId="40" applyFont="1" applyBorder="1" applyAlignment="1">
      <alignment horizontal="center" vertical="center"/>
    </xf>
    <xf numFmtId="0" fontId="13" fillId="0" borderId="41" xfId="40" applyFont="1" applyBorder="1" applyAlignment="1">
      <alignment horizontal="left" vertical="center"/>
    </xf>
    <xf numFmtId="0" fontId="58" fillId="0" borderId="41" xfId="0" applyFont="1" applyBorder="1"/>
    <xf numFmtId="166" fontId="13" fillId="0" borderId="42" xfId="27" applyNumberFormat="1" applyFont="1" applyFill="1" applyBorder="1" applyAlignment="1">
      <alignment horizontal="center"/>
    </xf>
    <xf numFmtId="0" fontId="13" fillId="0" borderId="39" xfId="0" applyFont="1" applyBorder="1"/>
    <xf numFmtId="0" fontId="13" fillId="0" borderId="41" xfId="40" applyFont="1" applyBorder="1" applyAlignment="1">
      <alignment horizontal="left" vertical="center" wrapText="1"/>
    </xf>
    <xf numFmtId="166" fontId="13" fillId="0" borderId="42" xfId="27" applyNumberFormat="1" applyFont="1" applyBorder="1" applyAlignment="1">
      <alignment horizontal="center"/>
    </xf>
    <xf numFmtId="168" fontId="61" fillId="0" borderId="0" xfId="41" applyNumberFormat="1" applyFont="1" applyFill="1" applyAlignment="1">
      <alignment horizontal="center" vertical="center" wrapText="1"/>
    </xf>
    <xf numFmtId="168" fontId="61" fillId="0" borderId="0" xfId="41" applyNumberFormat="1" applyFont="1" applyFill="1" applyAlignment="1">
      <alignment vertical="center" wrapText="1"/>
    </xf>
    <xf numFmtId="168" fontId="18" fillId="0" borderId="0" xfId="41" applyNumberFormat="1" applyFont="1" applyFill="1" applyAlignment="1">
      <alignment horizontal="right" wrapText="1"/>
    </xf>
    <xf numFmtId="168" fontId="31" fillId="0" borderId="0" xfId="41" applyNumberFormat="1" applyFont="1" applyFill="1" applyAlignment="1">
      <alignment horizontal="right" vertical="center"/>
    </xf>
    <xf numFmtId="170" fontId="0" fillId="0" borderId="0" xfId="26" applyNumberFormat="1" applyFont="1"/>
    <xf numFmtId="168" fontId="39" fillId="0" borderId="0" xfId="41" applyNumberFormat="1" applyFont="1" applyFill="1" applyAlignment="1">
      <alignment horizontal="right"/>
    </xf>
    <xf numFmtId="168" fontId="31" fillId="0" borderId="0" xfId="41" applyNumberFormat="1" applyFont="1" applyFill="1" applyAlignment="1">
      <alignment horizontal="right" vertical="center" wrapText="1"/>
    </xf>
    <xf numFmtId="168" fontId="31" fillId="0" borderId="0" xfId="41" applyNumberFormat="1" applyFont="1" applyFill="1" applyAlignment="1">
      <alignment vertical="center" wrapText="1"/>
    </xf>
    <xf numFmtId="170" fontId="11" fillId="0" borderId="0" xfId="26" applyNumberFormat="1" applyFont="1"/>
    <xf numFmtId="170" fontId="5" fillId="0" borderId="33" xfId="26" applyNumberFormat="1" applyFont="1" applyBorder="1" applyAlignment="1">
      <alignment horizontal="center"/>
    </xf>
    <xf numFmtId="170" fontId="5" fillId="0" borderId="30" xfId="26" applyNumberFormat="1" applyFont="1" applyBorder="1" applyAlignment="1">
      <alignment horizontal="center"/>
    </xf>
    <xf numFmtId="170" fontId="5" fillId="0" borderId="45" xfId="26" applyNumberFormat="1" applyFont="1" applyBorder="1"/>
    <xf numFmtId="170" fontId="5" fillId="0" borderId="44" xfId="26" applyNumberFormat="1" applyFont="1" applyBorder="1"/>
    <xf numFmtId="170" fontId="5" fillId="0" borderId="12" xfId="26" applyNumberFormat="1" applyFont="1" applyBorder="1"/>
    <xf numFmtId="170" fontId="5" fillId="0" borderId="37" xfId="26" applyNumberFormat="1" applyFont="1" applyBorder="1"/>
    <xf numFmtId="170" fontId="5" fillId="0" borderId="42" xfId="26" applyNumberFormat="1" applyFont="1" applyBorder="1"/>
    <xf numFmtId="170" fontId="5" fillId="0" borderId="33" xfId="26" applyNumberFormat="1" applyFont="1" applyBorder="1"/>
    <xf numFmtId="170" fontId="5" fillId="0" borderId="30" xfId="26" applyNumberFormat="1" applyFont="1" applyBorder="1"/>
    <xf numFmtId="170" fontId="5" fillId="0" borderId="0" xfId="26" applyNumberFormat="1" applyFont="1"/>
    <xf numFmtId="168" fontId="31" fillId="0" borderId="0" xfId="41" applyNumberFormat="1" applyFont="1" applyFill="1" applyBorder="1" applyAlignment="1">
      <alignment vertical="center" wrapText="1"/>
    </xf>
    <xf numFmtId="168" fontId="53" fillId="0" borderId="0" xfId="41" applyNumberFormat="1" applyFont="1" applyFill="1" applyBorder="1" applyAlignment="1" applyProtection="1">
      <alignment horizontal="left" vertical="center" wrapText="1" indent="1"/>
      <protection locked="0"/>
    </xf>
    <xf numFmtId="168" fontId="31" fillId="0" borderId="0" xfId="41" applyNumberFormat="1" applyFill="1" applyBorder="1" applyAlignment="1">
      <alignment vertical="center" wrapText="1"/>
    </xf>
    <xf numFmtId="0" fontId="31" fillId="0" borderId="0" xfId="41" applyNumberFormat="1" applyFill="1" applyBorder="1" applyAlignment="1">
      <alignment horizontal="center" vertical="center" wrapText="1"/>
    </xf>
    <xf numFmtId="168" fontId="31" fillId="0" borderId="0" xfId="41" applyNumberFormat="1" applyFill="1" applyBorder="1" applyAlignment="1">
      <alignment horizontal="center" vertical="center" wrapText="1"/>
    </xf>
    <xf numFmtId="0" fontId="31" fillId="0" borderId="0" xfId="41" applyNumberFormat="1" applyFill="1" applyBorder="1" applyAlignment="1">
      <alignment vertical="center" wrapText="1"/>
    </xf>
    <xf numFmtId="0" fontId="31" fillId="0" borderId="0" xfId="41" applyNumberFormat="1" applyFont="1" applyFill="1" applyBorder="1" applyAlignment="1">
      <alignment horizontal="center" vertical="center" wrapText="1"/>
    </xf>
    <xf numFmtId="0" fontId="31" fillId="0" borderId="0" xfId="41" applyNumberFormat="1" applyFill="1" applyAlignment="1">
      <alignment horizontal="center" vertical="center" wrapText="1"/>
    </xf>
    <xf numFmtId="0" fontId="5" fillId="0" borderId="0" xfId="40" applyFont="1" applyBorder="1" applyAlignment="1">
      <alignment horizontal="left"/>
    </xf>
    <xf numFmtId="170" fontId="0" fillId="0" borderId="0" xfId="0" applyNumberFormat="1"/>
    <xf numFmtId="0" fontId="5" fillId="0" borderId="12" xfId="40" applyFont="1" applyBorder="1" applyAlignment="1">
      <alignment horizontal="left" vertical="center"/>
    </xf>
    <xf numFmtId="49" fontId="5" fillId="0" borderId="12" xfId="40" applyNumberFormat="1" applyFont="1" applyBorder="1" applyAlignment="1">
      <alignment horizontal="right"/>
    </xf>
    <xf numFmtId="166" fontId="9" fillId="0" borderId="12" xfId="27" applyNumberFormat="1" applyFont="1" applyFill="1" applyBorder="1" applyAlignment="1">
      <alignment horizontal="center"/>
    </xf>
    <xf numFmtId="0" fontId="13" fillId="0" borderId="43" xfId="40" applyFont="1" applyBorder="1" applyAlignment="1">
      <alignment horizontal="center" vertical="center" wrapText="1"/>
    </xf>
    <xf numFmtId="170" fontId="6" fillId="0" borderId="11" xfId="26" applyNumberFormat="1" applyFont="1" applyBorder="1" applyAlignment="1">
      <alignment vertical="center"/>
    </xf>
    <xf numFmtId="170" fontId="55" fillId="0" borderId="11" xfId="26" applyNumberFormat="1" applyFont="1" applyBorder="1" applyAlignment="1">
      <alignment vertical="center"/>
    </xf>
    <xf numFmtId="0" fontId="12" fillId="18" borderId="19" xfId="40" applyFont="1" applyFill="1" applyBorder="1" applyAlignment="1">
      <alignment horizontal="center" vertical="center" wrapText="1"/>
    </xf>
    <xf numFmtId="166" fontId="5" fillId="0" borderId="19" xfId="40" applyNumberFormat="1" applyFont="1" applyBorder="1" applyAlignment="1">
      <alignment horizontal="center" vertical="center"/>
    </xf>
    <xf numFmtId="166" fontId="5" fillId="0" borderId="19" xfId="27" applyNumberFormat="1" applyFont="1" applyBorder="1" applyAlignment="1">
      <alignment horizontal="center"/>
    </xf>
    <xf numFmtId="166" fontId="7" fillId="0" borderId="19" xfId="27" applyNumberFormat="1" applyFont="1" applyBorder="1" applyAlignment="1">
      <alignment horizontal="center"/>
    </xf>
    <xf numFmtId="166" fontId="4" fillId="0" borderId="19" xfId="27" applyNumberFormat="1" applyFont="1" applyBorder="1" applyAlignment="1">
      <alignment horizontal="center"/>
    </xf>
    <xf numFmtId="166" fontId="5" fillId="18" borderId="19" xfId="27" applyNumberFormat="1" applyFont="1" applyFill="1" applyBorder="1" applyAlignment="1">
      <alignment horizontal="center"/>
    </xf>
    <xf numFmtId="166" fontId="9" fillId="0" borderId="19" xfId="27" applyNumberFormat="1" applyFont="1" applyBorder="1" applyAlignment="1">
      <alignment horizontal="center"/>
    </xf>
    <xf numFmtId="0" fontId="12" fillId="18" borderId="52" xfId="40" applyFont="1" applyFill="1" applyBorder="1" applyAlignment="1">
      <alignment horizontal="center" vertical="center" wrapText="1"/>
    </xf>
    <xf numFmtId="170" fontId="5" fillId="0" borderId="11" xfId="26" applyNumberFormat="1" applyFont="1" applyBorder="1" applyAlignment="1">
      <alignment horizontal="center" vertical="center"/>
    </xf>
    <xf numFmtId="0" fontId="11" fillId="0" borderId="41" xfId="40" applyFont="1" applyBorder="1" applyAlignment="1">
      <alignment horizontal="center" vertical="center"/>
    </xf>
    <xf numFmtId="166" fontId="5" fillId="0" borderId="42" xfId="27" applyNumberFormat="1" applyFont="1" applyFill="1" applyBorder="1" applyAlignment="1">
      <alignment horizontal="center"/>
    </xf>
    <xf numFmtId="17" fontId="11" fillId="0" borderId="0" xfId="0" applyNumberFormat="1" applyFont="1"/>
    <xf numFmtId="166" fontId="5" fillId="0" borderId="18" xfId="40" applyNumberFormat="1" applyFont="1" applyBorder="1" applyAlignment="1">
      <alignment horizontal="center" vertical="center"/>
    </xf>
    <xf numFmtId="166" fontId="5" fillId="0" borderId="17" xfId="40" applyNumberFormat="1" applyFont="1" applyBorder="1" applyAlignment="1">
      <alignment horizontal="center" vertical="center"/>
    </xf>
    <xf numFmtId="166" fontId="5" fillId="0" borderId="18" xfId="27" applyNumberFormat="1" applyFont="1" applyBorder="1" applyAlignment="1">
      <alignment horizontal="center"/>
    </xf>
    <xf numFmtId="170" fontId="6" fillId="0" borderId="53" xfId="26" applyNumberFormat="1" applyFont="1" applyBorder="1" applyAlignment="1">
      <alignment vertical="center"/>
    </xf>
    <xf numFmtId="166" fontId="4" fillId="0" borderId="18" xfId="27" applyNumberFormat="1" applyFont="1" applyBorder="1" applyAlignment="1">
      <alignment horizontal="center"/>
    </xf>
    <xf numFmtId="166" fontId="4" fillId="0" borderId="53" xfId="27" applyNumberFormat="1" applyFont="1" applyBorder="1" applyAlignment="1">
      <alignment horizontal="center"/>
    </xf>
    <xf numFmtId="170" fontId="55" fillId="0" borderId="53" xfId="26" applyNumberFormat="1" applyFont="1" applyBorder="1" applyAlignment="1">
      <alignment vertical="center"/>
    </xf>
    <xf numFmtId="166" fontId="7" fillId="0" borderId="12" xfId="27" applyNumberFormat="1" applyFont="1" applyBorder="1" applyAlignment="1">
      <alignment horizontal="center"/>
    </xf>
    <xf numFmtId="166" fontId="4" fillId="0" borderId="12" xfId="27" applyNumberFormat="1" applyFont="1" applyBorder="1" applyAlignment="1">
      <alignment horizontal="center"/>
    </xf>
    <xf numFmtId="166" fontId="5" fillId="0" borderId="12" xfId="27" applyNumberFormat="1" applyFont="1" applyBorder="1" applyAlignment="1">
      <alignment horizontal="center"/>
    </xf>
    <xf numFmtId="3" fontId="5" fillId="0" borderId="12" xfId="40" applyNumberFormat="1" applyFont="1" applyBorder="1" applyAlignment="1">
      <alignment horizontal="center" vertical="center"/>
    </xf>
    <xf numFmtId="3" fontId="5" fillId="0" borderId="19" xfId="27" applyNumberFormat="1" applyFont="1" applyBorder="1" applyAlignment="1">
      <alignment horizontal="center"/>
    </xf>
    <xf numFmtId="3" fontId="5" fillId="0" borderId="12" xfId="27" applyNumberFormat="1" applyFont="1" applyFill="1" applyBorder="1" applyAlignment="1">
      <alignment horizontal="center"/>
    </xf>
    <xf numFmtId="3" fontId="6" fillId="0" borderId="11" xfId="26" applyNumberFormat="1" applyFont="1" applyBorder="1" applyAlignment="1">
      <alignment vertical="center"/>
    </xf>
    <xf numFmtId="3" fontId="5" fillId="0" borderId="12" xfId="27" applyNumberFormat="1" applyFont="1" applyBorder="1" applyAlignment="1">
      <alignment horizontal="center"/>
    </xf>
    <xf numFmtId="3" fontId="5" fillId="0" borderId="53" xfId="27" applyNumberFormat="1" applyFont="1" applyBorder="1" applyAlignment="1">
      <alignment horizontal="center"/>
    </xf>
    <xf numFmtId="3" fontId="7" fillId="0" borderId="53" xfId="27" applyNumberFormat="1" applyFont="1" applyBorder="1" applyAlignment="1">
      <alignment horizontal="center"/>
    </xf>
    <xf numFmtId="3" fontId="7" fillId="0" borderId="18" xfId="27" applyNumberFormat="1" applyFont="1" applyBorder="1" applyAlignment="1">
      <alignment horizontal="center"/>
    </xf>
    <xf numFmtId="3" fontId="7" fillId="0" borderId="12" xfId="27" applyNumberFormat="1" applyFont="1" applyFill="1" applyBorder="1" applyAlignment="1">
      <alignment horizontal="center"/>
    </xf>
    <xf numFmtId="3" fontId="59" fillId="0" borderId="53" xfId="26" applyNumberFormat="1" applyFont="1" applyBorder="1" applyAlignment="1">
      <alignment vertical="center"/>
    </xf>
    <xf numFmtId="3" fontId="4" fillId="0" borderId="12" xfId="27" applyNumberFormat="1" applyFont="1" applyBorder="1" applyAlignment="1">
      <alignment horizontal="center"/>
    </xf>
    <xf numFmtId="3" fontId="4" fillId="0" borderId="53" xfId="27" applyNumberFormat="1" applyFont="1" applyBorder="1" applyAlignment="1">
      <alignment horizontal="center"/>
    </xf>
    <xf numFmtId="3" fontId="5" fillId="0" borderId="18" xfId="27" applyNumberFormat="1" applyFont="1" applyBorder="1" applyAlignment="1">
      <alignment horizontal="center"/>
    </xf>
    <xf numFmtId="3" fontId="4" fillId="0" borderId="18" xfId="27" applyNumberFormat="1" applyFont="1" applyBorder="1" applyAlignment="1">
      <alignment horizontal="center"/>
    </xf>
    <xf numFmtId="3" fontId="7" fillId="0" borderId="12" xfId="27" applyNumberFormat="1" applyFont="1" applyBorder="1" applyAlignment="1">
      <alignment horizontal="center"/>
    </xf>
    <xf numFmtId="166" fontId="9" fillId="0" borderId="12" xfId="27" applyNumberFormat="1" applyFont="1" applyBorder="1" applyAlignment="1">
      <alignment horizontal="center"/>
    </xf>
    <xf numFmtId="166" fontId="4" fillId="0" borderId="53" xfId="40" applyNumberFormat="1" applyFont="1" applyBorder="1" applyAlignment="1">
      <alignment horizontal="center"/>
    </xf>
    <xf numFmtId="166" fontId="4" fillId="0" borderId="12" xfId="40" applyNumberFormat="1" applyFont="1" applyBorder="1" applyAlignment="1">
      <alignment horizontal="center"/>
    </xf>
    <xf numFmtId="0" fontId="63" fillId="0" borderId="0" xfId="0" applyFont="1"/>
    <xf numFmtId="168" fontId="54" fillId="0" borderId="0" xfId="41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12" xfId="0" quotePrefix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/>
    </xf>
    <xf numFmtId="166" fontId="4" fillId="0" borderId="17" xfId="27" applyNumberFormat="1" applyFont="1" applyBorder="1" applyAlignment="1">
      <alignment horizontal="center"/>
    </xf>
    <xf numFmtId="166" fontId="5" fillId="18" borderId="17" xfId="27" applyNumberFormat="1" applyFont="1" applyFill="1" applyBorder="1" applyAlignment="1">
      <alignment horizontal="center"/>
    </xf>
    <xf numFmtId="166" fontId="5" fillId="19" borderId="14" xfId="27" applyNumberFormat="1" applyFont="1" applyFill="1" applyBorder="1" applyAlignment="1">
      <alignment horizontal="center"/>
    </xf>
    <xf numFmtId="166" fontId="5" fillId="0" borderId="22" xfId="27" applyNumberFormat="1" applyFont="1" applyBorder="1" applyAlignment="1">
      <alignment horizontal="center"/>
    </xf>
    <xf numFmtId="0" fontId="0" fillId="0" borderId="0" xfId="0" applyFill="1" applyBorder="1" applyAlignment="1">
      <alignment horizontal="left" wrapText="1"/>
    </xf>
    <xf numFmtId="166" fontId="5" fillId="19" borderId="19" xfId="27" applyNumberFormat="1" applyFont="1" applyFill="1" applyBorder="1" applyAlignment="1">
      <alignment horizontal="center"/>
    </xf>
    <xf numFmtId="166" fontId="4" fillId="0" borderId="11" xfId="27" applyNumberFormat="1" applyFont="1" applyBorder="1" applyAlignment="1">
      <alignment horizontal="center"/>
    </xf>
    <xf numFmtId="166" fontId="7" fillId="0" borderId="12" xfId="27" applyNumberFormat="1" applyFont="1" applyFill="1" applyBorder="1" applyAlignment="1">
      <alignment horizontal="center"/>
    </xf>
    <xf numFmtId="166" fontId="5" fillId="0" borderId="11" xfId="40" applyNumberFormat="1" applyFont="1" applyBorder="1" applyAlignment="1">
      <alignment horizontal="center" vertical="center"/>
    </xf>
    <xf numFmtId="166" fontId="5" fillId="0" borderId="11" xfId="27" applyNumberFormat="1" applyFont="1" applyBorder="1" applyAlignment="1">
      <alignment horizontal="center"/>
    </xf>
    <xf numFmtId="166" fontId="5" fillId="0" borderId="14" xfId="27" applyNumberFormat="1" applyFont="1" applyFill="1" applyBorder="1" applyAlignment="1">
      <alignment horizontal="center"/>
    </xf>
    <xf numFmtId="166" fontId="7" fillId="0" borderId="53" xfId="27" applyNumberFormat="1" applyFont="1" applyBorder="1" applyAlignment="1">
      <alignment horizontal="center"/>
    </xf>
    <xf numFmtId="170" fontId="59" fillId="0" borderId="11" xfId="26" applyNumberFormat="1" applyFont="1" applyBorder="1" applyAlignment="1">
      <alignment vertical="center"/>
    </xf>
    <xf numFmtId="166" fontId="5" fillId="0" borderId="53" xfId="40" applyNumberFormat="1" applyFont="1" applyBorder="1" applyAlignment="1">
      <alignment horizontal="center" vertical="center"/>
    </xf>
    <xf numFmtId="0" fontId="13" fillId="0" borderId="48" xfId="40" applyFont="1" applyBorder="1" applyAlignment="1">
      <alignment horizontal="center" vertical="center" wrapText="1"/>
    </xf>
    <xf numFmtId="0" fontId="6" fillId="0" borderId="26" xfId="40" applyFont="1" applyBorder="1" applyAlignment="1">
      <alignment vertical="center"/>
    </xf>
    <xf numFmtId="0" fontId="4" fillId="22" borderId="10" xfId="40" applyFont="1" applyFill="1" applyBorder="1" applyAlignment="1">
      <alignment horizontal="center" vertical="center"/>
    </xf>
    <xf numFmtId="0" fontId="4" fillId="22" borderId="50" xfId="40" applyFont="1" applyFill="1" applyBorder="1" applyAlignment="1">
      <alignment horizontal="center" vertical="center"/>
    </xf>
    <xf numFmtId="0" fontId="4" fillId="22" borderId="23" xfId="40" applyFont="1" applyFill="1" applyBorder="1" applyAlignment="1">
      <alignment vertical="center"/>
    </xf>
    <xf numFmtId="0" fontId="5" fillId="0" borderId="12" xfId="40" applyFont="1" applyFill="1" applyBorder="1" applyAlignment="1">
      <alignment horizontal="left"/>
    </xf>
    <xf numFmtId="166" fontId="7" fillId="23" borderId="12" xfId="40" applyNumberFormat="1" applyFont="1" applyFill="1" applyBorder="1" applyAlignment="1">
      <alignment horizontal="center" vertical="center"/>
    </xf>
    <xf numFmtId="166" fontId="7" fillId="23" borderId="18" xfId="40" applyNumberFormat="1" applyFont="1" applyFill="1" applyBorder="1" applyAlignment="1">
      <alignment horizontal="center" vertical="center"/>
    </xf>
    <xf numFmtId="166" fontId="7" fillId="23" borderId="53" xfId="40" applyNumberFormat="1" applyFont="1" applyFill="1" applyBorder="1" applyAlignment="1">
      <alignment horizontal="center" vertical="center"/>
    </xf>
    <xf numFmtId="166" fontId="7" fillId="23" borderId="12" xfId="27" applyNumberFormat="1" applyFont="1" applyFill="1" applyBorder="1" applyAlignment="1">
      <alignment horizontal="center"/>
    </xf>
    <xf numFmtId="170" fontId="59" fillId="23" borderId="11" xfId="26" applyNumberFormat="1" applyFont="1" applyFill="1" applyBorder="1" applyAlignment="1">
      <alignment vertical="center"/>
    </xf>
    <xf numFmtId="3" fontId="7" fillId="23" borderId="12" xfId="27" applyNumberFormat="1" applyFont="1" applyFill="1" applyBorder="1" applyAlignment="1">
      <alignment horizontal="center"/>
    </xf>
    <xf numFmtId="3" fontId="7" fillId="23" borderId="53" xfId="27" applyNumberFormat="1" applyFont="1" applyFill="1" applyBorder="1" applyAlignment="1">
      <alignment horizontal="center"/>
    </xf>
    <xf numFmtId="3" fontId="7" fillId="23" borderId="18" xfId="27" applyNumberFormat="1" applyFont="1" applyFill="1" applyBorder="1" applyAlignment="1">
      <alignment horizontal="center"/>
    </xf>
    <xf numFmtId="3" fontId="68" fillId="0" borderId="19" xfId="27" applyNumberFormat="1" applyFont="1" applyBorder="1" applyAlignment="1">
      <alignment horizontal="center"/>
    </xf>
    <xf numFmtId="3" fontId="68" fillId="0" borderId="12" xfId="27" applyNumberFormat="1" applyFont="1" applyFill="1" applyBorder="1" applyAlignment="1">
      <alignment horizontal="center"/>
    </xf>
    <xf numFmtId="3" fontId="5" fillId="0" borderId="19" xfId="27" applyNumberFormat="1" applyFont="1" applyFill="1" applyBorder="1" applyAlignment="1">
      <alignment horizontal="center"/>
    </xf>
    <xf numFmtId="168" fontId="51" fillId="0" borderId="12" xfId="41" applyNumberFormat="1" applyFont="1" applyFill="1" applyBorder="1" applyAlignment="1" applyProtection="1">
      <alignment vertical="center" wrapText="1"/>
      <protection locked="0"/>
    </xf>
    <xf numFmtId="166" fontId="9" fillId="0" borderId="19" xfId="27" applyNumberFormat="1" applyFont="1" applyFill="1" applyBorder="1" applyAlignment="1">
      <alignment horizontal="center"/>
    </xf>
    <xf numFmtId="3" fontId="3" fillId="0" borderId="0" xfId="42" applyNumberFormat="1" applyFont="1" applyAlignment="1">
      <alignment vertical="center"/>
    </xf>
    <xf numFmtId="3" fontId="2" fillId="0" borderId="0" xfId="42" applyNumberFormat="1" applyFont="1" applyAlignment="1">
      <alignment vertical="center"/>
    </xf>
    <xf numFmtId="0" fontId="5" fillId="0" borderId="12" xfId="40" applyFont="1" applyBorder="1" applyAlignment="1">
      <alignment horizontal="left" vertical="center"/>
    </xf>
    <xf numFmtId="0" fontId="5" fillId="0" borderId="12" xfId="40" applyFont="1" applyBorder="1" applyAlignment="1">
      <alignment horizontal="left"/>
    </xf>
    <xf numFmtId="0" fontId="13" fillId="0" borderId="43" xfId="40" applyFont="1" applyBorder="1" applyAlignment="1">
      <alignment horizontal="center" vertical="center" wrapText="1"/>
    </xf>
    <xf numFmtId="168" fontId="54" fillId="0" borderId="49" xfId="41" applyNumberFormat="1" applyFont="1" applyFill="1" applyBorder="1" applyAlignment="1" applyProtection="1">
      <alignment horizontal="left" vertical="center" wrapText="1" indent="1"/>
      <protection locked="0"/>
    </xf>
    <xf numFmtId="168" fontId="52" fillId="0" borderId="46" xfId="41" applyNumberFormat="1" applyFont="1" applyFill="1" applyBorder="1" applyAlignment="1" applyProtection="1">
      <alignment vertical="center" wrapText="1"/>
      <protection locked="0"/>
    </xf>
    <xf numFmtId="1" fontId="52" fillId="0" borderId="46" xfId="41" applyNumberFormat="1" applyFont="1" applyFill="1" applyBorder="1" applyAlignment="1" applyProtection="1">
      <alignment vertical="center" wrapText="1"/>
      <protection locked="0"/>
    </xf>
    <xf numFmtId="168" fontId="52" fillId="0" borderId="47" xfId="41" applyNumberFormat="1" applyFont="1" applyFill="1" applyBorder="1" applyAlignment="1" applyProtection="1">
      <alignment vertical="center" wrapText="1"/>
    </xf>
    <xf numFmtId="166" fontId="5" fillId="0" borderId="53" xfId="27" applyNumberFormat="1" applyFont="1" applyBorder="1" applyAlignment="1">
      <alignment horizontal="center"/>
    </xf>
    <xf numFmtId="166" fontId="5" fillId="19" borderId="65" xfId="27" applyNumberFormat="1" applyFont="1" applyFill="1" applyBorder="1" applyAlignment="1">
      <alignment horizontal="center"/>
    </xf>
    <xf numFmtId="166" fontId="5" fillId="18" borderId="53" xfId="27" applyNumberFormat="1" applyFont="1" applyFill="1" applyBorder="1" applyAlignment="1">
      <alignment horizontal="center"/>
    </xf>
    <xf numFmtId="3" fontId="5" fillId="0" borderId="11" xfId="40" applyNumberFormat="1" applyFont="1" applyBorder="1" applyAlignment="1">
      <alignment horizontal="center" vertical="center"/>
    </xf>
    <xf numFmtId="3" fontId="5" fillId="0" borderId="11" xfId="27" applyNumberFormat="1" applyFont="1" applyFill="1" applyBorder="1" applyAlignment="1">
      <alignment horizontal="center"/>
    </xf>
    <xf numFmtId="3" fontId="5" fillId="0" borderId="11" xfId="27" applyNumberFormat="1" applyFont="1" applyBorder="1" applyAlignment="1">
      <alignment horizontal="center"/>
    </xf>
    <xf numFmtId="3" fontId="7" fillId="0" borderId="11" xfId="27" applyNumberFormat="1" applyFont="1" applyFill="1" applyBorder="1" applyAlignment="1">
      <alignment horizontal="center"/>
    </xf>
    <xf numFmtId="3" fontId="4" fillId="0" borderId="11" xfId="27" applyNumberFormat="1" applyFont="1" applyBorder="1" applyAlignment="1">
      <alignment horizontal="center"/>
    </xf>
    <xf numFmtId="166" fontId="9" fillId="0" borderId="11" xfId="27" applyNumberFormat="1" applyFont="1" applyFill="1" applyBorder="1" applyAlignment="1">
      <alignment horizontal="center"/>
    </xf>
    <xf numFmtId="166" fontId="9" fillId="0" borderId="53" xfId="27" applyNumberFormat="1" applyFont="1" applyBorder="1" applyAlignment="1">
      <alignment horizontal="center"/>
    </xf>
    <xf numFmtId="0" fontId="5" fillId="0" borderId="12" xfId="40" applyFont="1" applyBorder="1" applyAlignment="1">
      <alignment horizontal="left" vertical="center"/>
    </xf>
    <xf numFmtId="0" fontId="5" fillId="0" borderId="12" xfId="40" applyFont="1" applyBorder="1" applyAlignment="1">
      <alignment horizontal="left"/>
    </xf>
    <xf numFmtId="0" fontId="5" fillId="0" borderId="17" xfId="40" applyFont="1" applyBorder="1" applyAlignment="1">
      <alignment horizontal="left"/>
    </xf>
    <xf numFmtId="0" fontId="13" fillId="0" borderId="43" xfId="4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17" xfId="0" quotePrefix="1" applyFont="1" applyBorder="1" applyAlignment="1">
      <alignment horizontal="center" vertical="center"/>
    </xf>
    <xf numFmtId="166" fontId="14" fillId="0" borderId="17" xfId="0" applyNumberFormat="1" applyFont="1" applyFill="1" applyBorder="1" applyAlignment="1">
      <alignment horizontal="center"/>
    </xf>
    <xf numFmtId="166" fontId="14" fillId="0" borderId="18" xfId="0" applyNumberFormat="1" applyFont="1" applyFill="1" applyBorder="1" applyAlignment="1">
      <alignment horizontal="center"/>
    </xf>
    <xf numFmtId="166" fontId="14" fillId="0" borderId="19" xfId="0" applyNumberFormat="1" applyFont="1" applyFill="1" applyBorder="1" applyAlignment="1">
      <alignment horizontal="center"/>
    </xf>
    <xf numFmtId="0" fontId="16" fillId="0" borderId="0" xfId="0" applyFont="1" applyAlignment="1">
      <alignment horizontal="center" vertical="center"/>
    </xf>
    <xf numFmtId="166" fontId="14" fillId="0" borderId="17" xfId="0" applyNumberFormat="1" applyFont="1" applyBorder="1" applyAlignment="1">
      <alignment horizontal="center"/>
    </xf>
    <xf numFmtId="166" fontId="14" fillId="0" borderId="18" xfId="0" applyNumberFormat="1" applyFont="1" applyBorder="1" applyAlignment="1">
      <alignment horizontal="center"/>
    </xf>
    <xf numFmtId="166" fontId="14" fillId="0" borderId="19" xfId="0" applyNumberFormat="1" applyFont="1" applyBorder="1" applyAlignment="1">
      <alignment horizontal="center"/>
    </xf>
    <xf numFmtId="166" fontId="5" fillId="19" borderId="12" xfId="27" applyNumberFormat="1" applyFont="1" applyFill="1" applyBorder="1" applyAlignment="1">
      <alignment horizontal="center"/>
    </xf>
    <xf numFmtId="166" fontId="4" fillId="0" borderId="25" xfId="40" applyNumberFormat="1" applyFont="1" applyBorder="1" applyAlignment="1">
      <alignment horizontal="center"/>
    </xf>
    <xf numFmtId="166" fontId="4" fillId="0" borderId="66" xfId="40" applyNumberFormat="1" applyFont="1" applyBorder="1" applyAlignment="1">
      <alignment horizontal="center"/>
    </xf>
    <xf numFmtId="166" fontId="4" fillId="0" borderId="67" xfId="40" applyNumberFormat="1" applyFont="1" applyBorder="1" applyAlignment="1">
      <alignment horizontal="center"/>
    </xf>
    <xf numFmtId="0" fontId="6" fillId="0" borderId="38" xfId="40" applyFont="1" applyBorder="1" applyAlignment="1">
      <alignment vertical="center"/>
    </xf>
    <xf numFmtId="0" fontId="12" fillId="18" borderId="68" xfId="40" applyFont="1" applyFill="1" applyBorder="1" applyAlignment="1">
      <alignment horizontal="center" vertical="center" wrapText="1"/>
    </xf>
    <xf numFmtId="0" fontId="12" fillId="18" borderId="51" xfId="40" applyFont="1" applyFill="1" applyBorder="1" applyAlignment="1">
      <alignment horizontal="center" vertical="center" wrapText="1"/>
    </xf>
    <xf numFmtId="166" fontId="11" fillId="0" borderId="41" xfId="42" applyNumberFormat="1" applyFont="1" applyFill="1" applyBorder="1" applyAlignment="1">
      <alignment vertical="center"/>
    </xf>
    <xf numFmtId="171" fontId="11" fillId="0" borderId="12" xfId="42" applyNumberFormat="1" applyFont="1" applyBorder="1" applyAlignment="1">
      <alignment vertical="center"/>
    </xf>
    <xf numFmtId="166" fontId="5" fillId="0" borderId="17" xfId="27" applyNumberFormat="1" applyFont="1" applyFill="1" applyBorder="1" applyAlignment="1">
      <alignment horizontal="center"/>
    </xf>
    <xf numFmtId="166" fontId="4" fillId="0" borderId="53" xfId="27" applyNumberFormat="1" applyFont="1" applyFill="1" applyBorder="1" applyAlignment="1">
      <alignment horizontal="center"/>
    </xf>
    <xf numFmtId="166" fontId="5" fillId="0" borderId="22" xfId="27" applyNumberFormat="1" applyFont="1" applyFill="1" applyBorder="1" applyAlignment="1">
      <alignment horizontal="center"/>
    </xf>
    <xf numFmtId="170" fontId="6" fillId="0" borderId="11" xfId="26" applyNumberFormat="1" applyFont="1" applyFill="1" applyBorder="1" applyAlignment="1">
      <alignment vertical="center"/>
    </xf>
    <xf numFmtId="168" fontId="41" fillId="0" borderId="41" xfId="41" applyNumberFormat="1" applyFont="1" applyFill="1" applyBorder="1" applyAlignment="1" applyProtection="1">
      <alignment horizontal="center" vertical="center" wrapText="1"/>
    </xf>
    <xf numFmtId="168" fontId="41" fillId="0" borderId="42" xfId="41" applyNumberFormat="1" applyFont="1" applyFill="1" applyBorder="1" applyAlignment="1" applyProtection="1">
      <alignment horizontal="center" vertical="center" wrapText="1"/>
    </xf>
    <xf numFmtId="168" fontId="70" fillId="0" borderId="39" xfId="41" applyNumberFormat="1" applyFont="1" applyFill="1" applyBorder="1" applyAlignment="1" applyProtection="1">
      <alignment horizontal="center" vertical="center" wrapText="1"/>
    </xf>
    <xf numFmtId="168" fontId="71" fillId="24" borderId="10" xfId="41" applyNumberFormat="1" applyFont="1" applyFill="1" applyBorder="1" applyAlignment="1" applyProtection="1">
      <alignment horizontal="left" vertical="center" wrapText="1" indent="1"/>
      <protection locked="0"/>
    </xf>
    <xf numFmtId="170" fontId="2" fillId="0" borderId="12" xfId="26" applyNumberFormat="1" applyFont="1" applyFill="1" applyBorder="1" applyAlignment="1" applyProtection="1">
      <alignment vertical="center" wrapText="1"/>
      <protection locked="0"/>
    </xf>
    <xf numFmtId="0" fontId="2" fillId="0" borderId="12" xfId="0" applyFont="1" applyBorder="1" applyAlignment="1">
      <alignment wrapText="1"/>
    </xf>
    <xf numFmtId="170" fontId="0" fillId="0" borderId="12" xfId="26" applyNumberFormat="1" applyFont="1" applyBorder="1"/>
    <xf numFmtId="0" fontId="2" fillId="0" borderId="12" xfId="0" applyFont="1" applyBorder="1"/>
    <xf numFmtId="166" fontId="7" fillId="0" borderId="18" xfId="27" applyNumberFormat="1" applyFont="1" applyBorder="1" applyAlignment="1">
      <alignment horizontal="center"/>
    </xf>
    <xf numFmtId="166" fontId="5" fillId="0" borderId="18" xfId="40" applyNumberFormat="1" applyFont="1" applyBorder="1" applyAlignment="1">
      <alignment horizontal="center"/>
    </xf>
    <xf numFmtId="166" fontId="5" fillId="0" borderId="67" xfId="40" applyNumberFormat="1" applyFont="1" applyBorder="1" applyAlignment="1">
      <alignment horizontal="center"/>
    </xf>
    <xf numFmtId="0" fontId="0" fillId="0" borderId="17" xfId="0" applyBorder="1"/>
    <xf numFmtId="0" fontId="5" fillId="0" borderId="17" xfId="0" applyFont="1" applyBorder="1"/>
    <xf numFmtId="0" fontId="4" fillId="0" borderId="25" xfId="40" applyFont="1" applyBorder="1" applyAlignment="1">
      <alignment vertical="center"/>
    </xf>
    <xf numFmtId="0" fontId="12" fillId="18" borderId="43" xfId="40" applyFont="1" applyFill="1" applyBorder="1" applyAlignment="1">
      <alignment horizontal="center" vertical="center" wrapText="1"/>
    </xf>
    <xf numFmtId="166" fontId="5" fillId="0" borderId="10" xfId="40" applyNumberFormat="1" applyFont="1" applyBorder="1" applyAlignment="1">
      <alignment horizontal="center" vertical="center"/>
    </xf>
    <xf numFmtId="166" fontId="5" fillId="0" borderId="10" xfId="27" applyNumberFormat="1" applyFont="1" applyBorder="1" applyAlignment="1">
      <alignment horizontal="center"/>
    </xf>
    <xf numFmtId="166" fontId="7" fillId="0" borderId="10" xfId="27" applyNumberFormat="1" applyFont="1" applyBorder="1" applyAlignment="1">
      <alignment horizontal="center"/>
    </xf>
    <xf numFmtId="166" fontId="5" fillId="18" borderId="10" xfId="27" applyNumberFormat="1" applyFont="1" applyFill="1" applyBorder="1" applyAlignment="1">
      <alignment horizontal="center"/>
    </xf>
    <xf numFmtId="166" fontId="9" fillId="0" borderId="10" xfId="27" applyNumberFormat="1" applyFont="1" applyBorder="1" applyAlignment="1">
      <alignment horizontal="center"/>
    </xf>
    <xf numFmtId="166" fontId="4" fillId="0" borderId="10" xfId="27" applyNumberFormat="1" applyFont="1" applyBorder="1" applyAlignment="1">
      <alignment horizontal="center"/>
    </xf>
    <xf numFmtId="166" fontId="5" fillId="0" borderId="10" xfId="40" applyNumberFormat="1" applyFont="1" applyBorder="1" applyAlignment="1">
      <alignment horizontal="center"/>
    </xf>
    <xf numFmtId="166" fontId="5" fillId="0" borderId="50" xfId="40" applyNumberFormat="1" applyFont="1" applyBorder="1" applyAlignment="1">
      <alignment horizontal="center"/>
    </xf>
    <xf numFmtId="170" fontId="20" fillId="0" borderId="0" xfId="26" applyNumberFormat="1" applyFont="1"/>
    <xf numFmtId="0" fontId="20" fillId="0" borderId="0" xfId="0" applyFont="1"/>
    <xf numFmtId="0" fontId="2" fillId="0" borderId="19" xfId="0" applyFont="1" applyBorder="1"/>
    <xf numFmtId="168" fontId="51" fillId="0" borderId="11" xfId="41" applyNumberFormat="1" applyFont="1" applyFill="1" applyBorder="1" applyAlignment="1" applyProtection="1">
      <alignment vertical="center" wrapText="1"/>
    </xf>
    <xf numFmtId="168" fontId="40" fillId="0" borderId="12" xfId="41" applyNumberFormat="1" applyFont="1" applyFill="1" applyBorder="1" applyAlignment="1" applyProtection="1">
      <alignment vertical="center" wrapText="1"/>
      <protection locked="0"/>
    </xf>
    <xf numFmtId="1" fontId="40" fillId="0" borderId="12" xfId="41" applyNumberFormat="1" applyFont="1" applyFill="1" applyBorder="1" applyAlignment="1" applyProtection="1">
      <alignment vertical="center" wrapText="1"/>
      <protection locked="0"/>
    </xf>
    <xf numFmtId="170" fontId="1" fillId="0" borderId="12" xfId="26" applyNumberFormat="1" applyFont="1" applyBorder="1"/>
    <xf numFmtId="170" fontId="69" fillId="0" borderId="0" xfId="26" applyNumberFormat="1" applyFont="1"/>
    <xf numFmtId="166" fontId="4" fillId="0" borderId="17" xfId="40" applyNumberFormat="1" applyFont="1" applyBorder="1" applyAlignment="1">
      <alignment horizontal="center"/>
    </xf>
    <xf numFmtId="164" fontId="3" fillId="0" borderId="0" xfId="26" applyFont="1" applyAlignment="1">
      <alignment vertical="center"/>
    </xf>
    <xf numFmtId="3" fontId="4" fillId="0" borderId="12" xfId="27" applyNumberFormat="1" applyFont="1" applyFill="1" applyBorder="1" applyAlignment="1">
      <alignment horizontal="center"/>
    </xf>
    <xf numFmtId="3" fontId="4" fillId="0" borderId="18" xfId="27" applyNumberFormat="1" applyFont="1" applyFill="1" applyBorder="1" applyAlignment="1">
      <alignment horizontal="center"/>
    </xf>
    <xf numFmtId="3" fontId="4" fillId="0" borderId="53" xfId="27" applyNumberFormat="1" applyFont="1" applyFill="1" applyBorder="1" applyAlignment="1">
      <alignment horizontal="center"/>
    </xf>
    <xf numFmtId="166" fontId="4" fillId="0" borderId="12" xfId="40" applyNumberFormat="1" applyFont="1" applyFill="1" applyBorder="1" applyAlignment="1">
      <alignment horizontal="center"/>
    </xf>
    <xf numFmtId="166" fontId="4" fillId="0" borderId="53" xfId="40" applyNumberFormat="1" applyFont="1" applyFill="1" applyBorder="1" applyAlignment="1">
      <alignment horizontal="center"/>
    </xf>
    <xf numFmtId="166" fontId="4" fillId="0" borderId="23" xfId="40" applyNumberFormat="1" applyFont="1" applyFill="1" applyBorder="1" applyAlignment="1">
      <alignment horizontal="center"/>
    </xf>
    <xf numFmtId="166" fontId="4" fillId="0" borderId="26" xfId="40" applyNumberFormat="1" applyFont="1" applyFill="1" applyBorder="1" applyAlignment="1">
      <alignment horizontal="center"/>
    </xf>
    <xf numFmtId="0" fontId="12" fillId="0" borderId="45" xfId="40" applyFont="1" applyFill="1" applyBorder="1" applyAlignment="1">
      <alignment horizontal="center" vertical="center" wrapText="1"/>
    </xf>
    <xf numFmtId="0" fontId="12" fillId="0" borderId="22" xfId="40" applyFont="1" applyFill="1" applyBorder="1" applyAlignment="1">
      <alignment horizontal="center" vertical="center" wrapText="1"/>
    </xf>
    <xf numFmtId="0" fontId="12" fillId="0" borderId="44" xfId="40" applyFont="1" applyFill="1" applyBorder="1" applyAlignment="1">
      <alignment horizontal="center" vertical="center" wrapText="1"/>
    </xf>
    <xf numFmtId="168" fontId="72" fillId="0" borderId="12" xfId="41" applyNumberFormat="1" applyFont="1" applyFill="1" applyBorder="1" applyAlignment="1" applyProtection="1">
      <alignment vertical="center" wrapText="1"/>
      <protection locked="0"/>
    </xf>
    <xf numFmtId="168" fontId="60" fillId="0" borderId="10" xfId="41" applyNumberFormat="1" applyFont="1" applyFill="1" applyBorder="1" applyAlignment="1" applyProtection="1">
      <alignment horizontal="left" vertical="center" wrapText="1" indent="1"/>
      <protection locked="0"/>
    </xf>
    <xf numFmtId="168" fontId="72" fillId="0" borderId="12" xfId="41" applyNumberFormat="1" applyFont="1" applyFill="1" applyBorder="1" applyAlignment="1" applyProtection="1">
      <alignment vertical="center" wrapText="1"/>
    </xf>
    <xf numFmtId="170" fontId="16" fillId="0" borderId="0" xfId="26" applyNumberFormat="1" applyFont="1" applyAlignment="1">
      <alignment horizontal="center"/>
    </xf>
    <xf numFmtId="170" fontId="16" fillId="0" borderId="0" xfId="26" applyNumberFormat="1" applyFont="1" applyAlignment="1">
      <alignment horizontal="center" vertical="center"/>
    </xf>
    <xf numFmtId="170" fontId="14" fillId="0" borderId="0" xfId="26" applyNumberFormat="1" applyFont="1"/>
    <xf numFmtId="0" fontId="14" fillId="0" borderId="72" xfId="0" applyFont="1" applyBorder="1" applyAlignment="1">
      <alignment horizontal="centerContinuous"/>
    </xf>
    <xf numFmtId="170" fontId="14" fillId="0" borderId="18" xfId="26" applyNumberFormat="1" applyFont="1" applyBorder="1" applyAlignment="1">
      <alignment horizontal="center"/>
    </xf>
    <xf numFmtId="170" fontId="14" fillId="0" borderId="11" xfId="26" applyNumberFormat="1" applyFont="1" applyBorder="1" applyAlignment="1">
      <alignment horizontal="center"/>
    </xf>
    <xf numFmtId="166" fontId="14" fillId="0" borderId="12" xfId="0" applyNumberFormat="1" applyFont="1" applyFill="1" applyBorder="1" applyAlignment="1">
      <alignment horizontal="center"/>
    </xf>
    <xf numFmtId="166" fontId="14" fillId="0" borderId="12" xfId="0" applyNumberFormat="1" applyFont="1" applyBorder="1" applyAlignment="1">
      <alignment horizontal="center"/>
    </xf>
    <xf numFmtId="166" fontId="14" fillId="19" borderId="12" xfId="0" applyNumberFormat="1" applyFont="1" applyFill="1" applyBorder="1" applyAlignment="1">
      <alignment horizontal="center"/>
    </xf>
    <xf numFmtId="170" fontId="14" fillId="0" borderId="18" xfId="26" applyNumberFormat="1" applyFont="1" applyFill="1" applyBorder="1" applyAlignment="1">
      <alignment horizontal="center"/>
    </xf>
    <xf numFmtId="170" fontId="14" fillId="0" borderId="11" xfId="26" applyNumberFormat="1" applyFont="1" applyFill="1" applyBorder="1" applyAlignment="1">
      <alignment horizontal="center"/>
    </xf>
    <xf numFmtId="0" fontId="14" fillId="0" borderId="25" xfId="0" quotePrefix="1" applyFont="1" applyBorder="1" applyAlignment="1">
      <alignment horizontal="center" vertical="center"/>
    </xf>
    <xf numFmtId="166" fontId="15" fillId="19" borderId="23" xfId="0" applyNumberFormat="1" applyFont="1" applyFill="1" applyBorder="1" applyAlignment="1">
      <alignment horizontal="center"/>
    </xf>
    <xf numFmtId="166" fontId="15" fillId="19" borderId="26" xfId="0" applyNumberFormat="1" applyFont="1" applyFill="1" applyBorder="1" applyAlignment="1">
      <alignment horizontal="center"/>
    </xf>
    <xf numFmtId="0" fontId="14" fillId="0" borderId="17" xfId="0" applyFont="1" applyBorder="1"/>
    <xf numFmtId="0" fontId="14" fillId="0" borderId="53" xfId="0" applyFont="1" applyBorder="1" applyAlignment="1">
      <alignment horizontal="center"/>
    </xf>
    <xf numFmtId="0" fontId="9" fillId="0" borderId="12" xfId="40" applyFont="1" applyBorder="1" applyAlignment="1">
      <alignment horizontal="left" vertical="center"/>
    </xf>
    <xf numFmtId="0" fontId="9" fillId="0" borderId="11" xfId="40" applyFont="1" applyBorder="1" applyAlignment="1">
      <alignment horizontal="left" vertical="center"/>
    </xf>
    <xf numFmtId="0" fontId="4" fillId="0" borderId="0" xfId="40" applyFont="1" applyAlignment="1">
      <alignment horizontal="center" vertical="center"/>
    </xf>
    <xf numFmtId="0" fontId="7" fillId="0" borderId="0" xfId="40" applyFont="1" applyAlignment="1">
      <alignment horizontal="center" vertical="center"/>
    </xf>
    <xf numFmtId="0" fontId="4" fillId="0" borderId="43" xfId="40" applyFont="1" applyBorder="1" applyAlignment="1">
      <alignment horizontal="center" vertical="center"/>
    </xf>
    <xf numFmtId="0" fontId="4" fillId="0" borderId="51" xfId="40" applyFont="1" applyBorder="1" applyAlignment="1">
      <alignment horizontal="center" vertical="center"/>
    </xf>
    <xf numFmtId="0" fontId="4" fillId="0" borderId="52" xfId="40" applyFont="1" applyBorder="1" applyAlignment="1">
      <alignment horizontal="center" vertical="center"/>
    </xf>
    <xf numFmtId="0" fontId="4" fillId="0" borderId="12" xfId="40" applyFont="1" applyBorder="1" applyAlignment="1">
      <alignment horizontal="left"/>
    </xf>
    <xf numFmtId="0" fontId="4" fillId="0" borderId="23" xfId="40" applyFont="1" applyBorder="1" applyAlignment="1">
      <alignment horizontal="left"/>
    </xf>
    <xf numFmtId="0" fontId="13" fillId="0" borderId="54" xfId="4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7" fillId="18" borderId="17" xfId="40" applyFont="1" applyFill="1" applyBorder="1" applyAlignment="1">
      <alignment horizontal="left" wrapText="1"/>
    </xf>
    <xf numFmtId="0" fontId="7" fillId="18" borderId="19" xfId="40" applyFont="1" applyFill="1" applyBorder="1" applyAlignment="1">
      <alignment horizontal="left" wrapText="1"/>
    </xf>
    <xf numFmtId="0" fontId="5" fillId="0" borderId="12" xfId="40" applyFont="1" applyBorder="1" applyAlignment="1">
      <alignment horizontal="right" vertical="center" wrapText="1"/>
    </xf>
    <xf numFmtId="0" fontId="5" fillId="0" borderId="12" xfId="40" applyFont="1" applyBorder="1" applyAlignment="1">
      <alignment horizontal="left"/>
    </xf>
    <xf numFmtId="0" fontId="13" fillId="0" borderId="12" xfId="40" applyFont="1" applyBorder="1" applyAlignment="1">
      <alignment horizontal="left"/>
    </xf>
    <xf numFmtId="0" fontId="5" fillId="18" borderId="12" xfId="40" applyFont="1" applyFill="1" applyBorder="1" applyAlignment="1">
      <alignment horizontal="left"/>
    </xf>
    <xf numFmtId="0" fontId="13" fillId="0" borderId="33" xfId="40" applyFont="1" applyBorder="1" applyAlignment="1">
      <alignment horizontal="left"/>
    </xf>
    <xf numFmtId="0" fontId="5" fillId="0" borderId="45" xfId="40" applyFont="1" applyBorder="1" applyAlignment="1">
      <alignment horizontal="left"/>
    </xf>
    <xf numFmtId="0" fontId="5" fillId="0" borderId="25" xfId="40" applyFont="1" applyBorder="1" applyAlignment="1">
      <alignment horizontal="right" vertical="center" wrapText="1"/>
    </xf>
    <xf numFmtId="0" fontId="5" fillId="0" borderId="55" xfId="40" applyFont="1" applyBorder="1" applyAlignment="1">
      <alignment horizontal="right" vertical="center" wrapText="1"/>
    </xf>
    <xf numFmtId="0" fontId="13" fillId="0" borderId="56" xfId="40" applyFont="1" applyBorder="1" applyAlignment="1">
      <alignment horizontal="left"/>
    </xf>
    <xf numFmtId="0" fontId="13" fillId="0" borderId="57" xfId="40" applyFont="1" applyBorder="1" applyAlignment="1">
      <alignment horizontal="left"/>
    </xf>
    <xf numFmtId="0" fontId="5" fillId="0" borderId="37" xfId="40" applyFont="1" applyBorder="1" applyAlignment="1">
      <alignment horizontal="left"/>
    </xf>
    <xf numFmtId="0" fontId="5" fillId="18" borderId="37" xfId="40" applyFont="1" applyFill="1" applyBorder="1" applyAlignment="1">
      <alignment horizontal="left"/>
    </xf>
    <xf numFmtId="0" fontId="5" fillId="0" borderId="0" xfId="40" applyFont="1" applyBorder="1" applyAlignment="1">
      <alignment horizontal="left"/>
    </xf>
    <xf numFmtId="0" fontId="4" fillId="0" borderId="0" xfId="40" applyFont="1" applyBorder="1" applyAlignment="1">
      <alignment horizontal="left"/>
    </xf>
    <xf numFmtId="0" fontId="7" fillId="0" borderId="12" xfId="40" applyFont="1" applyBorder="1" applyAlignment="1">
      <alignment horizontal="center"/>
    </xf>
    <xf numFmtId="0" fontId="5" fillId="18" borderId="12" xfId="40" applyFont="1" applyFill="1" applyBorder="1" applyAlignment="1">
      <alignment horizontal="center"/>
    </xf>
    <xf numFmtId="0" fontId="4" fillId="0" borderId="12" xfId="40" applyFont="1" applyBorder="1" applyAlignment="1">
      <alignment horizontal="left" wrapText="1"/>
    </xf>
    <xf numFmtId="0" fontId="4" fillId="0" borderId="23" xfId="40" applyFont="1" applyBorder="1" applyAlignment="1">
      <alignment horizontal="left" wrapText="1"/>
    </xf>
    <xf numFmtId="0" fontId="7" fillId="18" borderId="12" xfId="40" applyFont="1" applyFill="1" applyBorder="1" applyAlignment="1">
      <alignment horizontal="left" wrapText="1"/>
    </xf>
    <xf numFmtId="0" fontId="7" fillId="0" borderId="17" xfId="40" applyFont="1" applyBorder="1" applyAlignment="1">
      <alignment horizontal="left" wrapText="1"/>
    </xf>
    <xf numFmtId="0" fontId="7" fillId="0" borderId="19" xfId="40" applyFont="1" applyBorder="1" applyAlignment="1">
      <alignment horizontal="left" wrapText="1"/>
    </xf>
    <xf numFmtId="0" fontId="5" fillId="0" borderId="37" xfId="40" applyFont="1" applyBorder="1" applyAlignment="1">
      <alignment horizontal="left" vertical="center" wrapText="1"/>
    </xf>
    <xf numFmtId="0" fontId="13" fillId="0" borderId="33" xfId="40" applyFont="1" applyBorder="1" applyAlignment="1">
      <alignment horizontal="left" vertical="center" wrapText="1"/>
    </xf>
    <xf numFmtId="0" fontId="5" fillId="0" borderId="12" xfId="40" applyFon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>
      <alignment horizontal="right" vertical="center" wrapText="1"/>
    </xf>
    <xf numFmtId="0" fontId="11" fillId="0" borderId="17" xfId="40" applyFont="1" applyBorder="1" applyAlignment="1">
      <alignment horizontal="right" wrapText="1"/>
    </xf>
    <xf numFmtId="0" fontId="11" fillId="0" borderId="19" xfId="40" applyFont="1" applyBorder="1" applyAlignment="1">
      <alignment horizontal="right" wrapText="1"/>
    </xf>
    <xf numFmtId="0" fontId="5" fillId="18" borderId="12" xfId="40" applyFont="1" applyFill="1" applyBorder="1" applyAlignment="1">
      <alignment horizontal="left" wrapText="1"/>
    </xf>
    <xf numFmtId="0" fontId="5" fillId="0" borderId="45" xfId="40" applyFont="1" applyBorder="1" applyAlignment="1">
      <alignment horizontal="left" vertical="center" wrapText="1"/>
    </xf>
    <xf numFmtId="0" fontId="5" fillId="0" borderId="12" xfId="40" applyFont="1" applyBorder="1" applyAlignment="1">
      <alignment horizontal="left" vertical="center" wrapText="1"/>
    </xf>
    <xf numFmtId="0" fontId="5" fillId="0" borderId="12" xfId="4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3" fillId="0" borderId="51" xfId="40" applyFont="1" applyBorder="1" applyAlignment="1">
      <alignment horizontal="center" vertical="center" wrapText="1"/>
    </xf>
    <xf numFmtId="0" fontId="13" fillId="0" borderId="12" xfId="40" applyFont="1" applyBorder="1" applyAlignment="1">
      <alignment horizontal="center" vertical="center" wrapText="1"/>
    </xf>
    <xf numFmtId="0" fontId="7" fillId="0" borderId="51" xfId="40" applyFont="1" applyBorder="1" applyAlignment="1">
      <alignment horizontal="center" vertical="center"/>
    </xf>
    <xf numFmtId="0" fontId="7" fillId="0" borderId="12" xfId="40" applyFont="1" applyBorder="1" applyAlignment="1">
      <alignment horizontal="center" vertical="center"/>
    </xf>
    <xf numFmtId="0" fontId="12" fillId="0" borderId="52" xfId="40" applyFont="1" applyBorder="1" applyAlignment="1">
      <alignment horizontal="center" vertical="center" wrapText="1"/>
    </xf>
    <xf numFmtId="0" fontId="12" fillId="0" borderId="11" xfId="40" applyFont="1" applyBorder="1" applyAlignment="1">
      <alignment horizontal="center" vertical="center" wrapText="1"/>
    </xf>
    <xf numFmtId="0" fontId="4" fillId="0" borderId="0" xfId="40" applyFont="1" applyAlignment="1">
      <alignment horizontal="center"/>
    </xf>
    <xf numFmtId="0" fontId="7" fillId="0" borderId="0" xfId="40" applyFont="1" applyAlignment="1">
      <alignment horizontal="center"/>
    </xf>
    <xf numFmtId="0" fontId="7" fillId="0" borderId="0" xfId="40" applyFont="1" applyBorder="1" applyAlignment="1">
      <alignment horizontal="right"/>
    </xf>
    <xf numFmtId="0" fontId="5" fillId="0" borderId="17" xfId="40" applyFont="1" applyBorder="1" applyAlignment="1">
      <alignment horizontal="left"/>
    </xf>
    <xf numFmtId="0" fontId="0" fillId="0" borderId="19" xfId="0" applyBorder="1" applyAlignment="1">
      <alignment horizontal="left"/>
    </xf>
    <xf numFmtId="0" fontId="13" fillId="0" borderId="43" xfId="40" applyFont="1" applyBorder="1" applyAlignment="1">
      <alignment horizontal="center" vertical="center" wrapText="1"/>
    </xf>
    <xf numFmtId="0" fontId="13" fillId="0" borderId="10" xfId="40" applyFont="1" applyBorder="1" applyAlignment="1">
      <alignment horizontal="center" vertical="center" wrapText="1"/>
    </xf>
    <xf numFmtId="0" fontId="13" fillId="0" borderId="35" xfId="40" applyFont="1" applyBorder="1" applyAlignment="1">
      <alignment horizontal="center" vertical="center" wrapText="1"/>
    </xf>
    <xf numFmtId="0" fontId="7" fillId="0" borderId="37" xfId="40" applyFont="1" applyBorder="1" applyAlignment="1">
      <alignment horizontal="center" vertical="center"/>
    </xf>
    <xf numFmtId="0" fontId="12" fillId="0" borderId="51" xfId="40" applyFont="1" applyBorder="1" applyAlignment="1">
      <alignment horizontal="center" vertical="center" wrapText="1"/>
    </xf>
    <xf numFmtId="0" fontId="12" fillId="0" borderId="12" xfId="40" applyFont="1" applyBorder="1" applyAlignment="1">
      <alignment horizontal="center" vertical="center" wrapText="1"/>
    </xf>
    <xf numFmtId="0" fontId="6" fillId="0" borderId="51" xfId="40" applyFont="1" applyBorder="1" applyAlignment="1">
      <alignment horizontal="center" vertical="center" wrapText="1"/>
    </xf>
    <xf numFmtId="0" fontId="6" fillId="0" borderId="12" xfId="40" applyFont="1" applyBorder="1" applyAlignment="1">
      <alignment horizontal="center" vertical="center" wrapText="1"/>
    </xf>
    <xf numFmtId="0" fontId="12" fillId="0" borderId="37" xfId="40" applyFont="1" applyBorder="1" applyAlignment="1">
      <alignment horizontal="center" vertical="center" wrapText="1"/>
    </xf>
    <xf numFmtId="0" fontId="6" fillId="0" borderId="52" xfId="40" applyFont="1" applyBorder="1" applyAlignment="1">
      <alignment horizontal="center" vertical="center" wrapText="1"/>
    </xf>
    <xf numFmtId="0" fontId="6" fillId="0" borderId="11" xfId="40" applyFont="1" applyBorder="1" applyAlignment="1">
      <alignment horizontal="center" vertical="center" wrapText="1"/>
    </xf>
    <xf numFmtId="0" fontId="7" fillId="0" borderId="12" xfId="40" applyFont="1" applyBorder="1" applyAlignment="1">
      <alignment horizontal="left"/>
    </xf>
    <xf numFmtId="0" fontId="0" fillId="0" borderId="0" xfId="0" applyAlignment="1">
      <alignment horizontal="center"/>
    </xf>
    <xf numFmtId="0" fontId="5" fillId="0" borderId="17" xfId="40" applyFont="1" applyBorder="1" applyAlignment="1">
      <alignment horizontal="right" wrapText="1"/>
    </xf>
    <xf numFmtId="0" fontId="5" fillId="0" borderId="19" xfId="40" applyFont="1" applyBorder="1" applyAlignment="1">
      <alignment horizontal="right" wrapText="1"/>
    </xf>
    <xf numFmtId="0" fontId="64" fillId="0" borderId="12" xfId="40" applyFont="1" applyBorder="1" applyAlignment="1">
      <alignment horizontal="left" wrapText="1"/>
    </xf>
    <xf numFmtId="0" fontId="5" fillId="0" borderId="12" xfId="40" applyFont="1" applyBorder="1" applyAlignment="1">
      <alignment horizontal="left" wrapText="1"/>
    </xf>
    <xf numFmtId="170" fontId="14" fillId="0" borderId="54" xfId="26" applyNumberFormat="1" applyFont="1" applyBorder="1" applyAlignment="1">
      <alignment horizontal="center" vertical="center"/>
    </xf>
    <xf numFmtId="170" fontId="0" fillId="0" borderId="45" xfId="26" applyNumberFormat="1" applyFont="1" applyBorder="1" applyAlignment="1"/>
    <xf numFmtId="0" fontId="14" fillId="0" borderId="70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4" fillId="0" borderId="5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/>
    </xf>
    <xf numFmtId="0" fontId="14" fillId="0" borderId="54" xfId="0" applyFont="1" applyBorder="1" applyAlignment="1">
      <alignment horizontal="center" vertical="center"/>
    </xf>
    <xf numFmtId="0" fontId="0" fillId="0" borderId="45" xfId="0" applyBorder="1" applyAlignment="1"/>
    <xf numFmtId="170" fontId="14" fillId="0" borderId="71" xfId="26" applyNumberFormat="1" applyFont="1" applyBorder="1" applyAlignment="1">
      <alignment horizontal="center" vertical="center" wrapText="1"/>
    </xf>
    <xf numFmtId="170" fontId="0" fillId="0" borderId="44" xfId="26" applyNumberFormat="1" applyFont="1" applyBorder="1" applyAlignment="1"/>
    <xf numFmtId="0" fontId="14" fillId="0" borderId="73" xfId="0" applyFont="1" applyBorder="1" applyAlignment="1">
      <alignment horizontal="left" vertical="center" wrapText="1"/>
    </xf>
    <xf numFmtId="0" fontId="14" fillId="0" borderId="18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left" vertical="center" wrapText="1"/>
    </xf>
    <xf numFmtId="0" fontId="14" fillId="0" borderId="73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15" fillId="0" borderId="74" xfId="0" applyFont="1" applyBorder="1" applyAlignment="1">
      <alignment horizontal="left" vertical="center" wrapText="1"/>
    </xf>
    <xf numFmtId="0" fontId="15" fillId="0" borderId="67" xfId="0" applyFont="1" applyBorder="1" applyAlignment="1">
      <alignment horizontal="left" vertical="center" wrapText="1"/>
    </xf>
    <xf numFmtId="0" fontId="15" fillId="0" borderId="55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67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166" fontId="14" fillId="0" borderId="17" xfId="0" applyNumberFormat="1" applyFont="1" applyBorder="1" applyAlignment="1">
      <alignment horizontal="center"/>
    </xf>
    <xf numFmtId="166" fontId="14" fillId="0" borderId="18" xfId="0" applyNumberFormat="1" applyFont="1" applyBorder="1" applyAlignment="1">
      <alignment horizontal="center"/>
    </xf>
    <xf numFmtId="166" fontId="14" fillId="0" borderId="19" xfId="0" applyNumberFormat="1" applyFont="1" applyBorder="1" applyAlignment="1">
      <alignment horizontal="center"/>
    </xf>
    <xf numFmtId="170" fontId="14" fillId="0" borderId="17" xfId="26" applyNumberFormat="1" applyFont="1" applyBorder="1" applyAlignment="1">
      <alignment horizontal="center"/>
    </xf>
    <xf numFmtId="170" fontId="14" fillId="0" borderId="18" xfId="26" applyNumberFormat="1" applyFont="1" applyBorder="1" applyAlignment="1">
      <alignment horizontal="center"/>
    </xf>
    <xf numFmtId="170" fontId="14" fillId="0" borderId="19" xfId="26" applyNumberFormat="1" applyFont="1" applyBorder="1" applyAlignment="1">
      <alignment horizontal="center"/>
    </xf>
    <xf numFmtId="166" fontId="15" fillId="0" borderId="25" xfId="0" applyNumberFormat="1" applyFont="1" applyBorder="1" applyAlignment="1">
      <alignment horizontal="center"/>
    </xf>
    <xf numFmtId="166" fontId="15" fillId="0" borderId="67" xfId="0" applyNumberFormat="1" applyFont="1" applyBorder="1" applyAlignment="1">
      <alignment horizontal="center"/>
    </xf>
    <xf numFmtId="166" fontId="15" fillId="0" borderId="55" xfId="0" applyNumberFormat="1" applyFont="1" applyBorder="1" applyAlignment="1">
      <alignment horizontal="center"/>
    </xf>
    <xf numFmtId="170" fontId="15" fillId="0" borderId="25" xfId="26" applyNumberFormat="1" applyFont="1" applyBorder="1" applyAlignment="1">
      <alignment horizontal="center"/>
    </xf>
    <xf numFmtId="170" fontId="15" fillId="0" borderId="67" xfId="26" applyNumberFormat="1" applyFont="1" applyBorder="1" applyAlignment="1">
      <alignment horizontal="center"/>
    </xf>
    <xf numFmtId="170" fontId="15" fillId="0" borderId="55" xfId="26" applyNumberFormat="1" applyFont="1" applyBorder="1" applyAlignment="1">
      <alignment horizontal="center"/>
    </xf>
    <xf numFmtId="0" fontId="15" fillId="0" borderId="73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15" fillId="0" borderId="19" xfId="0" applyFont="1" applyBorder="1" applyAlignment="1">
      <alignment horizontal="left" vertical="center" wrapText="1"/>
    </xf>
    <xf numFmtId="166" fontId="15" fillId="0" borderId="17" xfId="0" applyNumberFormat="1" applyFont="1" applyBorder="1" applyAlignment="1">
      <alignment horizontal="center"/>
    </xf>
    <xf numFmtId="166" fontId="15" fillId="0" borderId="18" xfId="0" applyNumberFormat="1" applyFont="1" applyBorder="1" applyAlignment="1">
      <alignment horizontal="center"/>
    </xf>
    <xf numFmtId="166" fontId="15" fillId="0" borderId="19" xfId="0" applyNumberFormat="1" applyFont="1" applyBorder="1" applyAlignment="1">
      <alignment horizontal="center"/>
    </xf>
    <xf numFmtId="170" fontId="15" fillId="0" borderId="17" xfId="26" applyNumberFormat="1" applyFont="1" applyBorder="1" applyAlignment="1">
      <alignment horizontal="center"/>
    </xf>
    <xf numFmtId="170" fontId="15" fillId="0" borderId="18" xfId="26" applyNumberFormat="1" applyFont="1" applyBorder="1" applyAlignment="1">
      <alignment horizontal="center"/>
    </xf>
    <xf numFmtId="170" fontId="15" fillId="0" borderId="19" xfId="26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73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166" fontId="14" fillId="0" borderId="17" xfId="0" applyNumberFormat="1" applyFont="1" applyFill="1" applyBorder="1" applyAlignment="1">
      <alignment horizontal="center"/>
    </xf>
    <xf numFmtId="166" fontId="14" fillId="0" borderId="18" xfId="0" applyNumberFormat="1" applyFont="1" applyFill="1" applyBorder="1" applyAlignment="1">
      <alignment horizontal="center"/>
    </xf>
    <xf numFmtId="166" fontId="14" fillId="0" borderId="19" xfId="0" applyNumberFormat="1" applyFont="1" applyFill="1" applyBorder="1" applyAlignment="1">
      <alignment horizontal="center"/>
    </xf>
    <xf numFmtId="0" fontId="14" fillId="0" borderId="73" xfId="0" applyFont="1" applyFill="1" applyBorder="1" applyAlignment="1">
      <alignment horizontal="left" vertical="center"/>
    </xf>
    <xf numFmtId="0" fontId="14" fillId="0" borderId="18" xfId="0" applyFont="1" applyFill="1" applyBorder="1" applyAlignment="1">
      <alignment horizontal="left" vertical="center"/>
    </xf>
    <xf numFmtId="0" fontId="14" fillId="0" borderId="19" xfId="0" applyFont="1" applyFill="1" applyBorder="1" applyAlignment="1">
      <alignment horizontal="left" vertical="center"/>
    </xf>
    <xf numFmtId="0" fontId="14" fillId="0" borderId="5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7" fillId="0" borderId="73" xfId="0" applyFont="1" applyBorder="1" applyAlignment="1">
      <alignment horizontal="left" vertical="center" wrapText="1"/>
    </xf>
    <xf numFmtId="0" fontId="17" fillId="0" borderId="18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left" vertical="center" wrapText="1"/>
    </xf>
    <xf numFmtId="0" fontId="0" fillId="0" borderId="58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76" xfId="0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14" fillId="18" borderId="73" xfId="0" applyFont="1" applyFill="1" applyBorder="1" applyAlignment="1">
      <alignment horizontal="left" vertical="center" wrapText="1"/>
    </xf>
    <xf numFmtId="0" fontId="14" fillId="18" borderId="18" xfId="0" applyFont="1" applyFill="1" applyBorder="1" applyAlignment="1">
      <alignment horizontal="left" vertical="center" wrapText="1"/>
    </xf>
    <xf numFmtId="0" fontId="14" fillId="18" borderId="19" xfId="0" applyFont="1" applyFill="1" applyBorder="1" applyAlignment="1">
      <alignment horizontal="left" vertical="center" wrapText="1"/>
    </xf>
    <xf numFmtId="166" fontId="14" fillId="18" borderId="17" xfId="0" applyNumberFormat="1" applyFont="1" applyFill="1" applyBorder="1" applyAlignment="1">
      <alignment horizontal="center"/>
    </xf>
    <xf numFmtId="166" fontId="14" fillId="18" borderId="18" xfId="0" applyNumberFormat="1" applyFont="1" applyFill="1" applyBorder="1" applyAlignment="1">
      <alignment horizontal="center"/>
    </xf>
    <xf numFmtId="166" fontId="14" fillId="18" borderId="19" xfId="0" applyNumberFormat="1" applyFont="1" applyFill="1" applyBorder="1" applyAlignment="1">
      <alignment horizontal="center"/>
    </xf>
    <xf numFmtId="168" fontId="61" fillId="0" borderId="0" xfId="41" applyNumberFormat="1" applyFont="1" applyFill="1" applyAlignment="1">
      <alignment horizontal="center" vertical="center" wrapText="1"/>
    </xf>
    <xf numFmtId="168" fontId="61" fillId="0" borderId="0" xfId="41" applyNumberFormat="1" applyFont="1" applyFill="1" applyAlignment="1">
      <alignment vertical="center" wrapText="1"/>
    </xf>
    <xf numFmtId="170" fontId="5" fillId="0" borderId="0" xfId="26" applyNumberFormat="1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55" fillId="0" borderId="0" xfId="0" applyFont="1" applyAlignment="1">
      <alignment horizontal="center"/>
    </xf>
    <xf numFmtId="0" fontId="5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0" fontId="5" fillId="0" borderId="0" xfId="26" applyNumberFormat="1" applyFont="1" applyAlignment="1">
      <alignment horizontal="center" vertical="center" wrapText="1"/>
    </xf>
    <xf numFmtId="0" fontId="48" fillId="0" borderId="58" xfId="41" applyFont="1" applyFill="1" applyBorder="1" applyAlignment="1">
      <alignment horizontal="justify" vertical="center" wrapText="1"/>
    </xf>
    <xf numFmtId="0" fontId="60" fillId="0" borderId="0" xfId="41" applyFont="1" applyFill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168" fontId="40" fillId="0" borderId="59" xfId="41" applyNumberFormat="1" applyFont="1" applyFill="1" applyBorder="1" applyAlignment="1">
      <alignment horizontal="center" vertical="center"/>
    </xf>
    <xf numFmtId="168" fontId="40" fillId="0" borderId="60" xfId="41" applyNumberFormat="1" applyFont="1" applyFill="1" applyBorder="1" applyAlignment="1">
      <alignment horizontal="center" vertical="center"/>
    </xf>
    <xf numFmtId="168" fontId="40" fillId="0" borderId="61" xfId="41" applyNumberFormat="1" applyFont="1" applyFill="1" applyBorder="1" applyAlignment="1">
      <alignment horizontal="center" vertical="center"/>
    </xf>
    <xf numFmtId="168" fontId="40" fillId="0" borderId="62" xfId="41" applyNumberFormat="1" applyFont="1" applyFill="1" applyBorder="1" applyAlignment="1">
      <alignment horizontal="center" vertical="center"/>
    </xf>
    <xf numFmtId="168" fontId="40" fillId="0" borderId="63" xfId="41" applyNumberFormat="1" applyFont="1" applyFill="1" applyBorder="1" applyAlignment="1">
      <alignment horizontal="center" vertical="center"/>
    </xf>
    <xf numFmtId="168" fontId="40" fillId="0" borderId="27" xfId="41" applyNumberFormat="1" applyFont="1" applyFill="1" applyBorder="1" applyAlignment="1">
      <alignment horizontal="left" vertical="center" wrapText="1" indent="2"/>
    </xf>
    <xf numFmtId="168" fontId="40" fillId="0" borderId="64" xfId="41" applyNumberFormat="1" applyFont="1" applyFill="1" applyBorder="1" applyAlignment="1">
      <alignment horizontal="left" vertical="center" wrapText="1" indent="2"/>
    </xf>
    <xf numFmtId="0" fontId="62" fillId="0" borderId="0" xfId="0" applyFont="1" applyAlignment="1">
      <alignment horizontal="center" vertical="center" wrapText="1"/>
    </xf>
    <xf numFmtId="168" fontId="40" fillId="0" borderId="62" xfId="41" applyNumberFormat="1" applyFont="1" applyFill="1" applyBorder="1" applyAlignment="1">
      <alignment horizontal="center" vertical="center" wrapText="1"/>
    </xf>
    <xf numFmtId="168" fontId="40" fillId="0" borderId="63" xfId="41" applyNumberFormat="1" applyFont="1" applyFill="1" applyBorder="1" applyAlignment="1">
      <alignment horizontal="center" vertical="center" wrapText="1"/>
    </xf>
    <xf numFmtId="0" fontId="7" fillId="0" borderId="0" xfId="42" applyFont="1" applyBorder="1" applyAlignment="1">
      <alignment horizontal="center" vertical="center"/>
    </xf>
    <xf numFmtId="0" fontId="5" fillId="0" borderId="0" xfId="42" applyFont="1" applyBorder="1" applyAlignment="1">
      <alignment horizontal="right" vertical="center"/>
    </xf>
    <xf numFmtId="0" fontId="5" fillId="0" borderId="12" xfId="40" applyFont="1" applyBorder="1" applyAlignment="1">
      <alignment horizontal="right" wrapText="1"/>
    </xf>
    <xf numFmtId="0" fontId="4" fillId="0" borderId="17" xfId="40" applyFont="1" applyBorder="1" applyAlignment="1">
      <alignment horizontal="left"/>
    </xf>
    <xf numFmtId="0" fontId="64" fillId="0" borderId="17" xfId="40" applyFont="1" applyBorder="1" applyAlignment="1">
      <alignment horizontal="left" wrapText="1"/>
    </xf>
    <xf numFmtId="0" fontId="7" fillId="0" borderId="17" xfId="40" applyFont="1" applyBorder="1" applyAlignment="1">
      <alignment horizontal="left"/>
    </xf>
    <xf numFmtId="0" fontId="4" fillId="0" borderId="17" xfId="40" applyFont="1" applyBorder="1" applyAlignment="1">
      <alignment horizontal="left" wrapText="1"/>
    </xf>
    <xf numFmtId="0" fontId="5" fillId="0" borderId="17" xfId="40" applyFont="1" applyBorder="1" applyAlignment="1">
      <alignment horizontal="left" wrapText="1"/>
    </xf>
    <xf numFmtId="0" fontId="5" fillId="18" borderId="17" xfId="40" applyFont="1" applyFill="1" applyBorder="1" applyAlignment="1">
      <alignment horizontal="center"/>
    </xf>
    <xf numFmtId="0" fontId="7" fillId="0" borderId="17" xfId="40" applyFont="1" applyBorder="1" applyAlignment="1">
      <alignment horizontal="center"/>
    </xf>
    <xf numFmtId="0" fontId="5" fillId="0" borderId="17" xfId="40" applyFont="1" applyBorder="1" applyAlignment="1">
      <alignment horizontal="left" vertical="center" wrapText="1"/>
    </xf>
    <xf numFmtId="0" fontId="0" fillId="0" borderId="17" xfId="0" applyBorder="1" applyAlignment="1">
      <alignment horizontal="right" vertical="center" wrapText="1"/>
    </xf>
    <xf numFmtId="0" fontId="5" fillId="0" borderId="17" xfId="40" applyFont="1" applyBorder="1" applyAlignment="1">
      <alignment horizontal="right" vertical="center"/>
    </xf>
    <xf numFmtId="0" fontId="5" fillId="0" borderId="17" xfId="40" applyFont="1" applyBorder="1" applyAlignment="1">
      <alignment horizontal="right" vertical="center" wrapText="1"/>
    </xf>
    <xf numFmtId="0" fontId="5" fillId="0" borderId="17" xfId="40" applyFont="1" applyBorder="1" applyAlignment="1">
      <alignment horizontal="left" vertical="center"/>
    </xf>
    <xf numFmtId="0" fontId="7" fillId="0" borderId="69" xfId="40" applyFont="1" applyBorder="1" applyAlignment="1">
      <alignment horizontal="center" vertical="center"/>
    </xf>
    <xf numFmtId="0" fontId="5" fillId="0" borderId="51" xfId="40" applyFont="1" applyBorder="1" applyAlignment="1">
      <alignment horizontal="center" vertical="center" wrapText="1"/>
    </xf>
    <xf numFmtId="0" fontId="5" fillId="0" borderId="12" xfId="4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2" fontId="5" fillId="0" borderId="17" xfId="0" applyNumberFormat="1" applyFont="1" applyBorder="1" applyAlignment="1">
      <alignment horizontal="center" vertical="center" wrapText="1"/>
    </xf>
    <xf numFmtId="2" fontId="0" fillId="0" borderId="18" xfId="0" applyNumberFormat="1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2" fontId="7" fillId="0" borderId="12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/>
    </xf>
    <xf numFmtId="2" fontId="5" fillId="0" borderId="18" xfId="0" applyNumberFormat="1" applyFont="1" applyBorder="1" applyAlignment="1">
      <alignment horizontal="center"/>
    </xf>
    <xf numFmtId="2" fontId="5" fillId="0" borderId="19" xfId="0" applyNumberFormat="1" applyFont="1" applyBorder="1" applyAlignment="1">
      <alignment horizontal="center"/>
    </xf>
    <xf numFmtId="1" fontId="5" fillId="0" borderId="1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12" fillId="0" borderId="23" xfId="40" applyFont="1" applyBorder="1" applyAlignment="1">
      <alignment horizontal="center" vertical="center" wrapText="1"/>
    </xf>
    <xf numFmtId="0" fontId="4" fillId="23" borderId="12" xfId="40" applyFont="1" applyFill="1" applyBorder="1" applyAlignment="1">
      <alignment horizontal="left"/>
    </xf>
    <xf numFmtId="0" fontId="65" fillId="21" borderId="12" xfId="40" applyFont="1" applyFill="1" applyBorder="1" applyAlignment="1">
      <alignment horizontal="left"/>
    </xf>
    <xf numFmtId="0" fontId="4" fillId="22" borderId="12" xfId="40" applyFont="1" applyFill="1" applyBorder="1" applyAlignment="1">
      <alignment horizontal="left"/>
    </xf>
    <xf numFmtId="0" fontId="65" fillId="21" borderId="12" xfId="40" applyFont="1" applyFill="1" applyBorder="1" applyAlignment="1">
      <alignment horizontal="left" wrapText="1"/>
    </xf>
    <xf numFmtId="0" fontId="4" fillId="23" borderId="12" xfId="40" applyFont="1" applyFill="1" applyBorder="1" applyAlignment="1">
      <alignment horizontal="left" vertical="center" wrapText="1"/>
    </xf>
    <xf numFmtId="0" fontId="7" fillId="20" borderId="12" xfId="40" applyFont="1" applyFill="1" applyBorder="1" applyAlignment="1">
      <alignment horizontal="center"/>
    </xf>
    <xf numFmtId="0" fontId="4" fillId="23" borderId="17" xfId="40" applyFont="1" applyFill="1" applyBorder="1" applyAlignment="1">
      <alignment horizontal="left" vertical="center"/>
    </xf>
    <xf numFmtId="0" fontId="57" fillId="23" borderId="19" xfId="0" applyFont="1" applyFill="1" applyBorder="1" applyAlignment="1"/>
    <xf numFmtId="0" fontId="7" fillId="20" borderId="45" xfId="40" applyFont="1" applyFill="1" applyBorder="1" applyAlignment="1">
      <alignment horizontal="center" vertical="center"/>
    </xf>
    <xf numFmtId="0" fontId="13" fillId="0" borderId="50" xfId="40" applyFont="1" applyBorder="1" applyAlignment="1">
      <alignment horizontal="center" vertical="center" wrapText="1"/>
    </xf>
    <xf numFmtId="0" fontId="7" fillId="0" borderId="23" xfId="40" applyFont="1" applyBorder="1" applyAlignment="1">
      <alignment horizontal="center" vertical="center"/>
    </xf>
  </cellXfs>
  <cellStyles count="47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Ezres" xfId="26" builtinId="3"/>
    <cellStyle name="Ezres_Ktgvetési rendelet mellékletek_2008_Eszteregnye" xfId="27" xr:uid="{00000000-0005-0000-0000-00001A000000}"/>
    <cellStyle name="Figyelmeztetés" xfId="28" builtinId="11" customBuiltin="1"/>
    <cellStyle name="Hivatkozott cella" xfId="29" builtinId="24" customBuiltin="1"/>
    <cellStyle name="Jegyzet" xfId="30" builtinId="10" customBuiltin="1"/>
    <cellStyle name="Jelölőszín (1)" xfId="31" xr:uid="{00000000-0005-0000-0000-00001E000000}"/>
    <cellStyle name="Jelölőszín (2)" xfId="32" xr:uid="{00000000-0005-0000-0000-00001F000000}"/>
    <cellStyle name="Jelölőszín (3)" xfId="33" xr:uid="{00000000-0005-0000-0000-000020000000}"/>
    <cellStyle name="Jelölőszín (4)" xfId="34" xr:uid="{00000000-0005-0000-0000-000021000000}"/>
    <cellStyle name="Jelölőszín (5)" xfId="35" xr:uid="{00000000-0005-0000-0000-000022000000}"/>
    <cellStyle name="Jelölőszín (6)" xfId="36" xr:uid="{00000000-0005-0000-0000-000023000000}"/>
    <cellStyle name="Jó" xfId="37" builtinId="26" customBuiltin="1"/>
    <cellStyle name="Kimenet" xfId="38" builtinId="21" customBuiltin="1"/>
    <cellStyle name="Magyarázó szöveg" xfId="39" builtinId="53" customBuiltin="1"/>
    <cellStyle name="Normál" xfId="0" builtinId="0"/>
    <cellStyle name="Normál_Ktgvetési rendelet mellékletek_2008_Eszteregnye" xfId="40" xr:uid="{00000000-0005-0000-0000-000028000000}"/>
    <cellStyle name="Normál_KVIREND" xfId="41" xr:uid="{00000000-0005-0000-0000-000029000000}"/>
    <cellStyle name="Normál_likviditási terv" xfId="42" xr:uid="{00000000-0005-0000-0000-00002A000000}"/>
    <cellStyle name="Összesen" xfId="43" builtinId="25" customBuiltin="1"/>
    <cellStyle name="Rossz" xfId="44" builtinId="27" customBuiltin="1"/>
    <cellStyle name="Semleges" xfId="45" builtinId="28" customBuiltin="1"/>
    <cellStyle name="Számítás" xfId="46" builtinId="22" customBuiltin="1"/>
  </cellStyles>
  <dxfs count="0"/>
  <tableStyles count="0" defaultTableStyle="TableStyleMedium2" defaultPivotStyle="PivotStyleLight16"/>
  <colors>
    <mruColors>
      <color rgb="FFCCCC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workbookViewId="0">
      <selection activeCell="B19" sqref="B19"/>
    </sheetView>
  </sheetViews>
  <sheetFormatPr defaultRowHeight="15.75" x14ac:dyDescent="0.2"/>
  <cols>
    <col min="1" max="1" width="5.5703125" style="3" customWidth="1"/>
    <col min="2" max="2" width="48.140625" style="2" customWidth="1"/>
    <col min="3" max="3" width="21.28515625" style="2" customWidth="1"/>
    <col min="4" max="10" width="9.140625" style="2"/>
    <col min="11" max="16384" width="9.140625" style="3"/>
  </cols>
  <sheetData>
    <row r="1" spans="1:10" ht="21.75" customHeight="1" x14ac:dyDescent="0.2">
      <c r="A1" s="456"/>
      <c r="B1" s="456"/>
      <c r="C1" s="456"/>
      <c r="D1" s="1"/>
      <c r="E1" s="1"/>
      <c r="F1" s="1"/>
    </row>
    <row r="2" spans="1:10" ht="30" customHeight="1" x14ac:dyDescent="0.2">
      <c r="A2" s="457"/>
      <c r="B2" s="457"/>
      <c r="C2" s="457"/>
      <c r="D2" s="5"/>
      <c r="E2" s="5"/>
      <c r="F2" s="5"/>
      <c r="G2" s="5"/>
    </row>
    <row r="3" spans="1:10" ht="30" customHeight="1" x14ac:dyDescent="0.2">
      <c r="B3" s="4"/>
      <c r="C3" s="4"/>
      <c r="D3" s="4"/>
      <c r="E3" s="5"/>
      <c r="F3" s="5"/>
      <c r="G3" s="5"/>
    </row>
    <row r="4" spans="1:10" ht="21.75" customHeight="1" x14ac:dyDescent="0.2">
      <c r="B4" s="6"/>
      <c r="C4" s="4"/>
      <c r="D4" s="4"/>
      <c r="E4" s="4"/>
      <c r="F4" s="4"/>
      <c r="G4" s="5"/>
    </row>
    <row r="5" spans="1:10" ht="19.5" thickBot="1" x14ac:dyDescent="0.25">
      <c r="B5" s="7"/>
      <c r="C5" s="8"/>
    </row>
    <row r="6" spans="1:10" ht="27.75" customHeight="1" x14ac:dyDescent="0.2">
      <c r="A6" s="458" t="s">
        <v>192</v>
      </c>
      <c r="B6" s="459"/>
      <c r="C6" s="460"/>
    </row>
    <row r="7" spans="1:10" ht="18.75" x14ac:dyDescent="0.2">
      <c r="A7" s="9" t="s">
        <v>193</v>
      </c>
      <c r="B7" s="454" t="s">
        <v>295</v>
      </c>
      <c r="C7" s="455"/>
    </row>
    <row r="8" spans="1:10" s="10" customFormat="1" ht="18.75" x14ac:dyDescent="0.2">
      <c r="A8" s="9"/>
      <c r="B8" s="454"/>
      <c r="C8" s="455"/>
      <c r="D8" s="2"/>
      <c r="E8" s="2"/>
      <c r="F8" s="2"/>
      <c r="G8" s="2"/>
      <c r="H8" s="2"/>
      <c r="I8" s="2"/>
      <c r="J8" s="2"/>
    </row>
    <row r="9" spans="1:10" x14ac:dyDescent="0.2">
      <c r="B9" s="4"/>
    </row>
  </sheetData>
  <mergeCells count="5">
    <mergeCell ref="B8:C8"/>
    <mergeCell ref="A1:C1"/>
    <mergeCell ref="A2:C2"/>
    <mergeCell ref="A6:C6"/>
    <mergeCell ref="B7:C7"/>
  </mergeCells>
  <phoneticPr fontId="3" type="noConversion"/>
  <printOptions horizontalCentered="1"/>
  <pageMargins left="0.75" right="0.75" top="1" bottom="1" header="0.5" footer="0.5"/>
  <pageSetup paperSize="9" orientation="portrait" horizontalDpi="300" verticalDpi="300" r:id="rId1"/>
  <headerFooter alignWithMargins="0">
    <oddHeader>&amp;R1. sz. melléklet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O22"/>
  <sheetViews>
    <sheetView view="pageBreakPreview" zoomScaleNormal="100" zoomScaleSheetLayoutView="100" workbookViewId="0">
      <selection activeCell="H23" sqref="H23"/>
    </sheetView>
  </sheetViews>
  <sheetFormatPr defaultRowHeight="12.75" x14ac:dyDescent="0.2"/>
  <cols>
    <col min="1" max="1" width="39" bestFit="1" customWidth="1"/>
    <col min="2" max="2" width="9.85546875" customWidth="1"/>
    <col min="3" max="3" width="9.85546875" bestFit="1" customWidth="1"/>
    <col min="4" max="13" width="9.85546875" customWidth="1"/>
    <col min="14" max="14" width="12.28515625" customWidth="1"/>
    <col min="15" max="15" width="10.7109375" bestFit="1" customWidth="1"/>
  </cols>
  <sheetData>
    <row r="1" spans="1:15" ht="15.75" x14ac:dyDescent="0.2">
      <c r="A1" s="632" t="s">
        <v>326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</row>
    <row r="2" spans="1:15" ht="15.75" x14ac:dyDescent="0.2">
      <c r="A2" s="632" t="s">
        <v>247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</row>
    <row r="3" spans="1:15" x14ac:dyDescent="0.2">
      <c r="A3" s="633" t="s">
        <v>311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</row>
    <row r="4" spans="1:15" x14ac:dyDescent="0.2">
      <c r="A4" s="633"/>
      <c r="B4" s="633"/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633"/>
    </row>
    <row r="5" spans="1:15" ht="15.75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633" t="s">
        <v>346</v>
      </c>
      <c r="N5" s="633"/>
    </row>
    <row r="6" spans="1:15" ht="15.75" x14ac:dyDescent="0.2">
      <c r="A6" s="31" t="s">
        <v>186</v>
      </c>
      <c r="B6" s="32" t="s">
        <v>3</v>
      </c>
      <c r="C6" s="32" t="s">
        <v>4</v>
      </c>
      <c r="D6" s="32" t="s">
        <v>5</v>
      </c>
      <c r="E6" s="32" t="s">
        <v>6</v>
      </c>
      <c r="F6" s="32" t="s">
        <v>7</v>
      </c>
      <c r="G6" s="32" t="s">
        <v>8</v>
      </c>
      <c r="H6" s="32" t="s">
        <v>9</v>
      </c>
      <c r="I6" s="32" t="s">
        <v>10</v>
      </c>
      <c r="J6" s="32" t="s">
        <v>11</v>
      </c>
      <c r="K6" s="32" t="s">
        <v>12</v>
      </c>
      <c r="L6" s="32" t="s">
        <v>13</v>
      </c>
      <c r="M6" s="32" t="s">
        <v>14</v>
      </c>
      <c r="N6" s="31" t="s">
        <v>15</v>
      </c>
    </row>
    <row r="7" spans="1:15" x14ac:dyDescent="0.2">
      <c r="A7" s="42" t="s">
        <v>187</v>
      </c>
      <c r="B7" s="37">
        <f>O7/12+0.33</f>
        <v>2120931.9966666666</v>
      </c>
      <c r="C7" s="37">
        <v>2120932</v>
      </c>
      <c r="D7" s="37">
        <v>2120932</v>
      </c>
      <c r="E7" s="37">
        <v>2120932</v>
      </c>
      <c r="F7" s="37">
        <v>2120932</v>
      </c>
      <c r="G7" s="37">
        <v>2120932</v>
      </c>
      <c r="H7" s="37">
        <v>2120932</v>
      </c>
      <c r="I7" s="37">
        <v>2120932</v>
      </c>
      <c r="J7" s="37">
        <v>2120932</v>
      </c>
      <c r="K7" s="37">
        <v>2120932</v>
      </c>
      <c r="L7" s="37">
        <v>2120932</v>
      </c>
      <c r="M7" s="37">
        <v>2120928</v>
      </c>
      <c r="N7" s="38">
        <f t="shared" ref="N7:N12" si="0">SUM(B7:M7)</f>
        <v>25451179.996666666</v>
      </c>
      <c r="O7">
        <f>'13'!H10</f>
        <v>25451180</v>
      </c>
    </row>
    <row r="8" spans="1:15" x14ac:dyDescent="0.2">
      <c r="A8" s="42" t="s">
        <v>16</v>
      </c>
      <c r="B8" s="37">
        <f>O8/12-0.08</f>
        <v>579074.00333333341</v>
      </c>
      <c r="C8" s="37">
        <v>579074</v>
      </c>
      <c r="D8" s="37">
        <v>579074</v>
      </c>
      <c r="E8" s="37">
        <v>579074</v>
      </c>
      <c r="F8" s="37">
        <v>579074</v>
      </c>
      <c r="G8" s="37">
        <v>579074</v>
      </c>
      <c r="H8" s="37">
        <v>579074</v>
      </c>
      <c r="I8" s="37">
        <v>579074</v>
      </c>
      <c r="J8" s="37">
        <v>579074</v>
      </c>
      <c r="K8" s="37">
        <v>579074</v>
      </c>
      <c r="L8" s="37">
        <v>579074</v>
      </c>
      <c r="M8" s="37">
        <v>579075</v>
      </c>
      <c r="N8" s="38">
        <f t="shared" si="0"/>
        <v>6948889.0033333339</v>
      </c>
      <c r="O8">
        <f>'13'!H11</f>
        <v>6948889</v>
      </c>
    </row>
    <row r="9" spans="1:15" x14ac:dyDescent="0.2">
      <c r="A9" s="42" t="s">
        <v>197</v>
      </c>
      <c r="B9" s="37">
        <f>O9/12+0.17</f>
        <v>401897.0033333333</v>
      </c>
      <c r="C9" s="37">
        <v>401897</v>
      </c>
      <c r="D9" s="37">
        <v>401897</v>
      </c>
      <c r="E9" s="37">
        <v>401897</v>
      </c>
      <c r="F9" s="37">
        <v>401897</v>
      </c>
      <c r="G9" s="37">
        <v>401897</v>
      </c>
      <c r="H9" s="37">
        <v>401897</v>
      </c>
      <c r="I9" s="37">
        <v>401897</v>
      </c>
      <c r="J9" s="37">
        <v>401897</v>
      </c>
      <c r="K9" s="37">
        <v>401897</v>
      </c>
      <c r="L9" s="37">
        <v>401897</v>
      </c>
      <c r="M9" s="37">
        <v>401895</v>
      </c>
      <c r="N9" s="38">
        <f t="shared" si="0"/>
        <v>4822762.0033333339</v>
      </c>
      <c r="O9">
        <f>'13'!H12</f>
        <v>4822762</v>
      </c>
    </row>
    <row r="10" spans="1:15" x14ac:dyDescent="0.2">
      <c r="A10" s="42" t="s">
        <v>17</v>
      </c>
      <c r="B10" s="37">
        <f>+O10/12</f>
        <v>0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8">
        <f t="shared" si="0"/>
        <v>0</v>
      </c>
    </row>
    <row r="11" spans="1:15" x14ac:dyDescent="0.2">
      <c r="A11" s="42" t="s">
        <v>18</v>
      </c>
      <c r="B11" s="37">
        <f>+O11/12</f>
        <v>0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8">
        <f t="shared" si="0"/>
        <v>0</v>
      </c>
    </row>
    <row r="12" spans="1:15" x14ac:dyDescent="0.2">
      <c r="A12" s="42" t="s">
        <v>191</v>
      </c>
      <c r="B12" s="37"/>
      <c r="C12" s="37"/>
      <c r="D12" s="37"/>
      <c r="E12" s="37">
        <v>222040</v>
      </c>
      <c r="F12" s="37"/>
      <c r="G12" s="37"/>
      <c r="H12" s="37"/>
      <c r="I12" s="37"/>
      <c r="J12" s="37"/>
      <c r="K12" s="37"/>
      <c r="L12" s="37"/>
      <c r="M12" s="37"/>
      <c r="N12" s="38">
        <f t="shared" si="0"/>
        <v>222040</v>
      </c>
      <c r="O12">
        <f>'13'!H25</f>
        <v>222040</v>
      </c>
    </row>
    <row r="13" spans="1:15" x14ac:dyDescent="0.2">
      <c r="A13" s="42" t="s">
        <v>229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</row>
    <row r="14" spans="1:15" x14ac:dyDescent="0.2">
      <c r="A14" s="43" t="s">
        <v>19</v>
      </c>
      <c r="B14" s="37">
        <f>SUM(B7:B13)</f>
        <v>3101903.0033333334</v>
      </c>
      <c r="C14" s="37">
        <f t="shared" ref="C14:M14" si="1">SUM(C7:C13)</f>
        <v>3101903</v>
      </c>
      <c r="D14" s="37">
        <f t="shared" si="1"/>
        <v>3101903</v>
      </c>
      <c r="E14" s="37">
        <f t="shared" si="1"/>
        <v>3323943</v>
      </c>
      <c r="F14" s="37">
        <f t="shared" si="1"/>
        <v>3101903</v>
      </c>
      <c r="G14" s="37">
        <f t="shared" si="1"/>
        <v>3101903</v>
      </c>
      <c r="H14" s="37">
        <f t="shared" si="1"/>
        <v>3101903</v>
      </c>
      <c r="I14" s="37">
        <f t="shared" si="1"/>
        <v>3101903</v>
      </c>
      <c r="J14" s="37">
        <f t="shared" si="1"/>
        <v>3101903</v>
      </c>
      <c r="K14" s="37">
        <f t="shared" si="1"/>
        <v>3101903</v>
      </c>
      <c r="L14" s="37">
        <f t="shared" si="1"/>
        <v>3101903</v>
      </c>
      <c r="M14" s="37">
        <f t="shared" si="1"/>
        <v>3101898</v>
      </c>
      <c r="N14" s="38">
        <f>SUM(N7:N13)</f>
        <v>37444871.00333333</v>
      </c>
      <c r="O14" s="386">
        <f>SUM(O7:O13)</f>
        <v>37444871</v>
      </c>
    </row>
    <row r="15" spans="1:15" ht="15" x14ac:dyDescent="0.2">
      <c r="A15" s="34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</row>
    <row r="16" spans="1:15" x14ac:dyDescent="0.2">
      <c r="A16" s="42" t="s">
        <v>20</v>
      </c>
      <c r="B16" s="37"/>
      <c r="C16" s="37"/>
      <c r="D16" s="37"/>
      <c r="E16" s="37"/>
      <c r="F16" s="37"/>
      <c r="G16" s="37"/>
      <c r="H16" s="37"/>
      <c r="I16" s="37"/>
      <c r="J16" s="37"/>
      <c r="K16" s="37">
        <v>11100</v>
      </c>
      <c r="L16" s="37"/>
      <c r="M16" s="37"/>
      <c r="N16" s="38">
        <f t="shared" ref="N16:N22" si="2">SUM(B16:M16)</f>
        <v>11100</v>
      </c>
      <c r="O16">
        <f>'13'!H32</f>
        <v>11100</v>
      </c>
    </row>
    <row r="17" spans="1:15" x14ac:dyDescent="0.2">
      <c r="A17" s="42" t="s">
        <v>345</v>
      </c>
      <c r="B17" s="37"/>
      <c r="C17" s="37"/>
      <c r="D17" s="37"/>
      <c r="E17" s="37"/>
      <c r="F17" s="37"/>
      <c r="G17" s="37">
        <v>687771</v>
      </c>
      <c r="H17" s="37"/>
      <c r="I17" s="37"/>
      <c r="J17" s="37"/>
      <c r="K17" s="37"/>
      <c r="L17" s="37"/>
      <c r="M17" s="37"/>
      <c r="N17" s="38">
        <f t="shared" si="2"/>
        <v>687771</v>
      </c>
      <c r="O17">
        <f>'13'!H41</f>
        <v>687771</v>
      </c>
    </row>
    <row r="18" spans="1:15" x14ac:dyDescent="0.2">
      <c r="A18" s="158" t="s">
        <v>143</v>
      </c>
      <c r="B18" s="37">
        <f>O18/12+0.08</f>
        <v>3045905.9966666666</v>
      </c>
      <c r="C18" s="37">
        <v>3045906</v>
      </c>
      <c r="D18" s="37">
        <v>3045906</v>
      </c>
      <c r="E18" s="37">
        <v>3045906</v>
      </c>
      <c r="F18" s="37">
        <v>3045906</v>
      </c>
      <c r="G18" s="37">
        <v>3045906</v>
      </c>
      <c r="H18" s="37">
        <v>3045906</v>
      </c>
      <c r="I18" s="37">
        <v>3045906</v>
      </c>
      <c r="J18" s="37">
        <v>3045906</v>
      </c>
      <c r="K18" s="37">
        <v>3045906</v>
      </c>
      <c r="L18" s="37">
        <v>3045906</v>
      </c>
      <c r="M18" s="37">
        <v>3045905</v>
      </c>
      <c r="N18" s="38">
        <f t="shared" si="2"/>
        <v>36550870.99666667</v>
      </c>
      <c r="O18">
        <f>'13'!H62</f>
        <v>36550871</v>
      </c>
    </row>
    <row r="19" spans="1:15" x14ac:dyDescent="0.2">
      <c r="A19" s="42" t="s">
        <v>28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8">
        <f t="shared" si="2"/>
        <v>0</v>
      </c>
    </row>
    <row r="20" spans="1:15" x14ac:dyDescent="0.2">
      <c r="A20" s="42" t="s">
        <v>190</v>
      </c>
      <c r="B20" s="37">
        <f>+O20/12</f>
        <v>0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>
        <f t="shared" si="2"/>
        <v>0</v>
      </c>
    </row>
    <row r="21" spans="1:15" x14ac:dyDescent="0.2">
      <c r="A21" s="42" t="s">
        <v>152</v>
      </c>
      <c r="B21" s="37">
        <f>'13'!H63</f>
        <v>195129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>
        <f t="shared" si="2"/>
        <v>195129</v>
      </c>
      <c r="O21">
        <v>195129</v>
      </c>
    </row>
    <row r="22" spans="1:15" ht="14.25" x14ac:dyDescent="0.2">
      <c r="A22" s="33" t="s">
        <v>22</v>
      </c>
      <c r="B22" s="37">
        <f>+B16+B17+B18+B19+B20+B21</f>
        <v>3241034.9966666666</v>
      </c>
      <c r="C22" s="37">
        <f>+C16+C17+C18+C19+C20+C21</f>
        <v>3045906</v>
      </c>
      <c r="D22" s="37">
        <f t="shared" ref="D22:L22" si="3">+D16+D17+D18+D19+D20+D21</f>
        <v>3045906</v>
      </c>
      <c r="E22" s="37">
        <f t="shared" si="3"/>
        <v>3045906</v>
      </c>
      <c r="F22" s="37">
        <f t="shared" si="3"/>
        <v>3045906</v>
      </c>
      <c r="G22" s="37">
        <f t="shared" si="3"/>
        <v>3733677</v>
      </c>
      <c r="H22" s="37">
        <f t="shared" si="3"/>
        <v>3045906</v>
      </c>
      <c r="I22" s="37">
        <f t="shared" si="3"/>
        <v>3045906</v>
      </c>
      <c r="J22" s="37">
        <f t="shared" si="3"/>
        <v>3045906</v>
      </c>
      <c r="K22" s="37">
        <f t="shared" si="3"/>
        <v>3057006</v>
      </c>
      <c r="L22" s="37">
        <f t="shared" si="3"/>
        <v>3045906</v>
      </c>
      <c r="M22" s="37">
        <f>SUM(M16:M20)+M21</f>
        <v>3045905</v>
      </c>
      <c r="N22" s="38">
        <f t="shared" si="2"/>
        <v>37444870.99666667</v>
      </c>
      <c r="O22">
        <f>SUM(O16:O21)</f>
        <v>37444871</v>
      </c>
    </row>
  </sheetData>
  <mergeCells count="4">
    <mergeCell ref="A1:N1"/>
    <mergeCell ref="A2:N2"/>
    <mergeCell ref="A3:N4"/>
    <mergeCell ref="M5:N5"/>
  </mergeCells>
  <phoneticPr fontId="20" type="noConversion"/>
  <pageMargins left="0.75" right="0.75" top="1" bottom="1" header="0.5" footer="0.5"/>
  <pageSetup paperSize="9" scale="48" orientation="portrait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K104"/>
  <sheetViews>
    <sheetView view="pageBreakPreview" zoomScale="60" zoomScaleNormal="75" workbookViewId="0">
      <selection activeCell="H46" sqref="H46"/>
    </sheetView>
  </sheetViews>
  <sheetFormatPr defaultRowHeight="15.75" x14ac:dyDescent="0.2"/>
  <cols>
    <col min="1" max="1" width="6" style="2" customWidth="1"/>
    <col min="2" max="2" width="5.140625" style="1" customWidth="1"/>
    <col min="3" max="3" width="82.5703125" style="1" customWidth="1"/>
    <col min="4" max="4" width="17.7109375" style="2" bestFit="1" customWidth="1"/>
    <col min="5" max="5" width="18" style="2" bestFit="1" customWidth="1"/>
    <col min="6" max="6" width="9.42578125" style="2" customWidth="1"/>
    <col min="7" max="7" width="9.85546875" style="11" customWidth="1"/>
    <col min="8" max="8" width="17.140625" customWidth="1"/>
    <col min="9" max="9" width="17.7109375" customWidth="1"/>
  </cols>
  <sheetData>
    <row r="1" spans="1:11" ht="18.75" x14ac:dyDescent="0.3">
      <c r="A1" s="507" t="s">
        <v>321</v>
      </c>
      <c r="B1" s="524"/>
      <c r="C1" s="524"/>
      <c r="D1" s="524"/>
      <c r="E1" s="524"/>
      <c r="F1" s="524"/>
    </row>
    <row r="2" spans="1:11" x14ac:dyDescent="0.2">
      <c r="A2" s="457"/>
      <c r="B2" s="457"/>
      <c r="C2" s="457"/>
      <c r="D2" s="457"/>
      <c r="E2" s="457"/>
      <c r="F2" s="457"/>
    </row>
    <row r="3" spans="1:11" x14ac:dyDescent="0.25">
      <c r="A3" s="508" t="s">
        <v>247</v>
      </c>
      <c r="B3" s="508"/>
      <c r="C3" s="508"/>
      <c r="D3" s="508"/>
      <c r="E3" s="508"/>
      <c r="F3" s="508"/>
    </row>
    <row r="4" spans="1:11" x14ac:dyDescent="0.2">
      <c r="A4" s="457" t="s">
        <v>199</v>
      </c>
      <c r="B4" s="457"/>
      <c r="C4" s="457"/>
      <c r="D4" s="457"/>
      <c r="E4" s="457"/>
      <c r="F4" s="457"/>
    </row>
    <row r="5" spans="1:11" ht="16.5" thickBot="1" x14ac:dyDescent="0.3">
      <c r="A5" s="509" t="s">
        <v>310</v>
      </c>
      <c r="B5" s="509"/>
      <c r="C5" s="509"/>
      <c r="D5" s="509"/>
      <c r="E5" s="509"/>
      <c r="F5" s="509"/>
    </row>
    <row r="6" spans="1:11" ht="12.75" x14ac:dyDescent="0.2">
      <c r="A6" s="512" t="s">
        <v>200</v>
      </c>
      <c r="B6" s="503" t="s">
        <v>186</v>
      </c>
      <c r="C6" s="503"/>
      <c r="D6" s="516" t="s">
        <v>248</v>
      </c>
      <c r="E6" s="518" t="s">
        <v>239</v>
      </c>
      <c r="F6" s="518" t="s">
        <v>240</v>
      </c>
      <c r="G6" s="521" t="s">
        <v>241</v>
      </c>
      <c r="H6" s="516" t="s">
        <v>248</v>
      </c>
      <c r="I6" s="518" t="s">
        <v>239</v>
      </c>
      <c r="J6" s="518" t="s">
        <v>240</v>
      </c>
      <c r="K6" s="521" t="s">
        <v>241</v>
      </c>
    </row>
    <row r="7" spans="1:11" ht="42.75" customHeight="1" x14ac:dyDescent="0.2">
      <c r="A7" s="513"/>
      <c r="B7" s="504"/>
      <c r="C7" s="504"/>
      <c r="D7" s="517"/>
      <c r="E7" s="519"/>
      <c r="F7" s="519"/>
      <c r="G7" s="522"/>
      <c r="H7" s="517"/>
      <c r="I7" s="519"/>
      <c r="J7" s="519"/>
      <c r="K7" s="522"/>
    </row>
    <row r="8" spans="1:11" thickBot="1" x14ac:dyDescent="0.25">
      <c r="A8" s="514"/>
      <c r="B8" s="515"/>
      <c r="C8" s="515"/>
      <c r="D8" s="520" t="s">
        <v>343</v>
      </c>
      <c r="E8" s="520"/>
      <c r="F8" s="520"/>
      <c r="G8" s="383"/>
      <c r="H8" s="520" t="s">
        <v>344</v>
      </c>
      <c r="I8" s="520"/>
      <c r="J8" s="520"/>
      <c r="K8" s="383"/>
    </row>
    <row r="9" spans="1:11" x14ac:dyDescent="0.2">
      <c r="A9" s="367"/>
      <c r="B9" s="503" t="s">
        <v>201</v>
      </c>
      <c r="C9" s="503"/>
      <c r="D9" s="275"/>
      <c r="E9" s="384"/>
      <c r="F9" s="385"/>
      <c r="G9" s="275"/>
      <c r="H9" s="275"/>
      <c r="I9" s="384"/>
      <c r="J9" s="385"/>
      <c r="K9" s="275"/>
    </row>
    <row r="10" spans="1:11" x14ac:dyDescent="0.25">
      <c r="A10" s="9">
        <v>1</v>
      </c>
      <c r="B10" s="498" t="s">
        <v>187</v>
      </c>
      <c r="C10" s="498"/>
      <c r="D10" s="269">
        <f>SUM(E10:G10)</f>
        <v>25147000</v>
      </c>
      <c r="E10" s="269">
        <v>25147000</v>
      </c>
      <c r="F10" s="187"/>
      <c r="G10" s="266"/>
      <c r="H10" s="269">
        <f>SUM(I10:K10)</f>
        <v>25451180</v>
      </c>
      <c r="I10" s="269">
        <v>25451180</v>
      </c>
      <c r="J10" s="187"/>
      <c r="K10" s="266"/>
    </row>
    <row r="11" spans="1:11" x14ac:dyDescent="0.25">
      <c r="A11" s="9">
        <v>2</v>
      </c>
      <c r="B11" s="498" t="s">
        <v>196</v>
      </c>
      <c r="C11" s="498"/>
      <c r="D11" s="269">
        <f t="shared" ref="D11:D12" si="0">SUM(E11:G11)</f>
        <v>6862000</v>
      </c>
      <c r="E11" s="269">
        <v>6862000</v>
      </c>
      <c r="F11" s="187"/>
      <c r="G11" s="266"/>
      <c r="H11" s="269">
        <f t="shared" ref="H11:H12" si="1">SUM(I11:K11)</f>
        <v>6948889</v>
      </c>
      <c r="I11" s="269">
        <v>6948889</v>
      </c>
      <c r="J11" s="187"/>
      <c r="K11" s="266"/>
    </row>
    <row r="12" spans="1:11" x14ac:dyDescent="0.25">
      <c r="A12" s="9">
        <v>3</v>
      </c>
      <c r="B12" s="498" t="s">
        <v>197</v>
      </c>
      <c r="C12" s="498"/>
      <c r="D12" s="269">
        <f t="shared" si="0"/>
        <v>4737000</v>
      </c>
      <c r="E12" s="269">
        <v>4737000</v>
      </c>
      <c r="F12" s="187"/>
      <c r="G12" s="276"/>
      <c r="H12" s="269">
        <f t="shared" si="1"/>
        <v>4822762</v>
      </c>
      <c r="I12" s="269">
        <v>4822762</v>
      </c>
      <c r="J12" s="187"/>
      <c r="K12" s="276"/>
    </row>
    <row r="13" spans="1:11" x14ac:dyDescent="0.25">
      <c r="A13" s="9" t="s">
        <v>45</v>
      </c>
      <c r="B13" s="498" t="s">
        <v>179</v>
      </c>
      <c r="C13" s="498"/>
      <c r="D13" s="13"/>
      <c r="E13" s="13"/>
      <c r="F13" s="187"/>
      <c r="G13" s="283"/>
      <c r="H13" s="13"/>
      <c r="I13" s="13"/>
      <c r="J13" s="187"/>
      <c r="K13" s="283"/>
    </row>
    <row r="14" spans="1:11" x14ac:dyDescent="0.2">
      <c r="A14" s="9" t="s">
        <v>47</v>
      </c>
      <c r="B14" s="499" t="s">
        <v>173</v>
      </c>
      <c r="C14" s="499"/>
      <c r="D14" s="13">
        <f>+D15+D16+D17+D18+D19</f>
        <v>0</v>
      </c>
      <c r="E14" s="13"/>
      <c r="F14" s="13"/>
      <c r="G14" s="325"/>
      <c r="H14" s="13">
        <f>+H15+H16+H17+H18+H19</f>
        <v>0</v>
      </c>
      <c r="I14" s="13"/>
      <c r="J14" s="13"/>
      <c r="K14" s="325"/>
    </row>
    <row r="15" spans="1:11" x14ac:dyDescent="0.25">
      <c r="A15" s="9" t="s">
        <v>165</v>
      </c>
      <c r="B15" s="491" t="s">
        <v>168</v>
      </c>
      <c r="C15" s="491"/>
      <c r="D15" s="13"/>
      <c r="E15" s="13"/>
      <c r="F15" s="187"/>
      <c r="G15" s="283"/>
      <c r="H15" s="13"/>
      <c r="I15" s="13"/>
      <c r="J15" s="187"/>
      <c r="K15" s="283"/>
    </row>
    <row r="16" spans="1:11" x14ac:dyDescent="0.25">
      <c r="A16" s="9" t="s">
        <v>166</v>
      </c>
      <c r="B16" s="491" t="s">
        <v>238</v>
      </c>
      <c r="C16" s="491"/>
      <c r="D16" s="13"/>
      <c r="E16" s="13"/>
      <c r="F16" s="187"/>
      <c r="G16" s="283"/>
      <c r="H16" s="13"/>
      <c r="I16" s="13"/>
      <c r="J16" s="187"/>
      <c r="K16" s="283"/>
    </row>
    <row r="17" spans="1:11" x14ac:dyDescent="0.25">
      <c r="A17" s="9"/>
      <c r="B17" s="634" t="s">
        <v>174</v>
      </c>
      <c r="C17" s="634"/>
      <c r="D17" s="13"/>
      <c r="E17" s="13"/>
      <c r="F17" s="187"/>
      <c r="G17" s="283"/>
      <c r="H17" s="13"/>
      <c r="I17" s="13"/>
      <c r="J17" s="187"/>
      <c r="K17" s="283"/>
    </row>
    <row r="18" spans="1:11" x14ac:dyDescent="0.25">
      <c r="A18" s="9" t="s">
        <v>167</v>
      </c>
      <c r="B18" s="468" t="s">
        <v>169</v>
      </c>
      <c r="C18" s="468"/>
      <c r="D18" s="13"/>
      <c r="E18" s="13"/>
      <c r="F18" s="187"/>
      <c r="G18" s="283"/>
      <c r="H18" s="13"/>
      <c r="I18" s="13"/>
      <c r="J18" s="187"/>
      <c r="K18" s="283"/>
    </row>
    <row r="19" spans="1:11" x14ac:dyDescent="0.25">
      <c r="A19" s="9" t="s">
        <v>73</v>
      </c>
      <c r="B19" s="468" t="s">
        <v>74</v>
      </c>
      <c r="C19" s="493"/>
      <c r="D19" s="13"/>
      <c r="E19" s="13"/>
      <c r="F19" s="187"/>
      <c r="G19" s="283"/>
      <c r="H19" s="13"/>
      <c r="I19" s="13"/>
      <c r="J19" s="187"/>
      <c r="K19" s="283"/>
    </row>
    <row r="20" spans="1:11" x14ac:dyDescent="0.25">
      <c r="A20" s="9"/>
      <c r="B20" s="498" t="s">
        <v>234</v>
      </c>
      <c r="C20" s="498"/>
      <c r="D20" s="289"/>
      <c r="E20" s="289"/>
      <c r="F20" s="187"/>
      <c r="G20" s="283"/>
      <c r="H20" s="289"/>
      <c r="I20" s="289"/>
      <c r="J20" s="187"/>
      <c r="K20" s="283"/>
    </row>
    <row r="21" spans="1:11" x14ac:dyDescent="0.2">
      <c r="A21" s="9" t="s">
        <v>193</v>
      </c>
      <c r="B21" s="364" t="s">
        <v>164</v>
      </c>
      <c r="C21" s="150"/>
      <c r="D21" s="13">
        <f>+D10+D11+D12+D13+D14+D20</f>
        <v>36746000</v>
      </c>
      <c r="E21" s="13">
        <f>+E10+E11+E12+E13+E14+E20</f>
        <v>36746000</v>
      </c>
      <c r="F21" s="13"/>
      <c r="G21" s="325"/>
      <c r="H21" s="13">
        <f>+H10+H11+H12+H13+H14+H20</f>
        <v>37222831</v>
      </c>
      <c r="I21" s="13">
        <f>+I10+I11+I12+I13+I14+I20</f>
        <v>37222831</v>
      </c>
      <c r="J21" s="13"/>
      <c r="K21" s="325"/>
    </row>
    <row r="22" spans="1:11" x14ac:dyDescent="0.25">
      <c r="A22" s="9" t="s">
        <v>48</v>
      </c>
      <c r="B22" s="498" t="s">
        <v>189</v>
      </c>
      <c r="C22" s="498"/>
      <c r="D22" s="289"/>
      <c r="E22" s="289"/>
      <c r="F22" s="187"/>
      <c r="G22" s="283"/>
      <c r="H22" s="269">
        <f t="shared" ref="H22" si="2">SUM(I22:K22)</f>
        <v>222040</v>
      </c>
      <c r="I22" s="289">
        <v>222040</v>
      </c>
      <c r="J22" s="187"/>
      <c r="K22" s="283"/>
    </row>
    <row r="23" spans="1:11" x14ac:dyDescent="0.25">
      <c r="A23" s="9" t="s">
        <v>49</v>
      </c>
      <c r="B23" s="498" t="s">
        <v>188</v>
      </c>
      <c r="C23" s="498"/>
      <c r="D23" s="289"/>
      <c r="E23" s="289"/>
      <c r="F23" s="187"/>
      <c r="G23" s="283"/>
      <c r="H23" s="289"/>
      <c r="I23" s="289"/>
      <c r="J23" s="187"/>
      <c r="K23" s="283"/>
    </row>
    <row r="24" spans="1:11" x14ac:dyDescent="0.25">
      <c r="A24" s="9" t="s">
        <v>51</v>
      </c>
      <c r="B24" s="498" t="s">
        <v>170</v>
      </c>
      <c r="C24" s="498"/>
      <c r="D24" s="289"/>
      <c r="E24" s="289"/>
      <c r="F24" s="187"/>
      <c r="G24" s="283"/>
      <c r="H24" s="289"/>
      <c r="I24" s="289"/>
      <c r="J24" s="187"/>
      <c r="K24" s="283"/>
    </row>
    <row r="25" spans="1:11" x14ac:dyDescent="0.25">
      <c r="A25" s="9" t="s">
        <v>194</v>
      </c>
      <c r="B25" s="498" t="s">
        <v>235</v>
      </c>
      <c r="C25" s="498"/>
      <c r="D25" s="289">
        <f>+D22+D23+D24</f>
        <v>0</v>
      </c>
      <c r="E25" s="289"/>
      <c r="F25" s="187"/>
      <c r="G25" s="283"/>
      <c r="H25" s="289">
        <f>+H22+H23+H24</f>
        <v>222040</v>
      </c>
      <c r="I25" s="289">
        <v>222040</v>
      </c>
      <c r="J25" s="187"/>
      <c r="K25" s="283"/>
    </row>
    <row r="26" spans="1:11" x14ac:dyDescent="0.25">
      <c r="A26" s="9" t="s">
        <v>195</v>
      </c>
      <c r="B26" s="498"/>
      <c r="C26" s="498"/>
      <c r="D26" s="289"/>
      <c r="E26" s="289"/>
      <c r="F26" s="187"/>
      <c r="G26" s="283"/>
      <c r="H26" s="289"/>
      <c r="I26" s="289"/>
      <c r="J26" s="187"/>
      <c r="K26" s="283"/>
    </row>
    <row r="27" spans="1:11" x14ac:dyDescent="0.25">
      <c r="A27" s="9" t="s">
        <v>180</v>
      </c>
      <c r="B27" s="528"/>
      <c r="C27" s="528"/>
      <c r="D27" s="287"/>
      <c r="E27" s="287"/>
      <c r="F27" s="187"/>
      <c r="G27" s="283"/>
      <c r="H27" s="287"/>
      <c r="I27" s="287"/>
      <c r="J27" s="187"/>
      <c r="K27" s="283"/>
    </row>
    <row r="28" spans="1:11" x14ac:dyDescent="0.25">
      <c r="A28" s="9" t="s">
        <v>181</v>
      </c>
      <c r="B28" s="528"/>
      <c r="C28" s="528"/>
      <c r="D28" s="287"/>
      <c r="E28" s="379"/>
      <c r="F28" s="187"/>
      <c r="G28" s="283"/>
      <c r="H28" s="287"/>
      <c r="I28" s="379"/>
      <c r="J28" s="187"/>
      <c r="K28" s="283"/>
    </row>
    <row r="29" spans="1:11" ht="19.5" x14ac:dyDescent="0.3">
      <c r="A29" s="152" t="s">
        <v>171</v>
      </c>
      <c r="B29" s="484" t="s">
        <v>172</v>
      </c>
      <c r="C29" s="484"/>
      <c r="D29" s="288">
        <f t="shared" ref="D29:K29" si="3">+D21+D25+D26+D27+D28</f>
        <v>36746000</v>
      </c>
      <c r="E29" s="288">
        <f t="shared" si="3"/>
        <v>36746000</v>
      </c>
      <c r="F29" s="288">
        <f t="shared" si="3"/>
        <v>0</v>
      </c>
      <c r="G29" s="285">
        <f t="shared" si="3"/>
        <v>0</v>
      </c>
      <c r="H29" s="288">
        <f t="shared" si="3"/>
        <v>37444871</v>
      </c>
      <c r="I29" s="288">
        <f t="shared" si="3"/>
        <v>37444871</v>
      </c>
      <c r="J29" s="288">
        <f t="shared" si="3"/>
        <v>0</v>
      </c>
      <c r="K29" s="285">
        <f t="shared" si="3"/>
        <v>0</v>
      </c>
    </row>
    <row r="30" spans="1:11" x14ac:dyDescent="0.25">
      <c r="A30" s="18"/>
      <c r="B30" s="483"/>
      <c r="C30" s="483"/>
      <c r="D30" s="19"/>
      <c r="E30" s="19"/>
      <c r="F30" s="19"/>
      <c r="G30" s="356"/>
      <c r="H30" s="19"/>
      <c r="I30" s="19"/>
      <c r="J30" s="19"/>
      <c r="K30" s="356"/>
    </row>
    <row r="31" spans="1:11" x14ac:dyDescent="0.25">
      <c r="A31" s="9"/>
      <c r="B31" s="482" t="s">
        <v>202</v>
      </c>
      <c r="C31" s="482"/>
      <c r="D31" s="289"/>
      <c r="E31" s="289"/>
      <c r="F31" s="187"/>
      <c r="G31" s="283"/>
      <c r="H31" s="289"/>
      <c r="I31" s="289"/>
      <c r="J31" s="187"/>
      <c r="K31" s="283"/>
    </row>
    <row r="32" spans="1:11" x14ac:dyDescent="0.25">
      <c r="A32" s="9" t="s">
        <v>29</v>
      </c>
      <c r="B32" s="469" t="s">
        <v>233</v>
      </c>
      <c r="C32" s="469"/>
      <c r="D32" s="289"/>
      <c r="E32" s="289"/>
      <c r="F32" s="187"/>
      <c r="G32" s="283">
        <v>0</v>
      </c>
      <c r="H32" s="289">
        <v>11100</v>
      </c>
      <c r="I32" s="289">
        <v>11100</v>
      </c>
      <c r="J32" s="187"/>
      <c r="K32" s="283">
        <v>0</v>
      </c>
    </row>
    <row r="33" spans="1:11" x14ac:dyDescent="0.25">
      <c r="A33" s="9" t="s">
        <v>43</v>
      </c>
      <c r="B33" s="469" t="s">
        <v>198</v>
      </c>
      <c r="C33" s="469"/>
      <c r="D33" s="289">
        <f>SUM(D34:D36)</f>
        <v>0</v>
      </c>
      <c r="E33" s="289">
        <f>SUM(E34:E36)</f>
        <v>0</v>
      </c>
      <c r="F33" s="187"/>
      <c r="G33" s="283"/>
      <c r="H33" s="289">
        <f>SUM(H34:H36)</f>
        <v>0</v>
      </c>
      <c r="I33" s="289">
        <f>SUM(I34:I36)</f>
        <v>0</v>
      </c>
      <c r="J33" s="187"/>
      <c r="K33" s="283"/>
    </row>
    <row r="34" spans="1:11" x14ac:dyDescent="0.25">
      <c r="A34" s="9"/>
      <c r="B34" s="221" t="s">
        <v>75</v>
      </c>
      <c r="C34" s="131" t="s">
        <v>175</v>
      </c>
      <c r="D34" s="289"/>
      <c r="E34" s="289"/>
      <c r="F34" s="187"/>
      <c r="G34" s="283"/>
      <c r="H34" s="289"/>
      <c r="I34" s="289"/>
      <c r="J34" s="187"/>
      <c r="K34" s="283"/>
    </row>
    <row r="35" spans="1:11" x14ac:dyDescent="0.25">
      <c r="A35" s="9"/>
      <c r="B35" s="221" t="s">
        <v>76</v>
      </c>
      <c r="C35" s="131" t="s">
        <v>176</v>
      </c>
      <c r="D35" s="289"/>
      <c r="E35" s="289"/>
      <c r="F35" s="187"/>
      <c r="G35" s="283"/>
      <c r="H35" s="289"/>
      <c r="I35" s="289"/>
      <c r="J35" s="187"/>
      <c r="K35" s="283"/>
    </row>
    <row r="36" spans="1:11" x14ac:dyDescent="0.25">
      <c r="A36" s="9"/>
      <c r="B36" s="221" t="s">
        <v>77</v>
      </c>
      <c r="C36" s="131" t="s">
        <v>177</v>
      </c>
      <c r="D36" s="289"/>
      <c r="E36" s="289"/>
      <c r="F36" s="187"/>
      <c r="G36" s="283"/>
      <c r="H36" s="289"/>
      <c r="I36" s="289"/>
      <c r="J36" s="187"/>
      <c r="K36" s="283"/>
    </row>
    <row r="37" spans="1:11" x14ac:dyDescent="0.25">
      <c r="A37" s="9" t="s">
        <v>44</v>
      </c>
      <c r="B37" s="469" t="s">
        <v>143</v>
      </c>
      <c r="C37" s="469"/>
      <c r="D37" s="289">
        <f>SUM(D38:D40)</f>
        <v>0</v>
      </c>
      <c r="E37" s="289"/>
      <c r="F37" s="187"/>
      <c r="G37" s="283"/>
      <c r="H37" s="289">
        <f>SUM(H38:H40)</f>
        <v>0</v>
      </c>
      <c r="I37" s="289"/>
      <c r="J37" s="187"/>
      <c r="K37" s="283"/>
    </row>
    <row r="38" spans="1:11" x14ac:dyDescent="0.25">
      <c r="A38" s="9"/>
      <c r="B38" s="222" t="s">
        <v>78</v>
      </c>
      <c r="C38" s="365" t="s">
        <v>236</v>
      </c>
      <c r="D38" s="289"/>
      <c r="E38" s="289"/>
      <c r="F38" s="187"/>
      <c r="G38" s="283"/>
      <c r="H38" s="289"/>
      <c r="I38" s="289"/>
      <c r="J38" s="187"/>
      <c r="K38" s="283"/>
    </row>
    <row r="39" spans="1:11" x14ac:dyDescent="0.25">
      <c r="A39" s="9"/>
      <c r="B39" s="222" t="s">
        <v>79</v>
      </c>
      <c r="C39" s="365" t="s">
        <v>81</v>
      </c>
      <c r="D39" s="289"/>
      <c r="E39" s="289"/>
      <c r="F39" s="187"/>
      <c r="G39" s="283"/>
      <c r="H39" s="289"/>
      <c r="I39" s="289"/>
      <c r="J39" s="187"/>
      <c r="K39" s="283"/>
    </row>
    <row r="40" spans="1:11" x14ac:dyDescent="0.25">
      <c r="A40" s="9"/>
      <c r="B40" s="222" t="s">
        <v>80</v>
      </c>
      <c r="C40" s="365" t="s">
        <v>237</v>
      </c>
      <c r="D40" s="289"/>
      <c r="E40" s="289"/>
      <c r="F40" s="187"/>
      <c r="G40" s="283"/>
      <c r="H40" s="289"/>
      <c r="I40" s="289"/>
      <c r="J40" s="187"/>
      <c r="K40" s="283"/>
    </row>
    <row r="41" spans="1:11" x14ac:dyDescent="0.25">
      <c r="A41" s="9" t="s">
        <v>45</v>
      </c>
      <c r="B41" s="469" t="s">
        <v>144</v>
      </c>
      <c r="C41" s="469"/>
      <c r="D41" s="289">
        <f>SUM(D42:D45)</f>
        <v>0</v>
      </c>
      <c r="E41" s="289">
        <f>SUM(E42:E45)</f>
        <v>0</v>
      </c>
      <c r="F41" s="187"/>
      <c r="G41" s="283"/>
      <c r="H41" s="289">
        <f>SUM(H42:H45)</f>
        <v>687771</v>
      </c>
      <c r="I41" s="289">
        <f>SUM(I42:I45)</f>
        <v>687771</v>
      </c>
      <c r="J41" s="187"/>
      <c r="K41" s="283"/>
    </row>
    <row r="42" spans="1:11" x14ac:dyDescent="0.25">
      <c r="A42" s="9"/>
      <c r="B42" s="222" t="s">
        <v>82</v>
      </c>
      <c r="C42" s="365" t="s">
        <v>86</v>
      </c>
      <c r="D42" s="289"/>
      <c r="E42" s="289"/>
      <c r="F42" s="187"/>
      <c r="G42" s="283"/>
      <c r="H42" s="289">
        <v>687771</v>
      </c>
      <c r="I42" s="289">
        <v>687771</v>
      </c>
      <c r="J42" s="187"/>
      <c r="K42" s="283"/>
    </row>
    <row r="43" spans="1:11" x14ac:dyDescent="0.25">
      <c r="A43" s="9"/>
      <c r="B43" s="222" t="s">
        <v>83</v>
      </c>
      <c r="C43" s="365" t="s">
        <v>87</v>
      </c>
      <c r="D43" s="289"/>
      <c r="E43" s="289"/>
      <c r="F43" s="187"/>
      <c r="G43" s="283"/>
      <c r="H43" s="289"/>
      <c r="I43" s="289"/>
      <c r="J43" s="187"/>
      <c r="K43" s="283"/>
    </row>
    <row r="44" spans="1:11" x14ac:dyDescent="0.25">
      <c r="A44" s="9"/>
      <c r="B44" s="222" t="s">
        <v>84</v>
      </c>
      <c r="C44" s="365" t="s">
        <v>274</v>
      </c>
      <c r="D44" s="289"/>
      <c r="E44" s="289"/>
      <c r="F44" s="187"/>
      <c r="G44" s="283"/>
      <c r="H44" s="289"/>
      <c r="I44" s="289"/>
      <c r="J44" s="187"/>
      <c r="K44" s="283"/>
    </row>
    <row r="45" spans="1:11" x14ac:dyDescent="0.25">
      <c r="A45" s="9"/>
      <c r="B45" s="222" t="s">
        <v>85</v>
      </c>
      <c r="C45" s="365" t="s">
        <v>88</v>
      </c>
      <c r="D45" s="289"/>
      <c r="E45" s="289"/>
      <c r="F45" s="187"/>
      <c r="G45" s="283"/>
      <c r="H45" s="289"/>
      <c r="I45" s="289"/>
      <c r="J45" s="187"/>
      <c r="K45" s="283"/>
    </row>
    <row r="46" spans="1:11" x14ac:dyDescent="0.25">
      <c r="A46" s="223" t="s">
        <v>193</v>
      </c>
      <c r="B46" s="523" t="s">
        <v>89</v>
      </c>
      <c r="C46" s="523"/>
      <c r="D46" s="289">
        <f>+D32+D33+D37+D41</f>
        <v>0</v>
      </c>
      <c r="E46" s="289">
        <f>+E32+E33+E37+E41</f>
        <v>0</v>
      </c>
      <c r="F46" s="187"/>
      <c r="G46" s="283"/>
      <c r="H46" s="289">
        <f>+H32+H33+H37+H41</f>
        <v>698871</v>
      </c>
      <c r="I46" s="289">
        <f>+I32+I33+I37+I41</f>
        <v>698871</v>
      </c>
      <c r="J46" s="187"/>
      <c r="K46" s="283"/>
    </row>
    <row r="47" spans="1:11" x14ac:dyDescent="0.25">
      <c r="A47" s="9" t="s">
        <v>47</v>
      </c>
      <c r="B47" s="469" t="s">
        <v>190</v>
      </c>
      <c r="C47" s="469"/>
      <c r="D47" s="289">
        <f>SUM(D48:D49)</f>
        <v>0</v>
      </c>
      <c r="E47" s="289">
        <f>SUM(E48:E49)</f>
        <v>0</v>
      </c>
      <c r="F47" s="187"/>
      <c r="G47" s="283"/>
      <c r="H47" s="289">
        <f>SUM(H48:H49)</f>
        <v>0</v>
      </c>
      <c r="I47" s="289">
        <f>SUM(I48:I49)</f>
        <v>0</v>
      </c>
      <c r="J47" s="187"/>
      <c r="K47" s="283"/>
    </row>
    <row r="48" spans="1:11" x14ac:dyDescent="0.25">
      <c r="A48" s="9"/>
      <c r="B48" s="222" t="s">
        <v>90</v>
      </c>
      <c r="C48" s="365" t="s">
        <v>92</v>
      </c>
      <c r="D48" s="289"/>
      <c r="E48" s="289"/>
      <c r="F48" s="187"/>
      <c r="G48" s="283"/>
      <c r="H48" s="289"/>
      <c r="I48" s="289"/>
      <c r="J48" s="187"/>
      <c r="K48" s="283"/>
    </row>
    <row r="49" spans="1:11" x14ac:dyDescent="0.25">
      <c r="A49" s="9"/>
      <c r="B49" s="222" t="s">
        <v>91</v>
      </c>
      <c r="C49" s="365" t="s">
        <v>1</v>
      </c>
      <c r="D49" s="289"/>
      <c r="E49" s="289"/>
      <c r="F49" s="187"/>
      <c r="G49" s="283"/>
      <c r="H49" s="289"/>
      <c r="I49" s="289"/>
      <c r="J49" s="187"/>
      <c r="K49" s="283"/>
    </row>
    <row r="50" spans="1:11" x14ac:dyDescent="0.25">
      <c r="A50" s="9" t="s">
        <v>48</v>
      </c>
      <c r="B50" s="469" t="s">
        <v>146</v>
      </c>
      <c r="C50" s="469"/>
      <c r="D50" s="289">
        <f>SUM(D51:D52)</f>
        <v>0</v>
      </c>
      <c r="E50" s="289">
        <f>SUM(E51:E52)</f>
        <v>0</v>
      </c>
      <c r="F50" s="187"/>
      <c r="G50" s="283"/>
      <c r="H50" s="289">
        <f>SUM(H51:H52)</f>
        <v>0</v>
      </c>
      <c r="I50" s="289">
        <f>SUM(I51:I52)</f>
        <v>0</v>
      </c>
      <c r="J50" s="187"/>
      <c r="K50" s="283"/>
    </row>
    <row r="51" spans="1:11" x14ac:dyDescent="0.25">
      <c r="A51" s="9"/>
      <c r="B51" s="222" t="s">
        <v>93</v>
      </c>
      <c r="C51" s="365" t="s">
        <v>95</v>
      </c>
      <c r="D51" s="289"/>
      <c r="E51" s="289"/>
      <c r="F51" s="187"/>
      <c r="G51" s="283"/>
      <c r="H51" s="289"/>
      <c r="I51" s="289"/>
      <c r="J51" s="187"/>
      <c r="K51" s="283"/>
    </row>
    <row r="52" spans="1:11" x14ac:dyDescent="0.25">
      <c r="A52" s="9"/>
      <c r="B52" s="222" t="s">
        <v>94</v>
      </c>
      <c r="C52" s="365" t="s">
        <v>96</v>
      </c>
      <c r="D52" s="289">
        <v>0</v>
      </c>
      <c r="E52" s="289"/>
      <c r="F52" s="187"/>
      <c r="G52" s="283"/>
      <c r="H52" s="289">
        <v>0</v>
      </c>
      <c r="I52" s="289"/>
      <c r="J52" s="187"/>
      <c r="K52" s="283"/>
    </row>
    <row r="53" spans="1:11" x14ac:dyDescent="0.25">
      <c r="A53" s="9" t="s">
        <v>49</v>
      </c>
      <c r="B53" s="469" t="s">
        <v>147</v>
      </c>
      <c r="C53" s="469"/>
      <c r="D53" s="289">
        <f>SUM(D54:D56)</f>
        <v>0</v>
      </c>
      <c r="E53" s="289">
        <f>SUM(E54:E56)</f>
        <v>0</v>
      </c>
      <c r="F53" s="187"/>
      <c r="G53" s="283"/>
      <c r="H53" s="289">
        <f>SUM(H54:H56)</f>
        <v>0</v>
      </c>
      <c r="I53" s="289">
        <f>SUM(I54:I56)</f>
        <v>0</v>
      </c>
      <c r="J53" s="187"/>
      <c r="K53" s="283"/>
    </row>
    <row r="54" spans="1:11" x14ac:dyDescent="0.25">
      <c r="A54" s="9"/>
      <c r="B54" s="222" t="s">
        <v>97</v>
      </c>
      <c r="C54" s="365" t="s">
        <v>100</v>
      </c>
      <c r="D54" s="289"/>
      <c r="E54" s="289"/>
      <c r="F54" s="187"/>
      <c r="G54" s="283"/>
      <c r="H54" s="289"/>
      <c r="I54" s="289"/>
      <c r="J54" s="187"/>
      <c r="K54" s="283"/>
    </row>
    <row r="55" spans="1:11" x14ac:dyDescent="0.25">
      <c r="A55" s="9"/>
      <c r="B55" s="222" t="s">
        <v>98</v>
      </c>
      <c r="C55" s="365" t="s">
        <v>2</v>
      </c>
      <c r="D55" s="289"/>
      <c r="E55" s="289"/>
      <c r="F55" s="187"/>
      <c r="G55" s="283"/>
      <c r="H55" s="289"/>
      <c r="I55" s="289"/>
      <c r="J55" s="187"/>
      <c r="K55" s="283"/>
    </row>
    <row r="56" spans="1:11" x14ac:dyDescent="0.25">
      <c r="A56" s="9"/>
      <c r="B56" s="222" t="s">
        <v>99</v>
      </c>
      <c r="C56" s="365" t="s">
        <v>101</v>
      </c>
      <c r="D56" s="289"/>
      <c r="E56" s="289"/>
      <c r="F56" s="187"/>
      <c r="G56" s="283"/>
      <c r="H56" s="289"/>
      <c r="I56" s="289"/>
      <c r="J56" s="187"/>
      <c r="K56" s="283"/>
    </row>
    <row r="57" spans="1:11" x14ac:dyDescent="0.25">
      <c r="A57" s="223" t="s">
        <v>194</v>
      </c>
      <c r="B57" s="523" t="s">
        <v>215</v>
      </c>
      <c r="C57" s="523"/>
      <c r="D57" s="287">
        <f>+D47+D50+D53</f>
        <v>0</v>
      </c>
      <c r="E57" s="287">
        <f>+E47+E50+E53</f>
        <v>0</v>
      </c>
      <c r="F57" s="187"/>
      <c r="G57" s="283"/>
      <c r="H57" s="287">
        <f>+H47+H50+H53</f>
        <v>0</v>
      </c>
      <c r="I57" s="287">
        <f>+I47+I50+I53</f>
        <v>0</v>
      </c>
      <c r="J57" s="187"/>
      <c r="K57" s="283"/>
    </row>
    <row r="58" spans="1:11" x14ac:dyDescent="0.25">
      <c r="A58" s="223" t="s">
        <v>195</v>
      </c>
      <c r="B58" s="523" t="s">
        <v>148</v>
      </c>
      <c r="C58" s="523"/>
      <c r="D58" s="287"/>
      <c r="E58" s="287"/>
      <c r="F58" s="187"/>
      <c r="G58" s="283"/>
      <c r="H58" s="287"/>
      <c r="I58" s="287"/>
      <c r="J58" s="187"/>
      <c r="K58" s="283"/>
    </row>
    <row r="59" spans="1:11" x14ac:dyDescent="0.25">
      <c r="A59" s="223" t="s">
        <v>180</v>
      </c>
      <c r="B59" s="523" t="s">
        <v>21</v>
      </c>
      <c r="C59" s="523"/>
      <c r="D59" s="287"/>
      <c r="E59" s="287"/>
      <c r="F59" s="187"/>
      <c r="G59" s="283"/>
      <c r="H59" s="287"/>
      <c r="I59" s="287"/>
      <c r="J59" s="187"/>
      <c r="K59" s="283"/>
    </row>
    <row r="60" spans="1:11" ht="18.75" x14ac:dyDescent="0.3">
      <c r="A60" s="152" t="s">
        <v>149</v>
      </c>
      <c r="B60" s="461" t="s">
        <v>150</v>
      </c>
      <c r="C60" s="461"/>
      <c r="D60" s="288">
        <f>+D46+D57+D58+D59</f>
        <v>0</v>
      </c>
      <c r="E60" s="288">
        <f>+E46+E57+E58+E59</f>
        <v>0</v>
      </c>
      <c r="F60" s="187"/>
      <c r="G60" s="283"/>
      <c r="H60" s="288">
        <f>+H46+H57+H58+H59</f>
        <v>698871</v>
      </c>
      <c r="I60" s="288">
        <f>+I46+I57+I58+I59</f>
        <v>698871</v>
      </c>
      <c r="J60" s="187"/>
      <c r="K60" s="283"/>
    </row>
    <row r="61" spans="1:11" ht="18.75" x14ac:dyDescent="0.3">
      <c r="A61" s="152"/>
      <c r="B61" s="461" t="s">
        <v>151</v>
      </c>
      <c r="C61" s="461"/>
      <c r="D61" s="288">
        <f>+D29-D60</f>
        <v>36746000</v>
      </c>
      <c r="E61" s="288">
        <f>+E29-E60</f>
        <v>36746000</v>
      </c>
      <c r="F61" s="187"/>
      <c r="G61" s="283"/>
      <c r="H61" s="288">
        <f>+H29-H60</f>
        <v>36746000</v>
      </c>
      <c r="I61" s="288">
        <f>+I29-I60</f>
        <v>36746000</v>
      </c>
      <c r="J61" s="187"/>
      <c r="K61" s="283"/>
    </row>
    <row r="62" spans="1:11" ht="18.75" x14ac:dyDescent="0.3">
      <c r="A62" s="152"/>
      <c r="B62" s="523" t="s">
        <v>277</v>
      </c>
      <c r="C62" s="523"/>
      <c r="D62" s="288">
        <v>36746000</v>
      </c>
      <c r="E62" s="288">
        <v>36746000</v>
      </c>
      <c r="F62" s="187"/>
      <c r="G62" s="285"/>
      <c r="H62" s="288">
        <v>36550871</v>
      </c>
      <c r="I62" s="288">
        <v>36550871</v>
      </c>
      <c r="J62" s="187"/>
      <c r="K62" s="285"/>
    </row>
    <row r="63" spans="1:11" x14ac:dyDescent="0.25">
      <c r="A63" s="223" t="s">
        <v>181</v>
      </c>
      <c r="B63" s="523" t="s">
        <v>152</v>
      </c>
      <c r="C63" s="523"/>
      <c r="D63" s="289"/>
      <c r="E63" s="289"/>
      <c r="F63" s="187"/>
      <c r="G63" s="283"/>
      <c r="H63" s="289">
        <f>SUM(I63:K63)</f>
        <v>195129</v>
      </c>
      <c r="I63" s="289">
        <v>195129</v>
      </c>
      <c r="J63" s="187"/>
      <c r="K63" s="283"/>
    </row>
    <row r="64" spans="1:11" ht="18.75" x14ac:dyDescent="0.25">
      <c r="A64" s="152"/>
      <c r="B64" s="263" t="s">
        <v>29</v>
      </c>
      <c r="C64" s="365" t="s">
        <v>102</v>
      </c>
      <c r="D64" s="289"/>
      <c r="E64" s="289"/>
      <c r="F64" s="187"/>
      <c r="G64" s="286"/>
      <c r="H64" s="289">
        <f>SUM(I64:K64)</f>
        <v>195129</v>
      </c>
      <c r="I64" s="289">
        <v>195129</v>
      </c>
      <c r="J64" s="187"/>
      <c r="K64" s="286"/>
    </row>
    <row r="65" spans="1:11" ht="18.75" x14ac:dyDescent="0.3">
      <c r="A65" s="152"/>
      <c r="B65" s="263" t="s">
        <v>43</v>
      </c>
      <c r="C65" s="365" t="s">
        <v>103</v>
      </c>
      <c r="D65" s="305"/>
      <c r="E65" s="288"/>
      <c r="F65" s="187"/>
      <c r="G65" s="286"/>
      <c r="H65" s="305"/>
      <c r="I65" s="288"/>
      <c r="J65" s="187"/>
      <c r="K65" s="286"/>
    </row>
    <row r="66" spans="1:11" ht="18.75" x14ac:dyDescent="0.3">
      <c r="A66" s="152" t="s">
        <v>153</v>
      </c>
      <c r="B66" s="484" t="s">
        <v>157</v>
      </c>
      <c r="C66" s="484"/>
      <c r="D66" s="288"/>
      <c r="E66" s="288"/>
      <c r="F66" s="187"/>
      <c r="G66" s="286"/>
      <c r="H66" s="288"/>
      <c r="I66" s="288"/>
      <c r="J66" s="187"/>
      <c r="K66" s="286"/>
    </row>
    <row r="67" spans="1:11" ht="18.75" x14ac:dyDescent="0.3">
      <c r="A67" s="9" t="s">
        <v>182</v>
      </c>
      <c r="B67" s="469" t="s">
        <v>154</v>
      </c>
      <c r="C67" s="469"/>
      <c r="D67" s="288"/>
      <c r="E67" s="288"/>
      <c r="F67" s="187"/>
      <c r="G67" s="286"/>
      <c r="H67" s="288"/>
      <c r="I67" s="288"/>
      <c r="J67" s="187"/>
      <c r="K67" s="286"/>
    </row>
    <row r="68" spans="1:11" ht="18.75" x14ac:dyDescent="0.3">
      <c r="A68" s="9" t="s">
        <v>183</v>
      </c>
      <c r="B68" s="469" t="s">
        <v>155</v>
      </c>
      <c r="C68" s="469"/>
      <c r="D68" s="288">
        <f>SUM(D69:D72)</f>
        <v>0</v>
      </c>
      <c r="E68" s="288"/>
      <c r="F68" s="187"/>
      <c r="G68" s="286"/>
      <c r="H68" s="288">
        <f>SUM(H69:H72)</f>
        <v>0</v>
      </c>
      <c r="I68" s="288"/>
      <c r="J68" s="187"/>
      <c r="K68" s="286"/>
    </row>
    <row r="69" spans="1:11" ht="18.75" x14ac:dyDescent="0.3">
      <c r="A69" s="9"/>
      <c r="B69" s="222" t="s">
        <v>29</v>
      </c>
      <c r="C69" s="365" t="s">
        <v>104</v>
      </c>
      <c r="D69" s="305"/>
      <c r="E69" s="305"/>
      <c r="F69" s="187"/>
      <c r="G69" s="286"/>
      <c r="H69" s="305"/>
      <c r="I69" s="305"/>
      <c r="J69" s="187"/>
      <c r="K69" s="286"/>
    </row>
    <row r="70" spans="1:11" ht="18.75" x14ac:dyDescent="0.3">
      <c r="A70" s="9"/>
      <c r="B70" s="222" t="s">
        <v>43</v>
      </c>
      <c r="C70" s="365" t="s">
        <v>105</v>
      </c>
      <c r="D70" s="288"/>
      <c r="E70" s="288"/>
      <c r="F70" s="187"/>
      <c r="G70" s="286"/>
      <c r="H70" s="288"/>
      <c r="I70" s="288"/>
      <c r="J70" s="187"/>
      <c r="K70" s="286"/>
    </row>
    <row r="71" spans="1:11" ht="18.75" x14ac:dyDescent="0.3">
      <c r="A71" s="9"/>
      <c r="B71" s="222" t="s">
        <v>44</v>
      </c>
      <c r="C71" s="365" t="s">
        <v>231</v>
      </c>
      <c r="D71" s="305"/>
      <c r="E71" s="288"/>
      <c r="F71" s="187"/>
      <c r="G71" s="286"/>
      <c r="H71" s="305"/>
      <c r="I71" s="288"/>
      <c r="J71" s="187"/>
      <c r="K71" s="286"/>
    </row>
    <row r="72" spans="1:11" ht="18.75" x14ac:dyDescent="0.3">
      <c r="A72" s="9"/>
      <c r="B72" s="222" t="s">
        <v>45</v>
      </c>
      <c r="C72" s="365" t="s">
        <v>232</v>
      </c>
      <c r="D72" s="305"/>
      <c r="E72" s="288"/>
      <c r="F72" s="187"/>
      <c r="G72" s="286"/>
      <c r="H72" s="305"/>
      <c r="I72" s="288"/>
      <c r="J72" s="187"/>
      <c r="K72" s="286"/>
    </row>
    <row r="73" spans="1:11" ht="19.5" x14ac:dyDescent="0.3">
      <c r="A73" s="152" t="s">
        <v>156</v>
      </c>
      <c r="B73" s="527" t="s">
        <v>158</v>
      </c>
      <c r="C73" s="527"/>
      <c r="D73" s="288">
        <f>+D67+D68</f>
        <v>0</v>
      </c>
      <c r="E73" s="288"/>
      <c r="F73" s="187"/>
      <c r="G73" s="286"/>
      <c r="H73" s="288">
        <f>+H67+H68</f>
        <v>0</v>
      </c>
      <c r="I73" s="288"/>
      <c r="J73" s="187"/>
      <c r="K73" s="286"/>
    </row>
    <row r="74" spans="1:11" ht="18.75" x14ac:dyDescent="0.3">
      <c r="A74" s="152" t="s">
        <v>159</v>
      </c>
      <c r="B74" s="461" t="s">
        <v>160</v>
      </c>
      <c r="C74" s="461"/>
      <c r="D74" s="288">
        <v>36746000</v>
      </c>
      <c r="E74" s="288">
        <v>36746000</v>
      </c>
      <c r="F74" s="187"/>
      <c r="G74" s="286"/>
      <c r="H74" s="288">
        <f>SUM(I74:K74)</f>
        <v>36746000</v>
      </c>
      <c r="I74" s="288">
        <f>I62+I63</f>
        <v>36746000</v>
      </c>
      <c r="J74" s="187"/>
      <c r="K74" s="286"/>
    </row>
    <row r="75" spans="1:11" ht="18.75" x14ac:dyDescent="0.3">
      <c r="A75" s="9" t="s">
        <v>184</v>
      </c>
      <c r="B75" s="469" t="s">
        <v>278</v>
      </c>
      <c r="C75" s="469"/>
      <c r="D75" s="288"/>
      <c r="E75" s="288"/>
      <c r="F75" s="187"/>
      <c r="G75" s="286"/>
      <c r="H75" s="288"/>
      <c r="I75" s="288"/>
      <c r="J75" s="187"/>
      <c r="K75" s="286"/>
    </row>
    <row r="76" spans="1:11" ht="18.75" x14ac:dyDescent="0.3">
      <c r="A76" s="9" t="s">
        <v>185</v>
      </c>
      <c r="B76" s="469" t="s">
        <v>161</v>
      </c>
      <c r="C76" s="469"/>
      <c r="D76" s="305">
        <f>SUM(D77:D79)</f>
        <v>0</v>
      </c>
      <c r="E76" s="305"/>
      <c r="F76" s="187"/>
      <c r="G76" s="286"/>
      <c r="H76" s="305">
        <f>SUM(H77:H79)</f>
        <v>0</v>
      </c>
      <c r="I76" s="305"/>
      <c r="J76" s="187"/>
      <c r="K76" s="286"/>
    </row>
    <row r="77" spans="1:11" ht="18.75" x14ac:dyDescent="0.3">
      <c r="A77" s="9"/>
      <c r="B77" s="222" t="s">
        <v>29</v>
      </c>
      <c r="C77" s="365" t="s">
        <v>227</v>
      </c>
      <c r="D77" s="305"/>
      <c r="E77" s="305"/>
      <c r="F77" s="187"/>
      <c r="G77" s="286"/>
      <c r="H77" s="305"/>
      <c r="I77" s="305"/>
      <c r="J77" s="187"/>
      <c r="K77" s="286"/>
    </row>
    <row r="78" spans="1:11" ht="18.75" x14ac:dyDescent="0.3">
      <c r="A78" s="9"/>
      <c r="B78" s="222" t="s">
        <v>43</v>
      </c>
      <c r="C78" s="365" t="s">
        <v>226</v>
      </c>
      <c r="D78" s="305"/>
      <c r="E78" s="305"/>
      <c r="F78" s="187"/>
      <c r="G78" s="286"/>
      <c r="H78" s="305"/>
      <c r="I78" s="305"/>
      <c r="J78" s="187"/>
      <c r="K78" s="286"/>
    </row>
    <row r="79" spans="1:11" ht="18.75" x14ac:dyDescent="0.3">
      <c r="A79" s="9"/>
      <c r="B79" s="222" t="s">
        <v>44</v>
      </c>
      <c r="C79" s="365" t="s">
        <v>106</v>
      </c>
      <c r="D79" s="305"/>
      <c r="E79" s="305"/>
      <c r="F79" s="187"/>
      <c r="G79" s="286"/>
      <c r="H79" s="305"/>
      <c r="I79" s="305"/>
      <c r="J79" s="187"/>
      <c r="K79" s="286"/>
    </row>
    <row r="80" spans="1:11" ht="18.75" x14ac:dyDescent="0.3">
      <c r="A80" s="152" t="s">
        <v>162</v>
      </c>
      <c r="B80" s="461" t="s">
        <v>163</v>
      </c>
      <c r="C80" s="461"/>
      <c r="D80" s="288">
        <f>+D75+D76</f>
        <v>0</v>
      </c>
      <c r="E80" s="288">
        <f>+E75+E76</f>
        <v>0</v>
      </c>
      <c r="F80" s="187"/>
      <c r="G80" s="286"/>
      <c r="H80" s="288">
        <f>+H75+H76</f>
        <v>0</v>
      </c>
      <c r="I80" s="288">
        <f>+I75+I76</f>
        <v>0</v>
      </c>
      <c r="J80" s="187"/>
      <c r="K80" s="286"/>
    </row>
    <row r="81" spans="1:11" ht="18.75" x14ac:dyDescent="0.3">
      <c r="A81" s="152" t="s">
        <v>204</v>
      </c>
      <c r="B81" s="461" t="s">
        <v>206</v>
      </c>
      <c r="C81" s="461"/>
      <c r="D81" s="307">
        <f t="shared" ref="D81:K81" si="4">+D29+D80</f>
        <v>36746000</v>
      </c>
      <c r="E81" s="307">
        <f t="shared" si="4"/>
        <v>36746000</v>
      </c>
      <c r="F81" s="307">
        <f t="shared" si="4"/>
        <v>0</v>
      </c>
      <c r="G81" s="306">
        <f t="shared" si="4"/>
        <v>0</v>
      </c>
      <c r="H81" s="307">
        <f t="shared" si="4"/>
        <v>37444871</v>
      </c>
      <c r="I81" s="307">
        <f t="shared" si="4"/>
        <v>37444871</v>
      </c>
      <c r="J81" s="307">
        <f t="shared" si="4"/>
        <v>0</v>
      </c>
      <c r="K81" s="306">
        <f t="shared" si="4"/>
        <v>0</v>
      </c>
    </row>
    <row r="82" spans="1:11" ht="19.5" thickBot="1" x14ac:dyDescent="0.35">
      <c r="A82" s="171" t="s">
        <v>205</v>
      </c>
      <c r="B82" s="172" t="s">
        <v>207</v>
      </c>
      <c r="C82" s="172"/>
      <c r="D82" s="380">
        <f t="shared" ref="D82:K82" si="5">+D60+D74</f>
        <v>36746000</v>
      </c>
      <c r="E82" s="36">
        <f t="shared" si="5"/>
        <v>36746000</v>
      </c>
      <c r="F82" s="382">
        <f t="shared" si="5"/>
        <v>0</v>
      </c>
      <c r="G82" s="174">
        <f t="shared" si="5"/>
        <v>0</v>
      </c>
      <c r="H82" s="380">
        <f t="shared" si="5"/>
        <v>37444871</v>
      </c>
      <c r="I82" s="36">
        <f t="shared" si="5"/>
        <v>37444871</v>
      </c>
      <c r="J82" s="382">
        <f t="shared" si="5"/>
        <v>0</v>
      </c>
      <c r="K82" s="174">
        <f t="shared" si="5"/>
        <v>0</v>
      </c>
    </row>
    <row r="83" spans="1:11" x14ac:dyDescent="0.2">
      <c r="B83" s="15"/>
      <c r="C83" s="15"/>
      <c r="D83" s="16"/>
      <c r="E83" s="16"/>
      <c r="F83" s="16"/>
    </row>
    <row r="84" spans="1:11" x14ac:dyDescent="0.2">
      <c r="B84" s="15"/>
      <c r="C84" s="15"/>
      <c r="D84" s="178">
        <f>+D82-D81</f>
        <v>0</v>
      </c>
      <c r="E84" s="178">
        <f>+E82-E81</f>
        <v>0</v>
      </c>
      <c r="F84" s="178">
        <f>+F81-F82</f>
        <v>0</v>
      </c>
      <c r="G84" s="178">
        <f>+G82-G81</f>
        <v>0</v>
      </c>
    </row>
    <row r="85" spans="1:11" x14ac:dyDescent="0.2">
      <c r="B85" s="15"/>
      <c r="C85" s="15"/>
      <c r="D85" s="16"/>
      <c r="E85" s="16"/>
      <c r="F85" s="16"/>
    </row>
    <row r="86" spans="1:11" x14ac:dyDescent="0.2">
      <c r="B86" s="15"/>
      <c r="C86" s="15"/>
      <c r="D86" s="16"/>
      <c r="E86" s="16"/>
      <c r="F86" s="16"/>
    </row>
    <row r="87" spans="1:11" x14ac:dyDescent="0.2">
      <c r="B87" s="15"/>
      <c r="C87" s="15"/>
      <c r="D87" s="16"/>
      <c r="E87" s="16"/>
      <c r="F87" s="16"/>
    </row>
    <row r="88" spans="1:11" x14ac:dyDescent="0.2">
      <c r="B88" s="15"/>
      <c r="C88" s="15"/>
      <c r="D88" s="16"/>
      <c r="E88" s="16"/>
      <c r="F88" s="16"/>
    </row>
    <row r="89" spans="1:11" x14ac:dyDescent="0.2">
      <c r="B89" s="15"/>
      <c r="C89" s="15"/>
      <c r="D89" s="16"/>
      <c r="E89" s="16"/>
      <c r="F89" s="16"/>
    </row>
    <row r="90" spans="1:11" x14ac:dyDescent="0.2">
      <c r="B90" s="15"/>
      <c r="C90" s="15"/>
      <c r="D90" s="16"/>
      <c r="E90" s="16"/>
      <c r="F90" s="16"/>
    </row>
    <row r="91" spans="1:11" x14ac:dyDescent="0.2">
      <c r="B91" s="15"/>
      <c r="C91" s="15"/>
      <c r="D91" s="16"/>
      <c r="E91" s="16"/>
      <c r="F91" s="16"/>
    </row>
    <row r="92" spans="1:11" x14ac:dyDescent="0.2">
      <c r="B92" s="15"/>
      <c r="C92" s="15"/>
      <c r="D92" s="16"/>
      <c r="E92" s="16"/>
      <c r="F92" s="16"/>
    </row>
    <row r="93" spans="1:11" x14ac:dyDescent="0.2">
      <c r="B93" s="15"/>
      <c r="C93" s="15"/>
      <c r="D93" s="16"/>
      <c r="E93" s="16"/>
      <c r="F93" s="16"/>
    </row>
    <row r="94" spans="1:11" x14ac:dyDescent="0.2">
      <c r="B94" s="15"/>
      <c r="C94" s="15"/>
      <c r="D94" s="16"/>
      <c r="E94" s="16"/>
      <c r="F94" s="16"/>
    </row>
    <row r="95" spans="1:11" x14ac:dyDescent="0.2">
      <c r="B95" s="15"/>
      <c r="C95" s="15"/>
      <c r="D95" s="16"/>
      <c r="E95" s="16"/>
      <c r="F95" s="16"/>
    </row>
    <row r="96" spans="1:11" x14ac:dyDescent="0.2">
      <c r="B96" s="15"/>
      <c r="C96" s="15"/>
      <c r="D96" s="16"/>
      <c r="E96" s="16"/>
      <c r="F96" s="16"/>
    </row>
    <row r="97" spans="2:6" x14ac:dyDescent="0.2">
      <c r="B97" s="15"/>
      <c r="C97" s="15"/>
      <c r="D97" s="16"/>
      <c r="E97" s="16"/>
      <c r="F97" s="16"/>
    </row>
    <row r="98" spans="2:6" x14ac:dyDescent="0.2">
      <c r="B98" s="15"/>
      <c r="C98" s="15"/>
      <c r="D98" s="16"/>
      <c r="E98" s="16"/>
      <c r="F98" s="16"/>
    </row>
    <row r="99" spans="2:6" x14ac:dyDescent="0.2">
      <c r="B99" s="15"/>
      <c r="C99" s="15"/>
      <c r="D99" s="16"/>
      <c r="E99" s="16"/>
      <c r="F99" s="16"/>
    </row>
    <row r="100" spans="2:6" x14ac:dyDescent="0.2">
      <c r="B100" s="15"/>
      <c r="C100" s="15"/>
      <c r="D100" s="16"/>
      <c r="E100" s="16"/>
      <c r="F100" s="16"/>
    </row>
    <row r="101" spans="2:6" x14ac:dyDescent="0.2">
      <c r="B101" s="15"/>
      <c r="C101" s="15"/>
      <c r="D101" s="16"/>
      <c r="E101" s="16"/>
      <c r="F101" s="16"/>
    </row>
    <row r="102" spans="2:6" x14ac:dyDescent="0.2">
      <c r="B102" s="15"/>
      <c r="C102" s="15"/>
      <c r="D102" s="16"/>
      <c r="E102" s="16"/>
      <c r="F102" s="16"/>
    </row>
    <row r="103" spans="2:6" x14ac:dyDescent="0.2">
      <c r="B103" s="15"/>
      <c r="C103" s="15"/>
      <c r="D103" s="16"/>
      <c r="E103" s="16"/>
      <c r="F103" s="16"/>
    </row>
    <row r="104" spans="2:6" x14ac:dyDescent="0.2">
      <c r="B104" s="15"/>
      <c r="C104" s="15"/>
      <c r="D104" s="16"/>
      <c r="E104" s="16"/>
      <c r="F104" s="16"/>
    </row>
  </sheetData>
  <mergeCells count="63">
    <mergeCell ref="H6:H7"/>
    <mergeCell ref="I6:I7"/>
    <mergeCell ref="J6:J7"/>
    <mergeCell ref="K6:K7"/>
    <mergeCell ref="H8:J8"/>
    <mergeCell ref="A6:A8"/>
    <mergeCell ref="B6:C8"/>
    <mergeCell ref="D6:D7"/>
    <mergeCell ref="E6:E7"/>
    <mergeCell ref="F6:F7"/>
    <mergeCell ref="A1:F1"/>
    <mergeCell ref="A2:F2"/>
    <mergeCell ref="A3:F3"/>
    <mergeCell ref="A4:F4"/>
    <mergeCell ref="A5:F5"/>
    <mergeCell ref="B11:C11"/>
    <mergeCell ref="B12:C12"/>
    <mergeCell ref="B13:C13"/>
    <mergeCell ref="B14:C14"/>
    <mergeCell ref="G6:G7"/>
    <mergeCell ref="D8:F8"/>
    <mergeCell ref="B9:C9"/>
    <mergeCell ref="B10:C10"/>
    <mergeCell ref="B19:C19"/>
    <mergeCell ref="B20:C20"/>
    <mergeCell ref="B22:C22"/>
    <mergeCell ref="B23:C23"/>
    <mergeCell ref="B15:C15"/>
    <mergeCell ref="B16:C16"/>
    <mergeCell ref="B17:C17"/>
    <mergeCell ref="B18:C18"/>
    <mergeCell ref="B28:C28"/>
    <mergeCell ref="B29:C29"/>
    <mergeCell ref="B30:C30"/>
    <mergeCell ref="B31:C31"/>
    <mergeCell ref="B24:C24"/>
    <mergeCell ref="B25:C25"/>
    <mergeCell ref="B26:C26"/>
    <mergeCell ref="B27:C27"/>
    <mergeCell ref="B46:C46"/>
    <mergeCell ref="B47:C47"/>
    <mergeCell ref="B50:C50"/>
    <mergeCell ref="B53:C53"/>
    <mergeCell ref="B32:C32"/>
    <mergeCell ref="B33:C33"/>
    <mergeCell ref="B37:C37"/>
    <mergeCell ref="B41:C41"/>
    <mergeCell ref="B61:C61"/>
    <mergeCell ref="B62:C62"/>
    <mergeCell ref="B63:C63"/>
    <mergeCell ref="B66:C66"/>
    <mergeCell ref="B57:C57"/>
    <mergeCell ref="B58:C58"/>
    <mergeCell ref="B59:C59"/>
    <mergeCell ref="B60:C60"/>
    <mergeCell ref="B75:C75"/>
    <mergeCell ref="B76:C76"/>
    <mergeCell ref="B80:C80"/>
    <mergeCell ref="B81:C81"/>
    <mergeCell ref="B67:C67"/>
    <mergeCell ref="B68:C68"/>
    <mergeCell ref="B73:C73"/>
    <mergeCell ref="B74:C74"/>
  </mergeCells>
  <phoneticPr fontId="20" type="noConversion"/>
  <pageMargins left="0.15748031496062992" right="0.15748031496062992" top="0.19685039370078741" bottom="0.98425196850393704" header="0.15748031496062992" footer="0.51181102362204722"/>
  <pageSetup paperSize="9" scale="5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P22"/>
  <sheetViews>
    <sheetView view="pageBreakPreview" zoomScaleNormal="100" zoomScaleSheetLayoutView="100" workbookViewId="0">
      <selection activeCell="M20" sqref="M20"/>
    </sheetView>
  </sheetViews>
  <sheetFormatPr defaultRowHeight="12.75" x14ac:dyDescent="0.2"/>
  <cols>
    <col min="1" max="1" width="39" bestFit="1" customWidth="1"/>
    <col min="2" max="2" width="12" bestFit="1" customWidth="1"/>
    <col min="3" max="3" width="10.85546875" bestFit="1" customWidth="1"/>
    <col min="4" max="4" width="10.28515625" customWidth="1"/>
    <col min="5" max="5" width="10.140625" customWidth="1"/>
    <col min="6" max="7" width="10.85546875" customWidth="1"/>
    <col min="8" max="8" width="11" customWidth="1"/>
    <col min="9" max="9" width="10.5703125" customWidth="1"/>
    <col min="10" max="10" width="11" customWidth="1"/>
    <col min="11" max="11" width="10.5703125" customWidth="1"/>
    <col min="12" max="13" width="10.85546875" customWidth="1"/>
    <col min="14" max="14" width="12.7109375" customWidth="1"/>
    <col min="15" max="15" width="11.5703125" customWidth="1"/>
  </cols>
  <sheetData>
    <row r="1" spans="1:16" ht="15.75" x14ac:dyDescent="0.2">
      <c r="A1" s="632" t="s">
        <v>326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</row>
    <row r="2" spans="1:16" ht="15.75" x14ac:dyDescent="0.2">
      <c r="A2" s="632" t="s">
        <v>276</v>
      </c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</row>
    <row r="3" spans="1:16" x14ac:dyDescent="0.2">
      <c r="A3" s="633" t="s">
        <v>309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</row>
    <row r="4" spans="1:16" x14ac:dyDescent="0.2">
      <c r="A4" s="633"/>
      <c r="B4" s="633"/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633"/>
    </row>
    <row r="5" spans="1:16" ht="15.75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633" t="s">
        <v>346</v>
      </c>
      <c r="N5" s="633"/>
    </row>
    <row r="6" spans="1:16" ht="15.75" x14ac:dyDescent="0.2">
      <c r="A6" s="31" t="s">
        <v>186</v>
      </c>
      <c r="B6" s="32" t="s">
        <v>3</v>
      </c>
      <c r="C6" s="32" t="s">
        <v>4</v>
      </c>
      <c r="D6" s="32" t="s">
        <v>5</v>
      </c>
      <c r="E6" s="32" t="s">
        <v>6</v>
      </c>
      <c r="F6" s="32" t="s">
        <v>7</v>
      </c>
      <c r="G6" s="32" t="s">
        <v>8</v>
      </c>
      <c r="H6" s="32" t="s">
        <v>9</v>
      </c>
      <c r="I6" s="32" t="s">
        <v>10</v>
      </c>
      <c r="J6" s="32" t="s">
        <v>11</v>
      </c>
      <c r="K6" s="32" t="s">
        <v>12</v>
      </c>
      <c r="L6" s="32" t="s">
        <v>13</v>
      </c>
      <c r="M6" s="32" t="s">
        <v>14</v>
      </c>
      <c r="N6" s="31" t="s">
        <v>15</v>
      </c>
    </row>
    <row r="7" spans="1:16" x14ac:dyDescent="0.2">
      <c r="A7" s="42" t="s">
        <v>187</v>
      </c>
      <c r="B7" s="37">
        <f>O7/12-0.42</f>
        <v>3472727.9966666666</v>
      </c>
      <c r="C7" s="37">
        <v>3472728</v>
      </c>
      <c r="D7" s="37">
        <v>3472728</v>
      </c>
      <c r="E7" s="37">
        <v>3472728</v>
      </c>
      <c r="F7" s="37">
        <v>3472728</v>
      </c>
      <c r="G7" s="37">
        <v>3472728</v>
      </c>
      <c r="H7" s="37">
        <v>3472728</v>
      </c>
      <c r="I7" s="37">
        <v>3472728</v>
      </c>
      <c r="J7" s="37">
        <v>3472728</v>
      </c>
      <c r="K7" s="37">
        <v>3472728</v>
      </c>
      <c r="L7" s="37">
        <v>3472728</v>
      </c>
      <c r="M7" s="37">
        <v>3472733</v>
      </c>
      <c r="N7" s="38">
        <f t="shared" ref="N7:N12" si="0">SUM(B7:M7)</f>
        <v>41672740.99666667</v>
      </c>
      <c r="O7">
        <f>'11'!H10</f>
        <v>41672741</v>
      </c>
    </row>
    <row r="8" spans="1:16" x14ac:dyDescent="0.2">
      <c r="A8" s="42" t="s">
        <v>16</v>
      </c>
      <c r="B8" s="37">
        <f>O8/12+0.08</f>
        <v>946033.99666666659</v>
      </c>
      <c r="C8" s="37">
        <v>946034</v>
      </c>
      <c r="D8" s="37">
        <v>946034</v>
      </c>
      <c r="E8" s="37">
        <v>946034</v>
      </c>
      <c r="F8" s="37">
        <v>946034</v>
      </c>
      <c r="G8" s="37">
        <v>946034</v>
      </c>
      <c r="H8" s="37">
        <v>946034</v>
      </c>
      <c r="I8" s="37">
        <v>946034</v>
      </c>
      <c r="J8" s="37">
        <v>946034</v>
      </c>
      <c r="K8" s="37">
        <v>946034</v>
      </c>
      <c r="L8" s="37">
        <v>946034</v>
      </c>
      <c r="M8" s="37">
        <v>946033</v>
      </c>
      <c r="N8" s="38">
        <f t="shared" si="0"/>
        <v>11352406.996666666</v>
      </c>
      <c r="O8">
        <f>'11'!H11</f>
        <v>11352407</v>
      </c>
      <c r="P8" s="167"/>
    </row>
    <row r="9" spans="1:16" x14ac:dyDescent="0.2">
      <c r="A9" s="42" t="s">
        <v>197</v>
      </c>
      <c r="B9" s="37">
        <f>O9/12+0.25</f>
        <v>969315</v>
      </c>
      <c r="C9" s="37">
        <v>969315</v>
      </c>
      <c r="D9" s="37">
        <v>969315</v>
      </c>
      <c r="E9" s="37">
        <v>969315</v>
      </c>
      <c r="F9" s="37">
        <v>969315</v>
      </c>
      <c r="G9" s="37">
        <v>969315</v>
      </c>
      <c r="H9" s="37">
        <v>969315</v>
      </c>
      <c r="I9" s="37">
        <v>969315</v>
      </c>
      <c r="J9" s="37">
        <v>969315</v>
      </c>
      <c r="K9" s="37">
        <v>969315</v>
      </c>
      <c r="L9" s="37">
        <v>969315</v>
      </c>
      <c r="M9" s="37">
        <v>969312</v>
      </c>
      <c r="N9" s="38">
        <f t="shared" si="0"/>
        <v>11631777</v>
      </c>
      <c r="O9">
        <f>'11'!H12</f>
        <v>11631777</v>
      </c>
      <c r="P9" s="167"/>
    </row>
    <row r="10" spans="1:16" x14ac:dyDescent="0.2">
      <c r="A10" s="42" t="s">
        <v>17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8">
        <f t="shared" si="0"/>
        <v>0</v>
      </c>
    </row>
    <row r="11" spans="1:16" x14ac:dyDescent="0.2">
      <c r="A11" s="42" t="s">
        <v>18</v>
      </c>
      <c r="B11" s="37">
        <f>+O11/12</f>
        <v>0</v>
      </c>
      <c r="C11" s="37">
        <f t="shared" ref="C11" si="1">+P11/12</f>
        <v>0</v>
      </c>
      <c r="D11" s="37">
        <f t="shared" ref="D11" si="2">+Q11/12</f>
        <v>0</v>
      </c>
      <c r="E11" s="37">
        <f t="shared" ref="E11" si="3">+R11/12</f>
        <v>0</v>
      </c>
      <c r="F11" s="37">
        <f t="shared" ref="F11" si="4">+S11/12</f>
        <v>0</v>
      </c>
      <c r="G11" s="37">
        <f t="shared" ref="G11" si="5">+T11/12</f>
        <v>0</v>
      </c>
      <c r="H11" s="37">
        <f t="shared" ref="H11" si="6">+U11/12</f>
        <v>0</v>
      </c>
      <c r="I11" s="37">
        <f t="shared" ref="I11" si="7">+V11/12</f>
        <v>0</v>
      </c>
      <c r="J11" s="37">
        <f t="shared" ref="J11" si="8">+W11/12</f>
        <v>0</v>
      </c>
      <c r="K11" s="37">
        <f t="shared" ref="K11" si="9">+X11/12</f>
        <v>0</v>
      </c>
      <c r="L11" s="37">
        <f t="shared" ref="L11" si="10">+Y11/12</f>
        <v>0</v>
      </c>
      <c r="M11" s="37">
        <f t="shared" ref="M11" si="11">+Z11/12</f>
        <v>0</v>
      </c>
      <c r="N11" s="38">
        <f t="shared" si="0"/>
        <v>0</v>
      </c>
    </row>
    <row r="12" spans="1:16" x14ac:dyDescent="0.2">
      <c r="A12" s="42" t="s">
        <v>191</v>
      </c>
      <c r="B12" s="37">
        <f>O12/12-0.42</f>
        <v>80999.996666666673</v>
      </c>
      <c r="C12" s="37">
        <v>81000</v>
      </c>
      <c r="D12" s="37">
        <v>81001</v>
      </c>
      <c r="E12" s="37">
        <v>81002</v>
      </c>
      <c r="F12" s="37">
        <v>81003</v>
      </c>
      <c r="G12" s="37">
        <v>81004</v>
      </c>
      <c r="H12" s="37">
        <v>81005</v>
      </c>
      <c r="I12" s="37">
        <v>81006</v>
      </c>
      <c r="J12" s="37">
        <v>81007</v>
      </c>
      <c r="K12" s="37">
        <v>81008</v>
      </c>
      <c r="L12" s="37">
        <v>81009</v>
      </c>
      <c r="M12" s="37">
        <f>81010-50</f>
        <v>80960</v>
      </c>
      <c r="N12" s="38">
        <f t="shared" si="0"/>
        <v>972004.9966666667</v>
      </c>
      <c r="O12">
        <f>'11'!H22</f>
        <v>972005</v>
      </c>
    </row>
    <row r="13" spans="1:16" x14ac:dyDescent="0.2">
      <c r="A13" s="42" t="s">
        <v>229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</row>
    <row r="14" spans="1:16" x14ac:dyDescent="0.2">
      <c r="A14" s="43" t="s">
        <v>19</v>
      </c>
      <c r="B14" s="37">
        <f>SUM(B7:B13)</f>
        <v>5469076.9900000002</v>
      </c>
      <c r="C14" s="37">
        <f t="shared" ref="C14:M14" si="12">SUM(C7:C13)</f>
        <v>5469077</v>
      </c>
      <c r="D14" s="37">
        <f t="shared" si="12"/>
        <v>5469078</v>
      </c>
      <c r="E14" s="37">
        <f t="shared" si="12"/>
        <v>5469079</v>
      </c>
      <c r="F14" s="37">
        <f t="shared" si="12"/>
        <v>5469080</v>
      </c>
      <c r="G14" s="37">
        <f t="shared" si="12"/>
        <v>5469081</v>
      </c>
      <c r="H14" s="37">
        <f t="shared" si="12"/>
        <v>5469082</v>
      </c>
      <c r="I14" s="37">
        <f t="shared" si="12"/>
        <v>5469083</v>
      </c>
      <c r="J14" s="37">
        <f t="shared" si="12"/>
        <v>5469084</v>
      </c>
      <c r="K14" s="37">
        <f t="shared" si="12"/>
        <v>5469085</v>
      </c>
      <c r="L14" s="37">
        <f t="shared" si="12"/>
        <v>5469086</v>
      </c>
      <c r="M14" s="37">
        <f t="shared" si="12"/>
        <v>5469038</v>
      </c>
      <c r="N14" s="38">
        <f>SUM(N7:N13)</f>
        <v>65628929.99000001</v>
      </c>
      <c r="O14" s="386">
        <f>SUM(O7:O13)</f>
        <v>65628930</v>
      </c>
    </row>
    <row r="15" spans="1:16" ht="15" x14ac:dyDescent="0.2">
      <c r="A15" s="34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</row>
    <row r="16" spans="1:16" x14ac:dyDescent="0.2">
      <c r="A16" s="42" t="s">
        <v>20</v>
      </c>
      <c r="B16" s="37"/>
      <c r="C16" s="37"/>
      <c r="D16" s="37"/>
      <c r="E16" s="37"/>
      <c r="F16" s="37"/>
      <c r="G16" s="37">
        <v>200000</v>
      </c>
      <c r="H16" s="37"/>
      <c r="I16" s="37">
        <v>100000</v>
      </c>
      <c r="J16" s="37"/>
      <c r="K16" s="37">
        <v>100000</v>
      </c>
      <c r="L16" s="37"/>
      <c r="M16" s="37">
        <v>86750</v>
      </c>
      <c r="N16" s="38">
        <f t="shared" ref="N16:N22" si="13">SUM(B16:M16)</f>
        <v>486750</v>
      </c>
      <c r="O16">
        <f>'11'!H32</f>
        <v>486750</v>
      </c>
    </row>
    <row r="17" spans="1:15" x14ac:dyDescent="0.2">
      <c r="A17" s="42" t="s">
        <v>198</v>
      </c>
      <c r="B17" s="37">
        <f>+O17/12</f>
        <v>0</v>
      </c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>
        <f t="shared" si="13"/>
        <v>0</v>
      </c>
    </row>
    <row r="18" spans="1:15" x14ac:dyDescent="0.2">
      <c r="A18" s="158" t="s">
        <v>143</v>
      </c>
      <c r="B18" s="37">
        <f>+O18/12</f>
        <v>0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8">
        <f t="shared" si="13"/>
        <v>0</v>
      </c>
    </row>
    <row r="19" spans="1:15" x14ac:dyDescent="0.2">
      <c r="A19" s="42" t="s">
        <v>28</v>
      </c>
      <c r="B19" s="37">
        <f>O19/12+0.25</f>
        <v>5425297</v>
      </c>
      <c r="C19" s="37">
        <v>5425297</v>
      </c>
      <c r="D19" s="37">
        <v>5425297</v>
      </c>
      <c r="E19" s="37">
        <v>5425297</v>
      </c>
      <c r="F19" s="37">
        <v>5425297</v>
      </c>
      <c r="G19" s="37">
        <v>5425297</v>
      </c>
      <c r="H19" s="37">
        <v>5425297</v>
      </c>
      <c r="I19" s="37">
        <v>5425297</v>
      </c>
      <c r="J19" s="37">
        <v>5425297</v>
      </c>
      <c r="K19" s="37">
        <v>5425297</v>
      </c>
      <c r="L19" s="37">
        <v>5425297</v>
      </c>
      <c r="M19" s="37">
        <v>5425294</v>
      </c>
      <c r="N19" s="38">
        <f t="shared" si="13"/>
        <v>65103561</v>
      </c>
      <c r="O19">
        <f>'11'!H62</f>
        <v>65103561</v>
      </c>
    </row>
    <row r="20" spans="1:15" x14ac:dyDescent="0.2">
      <c r="A20" s="42" t="s">
        <v>190</v>
      </c>
      <c r="B20" s="37">
        <f>+O20/12</f>
        <v>0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>
        <f t="shared" si="13"/>
        <v>0</v>
      </c>
    </row>
    <row r="21" spans="1:15" x14ac:dyDescent="0.2">
      <c r="A21" s="42" t="s">
        <v>152</v>
      </c>
      <c r="B21" s="37">
        <v>38619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>
        <f t="shared" si="13"/>
        <v>38619</v>
      </c>
      <c r="O21">
        <f>'11'!H63</f>
        <v>38619</v>
      </c>
    </row>
    <row r="22" spans="1:15" ht="14.25" x14ac:dyDescent="0.2">
      <c r="A22" s="33" t="s">
        <v>22</v>
      </c>
      <c r="B22" s="37">
        <f>+B16+B17+B18+B19+B20+B21</f>
        <v>5463916</v>
      </c>
      <c r="C22" s="37">
        <f>+C16+C17+C18+C19+C20+C21</f>
        <v>5425297</v>
      </c>
      <c r="D22" s="37">
        <f t="shared" ref="D22:L22" si="14">+D16+D17+D18+D19+D20+D21</f>
        <v>5425297</v>
      </c>
      <c r="E22" s="37">
        <f t="shared" si="14"/>
        <v>5425297</v>
      </c>
      <c r="F22" s="37">
        <f t="shared" si="14"/>
        <v>5425297</v>
      </c>
      <c r="G22" s="37">
        <f t="shared" si="14"/>
        <v>5625297</v>
      </c>
      <c r="H22" s="37">
        <f t="shared" si="14"/>
        <v>5425297</v>
      </c>
      <c r="I22" s="37">
        <f t="shared" si="14"/>
        <v>5525297</v>
      </c>
      <c r="J22" s="37">
        <f t="shared" si="14"/>
        <v>5425297</v>
      </c>
      <c r="K22" s="37">
        <f t="shared" si="14"/>
        <v>5525297</v>
      </c>
      <c r="L22" s="37">
        <f t="shared" si="14"/>
        <v>5425297</v>
      </c>
      <c r="M22" s="37">
        <f>SUM(M16:M20)+M21</f>
        <v>5512044</v>
      </c>
      <c r="N22" s="38">
        <f t="shared" si="13"/>
        <v>65628930</v>
      </c>
      <c r="O22" s="422">
        <f>SUM(O16:O21)</f>
        <v>65628930</v>
      </c>
    </row>
  </sheetData>
  <mergeCells count="4">
    <mergeCell ref="A1:N1"/>
    <mergeCell ref="A2:N2"/>
    <mergeCell ref="A3:N4"/>
    <mergeCell ref="M5:N5"/>
  </mergeCells>
  <phoneticPr fontId="20" type="noConversion"/>
  <pageMargins left="0.75" right="0.75" top="1" bottom="1" header="0.5" footer="0.5"/>
  <pageSetup paperSize="9" scale="48" orientation="portrait" vertic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K104"/>
  <sheetViews>
    <sheetView view="pageBreakPreview" zoomScale="60" zoomScaleNormal="75" workbookViewId="0">
      <selection activeCell="H62" sqref="H62"/>
    </sheetView>
  </sheetViews>
  <sheetFormatPr defaultRowHeight="15.75" x14ac:dyDescent="0.2"/>
  <cols>
    <col min="1" max="1" width="6" style="2" customWidth="1"/>
    <col min="2" max="2" width="5.140625" style="1" customWidth="1"/>
    <col min="3" max="3" width="82.5703125" style="1" customWidth="1"/>
    <col min="4" max="4" width="17.140625" style="2" customWidth="1"/>
    <col min="5" max="5" width="16.85546875" style="2" customWidth="1"/>
    <col min="6" max="6" width="11.140625" style="2" customWidth="1"/>
    <col min="7" max="7" width="9.85546875" style="11" customWidth="1"/>
    <col min="8" max="8" width="16.85546875" customWidth="1"/>
    <col min="9" max="9" width="16.7109375" customWidth="1"/>
  </cols>
  <sheetData>
    <row r="1" spans="1:11" ht="18.75" x14ac:dyDescent="0.3">
      <c r="A1" s="507" t="s">
        <v>321</v>
      </c>
      <c r="B1" s="524"/>
      <c r="C1" s="524"/>
      <c r="D1" s="524"/>
      <c r="E1" s="524"/>
      <c r="F1" s="524"/>
    </row>
    <row r="2" spans="1:11" x14ac:dyDescent="0.2">
      <c r="A2" s="457"/>
      <c r="B2" s="457"/>
      <c r="C2" s="457"/>
      <c r="D2" s="457"/>
      <c r="E2" s="457"/>
      <c r="F2" s="457"/>
    </row>
    <row r="3" spans="1:11" x14ac:dyDescent="0.25">
      <c r="A3" s="508" t="s">
        <v>276</v>
      </c>
      <c r="B3" s="508"/>
      <c r="C3" s="508"/>
      <c r="D3" s="508"/>
      <c r="E3" s="508"/>
      <c r="F3" s="508"/>
      <c r="G3" s="508"/>
    </row>
    <row r="4" spans="1:11" x14ac:dyDescent="0.2">
      <c r="A4" s="457" t="s">
        <v>199</v>
      </c>
      <c r="B4" s="457"/>
      <c r="C4" s="457"/>
      <c r="D4" s="457"/>
      <c r="E4" s="457"/>
      <c r="F4" s="457"/>
    </row>
    <row r="5" spans="1:11" ht="16.5" thickBot="1" x14ac:dyDescent="0.3">
      <c r="A5" s="509" t="s">
        <v>279</v>
      </c>
      <c r="B5" s="509"/>
      <c r="C5" s="509"/>
      <c r="D5" s="509"/>
      <c r="E5" s="509"/>
      <c r="F5" s="509"/>
    </row>
    <row r="6" spans="1:11" ht="12.75" x14ac:dyDescent="0.2">
      <c r="A6" s="512" t="s">
        <v>200</v>
      </c>
      <c r="B6" s="503" t="s">
        <v>186</v>
      </c>
      <c r="C6" s="503"/>
      <c r="D6" s="648" t="s">
        <v>367</v>
      </c>
      <c r="E6" s="518" t="s">
        <v>239</v>
      </c>
      <c r="F6" s="518" t="s">
        <v>240</v>
      </c>
      <c r="G6" s="521" t="s">
        <v>241</v>
      </c>
      <c r="H6" s="648" t="s">
        <v>367</v>
      </c>
      <c r="I6" s="518" t="s">
        <v>239</v>
      </c>
      <c r="J6" s="518" t="s">
        <v>240</v>
      </c>
      <c r="K6" s="521" t="s">
        <v>241</v>
      </c>
    </row>
    <row r="7" spans="1:11" ht="31.5" customHeight="1" x14ac:dyDescent="0.2">
      <c r="A7" s="513"/>
      <c r="B7" s="504"/>
      <c r="C7" s="504"/>
      <c r="D7" s="649"/>
      <c r="E7" s="519"/>
      <c r="F7" s="519"/>
      <c r="G7" s="522"/>
      <c r="H7" s="649"/>
      <c r="I7" s="519"/>
      <c r="J7" s="519"/>
      <c r="K7" s="522"/>
    </row>
    <row r="8" spans="1:11" thickBot="1" x14ac:dyDescent="0.25">
      <c r="A8" s="514"/>
      <c r="B8" s="515"/>
      <c r="C8" s="515"/>
      <c r="D8" s="520" t="s">
        <v>343</v>
      </c>
      <c r="E8" s="520"/>
      <c r="F8" s="520"/>
      <c r="G8" s="383"/>
      <c r="H8" s="520" t="s">
        <v>344</v>
      </c>
      <c r="I8" s="520"/>
      <c r="J8" s="520"/>
      <c r="K8" s="383"/>
    </row>
    <row r="9" spans="1:11" x14ac:dyDescent="0.2">
      <c r="A9" s="265"/>
      <c r="B9" s="503" t="s">
        <v>201</v>
      </c>
      <c r="C9" s="647"/>
      <c r="D9" s="406"/>
      <c r="E9" s="384"/>
      <c r="F9" s="385"/>
      <c r="G9" s="275"/>
      <c r="H9" s="406"/>
      <c r="I9" s="384"/>
      <c r="J9" s="385"/>
      <c r="K9" s="275"/>
    </row>
    <row r="10" spans="1:11" x14ac:dyDescent="0.25">
      <c r="A10" s="9">
        <v>1</v>
      </c>
      <c r="B10" s="498" t="s">
        <v>187</v>
      </c>
      <c r="C10" s="642"/>
      <c r="D10" s="407">
        <f>+E10+F10</f>
        <v>38590000</v>
      </c>
      <c r="E10" s="269">
        <v>38590000</v>
      </c>
      <c r="F10" s="187"/>
      <c r="G10" s="266"/>
      <c r="H10" s="407">
        <f>+I10+J10</f>
        <v>41672741</v>
      </c>
      <c r="I10" s="269">
        <v>41672741</v>
      </c>
      <c r="J10" s="187"/>
      <c r="K10" s="266"/>
    </row>
    <row r="11" spans="1:11" x14ac:dyDescent="0.25">
      <c r="A11" s="9">
        <v>2</v>
      </c>
      <c r="B11" s="498" t="s">
        <v>196</v>
      </c>
      <c r="C11" s="642"/>
      <c r="D11" s="407">
        <f>+E11+F11</f>
        <v>10459000</v>
      </c>
      <c r="E11" s="269">
        <v>10459000</v>
      </c>
      <c r="F11" s="187"/>
      <c r="G11" s="266"/>
      <c r="H11" s="407">
        <f>+I11+J11</f>
        <v>11352407</v>
      </c>
      <c r="I11" s="269">
        <v>11352407</v>
      </c>
      <c r="J11" s="187"/>
      <c r="K11" s="266"/>
    </row>
    <row r="12" spans="1:11" x14ac:dyDescent="0.25">
      <c r="A12" s="9">
        <v>3</v>
      </c>
      <c r="B12" s="498" t="s">
        <v>197</v>
      </c>
      <c r="C12" s="642"/>
      <c r="D12" s="407">
        <f>+E12+F12</f>
        <v>10542000</v>
      </c>
      <c r="E12" s="269">
        <v>10542000</v>
      </c>
      <c r="F12" s="187"/>
      <c r="G12" s="276"/>
      <c r="H12" s="407">
        <f>+I12+J12</f>
        <v>11631777</v>
      </c>
      <c r="I12" s="269">
        <v>11631777</v>
      </c>
      <c r="J12" s="187"/>
      <c r="K12" s="276"/>
    </row>
    <row r="13" spans="1:11" x14ac:dyDescent="0.25">
      <c r="A13" s="9" t="s">
        <v>45</v>
      </c>
      <c r="B13" s="498" t="s">
        <v>179</v>
      </c>
      <c r="C13" s="642"/>
      <c r="D13" s="407"/>
      <c r="E13" s="269"/>
      <c r="F13" s="187"/>
      <c r="G13" s="266"/>
      <c r="H13" s="407"/>
      <c r="I13" s="269"/>
      <c r="J13" s="187"/>
      <c r="K13" s="266"/>
    </row>
    <row r="14" spans="1:11" x14ac:dyDescent="0.2">
      <c r="A14" s="9" t="s">
        <v>47</v>
      </c>
      <c r="B14" s="499" t="s">
        <v>173</v>
      </c>
      <c r="C14" s="646"/>
      <c r="D14" s="407">
        <f>+D15+D16+D17+D18+D19</f>
        <v>0</v>
      </c>
      <c r="E14" s="269"/>
      <c r="F14" s="13"/>
      <c r="G14" s="320"/>
      <c r="H14" s="407">
        <f>+H15+H16+H17+H18+H19</f>
        <v>0</v>
      </c>
      <c r="I14" s="269"/>
      <c r="J14" s="13"/>
      <c r="K14" s="320"/>
    </row>
    <row r="15" spans="1:11" x14ac:dyDescent="0.25">
      <c r="A15" s="9" t="s">
        <v>165</v>
      </c>
      <c r="B15" s="491" t="s">
        <v>168</v>
      </c>
      <c r="C15" s="644"/>
      <c r="D15" s="407"/>
      <c r="E15" s="269"/>
      <c r="F15" s="187"/>
      <c r="G15" s="266"/>
      <c r="H15" s="407"/>
      <c r="I15" s="269"/>
      <c r="J15" s="187"/>
      <c r="K15" s="266"/>
    </row>
    <row r="16" spans="1:11" x14ac:dyDescent="0.25">
      <c r="A16" s="9" t="s">
        <v>166</v>
      </c>
      <c r="B16" s="491" t="s">
        <v>238</v>
      </c>
      <c r="C16" s="644"/>
      <c r="D16" s="407"/>
      <c r="E16" s="269"/>
      <c r="F16" s="187"/>
      <c r="G16" s="266"/>
      <c r="H16" s="407"/>
      <c r="I16" s="269"/>
      <c r="J16" s="187"/>
      <c r="K16" s="266"/>
    </row>
    <row r="17" spans="1:11" x14ac:dyDescent="0.25">
      <c r="A17" s="9"/>
      <c r="B17" s="634" t="s">
        <v>174</v>
      </c>
      <c r="C17" s="525"/>
      <c r="D17" s="407"/>
      <c r="E17" s="269"/>
      <c r="F17" s="187"/>
      <c r="G17" s="266"/>
      <c r="H17" s="407"/>
      <c r="I17" s="269"/>
      <c r="J17" s="187"/>
      <c r="K17" s="266"/>
    </row>
    <row r="18" spans="1:11" x14ac:dyDescent="0.25">
      <c r="A18" s="9" t="s">
        <v>167</v>
      </c>
      <c r="B18" s="468" t="s">
        <v>169</v>
      </c>
      <c r="C18" s="645"/>
      <c r="D18" s="407"/>
      <c r="E18" s="269"/>
      <c r="F18" s="187"/>
      <c r="G18" s="266"/>
      <c r="H18" s="407"/>
      <c r="I18" s="269"/>
      <c r="J18" s="187"/>
      <c r="K18" s="266"/>
    </row>
    <row r="19" spans="1:11" x14ac:dyDescent="0.25">
      <c r="A19" s="9" t="s">
        <v>73</v>
      </c>
      <c r="B19" s="468" t="s">
        <v>74</v>
      </c>
      <c r="C19" s="643"/>
      <c r="D19" s="407"/>
      <c r="E19" s="269"/>
      <c r="F19" s="187"/>
      <c r="G19" s="266"/>
      <c r="H19" s="407"/>
      <c r="I19" s="269"/>
      <c r="J19" s="187"/>
      <c r="K19" s="266"/>
    </row>
    <row r="20" spans="1:11" x14ac:dyDescent="0.25">
      <c r="A20" s="9"/>
      <c r="B20" s="498" t="s">
        <v>234</v>
      </c>
      <c r="C20" s="642"/>
      <c r="D20" s="408"/>
      <c r="E20" s="270"/>
      <c r="F20" s="322"/>
      <c r="G20" s="283"/>
      <c r="H20" s="408"/>
      <c r="I20" s="270"/>
      <c r="J20" s="322"/>
      <c r="K20" s="283"/>
    </row>
    <row r="21" spans="1:11" x14ac:dyDescent="0.2">
      <c r="A21" s="9" t="s">
        <v>193</v>
      </c>
      <c r="B21" s="262" t="s">
        <v>164</v>
      </c>
      <c r="C21" s="403"/>
      <c r="D21" s="407">
        <f>+D10+D11+D12+D13+D14+D20</f>
        <v>59591000</v>
      </c>
      <c r="E21" s="280">
        <f>+E10+E11+E12+E13+E14+E20</f>
        <v>59591000</v>
      </c>
      <c r="F21" s="13"/>
      <c r="G21" s="325"/>
      <c r="H21" s="407">
        <f>+H10+H11+H12+H13+H14+H20</f>
        <v>64656925</v>
      </c>
      <c r="I21" s="280">
        <f>+I10+I11+I12+I13+I14+I20</f>
        <v>64656925</v>
      </c>
      <c r="J21" s="13"/>
      <c r="K21" s="325"/>
    </row>
    <row r="22" spans="1:11" x14ac:dyDescent="0.25">
      <c r="A22" s="9" t="s">
        <v>48</v>
      </c>
      <c r="B22" s="498" t="s">
        <v>189</v>
      </c>
      <c r="C22" s="642"/>
      <c r="D22" s="408">
        <f>+E22+F22</f>
        <v>1539000</v>
      </c>
      <c r="E22" s="270">
        <v>1539000</v>
      </c>
      <c r="F22" s="203"/>
      <c r="G22" s="266"/>
      <c r="H22" s="408">
        <f>+I22+J22</f>
        <v>972005</v>
      </c>
      <c r="I22" s="270">
        <v>972005</v>
      </c>
      <c r="J22" s="203"/>
      <c r="K22" s="266"/>
    </row>
    <row r="23" spans="1:11" x14ac:dyDescent="0.25">
      <c r="A23" s="9" t="s">
        <v>49</v>
      </c>
      <c r="B23" s="498" t="s">
        <v>188</v>
      </c>
      <c r="C23" s="642"/>
      <c r="D23" s="408"/>
      <c r="E23" s="270"/>
      <c r="F23" s="187"/>
      <c r="G23" s="266"/>
      <c r="H23" s="408"/>
      <c r="I23" s="270"/>
      <c r="J23" s="187"/>
      <c r="K23" s="266"/>
    </row>
    <row r="24" spans="1:11" x14ac:dyDescent="0.25">
      <c r="A24" s="9" t="s">
        <v>51</v>
      </c>
      <c r="B24" s="498" t="s">
        <v>170</v>
      </c>
      <c r="C24" s="642"/>
      <c r="D24" s="408"/>
      <c r="E24" s="270"/>
      <c r="F24" s="187"/>
      <c r="G24" s="266"/>
      <c r="H24" s="408"/>
      <c r="I24" s="270"/>
      <c r="J24" s="187"/>
      <c r="K24" s="266"/>
    </row>
    <row r="25" spans="1:11" x14ac:dyDescent="0.25">
      <c r="A25" s="9" t="s">
        <v>194</v>
      </c>
      <c r="B25" s="498" t="s">
        <v>235</v>
      </c>
      <c r="C25" s="642"/>
      <c r="D25" s="408">
        <f>+D22+D23+D24</f>
        <v>1539000</v>
      </c>
      <c r="E25" s="270">
        <v>1539000</v>
      </c>
      <c r="F25" s="187"/>
      <c r="G25" s="266"/>
      <c r="H25" s="408">
        <f>+H22+H23+H24</f>
        <v>972005</v>
      </c>
      <c r="I25" s="270">
        <v>972005</v>
      </c>
      <c r="J25" s="187"/>
      <c r="K25" s="266"/>
    </row>
    <row r="26" spans="1:11" x14ac:dyDescent="0.25">
      <c r="A26" s="9" t="s">
        <v>195</v>
      </c>
      <c r="B26" s="498"/>
      <c r="C26" s="642"/>
      <c r="D26" s="408"/>
      <c r="E26" s="270"/>
      <c r="F26" s="187"/>
      <c r="G26" s="266"/>
      <c r="H26" s="408"/>
      <c r="I26" s="270"/>
      <c r="J26" s="187"/>
      <c r="K26" s="266"/>
    </row>
    <row r="27" spans="1:11" x14ac:dyDescent="0.25">
      <c r="A27" s="9" t="s">
        <v>180</v>
      </c>
      <c r="B27" s="528"/>
      <c r="C27" s="639"/>
      <c r="D27" s="409"/>
      <c r="E27" s="271"/>
      <c r="F27" s="187"/>
      <c r="G27" s="266"/>
      <c r="H27" s="409"/>
      <c r="I27" s="271"/>
      <c r="J27" s="187"/>
      <c r="K27" s="266"/>
    </row>
    <row r="28" spans="1:11" x14ac:dyDescent="0.25">
      <c r="A28" s="9" t="s">
        <v>181</v>
      </c>
      <c r="B28" s="528"/>
      <c r="C28" s="639"/>
      <c r="D28" s="409"/>
      <c r="E28" s="317"/>
      <c r="F28" s="187"/>
      <c r="G28" s="266"/>
      <c r="H28" s="409"/>
      <c r="I28" s="317"/>
      <c r="J28" s="187"/>
      <c r="K28" s="266"/>
    </row>
    <row r="29" spans="1:11" ht="19.5" x14ac:dyDescent="0.3">
      <c r="A29" s="152" t="s">
        <v>171</v>
      </c>
      <c r="B29" s="484" t="s">
        <v>172</v>
      </c>
      <c r="C29" s="638"/>
      <c r="D29" s="408">
        <f>+D21+D25+D26+D27+D28</f>
        <v>61130000</v>
      </c>
      <c r="E29" s="282">
        <f>+E21+E25+E26+E27+E28</f>
        <v>61130000</v>
      </c>
      <c r="F29" s="288"/>
      <c r="G29" s="285"/>
      <c r="H29" s="408">
        <f>+H21+H25+H26+H27+H28</f>
        <v>65628930</v>
      </c>
      <c r="I29" s="282">
        <f>+I21+I25+I26+I27+I28</f>
        <v>65628930</v>
      </c>
      <c r="J29" s="288"/>
      <c r="K29" s="285"/>
    </row>
    <row r="30" spans="1:11" x14ac:dyDescent="0.25">
      <c r="A30" s="18"/>
      <c r="B30" s="483"/>
      <c r="C30" s="640"/>
      <c r="D30" s="410"/>
      <c r="E30" s="273"/>
      <c r="F30" s="19"/>
      <c r="G30" s="20"/>
      <c r="H30" s="410"/>
      <c r="I30" s="273"/>
      <c r="J30" s="19"/>
      <c r="K30" s="20"/>
    </row>
    <row r="31" spans="1:11" x14ac:dyDescent="0.25">
      <c r="A31" s="9"/>
      <c r="B31" s="482" t="s">
        <v>202</v>
      </c>
      <c r="C31" s="641"/>
      <c r="D31" s="408"/>
      <c r="E31" s="270"/>
      <c r="F31" s="187"/>
      <c r="G31" s="266"/>
      <c r="H31" s="408"/>
      <c r="I31" s="270"/>
      <c r="J31" s="187"/>
      <c r="K31" s="266"/>
    </row>
    <row r="32" spans="1:11" x14ac:dyDescent="0.25">
      <c r="A32" s="9" t="s">
        <v>29</v>
      </c>
      <c r="B32" s="469" t="s">
        <v>233</v>
      </c>
      <c r="C32" s="510"/>
      <c r="D32" s="408">
        <f>+E32+F32</f>
        <v>275000</v>
      </c>
      <c r="E32" s="270">
        <v>275000</v>
      </c>
      <c r="F32" s="187"/>
      <c r="G32" s="266"/>
      <c r="H32" s="408">
        <f>+I32+J32</f>
        <v>486750</v>
      </c>
      <c r="I32" s="270">
        <v>486750</v>
      </c>
      <c r="J32" s="187"/>
      <c r="K32" s="266"/>
    </row>
    <row r="33" spans="1:11" x14ac:dyDescent="0.25">
      <c r="A33" s="9" t="s">
        <v>43</v>
      </c>
      <c r="B33" s="469" t="s">
        <v>198</v>
      </c>
      <c r="C33" s="510"/>
      <c r="D33" s="408">
        <f>SUM(D34:D36)</f>
        <v>0</v>
      </c>
      <c r="E33" s="270">
        <f>SUM(E34:E36)</f>
        <v>0</v>
      </c>
      <c r="F33" s="270"/>
      <c r="G33" s="266"/>
      <c r="H33" s="408">
        <f>SUM(H34:H36)</f>
        <v>0</v>
      </c>
      <c r="I33" s="270">
        <f>SUM(I34:I36)</f>
        <v>0</v>
      </c>
      <c r="J33" s="270"/>
      <c r="K33" s="266"/>
    </row>
    <row r="34" spans="1:11" x14ac:dyDescent="0.25">
      <c r="A34" s="9"/>
      <c r="B34" s="221" t="s">
        <v>75</v>
      </c>
      <c r="C34" s="404" t="s">
        <v>175</v>
      </c>
      <c r="D34" s="408"/>
      <c r="E34" s="270"/>
      <c r="F34" s="187"/>
      <c r="G34" s="266"/>
      <c r="H34" s="408"/>
      <c r="I34" s="270"/>
      <c r="J34" s="187"/>
      <c r="K34" s="266"/>
    </row>
    <row r="35" spans="1:11" x14ac:dyDescent="0.25">
      <c r="A35" s="9"/>
      <c r="B35" s="221" t="s">
        <v>76</v>
      </c>
      <c r="C35" s="404" t="s">
        <v>176</v>
      </c>
      <c r="D35" s="408"/>
      <c r="E35" s="270"/>
      <c r="F35" s="187"/>
      <c r="G35" s="266"/>
      <c r="H35" s="408"/>
      <c r="I35" s="270"/>
      <c r="J35" s="187"/>
      <c r="K35" s="266"/>
    </row>
    <row r="36" spans="1:11" x14ac:dyDescent="0.25">
      <c r="A36" s="9"/>
      <c r="B36" s="221" t="s">
        <v>77</v>
      </c>
      <c r="C36" s="404" t="s">
        <v>177</v>
      </c>
      <c r="D36" s="408"/>
      <c r="E36" s="270"/>
      <c r="F36" s="187"/>
      <c r="G36" s="266"/>
      <c r="H36" s="408"/>
      <c r="I36" s="270"/>
      <c r="J36" s="187"/>
      <c r="K36" s="266"/>
    </row>
    <row r="37" spans="1:11" x14ac:dyDescent="0.25">
      <c r="A37" s="9" t="s">
        <v>44</v>
      </c>
      <c r="B37" s="469" t="s">
        <v>143</v>
      </c>
      <c r="C37" s="510"/>
      <c r="D37" s="408">
        <f>SUM(D38:D40)</f>
        <v>0</v>
      </c>
      <c r="E37" s="270"/>
      <c r="F37" s="187"/>
      <c r="G37" s="266"/>
      <c r="H37" s="408">
        <f>SUM(H38:H40)</f>
        <v>0</v>
      </c>
      <c r="I37" s="270"/>
      <c r="J37" s="187"/>
      <c r="K37" s="266"/>
    </row>
    <row r="38" spans="1:11" x14ac:dyDescent="0.25">
      <c r="A38" s="9"/>
      <c r="B38" s="222" t="s">
        <v>78</v>
      </c>
      <c r="C38" s="366" t="s">
        <v>236</v>
      </c>
      <c r="D38" s="408"/>
      <c r="E38" s="270"/>
      <c r="F38" s="187"/>
      <c r="G38" s="266"/>
      <c r="H38" s="408"/>
      <c r="I38" s="270"/>
      <c r="J38" s="187"/>
      <c r="K38" s="266"/>
    </row>
    <row r="39" spans="1:11" x14ac:dyDescent="0.25">
      <c r="A39" s="9"/>
      <c r="B39" s="222" t="s">
        <v>79</v>
      </c>
      <c r="C39" s="366" t="s">
        <v>81</v>
      </c>
      <c r="D39" s="408"/>
      <c r="E39" s="270"/>
      <c r="F39" s="187"/>
      <c r="G39" s="266"/>
      <c r="H39" s="408"/>
      <c r="I39" s="270"/>
      <c r="J39" s="187"/>
      <c r="K39" s="266"/>
    </row>
    <row r="40" spans="1:11" x14ac:dyDescent="0.25">
      <c r="A40" s="9"/>
      <c r="B40" s="222" t="s">
        <v>80</v>
      </c>
      <c r="C40" s="366" t="s">
        <v>237</v>
      </c>
      <c r="D40" s="408"/>
      <c r="E40" s="270"/>
      <c r="F40" s="187"/>
      <c r="G40" s="266"/>
      <c r="H40" s="408"/>
      <c r="I40" s="270"/>
      <c r="J40" s="187"/>
      <c r="K40" s="266"/>
    </row>
    <row r="41" spans="1:11" x14ac:dyDescent="0.25">
      <c r="A41" s="9" t="s">
        <v>45</v>
      </c>
      <c r="B41" s="469" t="s">
        <v>144</v>
      </c>
      <c r="C41" s="510"/>
      <c r="D41" s="408">
        <f>+F41</f>
        <v>0</v>
      </c>
      <c r="E41" s="270">
        <f>SUM(E42:E45)</f>
        <v>0</v>
      </c>
      <c r="F41" s="270"/>
      <c r="G41" s="266"/>
      <c r="H41" s="408">
        <f>+J41</f>
        <v>0</v>
      </c>
      <c r="I41" s="270">
        <f>SUM(I42:I45)</f>
        <v>0</v>
      </c>
      <c r="J41" s="270"/>
      <c r="K41" s="266"/>
    </row>
    <row r="42" spans="1:11" x14ac:dyDescent="0.25">
      <c r="A42" s="9"/>
      <c r="B42" s="222" t="s">
        <v>82</v>
      </c>
      <c r="C42" s="366" t="s">
        <v>86</v>
      </c>
      <c r="D42" s="408">
        <f>+F42</f>
        <v>0</v>
      </c>
      <c r="E42" s="270"/>
      <c r="F42" s="187"/>
      <c r="G42" s="266"/>
      <c r="H42" s="408">
        <f>+J42</f>
        <v>0</v>
      </c>
      <c r="I42" s="270"/>
      <c r="J42" s="187"/>
      <c r="K42" s="266"/>
    </row>
    <row r="43" spans="1:11" x14ac:dyDescent="0.25">
      <c r="A43" s="9"/>
      <c r="B43" s="222" t="s">
        <v>83</v>
      </c>
      <c r="C43" s="366" t="s">
        <v>87</v>
      </c>
      <c r="D43" s="408"/>
      <c r="E43" s="270"/>
      <c r="F43" s="187"/>
      <c r="G43" s="266"/>
      <c r="H43" s="408"/>
      <c r="I43" s="270"/>
      <c r="J43" s="187"/>
      <c r="K43" s="266"/>
    </row>
    <row r="44" spans="1:11" x14ac:dyDescent="0.25">
      <c r="A44" s="9"/>
      <c r="B44" s="222" t="s">
        <v>84</v>
      </c>
      <c r="C44" s="366" t="s">
        <v>274</v>
      </c>
      <c r="D44" s="408"/>
      <c r="E44" s="270"/>
      <c r="F44" s="187"/>
      <c r="G44" s="266"/>
      <c r="H44" s="408"/>
      <c r="I44" s="270"/>
      <c r="J44" s="187"/>
      <c r="K44" s="266"/>
    </row>
    <row r="45" spans="1:11" x14ac:dyDescent="0.25">
      <c r="A45" s="9"/>
      <c r="B45" s="222" t="s">
        <v>85</v>
      </c>
      <c r="C45" s="366" t="s">
        <v>88</v>
      </c>
      <c r="D45" s="408"/>
      <c r="E45" s="270"/>
      <c r="F45" s="187"/>
      <c r="G45" s="266"/>
      <c r="H45" s="408"/>
      <c r="I45" s="270"/>
      <c r="J45" s="187"/>
      <c r="K45" s="266"/>
    </row>
    <row r="46" spans="1:11" x14ac:dyDescent="0.25">
      <c r="A46" s="223" t="s">
        <v>193</v>
      </c>
      <c r="B46" s="523" t="s">
        <v>89</v>
      </c>
      <c r="C46" s="637"/>
      <c r="D46" s="408">
        <f>+D32+D33+D37+D41</f>
        <v>275000</v>
      </c>
      <c r="E46" s="270">
        <f>+E32+E33+E37+E41</f>
        <v>275000</v>
      </c>
      <c r="F46" s="321"/>
      <c r="G46" s="321"/>
      <c r="H46" s="408">
        <f>+H32+H33+H37+H41</f>
        <v>486750</v>
      </c>
      <c r="I46" s="270">
        <f>+I32+I33+I37+I41</f>
        <v>486750</v>
      </c>
      <c r="J46" s="321"/>
      <c r="K46" s="321"/>
    </row>
    <row r="47" spans="1:11" x14ac:dyDescent="0.25">
      <c r="A47" s="9" t="s">
        <v>47</v>
      </c>
      <c r="B47" s="469" t="s">
        <v>190</v>
      </c>
      <c r="C47" s="510"/>
      <c r="D47" s="408">
        <f>SUM(D48:D49)</f>
        <v>0</v>
      </c>
      <c r="E47" s="270">
        <f>SUM(E48:E49)</f>
        <v>0</v>
      </c>
      <c r="F47" s="270"/>
      <c r="G47" s="266"/>
      <c r="H47" s="408">
        <f>SUM(H48:H49)</f>
        <v>0</v>
      </c>
      <c r="I47" s="270">
        <f>SUM(I48:I49)</f>
        <v>0</v>
      </c>
      <c r="J47" s="270"/>
      <c r="K47" s="266"/>
    </row>
    <row r="48" spans="1:11" x14ac:dyDescent="0.25">
      <c r="A48" s="9"/>
      <c r="B48" s="222" t="s">
        <v>90</v>
      </c>
      <c r="C48" s="366" t="s">
        <v>92</v>
      </c>
      <c r="D48" s="408"/>
      <c r="E48" s="270"/>
      <c r="F48" s="187"/>
      <c r="G48" s="266"/>
      <c r="H48" s="408"/>
      <c r="I48" s="270"/>
      <c r="J48" s="187"/>
      <c r="K48" s="266"/>
    </row>
    <row r="49" spans="1:11" x14ac:dyDescent="0.25">
      <c r="A49" s="9"/>
      <c r="B49" s="222" t="s">
        <v>91</v>
      </c>
      <c r="C49" s="366" t="s">
        <v>1</v>
      </c>
      <c r="D49" s="408"/>
      <c r="E49" s="270"/>
      <c r="F49" s="187"/>
      <c r="G49" s="266"/>
      <c r="H49" s="408"/>
      <c r="I49" s="270"/>
      <c r="J49" s="187"/>
      <c r="K49" s="266"/>
    </row>
    <row r="50" spans="1:11" x14ac:dyDescent="0.25">
      <c r="A50" s="9" t="s">
        <v>48</v>
      </c>
      <c r="B50" s="469" t="s">
        <v>146</v>
      </c>
      <c r="C50" s="510"/>
      <c r="D50" s="408">
        <f>SUM(D51:D52)</f>
        <v>0</v>
      </c>
      <c r="E50" s="270">
        <f>SUM(E51:E52)</f>
        <v>0</v>
      </c>
      <c r="F50" s="187"/>
      <c r="G50" s="266"/>
      <c r="H50" s="408">
        <f>SUM(H51:H52)</f>
        <v>0</v>
      </c>
      <c r="I50" s="270">
        <f>SUM(I51:I52)</f>
        <v>0</v>
      </c>
      <c r="J50" s="187"/>
      <c r="K50" s="266"/>
    </row>
    <row r="51" spans="1:11" x14ac:dyDescent="0.25">
      <c r="A51" s="9"/>
      <c r="B51" s="222" t="s">
        <v>93</v>
      </c>
      <c r="C51" s="366" t="s">
        <v>95</v>
      </c>
      <c r="D51" s="408"/>
      <c r="E51" s="270"/>
      <c r="F51" s="187"/>
      <c r="G51" s="266"/>
      <c r="H51" s="408"/>
      <c r="I51" s="270"/>
      <c r="J51" s="187"/>
      <c r="K51" s="266"/>
    </row>
    <row r="52" spans="1:11" x14ac:dyDescent="0.25">
      <c r="A52" s="9"/>
      <c r="B52" s="222" t="s">
        <v>94</v>
      </c>
      <c r="C52" s="366" t="s">
        <v>96</v>
      </c>
      <c r="D52" s="408">
        <v>0</v>
      </c>
      <c r="E52" s="270"/>
      <c r="F52" s="187"/>
      <c r="G52" s="266"/>
      <c r="H52" s="408">
        <v>0</v>
      </c>
      <c r="I52" s="270"/>
      <c r="J52" s="187"/>
      <c r="K52" s="266"/>
    </row>
    <row r="53" spans="1:11" x14ac:dyDescent="0.25">
      <c r="A53" s="9" t="s">
        <v>49</v>
      </c>
      <c r="B53" s="469" t="s">
        <v>147</v>
      </c>
      <c r="C53" s="510"/>
      <c r="D53" s="408">
        <f>SUM(D54:D56)</f>
        <v>0</v>
      </c>
      <c r="E53" s="270">
        <f>SUM(E54:E56)</f>
        <v>0</v>
      </c>
      <c r="F53" s="187"/>
      <c r="G53" s="266"/>
      <c r="H53" s="408">
        <f>SUM(H54:H56)</f>
        <v>0</v>
      </c>
      <c r="I53" s="270">
        <f>SUM(I54:I56)</f>
        <v>0</v>
      </c>
      <c r="J53" s="187"/>
      <c r="K53" s="266"/>
    </row>
    <row r="54" spans="1:11" x14ac:dyDescent="0.25">
      <c r="A54" s="9"/>
      <c r="B54" s="222" t="s">
        <v>97</v>
      </c>
      <c r="C54" s="366" t="s">
        <v>100</v>
      </c>
      <c r="D54" s="408"/>
      <c r="E54" s="270"/>
      <c r="F54" s="187"/>
      <c r="G54" s="266"/>
      <c r="H54" s="408"/>
      <c r="I54" s="270"/>
      <c r="J54" s="187"/>
      <c r="K54" s="266"/>
    </row>
    <row r="55" spans="1:11" x14ac:dyDescent="0.25">
      <c r="A55" s="9"/>
      <c r="B55" s="222" t="s">
        <v>98</v>
      </c>
      <c r="C55" s="366" t="s">
        <v>2</v>
      </c>
      <c r="D55" s="408"/>
      <c r="E55" s="270"/>
      <c r="F55" s="187"/>
      <c r="G55" s="266"/>
      <c r="H55" s="408"/>
      <c r="I55" s="270"/>
      <c r="J55" s="187"/>
      <c r="K55" s="266"/>
    </row>
    <row r="56" spans="1:11" x14ac:dyDescent="0.25">
      <c r="A56" s="9"/>
      <c r="B56" s="222" t="s">
        <v>99</v>
      </c>
      <c r="C56" s="366" t="s">
        <v>101</v>
      </c>
      <c r="D56" s="408"/>
      <c r="E56" s="270"/>
      <c r="F56" s="187"/>
      <c r="G56" s="266"/>
      <c r="H56" s="408"/>
      <c r="I56" s="270"/>
      <c r="J56" s="187"/>
      <c r="K56" s="266"/>
    </row>
    <row r="57" spans="1:11" x14ac:dyDescent="0.25">
      <c r="A57" s="223" t="s">
        <v>194</v>
      </c>
      <c r="B57" s="523" t="s">
        <v>215</v>
      </c>
      <c r="C57" s="637"/>
      <c r="D57" s="409">
        <f>+D47+D50+D53</f>
        <v>0</v>
      </c>
      <c r="E57" s="400">
        <f>+E47+E50+E53</f>
        <v>0</v>
      </c>
      <c r="F57" s="287"/>
      <c r="G57" s="323"/>
      <c r="H57" s="409">
        <f>+H47+H50+H53</f>
        <v>0</v>
      </c>
      <c r="I57" s="400">
        <f>+I47+I50+I53</f>
        <v>0</v>
      </c>
      <c r="J57" s="287"/>
      <c r="K57" s="323"/>
    </row>
    <row r="58" spans="1:11" x14ac:dyDescent="0.25">
      <c r="A58" s="223" t="s">
        <v>195</v>
      </c>
      <c r="B58" s="523" t="s">
        <v>148</v>
      </c>
      <c r="C58" s="637"/>
      <c r="D58" s="409"/>
      <c r="E58" s="271"/>
      <c r="F58" s="319"/>
      <c r="G58" s="324"/>
      <c r="H58" s="409"/>
      <c r="I58" s="271"/>
      <c r="J58" s="319"/>
      <c r="K58" s="324"/>
    </row>
    <row r="59" spans="1:11" x14ac:dyDescent="0.25">
      <c r="A59" s="223" t="s">
        <v>180</v>
      </c>
      <c r="B59" s="523" t="s">
        <v>21</v>
      </c>
      <c r="C59" s="637"/>
      <c r="D59" s="409"/>
      <c r="E59" s="271"/>
      <c r="F59" s="319"/>
      <c r="G59" s="324"/>
      <c r="H59" s="409"/>
      <c r="I59" s="271"/>
      <c r="J59" s="319"/>
      <c r="K59" s="324"/>
    </row>
    <row r="60" spans="1:11" ht="18.75" x14ac:dyDescent="0.3">
      <c r="A60" s="152" t="s">
        <v>149</v>
      </c>
      <c r="B60" s="461" t="s">
        <v>150</v>
      </c>
      <c r="C60" s="635"/>
      <c r="D60" s="408">
        <f>+D46+D57+D58+D59</f>
        <v>275000</v>
      </c>
      <c r="E60" s="282">
        <f>+E46+E57+E58+E59</f>
        <v>275000</v>
      </c>
      <c r="F60" s="288"/>
      <c r="G60" s="285"/>
      <c r="H60" s="408">
        <f>+H46+H57+H58+H59</f>
        <v>486750</v>
      </c>
      <c r="I60" s="282">
        <f>+I46+I57+I58+I59</f>
        <v>486750</v>
      </c>
      <c r="J60" s="288"/>
      <c r="K60" s="285"/>
    </row>
    <row r="61" spans="1:11" ht="18.75" x14ac:dyDescent="0.3">
      <c r="A61" s="152"/>
      <c r="B61" s="461" t="s">
        <v>151</v>
      </c>
      <c r="C61" s="635"/>
      <c r="D61" s="408">
        <f>+D29-D60</f>
        <v>60855000</v>
      </c>
      <c r="E61" s="282">
        <f>+E29-E60</f>
        <v>60855000</v>
      </c>
      <c r="F61" s="288"/>
      <c r="G61" s="285"/>
      <c r="H61" s="408">
        <f>+H29-H60</f>
        <v>65142180</v>
      </c>
      <c r="I61" s="282">
        <f>+I29-I60</f>
        <v>65142180</v>
      </c>
      <c r="J61" s="288"/>
      <c r="K61" s="285"/>
    </row>
    <row r="62" spans="1:11" ht="18.75" x14ac:dyDescent="0.3">
      <c r="A62" s="152"/>
      <c r="B62" s="523" t="s">
        <v>277</v>
      </c>
      <c r="C62" s="637"/>
      <c r="D62" s="408">
        <f>+F62+E62</f>
        <v>60855000</v>
      </c>
      <c r="E62" s="282">
        <v>60855000</v>
      </c>
      <c r="F62" s="288"/>
      <c r="G62" s="285"/>
      <c r="H62" s="408">
        <f>+J62+I62</f>
        <v>65103561</v>
      </c>
      <c r="I62" s="282">
        <v>65103561</v>
      </c>
      <c r="J62" s="288"/>
      <c r="K62" s="285"/>
    </row>
    <row r="63" spans="1:11" x14ac:dyDescent="0.25">
      <c r="A63" s="223" t="s">
        <v>181</v>
      </c>
      <c r="B63" s="523" t="s">
        <v>152</v>
      </c>
      <c r="C63" s="637"/>
      <c r="D63" s="408">
        <f>SUM(E63:F63)</f>
        <v>0</v>
      </c>
      <c r="E63" s="282"/>
      <c r="F63" s="187"/>
      <c r="G63" s="283"/>
      <c r="H63" s="408">
        <f>SUM(I63:J63)</f>
        <v>38619</v>
      </c>
      <c r="I63" s="282">
        <v>38619</v>
      </c>
      <c r="J63" s="187"/>
      <c r="K63" s="283"/>
    </row>
    <row r="64" spans="1:11" ht="18.75" x14ac:dyDescent="0.3">
      <c r="A64" s="152"/>
      <c r="B64" s="263" t="s">
        <v>29</v>
      </c>
      <c r="C64" s="366" t="s">
        <v>102</v>
      </c>
      <c r="D64" s="408"/>
      <c r="E64" s="282"/>
      <c r="F64" s="264"/>
      <c r="G64" s="286"/>
      <c r="H64" s="408">
        <v>38619</v>
      </c>
      <c r="I64" s="282">
        <v>38619</v>
      </c>
      <c r="J64" s="264"/>
      <c r="K64" s="286"/>
    </row>
    <row r="65" spans="1:11" ht="18.75" x14ac:dyDescent="0.3">
      <c r="A65" s="152"/>
      <c r="B65" s="263" t="s">
        <v>43</v>
      </c>
      <c r="C65" s="366" t="s">
        <v>103</v>
      </c>
      <c r="D65" s="411"/>
      <c r="E65" s="284"/>
      <c r="F65" s="187"/>
      <c r="G65" s="286"/>
      <c r="H65" s="411"/>
      <c r="I65" s="284"/>
      <c r="J65" s="187"/>
      <c r="K65" s="286"/>
    </row>
    <row r="66" spans="1:11" ht="18.75" x14ac:dyDescent="0.3">
      <c r="A66" s="152" t="s">
        <v>153</v>
      </c>
      <c r="B66" s="484" t="s">
        <v>157</v>
      </c>
      <c r="C66" s="638"/>
      <c r="D66" s="412">
        <f>+D63</f>
        <v>0</v>
      </c>
      <c r="E66" s="284">
        <f>+E63</f>
        <v>0</v>
      </c>
      <c r="F66" s="288"/>
      <c r="G66" s="286"/>
      <c r="H66" s="408">
        <f>+H63</f>
        <v>38619</v>
      </c>
      <c r="I66" s="282">
        <f>+I63</f>
        <v>38619</v>
      </c>
      <c r="J66" s="288"/>
      <c r="K66" s="286"/>
    </row>
    <row r="67" spans="1:11" ht="18.75" x14ac:dyDescent="0.3">
      <c r="A67" s="9" t="s">
        <v>182</v>
      </c>
      <c r="B67" s="469" t="s">
        <v>154</v>
      </c>
      <c r="C67" s="510"/>
      <c r="D67" s="412"/>
      <c r="E67" s="272"/>
      <c r="F67" s="191"/>
      <c r="G67" s="267"/>
      <c r="H67" s="412"/>
      <c r="I67" s="272"/>
      <c r="J67" s="191"/>
      <c r="K67" s="267"/>
    </row>
    <row r="68" spans="1:11" ht="18.75" x14ac:dyDescent="0.3">
      <c r="A68" s="9" t="s">
        <v>183</v>
      </c>
      <c r="B68" s="469" t="s">
        <v>155</v>
      </c>
      <c r="C68" s="510"/>
      <c r="D68" s="412">
        <f>SUM(D69:D72)</f>
        <v>0</v>
      </c>
      <c r="E68" s="272"/>
      <c r="F68" s="191"/>
      <c r="G68" s="267"/>
      <c r="H68" s="412">
        <f>SUM(H69:H72)</f>
        <v>0</v>
      </c>
      <c r="I68" s="272"/>
      <c r="J68" s="191"/>
      <c r="K68" s="267"/>
    </row>
    <row r="69" spans="1:11" ht="18.75" x14ac:dyDescent="0.3">
      <c r="A69" s="9"/>
      <c r="B69" s="222" t="s">
        <v>29</v>
      </c>
      <c r="C69" s="366" t="s">
        <v>104</v>
      </c>
      <c r="D69" s="411"/>
      <c r="E69" s="274"/>
      <c r="F69" s="264"/>
      <c r="G69" s="267"/>
      <c r="H69" s="411"/>
      <c r="I69" s="274"/>
      <c r="J69" s="264"/>
      <c r="K69" s="267"/>
    </row>
    <row r="70" spans="1:11" ht="18.75" x14ac:dyDescent="0.3">
      <c r="A70" s="9"/>
      <c r="B70" s="222" t="s">
        <v>43</v>
      </c>
      <c r="C70" s="366" t="s">
        <v>105</v>
      </c>
      <c r="D70" s="412"/>
      <c r="E70" s="272"/>
      <c r="F70" s="191"/>
      <c r="G70" s="267"/>
      <c r="H70" s="412"/>
      <c r="I70" s="272"/>
      <c r="J70" s="191"/>
      <c r="K70" s="267"/>
    </row>
    <row r="71" spans="1:11" ht="18.75" x14ac:dyDescent="0.3">
      <c r="A71" s="9"/>
      <c r="B71" s="222" t="s">
        <v>44</v>
      </c>
      <c r="C71" s="366" t="s">
        <v>231</v>
      </c>
      <c r="D71" s="411"/>
      <c r="E71" s="272"/>
      <c r="F71" s="191"/>
      <c r="G71" s="267"/>
      <c r="H71" s="411"/>
      <c r="I71" s="272"/>
      <c r="J71" s="191"/>
      <c r="K71" s="267"/>
    </row>
    <row r="72" spans="1:11" ht="18.75" x14ac:dyDescent="0.3">
      <c r="A72" s="9"/>
      <c r="B72" s="222" t="s">
        <v>45</v>
      </c>
      <c r="C72" s="366" t="s">
        <v>232</v>
      </c>
      <c r="D72" s="411"/>
      <c r="E72" s="272"/>
      <c r="F72" s="191"/>
      <c r="G72" s="267"/>
      <c r="H72" s="411"/>
      <c r="I72" s="272"/>
      <c r="J72" s="191"/>
      <c r="K72" s="267"/>
    </row>
    <row r="73" spans="1:11" ht="19.5" x14ac:dyDescent="0.3">
      <c r="A73" s="152" t="s">
        <v>156</v>
      </c>
      <c r="B73" s="527" t="s">
        <v>158</v>
      </c>
      <c r="C73" s="636"/>
      <c r="D73" s="412">
        <f>+D67+D68</f>
        <v>0</v>
      </c>
      <c r="E73" s="272"/>
      <c r="F73" s="191"/>
      <c r="G73" s="267"/>
      <c r="H73" s="412">
        <f>+H67+H68</f>
        <v>0</v>
      </c>
      <c r="I73" s="272"/>
      <c r="J73" s="191"/>
      <c r="K73" s="267"/>
    </row>
    <row r="74" spans="1:11" ht="18.75" x14ac:dyDescent="0.3">
      <c r="A74" s="152" t="s">
        <v>159</v>
      </c>
      <c r="B74" s="461" t="s">
        <v>160</v>
      </c>
      <c r="C74" s="635"/>
      <c r="D74" s="408">
        <f>+D66+D73+D62</f>
        <v>60855000</v>
      </c>
      <c r="E74" s="270">
        <f>+E66+E73+E62</f>
        <v>60855000</v>
      </c>
      <c r="F74" s="272"/>
      <c r="G74" s="267"/>
      <c r="H74" s="408">
        <f>+H66+H73+H62</f>
        <v>65142180</v>
      </c>
      <c r="I74" s="270">
        <f>+I66+I73+I62</f>
        <v>65142180</v>
      </c>
      <c r="J74" s="272"/>
      <c r="K74" s="267"/>
    </row>
    <row r="75" spans="1:11" ht="18.75" x14ac:dyDescent="0.3">
      <c r="A75" s="9" t="s">
        <v>184</v>
      </c>
      <c r="B75" s="469" t="s">
        <v>278</v>
      </c>
      <c r="C75" s="510"/>
      <c r="D75" s="412"/>
      <c r="E75" s="272"/>
      <c r="F75" s="191"/>
      <c r="G75" s="267"/>
      <c r="H75" s="412"/>
      <c r="I75" s="272"/>
      <c r="J75" s="191"/>
      <c r="K75" s="267"/>
    </row>
    <row r="76" spans="1:11" ht="18.75" x14ac:dyDescent="0.3">
      <c r="A76" s="9" t="s">
        <v>185</v>
      </c>
      <c r="B76" s="469" t="s">
        <v>161</v>
      </c>
      <c r="C76" s="510"/>
      <c r="D76" s="411">
        <f>SUM(D77:D79)</f>
        <v>0</v>
      </c>
      <c r="E76" s="274"/>
      <c r="F76" s="264"/>
      <c r="G76" s="267"/>
      <c r="H76" s="411">
        <f>SUM(H77:H79)</f>
        <v>0</v>
      </c>
      <c r="I76" s="274"/>
      <c r="J76" s="264"/>
      <c r="K76" s="267"/>
    </row>
    <row r="77" spans="1:11" ht="18.75" x14ac:dyDescent="0.3">
      <c r="A77" s="9"/>
      <c r="B77" s="222" t="s">
        <v>29</v>
      </c>
      <c r="C77" s="366" t="s">
        <v>227</v>
      </c>
      <c r="D77" s="411"/>
      <c r="E77" s="274"/>
      <c r="F77" s="264"/>
      <c r="G77" s="267"/>
      <c r="H77" s="411"/>
      <c r="I77" s="274"/>
      <c r="J77" s="264"/>
      <c r="K77" s="267"/>
    </row>
    <row r="78" spans="1:11" ht="18.75" x14ac:dyDescent="0.3">
      <c r="A78" s="9"/>
      <c r="B78" s="222" t="s">
        <v>43</v>
      </c>
      <c r="C78" s="366" t="s">
        <v>226</v>
      </c>
      <c r="D78" s="411"/>
      <c r="E78" s="274"/>
      <c r="F78" s="264"/>
      <c r="G78" s="267"/>
      <c r="H78" s="411"/>
      <c r="I78" s="274"/>
      <c r="J78" s="264"/>
      <c r="K78" s="267"/>
    </row>
    <row r="79" spans="1:11" ht="18.75" x14ac:dyDescent="0.3">
      <c r="A79" s="9"/>
      <c r="B79" s="222" t="s">
        <v>44</v>
      </c>
      <c r="C79" s="366" t="s">
        <v>106</v>
      </c>
      <c r="D79" s="411"/>
      <c r="E79" s="274"/>
      <c r="F79" s="264"/>
      <c r="G79" s="267"/>
      <c r="H79" s="411"/>
      <c r="I79" s="274"/>
      <c r="J79" s="264"/>
      <c r="K79" s="267"/>
    </row>
    <row r="80" spans="1:11" ht="18.75" x14ac:dyDescent="0.3">
      <c r="A80" s="152" t="s">
        <v>162</v>
      </c>
      <c r="B80" s="461" t="s">
        <v>163</v>
      </c>
      <c r="C80" s="635"/>
      <c r="D80" s="412">
        <f>+D75+D76</f>
        <v>0</v>
      </c>
      <c r="E80" s="272">
        <f>+E75+E76</f>
        <v>0</v>
      </c>
      <c r="F80" s="191"/>
      <c r="G80" s="267"/>
      <c r="H80" s="412">
        <f>+H75+H76</f>
        <v>0</v>
      </c>
      <c r="I80" s="272">
        <f>+I75+I76</f>
        <v>0</v>
      </c>
      <c r="J80" s="191"/>
      <c r="K80" s="267"/>
    </row>
    <row r="81" spans="1:11" ht="18.75" x14ac:dyDescent="0.3">
      <c r="A81" s="152" t="s">
        <v>204</v>
      </c>
      <c r="B81" s="461" t="s">
        <v>206</v>
      </c>
      <c r="C81" s="635"/>
      <c r="D81" s="413">
        <f t="shared" ref="D81:K81" si="0">+D29+D80</f>
        <v>61130000</v>
      </c>
      <c r="E81" s="401">
        <f t="shared" si="0"/>
        <v>61130000</v>
      </c>
      <c r="F81" s="307">
        <f t="shared" si="0"/>
        <v>0</v>
      </c>
      <c r="G81" s="306">
        <f t="shared" si="0"/>
        <v>0</v>
      </c>
      <c r="H81" s="413">
        <f t="shared" si="0"/>
        <v>65628930</v>
      </c>
      <c r="I81" s="401">
        <f t="shared" si="0"/>
        <v>65628930</v>
      </c>
      <c r="J81" s="307">
        <f t="shared" si="0"/>
        <v>0</v>
      </c>
      <c r="K81" s="306">
        <f t="shared" si="0"/>
        <v>0</v>
      </c>
    </row>
    <row r="82" spans="1:11" ht="19.5" thickBot="1" x14ac:dyDescent="0.35">
      <c r="A82" s="171" t="s">
        <v>205</v>
      </c>
      <c r="B82" s="172" t="s">
        <v>207</v>
      </c>
      <c r="C82" s="405"/>
      <c r="D82" s="414">
        <f t="shared" ref="D82:K82" si="1">+D60+D74</f>
        <v>61130000</v>
      </c>
      <c r="E82" s="402">
        <f t="shared" si="1"/>
        <v>61130000</v>
      </c>
      <c r="F82" s="36">
        <f t="shared" si="1"/>
        <v>0</v>
      </c>
      <c r="G82" s="381">
        <f t="shared" si="1"/>
        <v>0</v>
      </c>
      <c r="H82" s="414">
        <f t="shared" si="1"/>
        <v>65628930</v>
      </c>
      <c r="I82" s="402">
        <f t="shared" si="1"/>
        <v>65628930</v>
      </c>
      <c r="J82" s="36">
        <f t="shared" si="1"/>
        <v>0</v>
      </c>
      <c r="K82" s="381">
        <f t="shared" si="1"/>
        <v>0</v>
      </c>
    </row>
    <row r="83" spans="1:11" x14ac:dyDescent="0.2">
      <c r="B83" s="15"/>
      <c r="C83" s="15"/>
      <c r="D83" s="16"/>
      <c r="E83" s="16"/>
      <c r="F83" s="16"/>
    </row>
    <row r="84" spans="1:11" x14ac:dyDescent="0.2">
      <c r="B84" s="15"/>
      <c r="C84" s="15"/>
      <c r="D84" s="178">
        <f>+D82-D81</f>
        <v>0</v>
      </c>
      <c r="E84" s="178">
        <f>+E82-E81</f>
        <v>0</v>
      </c>
      <c r="F84" s="178">
        <f>+F82-F81</f>
        <v>0</v>
      </c>
      <c r="G84" s="178">
        <f>+G82-G81</f>
        <v>0</v>
      </c>
    </row>
    <row r="85" spans="1:11" x14ac:dyDescent="0.2">
      <c r="B85" s="15"/>
      <c r="C85" s="15"/>
      <c r="D85" s="16"/>
      <c r="E85" s="16"/>
      <c r="F85" s="16"/>
    </row>
    <row r="86" spans="1:11" x14ac:dyDescent="0.2">
      <c r="B86" s="15"/>
      <c r="C86" s="15"/>
      <c r="D86" s="16"/>
      <c r="E86" s="16"/>
      <c r="F86" s="16"/>
    </row>
    <row r="87" spans="1:11" x14ac:dyDescent="0.2">
      <c r="B87" s="15"/>
      <c r="C87" s="15"/>
      <c r="D87" s="16"/>
      <c r="E87" s="16"/>
      <c r="F87" s="16"/>
    </row>
    <row r="88" spans="1:11" x14ac:dyDescent="0.2">
      <c r="B88" s="15"/>
      <c r="C88" s="15"/>
      <c r="D88" s="16"/>
      <c r="E88" s="16"/>
      <c r="F88" s="16"/>
    </row>
    <row r="89" spans="1:11" x14ac:dyDescent="0.2">
      <c r="B89" s="15"/>
      <c r="C89" s="15"/>
      <c r="D89" s="16"/>
      <c r="E89" s="16"/>
      <c r="F89" s="16"/>
    </row>
    <row r="90" spans="1:11" x14ac:dyDescent="0.2">
      <c r="B90" s="15"/>
      <c r="C90" s="15"/>
      <c r="D90" s="16"/>
      <c r="E90" s="16"/>
      <c r="F90" s="16"/>
    </row>
    <row r="91" spans="1:11" x14ac:dyDescent="0.2">
      <c r="B91" s="15"/>
      <c r="C91" s="15"/>
      <c r="D91" s="16"/>
      <c r="E91" s="16"/>
      <c r="F91" s="16"/>
    </row>
    <row r="92" spans="1:11" x14ac:dyDescent="0.2">
      <c r="B92" s="15"/>
      <c r="C92" s="15"/>
      <c r="D92" s="16"/>
      <c r="E92" s="16"/>
      <c r="F92" s="16"/>
    </row>
    <row r="93" spans="1:11" x14ac:dyDescent="0.2">
      <c r="B93" s="15"/>
      <c r="C93" s="15"/>
      <c r="D93" s="16"/>
      <c r="E93" s="16"/>
      <c r="F93" s="16"/>
    </row>
    <row r="94" spans="1:11" x14ac:dyDescent="0.2">
      <c r="B94" s="15"/>
      <c r="C94" s="15"/>
      <c r="D94" s="16"/>
      <c r="E94" s="16"/>
      <c r="F94" s="16"/>
    </row>
    <row r="95" spans="1:11" x14ac:dyDescent="0.2">
      <c r="B95" s="15"/>
      <c r="C95" s="15"/>
      <c r="D95" s="16"/>
      <c r="E95" s="16"/>
      <c r="F95" s="16"/>
    </row>
    <row r="96" spans="1:11" x14ac:dyDescent="0.2">
      <c r="B96" s="15"/>
      <c r="C96" s="15"/>
      <c r="D96" s="16"/>
      <c r="E96" s="16"/>
      <c r="F96" s="16"/>
    </row>
    <row r="97" spans="2:6" x14ac:dyDescent="0.2">
      <c r="B97" s="15"/>
      <c r="C97" s="15"/>
      <c r="D97" s="16"/>
      <c r="E97" s="16"/>
      <c r="F97" s="16"/>
    </row>
    <row r="98" spans="2:6" x14ac:dyDescent="0.2">
      <c r="B98" s="15"/>
      <c r="C98" s="15"/>
      <c r="D98" s="16"/>
      <c r="E98" s="16"/>
      <c r="F98" s="16"/>
    </row>
    <row r="99" spans="2:6" x14ac:dyDescent="0.2">
      <c r="B99" s="15"/>
      <c r="C99" s="15"/>
      <c r="D99" s="16"/>
      <c r="E99" s="16"/>
      <c r="F99" s="16"/>
    </row>
    <row r="100" spans="2:6" x14ac:dyDescent="0.2">
      <c r="B100" s="15"/>
      <c r="C100" s="15"/>
      <c r="D100" s="16"/>
      <c r="E100" s="16"/>
      <c r="F100" s="16"/>
    </row>
    <row r="101" spans="2:6" x14ac:dyDescent="0.2">
      <c r="B101" s="15"/>
      <c r="C101" s="15"/>
      <c r="D101" s="16"/>
      <c r="E101" s="16"/>
      <c r="F101" s="16"/>
    </row>
    <row r="102" spans="2:6" x14ac:dyDescent="0.2">
      <c r="B102" s="15"/>
      <c r="C102" s="15"/>
      <c r="D102" s="16"/>
      <c r="E102" s="16"/>
      <c r="F102" s="16"/>
    </row>
    <row r="103" spans="2:6" x14ac:dyDescent="0.2">
      <c r="B103" s="15"/>
      <c r="C103" s="15"/>
      <c r="D103" s="16"/>
      <c r="E103" s="16"/>
      <c r="F103" s="16"/>
    </row>
    <row r="104" spans="2:6" x14ac:dyDescent="0.2">
      <c r="B104" s="15"/>
      <c r="C104" s="15"/>
      <c r="D104" s="16"/>
      <c r="E104" s="16"/>
      <c r="F104" s="16"/>
    </row>
  </sheetData>
  <mergeCells count="63">
    <mergeCell ref="H6:H7"/>
    <mergeCell ref="I6:I7"/>
    <mergeCell ref="J6:J7"/>
    <mergeCell ref="K6:K7"/>
    <mergeCell ref="H8:J8"/>
    <mergeCell ref="A6:A8"/>
    <mergeCell ref="B6:C8"/>
    <mergeCell ref="D6:D7"/>
    <mergeCell ref="E6:E7"/>
    <mergeCell ref="F6:F7"/>
    <mergeCell ref="A1:F1"/>
    <mergeCell ref="A2:F2"/>
    <mergeCell ref="A3:G3"/>
    <mergeCell ref="A4:F4"/>
    <mergeCell ref="A5:F5"/>
    <mergeCell ref="B11:C11"/>
    <mergeCell ref="B12:C12"/>
    <mergeCell ref="B13:C13"/>
    <mergeCell ref="B14:C14"/>
    <mergeCell ref="G6:G7"/>
    <mergeCell ref="D8:F8"/>
    <mergeCell ref="B9:C9"/>
    <mergeCell ref="B10:C10"/>
    <mergeCell ref="B19:C19"/>
    <mergeCell ref="B20:C20"/>
    <mergeCell ref="B22:C22"/>
    <mergeCell ref="B23:C23"/>
    <mergeCell ref="B15:C15"/>
    <mergeCell ref="B16:C16"/>
    <mergeCell ref="B17:C17"/>
    <mergeCell ref="B18:C18"/>
    <mergeCell ref="B28:C28"/>
    <mergeCell ref="B29:C29"/>
    <mergeCell ref="B30:C30"/>
    <mergeCell ref="B31:C31"/>
    <mergeCell ref="B24:C24"/>
    <mergeCell ref="B25:C25"/>
    <mergeCell ref="B26:C26"/>
    <mergeCell ref="B27:C27"/>
    <mergeCell ref="B46:C46"/>
    <mergeCell ref="B47:C47"/>
    <mergeCell ref="B50:C50"/>
    <mergeCell ref="B53:C53"/>
    <mergeCell ref="B32:C32"/>
    <mergeCell ref="B33:C33"/>
    <mergeCell ref="B37:C37"/>
    <mergeCell ref="B41:C41"/>
    <mergeCell ref="B61:C61"/>
    <mergeCell ref="B62:C62"/>
    <mergeCell ref="B63:C63"/>
    <mergeCell ref="B66:C66"/>
    <mergeCell ref="B57:C57"/>
    <mergeCell ref="B58:C58"/>
    <mergeCell ref="B59:C59"/>
    <mergeCell ref="B60:C60"/>
    <mergeCell ref="B75:C75"/>
    <mergeCell ref="B76:C76"/>
    <mergeCell ref="B80:C80"/>
    <mergeCell ref="B81:C81"/>
    <mergeCell ref="B67:C67"/>
    <mergeCell ref="B68:C68"/>
    <mergeCell ref="B73:C73"/>
    <mergeCell ref="B74:C74"/>
  </mergeCells>
  <phoneticPr fontId="20" type="noConversion"/>
  <pageMargins left="0.17" right="0.17" top="0.2" bottom="0.17" header="0.17" footer="0.17"/>
  <pageSetup paperSize="9" scale="51" orientation="portrait" vertic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T24"/>
  <sheetViews>
    <sheetView view="pageBreakPreview" zoomScale="84" zoomScaleNormal="100" zoomScaleSheetLayoutView="84" workbookViewId="0"/>
  </sheetViews>
  <sheetFormatPr defaultRowHeight="12.75" x14ac:dyDescent="0.2"/>
  <cols>
    <col min="1" max="1" width="14.85546875" style="44" customWidth="1"/>
    <col min="2" max="2" width="31.5703125" style="44" customWidth="1"/>
    <col min="3" max="3" width="5" style="44" customWidth="1"/>
    <col min="4" max="4" width="7" style="44" customWidth="1"/>
    <col min="5" max="5" width="4.5703125" style="44" customWidth="1"/>
    <col min="6" max="6" width="9.7109375" style="44" customWidth="1"/>
    <col min="8" max="8" width="10.28515625" bestFit="1" customWidth="1"/>
    <col min="9" max="9" width="21.7109375" bestFit="1" customWidth="1"/>
    <col min="16" max="16" width="15.7109375" bestFit="1" customWidth="1"/>
  </cols>
  <sheetData>
    <row r="1" spans="1:20" x14ac:dyDescent="0.2">
      <c r="H1" s="44"/>
      <c r="I1" s="44"/>
      <c r="J1" s="44"/>
      <c r="K1" s="44"/>
      <c r="L1" s="44"/>
      <c r="M1" s="44"/>
      <c r="O1" s="44"/>
      <c r="P1" s="44"/>
      <c r="Q1" s="44"/>
      <c r="R1" s="44"/>
      <c r="S1" s="44"/>
      <c r="T1" s="44"/>
    </row>
    <row r="2" spans="1:20" ht="24.75" customHeight="1" x14ac:dyDescent="0.3">
      <c r="A2" s="617" t="s">
        <v>322</v>
      </c>
      <c r="B2" s="617"/>
      <c r="C2" s="617"/>
      <c r="D2" s="617"/>
      <c r="E2" s="617"/>
      <c r="F2" s="617"/>
      <c r="H2" s="617" t="s">
        <v>322</v>
      </c>
      <c r="I2" s="617"/>
      <c r="J2" s="617"/>
      <c r="K2" s="617"/>
      <c r="L2" s="617"/>
      <c r="M2" s="617"/>
      <c r="O2" s="617" t="s">
        <v>322</v>
      </c>
      <c r="P2" s="617"/>
      <c r="Q2" s="617"/>
      <c r="R2" s="617"/>
      <c r="S2" s="617"/>
      <c r="T2" s="617"/>
    </row>
    <row r="3" spans="1:20" ht="21" customHeight="1" x14ac:dyDescent="0.3">
      <c r="A3" s="617"/>
      <c r="B3" s="617"/>
      <c r="C3" s="617"/>
      <c r="D3" s="617"/>
      <c r="E3" s="617"/>
      <c r="F3" s="617"/>
      <c r="H3" s="617"/>
      <c r="I3" s="617"/>
      <c r="J3" s="617"/>
      <c r="K3" s="617"/>
      <c r="L3" s="617"/>
      <c r="M3" s="617"/>
      <c r="O3" s="617" t="s">
        <v>286</v>
      </c>
      <c r="P3" s="617"/>
      <c r="Q3" s="617"/>
      <c r="R3" s="617"/>
      <c r="S3" s="617"/>
      <c r="T3" s="617"/>
    </row>
    <row r="4" spans="1:20" ht="21" customHeight="1" x14ac:dyDescent="0.3">
      <c r="A4" s="617" t="s">
        <v>249</v>
      </c>
      <c r="B4" s="617"/>
      <c r="C4" s="617"/>
      <c r="D4" s="617"/>
      <c r="E4" s="617"/>
      <c r="F4" s="617"/>
      <c r="H4" s="670" t="s">
        <v>247</v>
      </c>
      <c r="I4" s="670"/>
      <c r="J4" s="670"/>
      <c r="K4" s="670"/>
      <c r="L4" s="670"/>
      <c r="M4" s="670"/>
      <c r="O4" s="669"/>
      <c r="P4" s="669"/>
      <c r="Q4" s="669"/>
      <c r="R4" s="669"/>
      <c r="S4" s="669"/>
      <c r="T4" s="669"/>
    </row>
    <row r="5" spans="1:20" ht="21" customHeight="1" x14ac:dyDescent="0.3">
      <c r="A5" s="617" t="s">
        <v>294</v>
      </c>
      <c r="B5" s="617"/>
      <c r="C5" s="617"/>
      <c r="D5" s="617"/>
      <c r="E5" s="617"/>
      <c r="F5" s="617"/>
      <c r="H5" s="617" t="s">
        <v>294</v>
      </c>
      <c r="I5" s="617"/>
      <c r="J5" s="617"/>
      <c r="K5" s="617"/>
      <c r="L5" s="617"/>
      <c r="M5" s="617"/>
      <c r="O5" s="617" t="s">
        <v>294</v>
      </c>
      <c r="P5" s="617"/>
      <c r="Q5" s="617"/>
      <c r="R5" s="617"/>
      <c r="S5" s="617"/>
      <c r="T5" s="617"/>
    </row>
    <row r="6" spans="1:20" ht="21" customHeight="1" x14ac:dyDescent="0.2">
      <c r="H6" s="44"/>
      <c r="I6" s="44"/>
      <c r="J6" s="44"/>
      <c r="K6" s="44"/>
      <c r="L6" s="44"/>
      <c r="M6" s="44"/>
      <c r="O6" s="44"/>
      <c r="P6" s="44"/>
      <c r="Q6" s="44"/>
      <c r="R6" s="44"/>
      <c r="S6" t="s">
        <v>292</v>
      </c>
      <c r="T6" s="44"/>
    </row>
    <row r="7" spans="1:20" ht="45.75" customHeight="1" x14ac:dyDescent="0.2">
      <c r="A7" s="46" t="s">
        <v>33</v>
      </c>
      <c r="B7" s="46" t="s">
        <v>34</v>
      </c>
      <c r="C7" s="651" t="s">
        <v>108</v>
      </c>
      <c r="D7" s="651"/>
      <c r="E7" s="651"/>
      <c r="F7" s="651"/>
      <c r="H7" s="46" t="s">
        <v>33</v>
      </c>
      <c r="I7" s="46" t="s">
        <v>34</v>
      </c>
      <c r="J7" s="651" t="s">
        <v>108</v>
      </c>
      <c r="K7" s="651"/>
      <c r="L7" s="651"/>
      <c r="M7" s="651"/>
      <c r="O7" s="46" t="s">
        <v>33</v>
      </c>
      <c r="P7" s="46" t="s">
        <v>34</v>
      </c>
      <c r="Q7" s="651" t="s">
        <v>108</v>
      </c>
      <c r="R7" s="651"/>
      <c r="S7" s="651"/>
      <c r="T7" s="651"/>
    </row>
    <row r="8" spans="1:20" ht="36" customHeight="1" x14ac:dyDescent="0.2">
      <c r="A8" s="310" t="s">
        <v>334</v>
      </c>
      <c r="B8" s="48" t="s">
        <v>478</v>
      </c>
      <c r="C8" s="652">
        <v>2</v>
      </c>
      <c r="D8" s="652"/>
      <c r="E8" s="652"/>
      <c r="F8" s="652"/>
      <c r="H8" s="310" t="s">
        <v>267</v>
      </c>
      <c r="I8" s="48" t="s">
        <v>282</v>
      </c>
      <c r="J8" s="668">
        <v>6</v>
      </c>
      <c r="K8" s="668"/>
      <c r="L8" s="668"/>
      <c r="M8" s="668"/>
      <c r="O8" s="310" t="s">
        <v>287</v>
      </c>
      <c r="P8" s="48" t="s">
        <v>288</v>
      </c>
      <c r="Q8" s="652">
        <f>6+1/12*3.5+1/12*10</f>
        <v>7.125</v>
      </c>
      <c r="R8" s="652"/>
      <c r="S8" s="652"/>
      <c r="T8" s="652"/>
    </row>
    <row r="9" spans="1:20" ht="36" customHeight="1" x14ac:dyDescent="0.2">
      <c r="A9" s="310" t="s">
        <v>263</v>
      </c>
      <c r="B9" s="48" t="s">
        <v>264</v>
      </c>
      <c r="C9" s="656">
        <v>4</v>
      </c>
      <c r="D9" s="657"/>
      <c r="E9" s="657"/>
      <c r="F9" s="658"/>
      <c r="H9" s="310" t="s">
        <v>283</v>
      </c>
      <c r="I9" s="48" t="s">
        <v>284</v>
      </c>
      <c r="J9" s="659">
        <v>1</v>
      </c>
      <c r="K9" s="660"/>
      <c r="L9" s="660"/>
      <c r="M9" s="661"/>
      <c r="O9" s="310" t="s">
        <v>289</v>
      </c>
      <c r="P9" s="48" t="s">
        <v>290</v>
      </c>
      <c r="Q9" s="656">
        <f>1+(6/8)</f>
        <v>1.75</v>
      </c>
      <c r="R9" s="657"/>
      <c r="S9" s="657"/>
      <c r="T9" s="658"/>
    </row>
    <row r="10" spans="1:20" ht="23.25" customHeight="1" x14ac:dyDescent="0.2">
      <c r="A10" s="310" t="s">
        <v>267</v>
      </c>
      <c r="B10" s="316" t="s">
        <v>268</v>
      </c>
      <c r="C10" s="659">
        <v>1</v>
      </c>
      <c r="D10" s="660"/>
      <c r="E10" s="660"/>
      <c r="F10" s="661"/>
      <c r="H10" s="310" t="s">
        <v>285</v>
      </c>
      <c r="I10" s="48" t="s">
        <v>175</v>
      </c>
      <c r="J10" s="659">
        <v>1</v>
      </c>
      <c r="K10" s="660"/>
      <c r="L10" s="660"/>
      <c r="M10" s="661"/>
      <c r="O10" s="47">
        <v>104030</v>
      </c>
      <c r="P10" s="48" t="s">
        <v>291</v>
      </c>
      <c r="Q10" s="659">
        <v>1</v>
      </c>
      <c r="R10" s="660"/>
      <c r="S10" s="660"/>
      <c r="T10" s="661"/>
    </row>
    <row r="11" spans="1:20" ht="31.5" x14ac:dyDescent="0.25">
      <c r="A11" s="310" t="s">
        <v>273</v>
      </c>
      <c r="B11" s="48" t="s">
        <v>272</v>
      </c>
      <c r="C11" s="653">
        <v>1</v>
      </c>
      <c r="D11" s="654"/>
      <c r="E11" s="654"/>
      <c r="F11" s="655"/>
      <c r="H11" s="47"/>
      <c r="I11" s="48"/>
      <c r="J11" s="653"/>
      <c r="K11" s="654"/>
      <c r="L11" s="654"/>
      <c r="M11" s="655"/>
      <c r="O11" s="47">
        <v>91140</v>
      </c>
      <c r="P11" s="48" t="s">
        <v>293</v>
      </c>
      <c r="Q11" s="653">
        <v>4</v>
      </c>
      <c r="R11" s="654"/>
      <c r="S11" s="654"/>
      <c r="T11" s="655"/>
    </row>
    <row r="12" spans="1:20" ht="15.75" x14ac:dyDescent="0.25">
      <c r="A12" s="47"/>
      <c r="B12" s="48"/>
      <c r="C12" s="650"/>
      <c r="D12" s="650"/>
      <c r="E12" s="650"/>
      <c r="F12" s="650"/>
      <c r="H12" s="47"/>
      <c r="I12" s="48"/>
      <c r="J12" s="650"/>
      <c r="K12" s="650"/>
      <c r="L12" s="650"/>
      <c r="M12" s="650"/>
      <c r="O12" s="47"/>
      <c r="P12" s="48"/>
      <c r="Q12" s="650"/>
      <c r="R12" s="650"/>
      <c r="S12" s="650"/>
      <c r="T12" s="650"/>
    </row>
    <row r="13" spans="1:20" ht="32.25" customHeight="1" x14ac:dyDescent="0.2">
      <c r="A13" s="47"/>
      <c r="B13" s="48"/>
      <c r="C13" s="659"/>
      <c r="D13" s="663"/>
      <c r="E13" s="663"/>
      <c r="F13" s="664"/>
      <c r="H13" s="47"/>
      <c r="I13" s="48"/>
      <c r="J13" s="659"/>
      <c r="K13" s="663"/>
      <c r="L13" s="663"/>
      <c r="M13" s="664"/>
      <c r="O13" s="47"/>
      <c r="P13" s="48"/>
      <c r="Q13" s="659"/>
      <c r="R13" s="663"/>
      <c r="S13" s="663"/>
      <c r="T13" s="664"/>
    </row>
    <row r="14" spans="1:20" ht="21" customHeight="1" x14ac:dyDescent="0.25">
      <c r="A14" s="651" t="s">
        <v>36</v>
      </c>
      <c r="B14" s="651"/>
      <c r="C14" s="662">
        <f>SUM(C8:F13)</f>
        <v>8</v>
      </c>
      <c r="D14" s="662"/>
      <c r="E14" s="662"/>
      <c r="F14" s="662"/>
      <c r="H14" s="651" t="s">
        <v>36</v>
      </c>
      <c r="I14" s="651"/>
      <c r="J14" s="662">
        <f>SUM(J8:M13)</f>
        <v>8</v>
      </c>
      <c r="K14" s="662"/>
      <c r="L14" s="662"/>
      <c r="M14" s="662"/>
      <c r="O14" s="651" t="s">
        <v>36</v>
      </c>
      <c r="P14" s="651"/>
      <c r="Q14" s="662">
        <f>SUM(Q8:T13)</f>
        <v>13.875</v>
      </c>
      <c r="R14" s="662"/>
      <c r="S14" s="662"/>
      <c r="T14" s="662"/>
    </row>
    <row r="15" spans="1:20" ht="21" customHeight="1" x14ac:dyDescent="0.2">
      <c r="A15" s="49"/>
      <c r="B15" s="49"/>
    </row>
    <row r="16" spans="1:20" ht="21" customHeight="1" x14ac:dyDescent="0.3">
      <c r="A16" s="617" t="s">
        <v>178</v>
      </c>
      <c r="B16" s="617"/>
      <c r="C16" s="617"/>
      <c r="D16" s="617"/>
      <c r="E16" s="617"/>
      <c r="F16" s="617"/>
    </row>
    <row r="17" spans="1:6" ht="21" customHeight="1" x14ac:dyDescent="0.2"/>
    <row r="18" spans="1:6" ht="32.25" customHeight="1" x14ac:dyDescent="0.2">
      <c r="A18" s="46" t="s">
        <v>33</v>
      </c>
      <c r="B18" s="46" t="s">
        <v>34</v>
      </c>
      <c r="C18" s="651" t="s">
        <v>35</v>
      </c>
      <c r="D18" s="651"/>
      <c r="E18" s="651"/>
      <c r="F18" s="651"/>
    </row>
    <row r="19" spans="1:6" ht="30.75" customHeight="1" x14ac:dyDescent="0.25">
      <c r="A19" s="310" t="s">
        <v>265</v>
      </c>
      <c r="B19" s="48" t="s">
        <v>266</v>
      </c>
      <c r="C19" s="665">
        <v>8.83</v>
      </c>
      <c r="D19" s="666"/>
      <c r="E19" s="666"/>
      <c r="F19" s="667"/>
    </row>
    <row r="20" spans="1:6" ht="21" customHeight="1" x14ac:dyDescent="0.25">
      <c r="A20" s="651" t="s">
        <v>36</v>
      </c>
      <c r="B20" s="651"/>
      <c r="C20" s="662">
        <f>SUM(C14:F19)</f>
        <v>16.829999999999998</v>
      </c>
      <c r="D20" s="662"/>
      <c r="E20" s="662"/>
      <c r="F20" s="662"/>
    </row>
    <row r="21" spans="1:6" ht="21" customHeight="1" x14ac:dyDescent="0.2"/>
    <row r="24" spans="1:6" x14ac:dyDescent="0.2">
      <c r="D24" s="279"/>
    </row>
  </sheetData>
  <mergeCells count="44">
    <mergeCell ref="J10:M10"/>
    <mergeCell ref="O14:P14"/>
    <mergeCell ref="O2:T2"/>
    <mergeCell ref="O3:T3"/>
    <mergeCell ref="O4:T4"/>
    <mergeCell ref="Q7:T7"/>
    <mergeCell ref="Q14:T14"/>
    <mergeCell ref="Q10:T10"/>
    <mergeCell ref="Q11:T11"/>
    <mergeCell ref="Q12:T12"/>
    <mergeCell ref="Q13:T13"/>
    <mergeCell ref="O5:T5"/>
    <mergeCell ref="Q8:T8"/>
    <mergeCell ref="H3:M3"/>
    <mergeCell ref="Q9:T9"/>
    <mergeCell ref="H4:M4"/>
    <mergeCell ref="H5:M5"/>
    <mergeCell ref="H2:M2"/>
    <mergeCell ref="J7:M7"/>
    <mergeCell ref="J8:M8"/>
    <mergeCell ref="J9:M9"/>
    <mergeCell ref="H14:I14"/>
    <mergeCell ref="J12:M12"/>
    <mergeCell ref="J13:M13"/>
    <mergeCell ref="J14:M14"/>
    <mergeCell ref="J11:M11"/>
    <mergeCell ref="A20:B20"/>
    <mergeCell ref="C20:F20"/>
    <mergeCell ref="C13:F13"/>
    <mergeCell ref="A14:B14"/>
    <mergeCell ref="C14:F14"/>
    <mergeCell ref="C18:F18"/>
    <mergeCell ref="C19:F19"/>
    <mergeCell ref="A16:F16"/>
    <mergeCell ref="A2:F2"/>
    <mergeCell ref="A3:F3"/>
    <mergeCell ref="A4:F4"/>
    <mergeCell ref="C12:F12"/>
    <mergeCell ref="A5:F5"/>
    <mergeCell ref="C7:F7"/>
    <mergeCell ref="C8:F8"/>
    <mergeCell ref="C11:F11"/>
    <mergeCell ref="C9:F9"/>
    <mergeCell ref="C10:F10"/>
  </mergeCells>
  <phoneticPr fontId="20" type="noConversion"/>
  <pageMargins left="0.17" right="0.16" top="0.43" bottom="0.54" header="0.16" footer="0.19"/>
  <pageSetup paperSize="9" scale="6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K106"/>
  <sheetViews>
    <sheetView view="pageBreakPreview" zoomScale="60" zoomScaleNormal="75" workbookViewId="0">
      <selection activeCell="H25" sqref="H25"/>
    </sheetView>
  </sheetViews>
  <sheetFormatPr defaultRowHeight="15.75" x14ac:dyDescent="0.2"/>
  <cols>
    <col min="1" max="1" width="6" style="2" customWidth="1"/>
    <col min="2" max="2" width="5.140625" style="1" customWidth="1"/>
    <col min="3" max="3" width="82.5703125" style="1" customWidth="1"/>
    <col min="4" max="4" width="19.140625" style="2" customWidth="1"/>
    <col min="5" max="5" width="19.42578125" style="2" customWidth="1"/>
    <col min="6" max="6" width="18.140625" style="2" customWidth="1"/>
    <col min="7" max="7" width="9.85546875" style="11" customWidth="1"/>
    <col min="8" max="9" width="19.140625" bestFit="1" customWidth="1"/>
    <col min="10" max="10" width="17.7109375" bestFit="1" customWidth="1"/>
  </cols>
  <sheetData>
    <row r="1" spans="1:11" ht="18.75" x14ac:dyDescent="0.3">
      <c r="A1" s="507" t="s">
        <v>321</v>
      </c>
      <c r="B1" s="524"/>
      <c r="C1" s="524"/>
      <c r="D1" s="524"/>
      <c r="E1" s="524"/>
      <c r="F1" s="524"/>
    </row>
    <row r="2" spans="1:11" x14ac:dyDescent="0.2">
      <c r="A2" s="457"/>
      <c r="B2" s="457"/>
      <c r="C2" s="457"/>
      <c r="D2" s="457"/>
      <c r="E2" s="457"/>
      <c r="F2" s="457"/>
    </row>
    <row r="3" spans="1:11" x14ac:dyDescent="0.25">
      <c r="A3" s="508" t="s">
        <v>249</v>
      </c>
      <c r="B3" s="508"/>
      <c r="C3" s="508"/>
      <c r="D3" s="508"/>
      <c r="E3" s="508"/>
      <c r="F3" s="508"/>
    </row>
    <row r="4" spans="1:11" x14ac:dyDescent="0.2">
      <c r="A4" s="457" t="s">
        <v>199</v>
      </c>
      <c r="B4" s="457"/>
      <c r="C4" s="457"/>
      <c r="D4" s="457"/>
      <c r="E4" s="457"/>
      <c r="F4" s="457"/>
    </row>
    <row r="5" spans="1:11" ht="16.5" thickBot="1" x14ac:dyDescent="0.3">
      <c r="A5" s="509" t="s">
        <v>242</v>
      </c>
      <c r="B5" s="509"/>
      <c r="C5" s="509"/>
      <c r="D5" s="509"/>
      <c r="E5" s="509"/>
      <c r="F5" s="509"/>
    </row>
    <row r="6" spans="1:11" ht="12.75" customHeight="1" x14ac:dyDescent="0.2">
      <c r="A6" s="512" t="s">
        <v>200</v>
      </c>
      <c r="B6" s="503" t="s">
        <v>186</v>
      </c>
      <c r="C6" s="503"/>
      <c r="D6" s="516" t="s">
        <v>301</v>
      </c>
      <c r="E6" s="518" t="s">
        <v>239</v>
      </c>
      <c r="F6" s="518" t="s">
        <v>240</v>
      </c>
      <c r="G6" s="521" t="s">
        <v>241</v>
      </c>
      <c r="H6" s="516" t="s">
        <v>301</v>
      </c>
      <c r="I6" s="518" t="s">
        <v>239</v>
      </c>
      <c r="J6" s="518" t="s">
        <v>240</v>
      </c>
      <c r="K6" s="521" t="s">
        <v>241</v>
      </c>
    </row>
    <row r="7" spans="1:11" ht="21.75" customHeight="1" x14ac:dyDescent="0.2">
      <c r="A7" s="513"/>
      <c r="B7" s="504"/>
      <c r="C7" s="504"/>
      <c r="D7" s="517"/>
      <c r="E7" s="519"/>
      <c r="F7" s="519"/>
      <c r="G7" s="522"/>
      <c r="H7" s="517"/>
      <c r="I7" s="519"/>
      <c r="J7" s="519"/>
      <c r="K7" s="522"/>
    </row>
    <row r="8" spans="1:11" ht="15.75" customHeight="1" thickBot="1" x14ac:dyDescent="0.25">
      <c r="A8" s="681"/>
      <c r="B8" s="682"/>
      <c r="C8" s="682"/>
      <c r="D8" s="671" t="s">
        <v>343</v>
      </c>
      <c r="E8" s="671"/>
      <c r="F8" s="671"/>
      <c r="G8" s="327"/>
      <c r="H8" s="671" t="s">
        <v>344</v>
      </c>
      <c r="I8" s="671"/>
      <c r="J8" s="671"/>
      <c r="K8" s="327"/>
    </row>
    <row r="9" spans="1:11" x14ac:dyDescent="0.2">
      <c r="A9" s="326"/>
      <c r="B9" s="680" t="s">
        <v>201</v>
      </c>
      <c r="C9" s="680"/>
      <c r="D9" s="432"/>
      <c r="E9" s="433"/>
      <c r="F9" s="432"/>
      <c r="G9" s="434"/>
      <c r="H9" s="432"/>
      <c r="I9" s="433"/>
      <c r="J9" s="432"/>
      <c r="K9" s="434"/>
    </row>
    <row r="10" spans="1:11" ht="15.75" customHeight="1" x14ac:dyDescent="0.25">
      <c r="A10" s="9">
        <v>1</v>
      </c>
      <c r="B10" s="498" t="s">
        <v>187</v>
      </c>
      <c r="C10" s="498"/>
      <c r="D10" s="269">
        <f>SUM(E10:G10)</f>
        <v>92326000</v>
      </c>
      <c r="E10" s="269">
        <f>'11'!E10+'13'!E10+'15'!E10</f>
        <v>92326000</v>
      </c>
      <c r="F10" s="187">
        <f>'11'!F10+'13'!F10+'15'!F10</f>
        <v>0</v>
      </c>
      <c r="G10" s="266"/>
      <c r="H10" s="269">
        <f>SUM(I10:K10)</f>
        <v>102966457</v>
      </c>
      <c r="I10" s="269">
        <f>'11'!I10+'13'!I10+'15'!I10</f>
        <v>102966457</v>
      </c>
      <c r="J10" s="187">
        <f>'11'!J10+'13'!J10+'15'!J10</f>
        <v>0</v>
      </c>
      <c r="K10" s="266"/>
    </row>
    <row r="11" spans="1:11" ht="15.75" customHeight="1" x14ac:dyDescent="0.25">
      <c r="A11" s="9">
        <v>2</v>
      </c>
      <c r="B11" s="498" t="s">
        <v>196</v>
      </c>
      <c r="C11" s="498"/>
      <c r="D11" s="269">
        <f>SUM(E11:G11)</f>
        <v>24003000</v>
      </c>
      <c r="E11" s="269">
        <f>'11'!E11+'13'!E11+'15'!E11</f>
        <v>24003000</v>
      </c>
      <c r="F11" s="187">
        <f>'11'!F11+'13'!F11+'15'!F11</f>
        <v>0</v>
      </c>
      <c r="G11" s="266"/>
      <c r="H11" s="269">
        <f>SUM(I11:K11)</f>
        <v>26240376</v>
      </c>
      <c r="I11" s="269">
        <f>'11'!I11+'13'!I11+'15'!I11</f>
        <v>26240376</v>
      </c>
      <c r="J11" s="187">
        <f>'11'!J11+'13'!J11+'15'!J11</f>
        <v>0</v>
      </c>
      <c r="K11" s="266"/>
    </row>
    <row r="12" spans="1:11" ht="15.75" customHeight="1" x14ac:dyDescent="0.25">
      <c r="A12" s="9">
        <v>3</v>
      </c>
      <c r="B12" s="498" t="s">
        <v>197</v>
      </c>
      <c r="C12" s="498"/>
      <c r="D12" s="269">
        <f>E12+F12+G12</f>
        <v>70030053</v>
      </c>
      <c r="E12" s="269">
        <f>'11'!E12+'13'!E12+'15'!E12</f>
        <v>70030053</v>
      </c>
      <c r="F12" s="187">
        <f>'11'!F12+'13'!F12+'15'!F12</f>
        <v>0</v>
      </c>
      <c r="G12" s="276"/>
      <c r="H12" s="269">
        <f>I12+J12+K12</f>
        <v>76035069</v>
      </c>
      <c r="I12" s="269">
        <f>'11'!I12+'13'!I12+'15'!I12</f>
        <v>76035069</v>
      </c>
      <c r="J12" s="187">
        <f>'11'!J12+'13'!J12+'15'!J12</f>
        <v>0</v>
      </c>
      <c r="K12" s="276"/>
    </row>
    <row r="13" spans="1:11" ht="15.75" customHeight="1" x14ac:dyDescent="0.25">
      <c r="A13" s="9" t="s">
        <v>45</v>
      </c>
      <c r="B13" s="498" t="s">
        <v>179</v>
      </c>
      <c r="C13" s="498"/>
      <c r="D13" s="269">
        <f t="shared" ref="D13:D18" si="0">SUM(E13:G13)</f>
        <v>0</v>
      </c>
      <c r="E13" s="269">
        <f>'11'!E13+'13'!E13+'15'!E13</f>
        <v>0</v>
      </c>
      <c r="F13" s="187">
        <f>'11'!F13+'13'!F13+'15'!F13</f>
        <v>0</v>
      </c>
      <c r="G13" s="283"/>
      <c r="H13" s="269">
        <f t="shared" ref="H13:H18" si="1">SUM(I13:K13)</f>
        <v>0</v>
      </c>
      <c r="I13" s="269">
        <f>'11'!I13+'13'!I13+'15'!I13</f>
        <v>0</v>
      </c>
      <c r="J13" s="187">
        <f>'11'!J13+'13'!J13+'15'!J13</f>
        <v>0</v>
      </c>
      <c r="K13" s="283"/>
    </row>
    <row r="14" spans="1:11" x14ac:dyDescent="0.2">
      <c r="A14" s="9" t="s">
        <v>47</v>
      </c>
      <c r="B14" s="499" t="s">
        <v>173</v>
      </c>
      <c r="C14" s="499"/>
      <c r="D14" s="269">
        <f t="shared" si="0"/>
        <v>16718000</v>
      </c>
      <c r="E14" s="281">
        <f>+E15+E16+E17+E18+E19</f>
        <v>14670000</v>
      </c>
      <c r="F14" s="13">
        <f>+F15+F16+F17+F18+F19</f>
        <v>2048000</v>
      </c>
      <c r="G14" s="325"/>
      <c r="H14" s="269">
        <f t="shared" si="1"/>
        <v>28888607</v>
      </c>
      <c r="I14" s="281">
        <f>+I15+I16+I17+I18+I19</f>
        <v>26707871</v>
      </c>
      <c r="J14" s="13">
        <f>+J15+J16+J17+J18+J19</f>
        <v>2180736</v>
      </c>
      <c r="K14" s="325"/>
    </row>
    <row r="15" spans="1:11" x14ac:dyDescent="0.25">
      <c r="A15" s="9" t="s">
        <v>165</v>
      </c>
      <c r="B15" s="491"/>
      <c r="C15" s="491"/>
      <c r="D15" s="269">
        <f t="shared" si="0"/>
        <v>0</v>
      </c>
      <c r="E15" s="269">
        <f>'11'!E15+'13'!E15+'15'!E15</f>
        <v>0</v>
      </c>
      <c r="F15" s="187">
        <f>'11'!F15+'13'!F15+'15'!F15</f>
        <v>0</v>
      </c>
      <c r="G15" s="283"/>
      <c r="H15" s="269">
        <f t="shared" si="1"/>
        <v>0</v>
      </c>
      <c r="I15" s="269">
        <f>'11'!I15+'13'!I15+'15'!I15</f>
        <v>0</v>
      </c>
      <c r="J15" s="187">
        <f>'11'!J15+'13'!J15+'15'!J15</f>
        <v>0</v>
      </c>
      <c r="K15" s="283"/>
    </row>
    <row r="16" spans="1:11" x14ac:dyDescent="0.25">
      <c r="A16" s="9" t="s">
        <v>166</v>
      </c>
      <c r="B16" s="491" t="s">
        <v>238</v>
      </c>
      <c r="C16" s="491"/>
      <c r="D16" s="269">
        <f t="shared" si="0"/>
        <v>5963000</v>
      </c>
      <c r="E16" s="269">
        <f>'11'!E16+'13'!E16+'15'!E16</f>
        <v>3915000</v>
      </c>
      <c r="F16" s="187">
        <f>'11'!F16+'13'!F16+'15'!F16</f>
        <v>2048000</v>
      </c>
      <c r="G16" s="283"/>
      <c r="H16" s="269">
        <f t="shared" si="1"/>
        <v>16671836</v>
      </c>
      <c r="I16" s="269">
        <f>'11'!I16+'13'!I16+'15'!I16</f>
        <v>14491100</v>
      </c>
      <c r="J16" s="187">
        <f>'11'!J16+'13'!J16+'15'!J16</f>
        <v>2180736</v>
      </c>
      <c r="K16" s="283"/>
    </row>
    <row r="17" spans="1:11" x14ac:dyDescent="0.25">
      <c r="A17" s="9"/>
      <c r="B17" s="525"/>
      <c r="C17" s="526"/>
      <c r="D17" s="269">
        <f t="shared" si="0"/>
        <v>0</v>
      </c>
      <c r="E17" s="269">
        <f>'11'!E17+'13'!E17+'15'!E17</f>
        <v>0</v>
      </c>
      <c r="F17" s="187">
        <f>'11'!F17+'13'!F17+'15'!F17</f>
        <v>0</v>
      </c>
      <c r="G17" s="283"/>
      <c r="H17" s="269">
        <f t="shared" si="1"/>
        <v>0</v>
      </c>
      <c r="I17" s="269">
        <f>'11'!I17+'13'!I17+'15'!I17</f>
        <v>0</v>
      </c>
      <c r="J17" s="187">
        <f>'11'!J17+'13'!J17+'15'!J17</f>
        <v>0</v>
      </c>
      <c r="K17" s="283"/>
    </row>
    <row r="18" spans="1:11" ht="15.75" customHeight="1" x14ac:dyDescent="0.25">
      <c r="A18" s="9" t="s">
        <v>167</v>
      </c>
      <c r="B18" s="468" t="s">
        <v>169</v>
      </c>
      <c r="C18" s="468"/>
      <c r="D18" s="269">
        <f t="shared" si="0"/>
        <v>10755000</v>
      </c>
      <c r="E18" s="269">
        <f>'11'!E18+'13'!E18+'15'!E18</f>
        <v>10755000</v>
      </c>
      <c r="F18" s="187">
        <f>'11'!F18+'13'!F18+'15'!F18</f>
        <v>0</v>
      </c>
      <c r="G18" s="283"/>
      <c r="H18" s="269">
        <f t="shared" si="1"/>
        <v>12124060</v>
      </c>
      <c r="I18" s="269">
        <f>'11'!I18+'13'!I18+'15'!I18</f>
        <v>12124060</v>
      </c>
      <c r="J18" s="187">
        <f>'11'!J18+'13'!J18+'15'!J18</f>
        <v>0</v>
      </c>
      <c r="K18" s="283"/>
    </row>
    <row r="19" spans="1:11" ht="15.75" customHeight="1" x14ac:dyDescent="0.25">
      <c r="A19" s="9" t="s">
        <v>73</v>
      </c>
      <c r="B19" s="468" t="s">
        <v>305</v>
      </c>
      <c r="C19" s="493"/>
      <c r="D19" s="13">
        <f>E19+F19+G19</f>
        <v>0</v>
      </c>
      <c r="E19" s="280"/>
      <c r="F19" s="187">
        <f>'11'!F19+'13'!F19+'15'!F19</f>
        <v>0</v>
      </c>
      <c r="G19" s="283"/>
      <c r="H19" s="13">
        <f>I19+J19+K19</f>
        <v>92711</v>
      </c>
      <c r="I19" s="280">
        <f>'15'!I19</f>
        <v>92711</v>
      </c>
      <c r="J19" s="187">
        <f>'11'!J19+'13'!J19+'15'!J19</f>
        <v>0</v>
      </c>
      <c r="K19" s="283"/>
    </row>
    <row r="20" spans="1:11" ht="15.75" customHeight="1" x14ac:dyDescent="0.25">
      <c r="A20" s="9"/>
      <c r="B20" s="498" t="s">
        <v>234</v>
      </c>
      <c r="C20" s="498"/>
      <c r="D20" s="13">
        <f>E20+F20+G20</f>
        <v>0</v>
      </c>
      <c r="E20" s="269">
        <f>'11'!E20+'13'!E20+'15'!E20</f>
        <v>0</v>
      </c>
      <c r="F20" s="187"/>
      <c r="G20" s="283"/>
      <c r="H20" s="13">
        <f>I20+J20+K20</f>
        <v>0</v>
      </c>
      <c r="I20" s="269">
        <f>'11'!I20+'13'!I20+'15'!I20</f>
        <v>0</v>
      </c>
      <c r="J20" s="187"/>
      <c r="K20" s="283"/>
    </row>
    <row r="21" spans="1:11" x14ac:dyDescent="0.25">
      <c r="A21" s="9"/>
      <c r="B21" s="498" t="s">
        <v>281</v>
      </c>
      <c r="C21" s="498"/>
      <c r="D21" s="289">
        <f>E21+F21+G21</f>
        <v>35324999</v>
      </c>
      <c r="E21" s="269">
        <f>'15'!E21</f>
        <v>16177000</v>
      </c>
      <c r="F21" s="187">
        <f>'15'!F21</f>
        <v>19147999</v>
      </c>
      <c r="G21" s="283"/>
      <c r="H21" s="289">
        <f>I21+J21+K21</f>
        <v>79645223</v>
      </c>
      <c r="I21" s="269">
        <f>'15'!I21</f>
        <v>21676018</v>
      </c>
      <c r="J21" s="187">
        <f>'15'!J21</f>
        <v>57969205</v>
      </c>
      <c r="K21" s="283"/>
    </row>
    <row r="22" spans="1:11" s="308" customFormat="1" ht="15.75" customHeight="1" x14ac:dyDescent="0.25">
      <c r="A22" s="223" t="s">
        <v>193</v>
      </c>
      <c r="B22" s="678" t="s">
        <v>164</v>
      </c>
      <c r="C22" s="679"/>
      <c r="D22" s="332">
        <f>+D10+D11+D12+D13+D14+D21+D20</f>
        <v>238402052</v>
      </c>
      <c r="E22" s="333">
        <f>+E10+E11+E12+E13+E14+E21+E20</f>
        <v>217206053</v>
      </c>
      <c r="F22" s="332">
        <f>+F10+F11+F12+F13+F14+F21</f>
        <v>21195999</v>
      </c>
      <c r="G22" s="334"/>
      <c r="H22" s="332">
        <f>+H10+H11+H12+H13+H14+H21+H20</f>
        <v>313775732</v>
      </c>
      <c r="I22" s="333">
        <f>+I10+I11+I12+I13+I14+I21+I20</f>
        <v>253625791</v>
      </c>
      <c r="J22" s="332">
        <f>+J10+J11+J12+J13+J14+J21</f>
        <v>60149941</v>
      </c>
      <c r="K22" s="334"/>
    </row>
    <row r="23" spans="1:11" x14ac:dyDescent="0.25">
      <c r="A23" s="9" t="s">
        <v>48</v>
      </c>
      <c r="B23" s="498" t="s">
        <v>189</v>
      </c>
      <c r="C23" s="498"/>
      <c r="D23" s="269">
        <f>SUM(E23:G23)</f>
        <v>6642000</v>
      </c>
      <c r="E23" s="269">
        <f>'15'!E23+'11'!E22</f>
        <v>1539000</v>
      </c>
      <c r="F23" s="187">
        <f>'15'!F23</f>
        <v>5103000</v>
      </c>
      <c r="G23" s="266"/>
      <c r="H23" s="269">
        <f>SUM(I23:K23)</f>
        <v>12618836</v>
      </c>
      <c r="I23" s="269">
        <f>'15'!I23+'11'!I22+'13'!I22</f>
        <v>12618836</v>
      </c>
      <c r="J23" s="187">
        <f>'15'!J23</f>
        <v>0</v>
      </c>
      <c r="K23" s="266"/>
    </row>
    <row r="24" spans="1:11" ht="15.75" customHeight="1" x14ac:dyDescent="0.25">
      <c r="A24" s="9" t="s">
        <v>49</v>
      </c>
      <c r="B24" s="498" t="s">
        <v>188</v>
      </c>
      <c r="C24" s="498"/>
      <c r="D24" s="269">
        <f>SUM(E24:G24)</f>
        <v>1000000</v>
      </c>
      <c r="E24" s="269"/>
      <c r="F24" s="187">
        <f>'11'!F24+'13'!F24+'15'!F24</f>
        <v>1000000</v>
      </c>
      <c r="G24" s="266"/>
      <c r="H24" s="269">
        <f>SUM(I24:K24)</f>
        <v>1787980</v>
      </c>
      <c r="I24" s="269">
        <f>'15'!I24+'11'!I23+'13'!I23</f>
        <v>1787980</v>
      </c>
      <c r="J24" s="187">
        <f>'11'!J24+'13'!J24+'15'!J24</f>
        <v>0</v>
      </c>
      <c r="K24" s="266"/>
    </row>
    <row r="25" spans="1:11" ht="15.75" customHeight="1" x14ac:dyDescent="0.25">
      <c r="A25" s="9" t="s">
        <v>51</v>
      </c>
      <c r="B25" s="498" t="s">
        <v>306</v>
      </c>
      <c r="C25" s="498"/>
      <c r="D25" s="269">
        <f>SUM(E25:G25)</f>
        <v>1334000</v>
      </c>
      <c r="E25" s="269"/>
      <c r="F25" s="187">
        <f>'15'!F25</f>
        <v>1334000</v>
      </c>
      <c r="G25" s="266"/>
      <c r="H25" s="269">
        <f>SUM(I25:K25)</f>
        <v>1071374</v>
      </c>
      <c r="I25" s="269">
        <f>'15'!I25+'11'!I24+'13'!I24</f>
        <v>1071374</v>
      </c>
      <c r="J25" s="187">
        <f>'15'!J25</f>
        <v>0</v>
      </c>
      <c r="K25" s="266"/>
    </row>
    <row r="26" spans="1:11" s="308" customFormat="1" ht="18.75" x14ac:dyDescent="0.25">
      <c r="A26" s="223" t="s">
        <v>194</v>
      </c>
      <c r="B26" s="676" t="s">
        <v>235</v>
      </c>
      <c r="C26" s="676"/>
      <c r="D26" s="335">
        <f>+D23+D24+D25</f>
        <v>8976000</v>
      </c>
      <c r="E26" s="335">
        <f>+E23+E24+E25</f>
        <v>1539000</v>
      </c>
      <c r="F26" s="335">
        <f>SUM(F23:F25)</f>
        <v>7437000</v>
      </c>
      <c r="G26" s="336"/>
      <c r="H26" s="335">
        <f>+H23+H24+H25</f>
        <v>15478190</v>
      </c>
      <c r="I26" s="335">
        <f>+I23+I24+I25</f>
        <v>15478190</v>
      </c>
      <c r="J26" s="335">
        <f>SUM(J23:J25)</f>
        <v>0</v>
      </c>
      <c r="K26" s="336"/>
    </row>
    <row r="27" spans="1:11" x14ac:dyDescent="0.25">
      <c r="A27" s="9" t="s">
        <v>195</v>
      </c>
      <c r="B27" s="498"/>
      <c r="C27" s="498"/>
      <c r="D27" s="289"/>
      <c r="E27" s="270"/>
      <c r="F27" s="187"/>
      <c r="G27" s="266"/>
      <c r="H27" s="289"/>
      <c r="I27" s="270"/>
      <c r="J27" s="187"/>
      <c r="K27" s="266"/>
    </row>
    <row r="28" spans="1:11" x14ac:dyDescent="0.25">
      <c r="A28" s="9" t="s">
        <v>180</v>
      </c>
      <c r="B28" s="528"/>
      <c r="C28" s="528"/>
      <c r="D28" s="287"/>
      <c r="E28" s="271"/>
      <c r="F28" s="187">
        <f>+D28+E28</f>
        <v>0</v>
      </c>
      <c r="G28" s="266"/>
      <c r="H28" s="287"/>
      <c r="I28" s="271"/>
      <c r="J28" s="187">
        <f>+H28+I28</f>
        <v>0</v>
      </c>
      <c r="K28" s="266"/>
    </row>
    <row r="29" spans="1:11" ht="19.5" customHeight="1" x14ac:dyDescent="0.25">
      <c r="A29" s="9" t="s">
        <v>181</v>
      </c>
      <c r="B29" s="528"/>
      <c r="C29" s="528"/>
      <c r="D29" s="287"/>
      <c r="E29" s="314"/>
      <c r="F29" s="187">
        <f>+D29+E29</f>
        <v>0</v>
      </c>
      <c r="G29" s="266"/>
      <c r="H29" s="287"/>
      <c r="I29" s="314"/>
      <c r="J29" s="187">
        <f>+H29+I29</f>
        <v>0</v>
      </c>
      <c r="K29" s="266"/>
    </row>
    <row r="30" spans="1:11" ht="20.25" x14ac:dyDescent="0.3">
      <c r="A30" s="152" t="s">
        <v>171</v>
      </c>
      <c r="B30" s="675" t="s">
        <v>280</v>
      </c>
      <c r="C30" s="675"/>
      <c r="D30" s="388">
        <f t="shared" ref="D30:K30" si="2">+D22+D26+D27+D28+D29</f>
        <v>247378052</v>
      </c>
      <c r="E30" s="187">
        <f t="shared" si="2"/>
        <v>218745053</v>
      </c>
      <c r="F30" s="187">
        <f t="shared" si="2"/>
        <v>28632999</v>
      </c>
      <c r="G30" s="389">
        <f t="shared" si="2"/>
        <v>0</v>
      </c>
      <c r="H30" s="388">
        <f t="shared" si="2"/>
        <v>329253922</v>
      </c>
      <c r="I30" s="187">
        <f t="shared" si="2"/>
        <v>269103981</v>
      </c>
      <c r="J30" s="187">
        <f t="shared" si="2"/>
        <v>60149941</v>
      </c>
      <c r="K30" s="389">
        <f t="shared" si="2"/>
        <v>0</v>
      </c>
    </row>
    <row r="31" spans="1:11" x14ac:dyDescent="0.25">
      <c r="A31" s="18"/>
      <c r="B31" s="483"/>
      <c r="C31" s="483"/>
      <c r="D31" s="313"/>
      <c r="E31" s="19"/>
      <c r="F31" s="273"/>
      <c r="G31" s="20"/>
      <c r="H31" s="313"/>
      <c r="I31" s="19"/>
      <c r="J31" s="273"/>
      <c r="K31" s="20"/>
    </row>
    <row r="32" spans="1:11" x14ac:dyDescent="0.25">
      <c r="A32" s="9"/>
      <c r="B32" s="677" t="s">
        <v>202</v>
      </c>
      <c r="C32" s="677"/>
      <c r="D32" s="187"/>
      <c r="E32" s="390"/>
      <c r="F32" s="187"/>
      <c r="G32" s="391"/>
      <c r="H32" s="187"/>
      <c r="I32" s="390"/>
      <c r="J32" s="187"/>
      <c r="K32" s="391"/>
    </row>
    <row r="33" spans="1:11" x14ac:dyDescent="0.25">
      <c r="A33" s="9" t="s">
        <v>29</v>
      </c>
      <c r="B33" s="469" t="s">
        <v>233</v>
      </c>
      <c r="C33" s="469"/>
      <c r="D33" s="290">
        <f t="shared" ref="D33:D41" si="3">SUM(E33:G33)</f>
        <v>10511680</v>
      </c>
      <c r="E33" s="291">
        <f>'11'!E32+'13'!E32+'15'!E33</f>
        <v>10511680</v>
      </c>
      <c r="F33" s="291">
        <f>'11'!F32+'13'!F32+'15'!F33</f>
        <v>0</v>
      </c>
      <c r="G33" s="293"/>
      <c r="H33" s="290">
        <f t="shared" ref="H33:H41" si="4">SUM(I33:K33)</f>
        <v>16380273</v>
      </c>
      <c r="I33" s="291">
        <f>'11'!I32+'13'!I32+'15'!I33</f>
        <v>16380273</v>
      </c>
      <c r="J33" s="291">
        <f>'11'!J32+'13'!J32+'15'!J33</f>
        <v>0</v>
      </c>
      <c r="K33" s="293"/>
    </row>
    <row r="34" spans="1:11" x14ac:dyDescent="0.25">
      <c r="A34" s="9" t="s">
        <v>43</v>
      </c>
      <c r="B34" s="469" t="s">
        <v>198</v>
      </c>
      <c r="C34" s="469"/>
      <c r="D34" s="290">
        <f t="shared" si="3"/>
        <v>36669000</v>
      </c>
      <c r="E34" s="291">
        <f>SUM(E35:E37)</f>
        <v>36669000</v>
      </c>
      <c r="F34" s="291">
        <f>SUM(F35:F37)</f>
        <v>0</v>
      </c>
      <c r="G34" s="293"/>
      <c r="H34" s="290">
        <f t="shared" si="4"/>
        <v>57117098</v>
      </c>
      <c r="I34" s="291">
        <f>SUM(I35:I37)</f>
        <v>57117098</v>
      </c>
      <c r="J34" s="291">
        <f>SUM(J35:J37)</f>
        <v>0</v>
      </c>
      <c r="K34" s="293"/>
    </row>
    <row r="35" spans="1:11" x14ac:dyDescent="0.25">
      <c r="A35" s="9"/>
      <c r="B35" s="221" t="s">
        <v>75</v>
      </c>
      <c r="C35" s="131" t="s">
        <v>175</v>
      </c>
      <c r="D35" s="290">
        <f t="shared" si="3"/>
        <v>31600000</v>
      </c>
      <c r="E35" s="291">
        <f>'11'!E34+'13'!E34+'15'!E35</f>
        <v>31600000</v>
      </c>
      <c r="F35" s="291">
        <f>'11'!F34+'13'!F34+'15'!F35</f>
        <v>0</v>
      </c>
      <c r="G35" s="293"/>
      <c r="H35" s="290">
        <f t="shared" si="4"/>
        <v>39292773</v>
      </c>
      <c r="I35" s="291">
        <f>'11'!I34+'13'!I34+'15'!I35</f>
        <v>39292773</v>
      </c>
      <c r="J35" s="291">
        <f>'11'!J34+'13'!J34+'15'!J35</f>
        <v>0</v>
      </c>
      <c r="K35" s="293"/>
    </row>
    <row r="36" spans="1:11" x14ac:dyDescent="0.25">
      <c r="A36" s="9"/>
      <c r="B36" s="221" t="s">
        <v>76</v>
      </c>
      <c r="C36" s="131" t="s">
        <v>176</v>
      </c>
      <c r="D36" s="290">
        <f t="shared" si="3"/>
        <v>4500000</v>
      </c>
      <c r="E36" s="291">
        <f>'11'!E35+'13'!E35+'15'!E36</f>
        <v>4500000</v>
      </c>
      <c r="F36" s="291">
        <f>'11'!F35+'13'!F35+'15'!F36</f>
        <v>0</v>
      </c>
      <c r="G36" s="293"/>
      <c r="H36" s="290">
        <f t="shared" si="4"/>
        <v>10575908</v>
      </c>
      <c r="I36" s="291">
        <f>'11'!I35+'13'!I35+'15'!I36</f>
        <v>10575908</v>
      </c>
      <c r="J36" s="291">
        <f>'11'!J35+'13'!J35+'15'!J36</f>
        <v>0</v>
      </c>
      <c r="K36" s="293"/>
    </row>
    <row r="37" spans="1:11" x14ac:dyDescent="0.25">
      <c r="A37" s="9"/>
      <c r="B37" s="221" t="s">
        <v>77</v>
      </c>
      <c r="C37" s="131" t="s">
        <v>177</v>
      </c>
      <c r="D37" s="290">
        <f t="shared" si="3"/>
        <v>569000</v>
      </c>
      <c r="E37" s="291">
        <f>'11'!E36+'13'!E36+'15'!E37</f>
        <v>569000</v>
      </c>
      <c r="F37" s="291">
        <f>'11'!F36+'13'!F36+'15'!F37</f>
        <v>0</v>
      </c>
      <c r="G37" s="293"/>
      <c r="H37" s="290">
        <f t="shared" si="4"/>
        <v>7248417</v>
      </c>
      <c r="I37" s="291">
        <f>'11'!I36+'13'!I36+'15'!I37</f>
        <v>7248417</v>
      </c>
      <c r="J37" s="291">
        <f>'11'!J36+'13'!J36+'15'!J37</f>
        <v>0</v>
      </c>
      <c r="K37" s="293"/>
    </row>
    <row r="38" spans="1:11" x14ac:dyDescent="0.25">
      <c r="A38" s="9" t="s">
        <v>44</v>
      </c>
      <c r="B38" s="469" t="s">
        <v>143</v>
      </c>
      <c r="C38" s="469"/>
      <c r="D38" s="294">
        <f t="shared" si="3"/>
        <v>130054591</v>
      </c>
      <c r="E38" s="291">
        <f>SUM(E39:E41)</f>
        <v>130054591</v>
      </c>
      <c r="F38" s="292">
        <f>SUM(F39:F41)</f>
        <v>0</v>
      </c>
      <c r="G38" s="293"/>
      <c r="H38" s="294">
        <f t="shared" si="4"/>
        <v>149250172</v>
      </c>
      <c r="I38" s="291">
        <f>SUM(I39:I41)</f>
        <v>149250172</v>
      </c>
      <c r="J38" s="292">
        <f>SUM(J39:J41)</f>
        <v>0</v>
      </c>
      <c r="K38" s="293"/>
    </row>
    <row r="39" spans="1:11" x14ac:dyDescent="0.25">
      <c r="A39" s="9"/>
      <c r="B39" s="222" t="s">
        <v>78</v>
      </c>
      <c r="C39" s="220" t="s">
        <v>236</v>
      </c>
      <c r="D39" s="294">
        <f t="shared" si="3"/>
        <v>130054591</v>
      </c>
      <c r="E39" s="291">
        <f>'11'!E38+'13'!E38+'15'!E39</f>
        <v>130054591</v>
      </c>
      <c r="F39" s="291">
        <f>'11'!F38+'13'!F38+'15'!F39</f>
        <v>0</v>
      </c>
      <c r="G39" s="293"/>
      <c r="H39" s="294">
        <f t="shared" si="4"/>
        <v>149250172</v>
      </c>
      <c r="I39" s="291">
        <f>'11'!I38+'13'!I38+'15'!I39</f>
        <v>149250172</v>
      </c>
      <c r="J39" s="291">
        <f>'11'!J38+'13'!J38+'15'!J39</f>
        <v>0</v>
      </c>
      <c r="K39" s="293"/>
    </row>
    <row r="40" spans="1:11" x14ac:dyDescent="0.25">
      <c r="A40" s="9"/>
      <c r="B40" s="222" t="s">
        <v>79</v>
      </c>
      <c r="C40" s="220" t="s">
        <v>81</v>
      </c>
      <c r="D40" s="294">
        <f t="shared" si="3"/>
        <v>0</v>
      </c>
      <c r="E40" s="291">
        <f>'11'!E39+'13'!E39+'15'!E40</f>
        <v>0</v>
      </c>
      <c r="F40" s="291">
        <f>'11'!F39+'13'!F39+'15'!F40</f>
        <v>0</v>
      </c>
      <c r="G40" s="293"/>
      <c r="H40" s="294">
        <f t="shared" si="4"/>
        <v>0</v>
      </c>
      <c r="I40" s="291">
        <f>'11'!I39+'13'!I39+'15'!I40</f>
        <v>0</v>
      </c>
      <c r="J40" s="291">
        <f>'11'!J39+'13'!J39+'15'!J40</f>
        <v>0</v>
      </c>
      <c r="K40" s="293"/>
    </row>
    <row r="41" spans="1:11" x14ac:dyDescent="0.25">
      <c r="A41" s="9"/>
      <c r="B41" s="222" t="s">
        <v>80</v>
      </c>
      <c r="C41" s="220" t="s">
        <v>237</v>
      </c>
      <c r="D41" s="294">
        <f t="shared" si="3"/>
        <v>0</v>
      </c>
      <c r="E41" s="291">
        <f>'11'!E40+'13'!E40+'15'!E41</f>
        <v>0</v>
      </c>
      <c r="F41" s="291">
        <f>'11'!F40+'13'!F40+'15'!F41</f>
        <v>0</v>
      </c>
      <c r="G41" s="293"/>
      <c r="H41" s="294">
        <f t="shared" si="4"/>
        <v>0</v>
      </c>
      <c r="I41" s="291">
        <f>'11'!I40+'13'!I40+'15'!I41</f>
        <v>0</v>
      </c>
      <c r="J41" s="291">
        <f>'11'!J40+'13'!J40+'15'!J41</f>
        <v>0</v>
      </c>
      <c r="K41" s="293"/>
    </row>
    <row r="42" spans="1:11" x14ac:dyDescent="0.25">
      <c r="A42" s="9" t="s">
        <v>45</v>
      </c>
      <c r="B42" s="469" t="s">
        <v>144</v>
      </c>
      <c r="C42" s="469"/>
      <c r="D42" s="294">
        <f>SUM(D43:D46)</f>
        <v>16826126</v>
      </c>
      <c r="E42" s="291">
        <f>SUM(E43:E46)</f>
        <v>16826126</v>
      </c>
      <c r="F42" s="291">
        <f>SUM(F43:F46)</f>
        <v>0</v>
      </c>
      <c r="G42" s="293"/>
      <c r="H42" s="294">
        <f>SUM(H43:H46)</f>
        <v>29528758</v>
      </c>
      <c r="I42" s="291">
        <f>SUM(I43:I46)</f>
        <v>29528758</v>
      </c>
      <c r="J42" s="291">
        <f>SUM(J43:J46)</f>
        <v>0</v>
      </c>
      <c r="K42" s="293"/>
    </row>
    <row r="43" spans="1:11" x14ac:dyDescent="0.25">
      <c r="A43" s="9"/>
      <c r="B43" s="222" t="s">
        <v>82</v>
      </c>
      <c r="C43" s="331" t="s">
        <v>86</v>
      </c>
      <c r="D43" s="294">
        <f>SUM(E43:G43)</f>
        <v>15605608</v>
      </c>
      <c r="E43" s="291">
        <f>'11'!E42+'13'!E42+'15'!E43</f>
        <v>15605608</v>
      </c>
      <c r="F43" s="291">
        <f>'11'!F42+'13'!F42+'15'!F43</f>
        <v>0</v>
      </c>
      <c r="G43" s="293"/>
      <c r="H43" s="294">
        <f>SUM(I43:K43)</f>
        <v>27623403</v>
      </c>
      <c r="I43" s="291">
        <f>'11'!I42+'13'!I42+'15'!I43</f>
        <v>27623403</v>
      </c>
      <c r="J43" s="291">
        <f>'11'!J42+'13'!J42+'15'!J43</f>
        <v>0</v>
      </c>
      <c r="K43" s="293"/>
    </row>
    <row r="44" spans="1:11" x14ac:dyDescent="0.25">
      <c r="A44" s="9"/>
      <c r="B44" s="222" t="s">
        <v>83</v>
      </c>
      <c r="C44" s="220" t="s">
        <v>87</v>
      </c>
      <c r="D44" s="294"/>
      <c r="E44" s="291">
        <f>'11'!E43+'13'!E43+'15'!E44</f>
        <v>0</v>
      </c>
      <c r="F44" s="291">
        <f>'11'!F43+'13'!F43+'15'!F44</f>
        <v>0</v>
      </c>
      <c r="G44" s="293"/>
      <c r="H44" s="294">
        <f>K44+J44+I44</f>
        <v>684837</v>
      </c>
      <c r="I44" s="291">
        <f>'11'!I43+'13'!I43+'15'!I44</f>
        <v>684837</v>
      </c>
      <c r="J44" s="291">
        <f>'11'!J43+'13'!J43+'15'!J44</f>
        <v>0</v>
      </c>
      <c r="K44" s="293"/>
    </row>
    <row r="45" spans="1:11" x14ac:dyDescent="0.25">
      <c r="A45" s="9"/>
      <c r="B45" s="222" t="s">
        <v>84</v>
      </c>
      <c r="C45" s="220" t="s">
        <v>271</v>
      </c>
      <c r="D45" s="294">
        <f>G45+F45+E45</f>
        <v>1220518</v>
      </c>
      <c r="E45" s="291">
        <f>'11'!E44+'13'!E44+'15'!E45</f>
        <v>1220518</v>
      </c>
      <c r="F45" s="291">
        <f>'11'!F44+'13'!F44+'15'!F45</f>
        <v>0</v>
      </c>
      <c r="G45" s="293"/>
      <c r="H45" s="294">
        <f>K45+J45+I45</f>
        <v>1220518</v>
      </c>
      <c r="I45" s="291">
        <f>'11'!I44+'13'!I44+'15'!I45</f>
        <v>1220518</v>
      </c>
      <c r="J45" s="291">
        <f>'11'!J44+'13'!J44+'15'!J45</f>
        <v>0</v>
      </c>
      <c r="K45" s="293"/>
    </row>
    <row r="46" spans="1:11" x14ac:dyDescent="0.25">
      <c r="A46" s="9"/>
      <c r="B46" s="222" t="s">
        <v>85</v>
      </c>
      <c r="C46" s="220" t="s">
        <v>88</v>
      </c>
      <c r="D46" s="294"/>
      <c r="E46" s="291">
        <f>'11'!E45+'13'!E45+'15'!E46</f>
        <v>0</v>
      </c>
      <c r="F46" s="291">
        <f>'11'!F45+'13'!F45+'15'!F46</f>
        <v>0</v>
      </c>
      <c r="G46" s="293"/>
      <c r="H46" s="294"/>
      <c r="I46" s="291">
        <f>'11'!I45+'13'!I45+'15'!I46</f>
        <v>0</v>
      </c>
      <c r="J46" s="291">
        <f>'11'!J45+'13'!J45+'15'!J46</f>
        <v>0</v>
      </c>
      <c r="K46" s="293"/>
    </row>
    <row r="47" spans="1:11" ht="18.75" x14ac:dyDescent="0.3">
      <c r="A47" s="223" t="s">
        <v>193</v>
      </c>
      <c r="B47" s="672" t="s">
        <v>89</v>
      </c>
      <c r="C47" s="672"/>
      <c r="D47" s="337">
        <f t="shared" ref="D47:K47" si="5">+D33+D34+D38+D42</f>
        <v>194061397</v>
      </c>
      <c r="E47" s="337">
        <f t="shared" si="5"/>
        <v>194061397</v>
      </c>
      <c r="F47" s="337">
        <f t="shared" si="5"/>
        <v>0</v>
      </c>
      <c r="G47" s="338">
        <f t="shared" si="5"/>
        <v>0</v>
      </c>
      <c r="H47" s="337">
        <f t="shared" si="5"/>
        <v>252276301</v>
      </c>
      <c r="I47" s="337">
        <f t="shared" si="5"/>
        <v>252276301</v>
      </c>
      <c r="J47" s="337">
        <f t="shared" si="5"/>
        <v>0</v>
      </c>
      <c r="K47" s="338">
        <f t="shared" si="5"/>
        <v>0</v>
      </c>
    </row>
    <row r="48" spans="1:11" x14ac:dyDescent="0.25">
      <c r="A48" s="9" t="s">
        <v>47</v>
      </c>
      <c r="B48" s="469" t="s">
        <v>190</v>
      </c>
      <c r="C48" s="469"/>
      <c r="D48" s="291">
        <f>SUM(D49:D50)</f>
        <v>19414291</v>
      </c>
      <c r="E48" s="291">
        <f>SUM(E49:E50)</f>
        <v>0</v>
      </c>
      <c r="F48" s="291">
        <f>SUM(F49:F50)</f>
        <v>19414291</v>
      </c>
      <c r="G48" s="293"/>
      <c r="H48" s="291">
        <f>SUM(H49:H50)</f>
        <v>35042138</v>
      </c>
      <c r="I48" s="291">
        <f>SUM(I49:I50)</f>
        <v>35042138</v>
      </c>
      <c r="J48" s="291">
        <f>SUM(J49:J50)</f>
        <v>0</v>
      </c>
      <c r="K48" s="293"/>
    </row>
    <row r="49" spans="1:11" x14ac:dyDescent="0.25">
      <c r="A49" s="9"/>
      <c r="B49" s="222" t="s">
        <v>90</v>
      </c>
      <c r="C49" s="220" t="s">
        <v>92</v>
      </c>
      <c r="D49" s="294">
        <f>+E49+F49+G49</f>
        <v>10679000</v>
      </c>
      <c r="E49" s="291">
        <f>'11'!E48+'13'!E48+'15'!E49</f>
        <v>0</v>
      </c>
      <c r="F49" s="291">
        <f>'11'!F48+'13'!F48+'15'!F49</f>
        <v>10679000</v>
      </c>
      <c r="G49" s="293"/>
      <c r="H49" s="294">
        <f>+I49+J49+K49</f>
        <v>20484686</v>
      </c>
      <c r="I49" s="291">
        <f>'11'!I48+'13'!I48+'15'!I49</f>
        <v>20484686</v>
      </c>
      <c r="J49" s="291">
        <f>'11'!J48+'13'!J48+'15'!J49</f>
        <v>0</v>
      </c>
      <c r="K49" s="293"/>
    </row>
    <row r="50" spans="1:11" x14ac:dyDescent="0.25">
      <c r="A50" s="9"/>
      <c r="B50" s="222" t="s">
        <v>91</v>
      </c>
      <c r="C50" s="220" t="s">
        <v>1</v>
      </c>
      <c r="D50" s="294">
        <f>+E50+F50+G50</f>
        <v>8735291</v>
      </c>
      <c r="E50" s="291">
        <f>'11'!E49+'13'!E49+'15'!E50</f>
        <v>0</v>
      </c>
      <c r="F50" s="291">
        <f>'11'!F49+'13'!F49+'15'!F50</f>
        <v>8735291</v>
      </c>
      <c r="G50" s="293"/>
      <c r="H50" s="294">
        <f>+I50+J50+K50</f>
        <v>14557452</v>
      </c>
      <c r="I50" s="291">
        <f>'11'!I49+'13'!I49+'15'!I50</f>
        <v>14557452</v>
      </c>
      <c r="J50" s="291">
        <f>'11'!J49+'13'!J49+'15'!J50</f>
        <v>0</v>
      </c>
      <c r="K50" s="293"/>
    </row>
    <row r="51" spans="1:11" x14ac:dyDescent="0.25">
      <c r="A51" s="9" t="s">
        <v>48</v>
      </c>
      <c r="B51" s="469" t="s">
        <v>146</v>
      </c>
      <c r="C51" s="469"/>
      <c r="D51" s="294">
        <f>SUM(D52:D53)</f>
        <v>0</v>
      </c>
      <c r="E51" s="291">
        <f>SUM(E52:E53)</f>
        <v>0</v>
      </c>
      <c r="F51" s="292">
        <f>SUM(D51:D51)</f>
        <v>0</v>
      </c>
      <c r="G51" s="293"/>
      <c r="H51" s="294">
        <f>SUM(H52:H53)</f>
        <v>0</v>
      </c>
      <c r="I51" s="291">
        <f>SUM(I52:I53)</f>
        <v>0</v>
      </c>
      <c r="J51" s="292">
        <f>SUM(H51:H51)</f>
        <v>0</v>
      </c>
      <c r="K51" s="293"/>
    </row>
    <row r="52" spans="1:11" x14ac:dyDescent="0.25">
      <c r="A52" s="9"/>
      <c r="B52" s="222" t="s">
        <v>93</v>
      </c>
      <c r="C52" s="220" t="s">
        <v>95</v>
      </c>
      <c r="D52" s="294"/>
      <c r="E52" s="291">
        <f>'11'!E51+'13'!E51+'15'!E52</f>
        <v>0</v>
      </c>
      <c r="F52" s="291">
        <f>'11'!F51+'13'!F51+'15'!F52</f>
        <v>0</v>
      </c>
      <c r="G52" s="293"/>
      <c r="H52" s="294"/>
      <c r="I52" s="291">
        <f>'11'!I51+'13'!I51+'15'!I52</f>
        <v>0</v>
      </c>
      <c r="J52" s="291">
        <f>'11'!J51+'13'!J51+'15'!J52</f>
        <v>0</v>
      </c>
      <c r="K52" s="293"/>
    </row>
    <row r="53" spans="1:11" x14ac:dyDescent="0.25">
      <c r="A53" s="9"/>
      <c r="B53" s="222" t="s">
        <v>94</v>
      </c>
      <c r="C53" s="220" t="s">
        <v>96</v>
      </c>
      <c r="D53" s="294">
        <v>0</v>
      </c>
      <c r="E53" s="291">
        <f>'11'!E52+'13'!E52+'15'!E53</f>
        <v>0</v>
      </c>
      <c r="F53" s="291">
        <f>'11'!F52+'13'!F52+'15'!F53</f>
        <v>0</v>
      </c>
      <c r="G53" s="293"/>
      <c r="H53" s="294">
        <v>0</v>
      </c>
      <c r="I53" s="291">
        <f>'11'!I52+'13'!I52+'15'!I53</f>
        <v>0</v>
      </c>
      <c r="J53" s="291">
        <f>'11'!J52+'13'!J52+'15'!J53</f>
        <v>0</v>
      </c>
      <c r="K53" s="293"/>
    </row>
    <row r="54" spans="1:11" x14ac:dyDescent="0.25">
      <c r="A54" s="9" t="s">
        <v>49</v>
      </c>
      <c r="B54" s="469" t="s">
        <v>147</v>
      </c>
      <c r="C54" s="469"/>
      <c r="D54" s="294">
        <f>SUM(D55:D57)</f>
        <v>0</v>
      </c>
      <c r="E54" s="291">
        <f>SUM(E55:E57)</f>
        <v>0</v>
      </c>
      <c r="F54" s="292">
        <f>SUM(F55:F57)</f>
        <v>0</v>
      </c>
      <c r="G54" s="293"/>
      <c r="H54" s="294">
        <f>SUM(H55:H57)</f>
        <v>2895752</v>
      </c>
      <c r="I54" s="291">
        <f>SUM(I55:I57)</f>
        <v>2895752</v>
      </c>
      <c r="J54" s="292">
        <f>SUM(J55:J57)</f>
        <v>0</v>
      </c>
      <c r="K54" s="293"/>
    </row>
    <row r="55" spans="1:11" x14ac:dyDescent="0.25">
      <c r="A55" s="9"/>
      <c r="B55" s="222" t="s">
        <v>97</v>
      </c>
      <c r="C55" s="220" t="s">
        <v>100</v>
      </c>
      <c r="D55" s="294">
        <f>+E55+F55+G55</f>
        <v>0</v>
      </c>
      <c r="E55" s="291">
        <f>'11'!E54+'13'!E54+'15'!E55</f>
        <v>0</v>
      </c>
      <c r="F55" s="291">
        <f>'11'!F54+'13'!F54+'15'!F55</f>
        <v>0</v>
      </c>
      <c r="G55" s="293"/>
      <c r="H55" s="294">
        <f>+I55+J55+K55</f>
        <v>2700002</v>
      </c>
      <c r="I55" s="291">
        <f>'11'!I54+'13'!I54+'15'!I55</f>
        <v>2700002</v>
      </c>
      <c r="J55" s="291">
        <f>'11'!J54+'13'!J54+'15'!J55</f>
        <v>0</v>
      </c>
      <c r="K55" s="293"/>
    </row>
    <row r="56" spans="1:11" x14ac:dyDescent="0.25">
      <c r="A56" s="9"/>
      <c r="B56" s="222" t="s">
        <v>98</v>
      </c>
      <c r="C56" s="220" t="s">
        <v>2</v>
      </c>
      <c r="D56" s="294"/>
      <c r="E56" s="291">
        <f>'11'!E55+'13'!E55+'15'!E56</f>
        <v>0</v>
      </c>
      <c r="F56" s="291">
        <f>'11'!F55+'13'!F55+'15'!F56</f>
        <v>0</v>
      </c>
      <c r="G56" s="293"/>
      <c r="H56" s="294">
        <f>+I56+J56+K56</f>
        <v>195750</v>
      </c>
      <c r="I56" s="291">
        <f>'11'!I55+'13'!I55+'15'!I56</f>
        <v>195750</v>
      </c>
      <c r="J56" s="291">
        <f>'11'!J55+'13'!J55+'15'!J56</f>
        <v>0</v>
      </c>
      <c r="K56" s="293"/>
    </row>
    <row r="57" spans="1:11" x14ac:dyDescent="0.25">
      <c r="A57" s="9"/>
      <c r="B57" s="222" t="s">
        <v>99</v>
      </c>
      <c r="C57" s="220" t="s">
        <v>101</v>
      </c>
      <c r="D57" s="294"/>
      <c r="E57" s="291">
        <f>'11'!E56+'13'!E56+'15'!E57</f>
        <v>0</v>
      </c>
      <c r="F57" s="291">
        <f>'11'!F56+'13'!F56+'15'!F57</f>
        <v>0</v>
      </c>
      <c r="G57" s="293"/>
      <c r="H57" s="294"/>
      <c r="I57" s="291">
        <f>'11'!I56+'13'!I56+'15'!I57</f>
        <v>0</v>
      </c>
      <c r="J57" s="291">
        <f>'11'!J56+'13'!J56+'15'!J57</f>
        <v>0</v>
      </c>
      <c r="K57" s="293"/>
    </row>
    <row r="58" spans="1:11" ht="18.75" x14ac:dyDescent="0.3">
      <c r="A58" s="223" t="s">
        <v>194</v>
      </c>
      <c r="B58" s="672" t="s">
        <v>215</v>
      </c>
      <c r="C58" s="672"/>
      <c r="D58" s="337">
        <f t="shared" ref="D58:K58" si="6">+D48+D51+D54</f>
        <v>19414291</v>
      </c>
      <c r="E58" s="339">
        <f t="shared" si="6"/>
        <v>0</v>
      </c>
      <c r="F58" s="337">
        <f t="shared" si="6"/>
        <v>19414291</v>
      </c>
      <c r="G58" s="338">
        <f t="shared" si="6"/>
        <v>0</v>
      </c>
      <c r="H58" s="337">
        <f t="shared" si="6"/>
        <v>37937890</v>
      </c>
      <c r="I58" s="339">
        <f t="shared" si="6"/>
        <v>37937890</v>
      </c>
      <c r="J58" s="337">
        <f t="shared" si="6"/>
        <v>0</v>
      </c>
      <c r="K58" s="338">
        <f t="shared" si="6"/>
        <v>0</v>
      </c>
    </row>
    <row r="59" spans="1:11" x14ac:dyDescent="0.25">
      <c r="A59" s="223" t="s">
        <v>195</v>
      </c>
      <c r="B59" s="523" t="s">
        <v>148</v>
      </c>
      <c r="C59" s="523"/>
      <c r="D59" s="304"/>
      <c r="E59" s="297"/>
      <c r="F59" s="298"/>
      <c r="G59" s="299"/>
      <c r="H59" s="304"/>
      <c r="I59" s="297"/>
      <c r="J59" s="298"/>
      <c r="K59" s="299"/>
    </row>
    <row r="60" spans="1:11" x14ac:dyDescent="0.25">
      <c r="A60" s="223" t="s">
        <v>180</v>
      </c>
      <c r="B60" s="523" t="s">
        <v>21</v>
      </c>
      <c r="C60" s="523"/>
      <c r="D60" s="304"/>
      <c r="E60" s="297"/>
      <c r="F60" s="298"/>
      <c r="G60" s="299"/>
      <c r="H60" s="304"/>
      <c r="I60" s="297"/>
      <c r="J60" s="298"/>
      <c r="K60" s="299"/>
    </row>
    <row r="61" spans="1:11" ht="20.25" x14ac:dyDescent="0.3">
      <c r="A61" s="152" t="s">
        <v>149</v>
      </c>
      <c r="B61" s="673" t="s">
        <v>150</v>
      </c>
      <c r="C61" s="673"/>
      <c r="D61" s="425">
        <f t="shared" ref="D61:K61" si="7">+D47+D58+D59+D60</f>
        <v>213475688</v>
      </c>
      <c r="E61" s="426">
        <f t="shared" si="7"/>
        <v>194061397</v>
      </c>
      <c r="F61" s="425">
        <f t="shared" si="7"/>
        <v>19414291</v>
      </c>
      <c r="G61" s="427">
        <f t="shared" si="7"/>
        <v>0</v>
      </c>
      <c r="H61" s="425">
        <f t="shared" si="7"/>
        <v>290214191</v>
      </c>
      <c r="I61" s="426">
        <f t="shared" si="7"/>
        <v>290214191</v>
      </c>
      <c r="J61" s="425">
        <f t="shared" si="7"/>
        <v>0</v>
      </c>
      <c r="K61" s="427">
        <f t="shared" si="7"/>
        <v>0</v>
      </c>
    </row>
    <row r="62" spans="1:11" ht="18.75" x14ac:dyDescent="0.3">
      <c r="A62" s="152"/>
      <c r="B62" s="461" t="s">
        <v>151</v>
      </c>
      <c r="C62" s="461"/>
      <c r="D62" s="288">
        <f t="shared" ref="D62:K62" si="8">+D30-D61</f>
        <v>33902364</v>
      </c>
      <c r="E62" s="284">
        <f t="shared" si="8"/>
        <v>24683656</v>
      </c>
      <c r="F62" s="288">
        <f t="shared" si="8"/>
        <v>9218708</v>
      </c>
      <c r="G62" s="285">
        <f t="shared" si="8"/>
        <v>0</v>
      </c>
      <c r="H62" s="288">
        <f t="shared" si="8"/>
        <v>39039731</v>
      </c>
      <c r="I62" s="284">
        <f t="shared" si="8"/>
        <v>-21110210</v>
      </c>
      <c r="J62" s="288">
        <f t="shared" si="8"/>
        <v>60149941</v>
      </c>
      <c r="K62" s="285">
        <f t="shared" si="8"/>
        <v>0</v>
      </c>
    </row>
    <row r="63" spans="1:11" ht="18.75" x14ac:dyDescent="0.3">
      <c r="A63" s="152"/>
      <c r="B63" s="523" t="s">
        <v>277</v>
      </c>
      <c r="C63" s="523"/>
      <c r="D63" s="288">
        <f>E63+F63+G63</f>
        <v>97601000</v>
      </c>
      <c r="E63" s="288">
        <f>'11'!E62+'13'!E62</f>
        <v>97601000</v>
      </c>
      <c r="F63" s="288">
        <f>+'11'!F62+'13'!F62</f>
        <v>0</v>
      </c>
      <c r="G63" s="285"/>
      <c r="H63" s="289">
        <f>I63+J63+K63</f>
        <v>101654432</v>
      </c>
      <c r="I63" s="289">
        <f>'11'!I62+'13'!I62</f>
        <v>101654432</v>
      </c>
      <c r="J63" s="288">
        <f>+'11'!J62+'13'!J62</f>
        <v>0</v>
      </c>
      <c r="K63" s="285"/>
    </row>
    <row r="64" spans="1:11" x14ac:dyDescent="0.25">
      <c r="A64" s="223" t="s">
        <v>181</v>
      </c>
      <c r="B64" s="523" t="s">
        <v>152</v>
      </c>
      <c r="C64" s="523"/>
      <c r="D64" s="289">
        <f>+E64+F64</f>
        <v>38461312</v>
      </c>
      <c r="E64" s="289">
        <f>SUM(E65:E66)</f>
        <v>38461312</v>
      </c>
      <c r="F64" s="289">
        <f>SUM(F65:F66)</f>
        <v>0</v>
      </c>
      <c r="G64" s="283"/>
      <c r="H64" s="289">
        <f>+I64+J64</f>
        <v>38695060</v>
      </c>
      <c r="I64" s="289">
        <f>SUM(I65:I66)</f>
        <v>38695060</v>
      </c>
      <c r="J64" s="289">
        <f>SUM(J65:J66)</f>
        <v>0</v>
      </c>
      <c r="K64" s="283"/>
    </row>
    <row r="65" spans="1:11" ht="18.75" x14ac:dyDescent="0.25">
      <c r="A65" s="152"/>
      <c r="B65" s="263" t="s">
        <v>29</v>
      </c>
      <c r="C65" s="220" t="s">
        <v>102</v>
      </c>
      <c r="D65" s="289">
        <f>+E65+F65</f>
        <v>38461312</v>
      </c>
      <c r="E65" s="289">
        <f>'11'!E64+'13'!E64+'15'!E65</f>
        <v>38461312</v>
      </c>
      <c r="F65" s="289">
        <f>'11'!F64+'13'!F64+'15'!F65</f>
        <v>0</v>
      </c>
      <c r="G65" s="286"/>
      <c r="H65" s="289">
        <f>+I65+J65</f>
        <v>38695060</v>
      </c>
      <c r="I65" s="289">
        <f>'11'!I64+'13'!I64+'15'!I65</f>
        <v>38695060</v>
      </c>
      <c r="J65" s="289">
        <f>'11'!J64+'13'!J64+'15'!J65</f>
        <v>0</v>
      </c>
      <c r="K65" s="286"/>
    </row>
    <row r="66" spans="1:11" ht="18.75" x14ac:dyDescent="0.3">
      <c r="A66" s="152"/>
      <c r="B66" s="263" t="s">
        <v>43</v>
      </c>
      <c r="C66" s="220" t="s">
        <v>103</v>
      </c>
      <c r="D66" s="305"/>
      <c r="E66" s="284"/>
      <c r="F66" s="187"/>
      <c r="G66" s="286"/>
      <c r="H66" s="305"/>
      <c r="I66" s="284"/>
      <c r="J66" s="187"/>
      <c r="K66" s="286"/>
    </row>
    <row r="67" spans="1:11" ht="18.75" customHeight="1" x14ac:dyDescent="0.3">
      <c r="A67" s="152" t="s">
        <v>153</v>
      </c>
      <c r="B67" s="484" t="s">
        <v>157</v>
      </c>
      <c r="C67" s="484"/>
      <c r="D67" s="288">
        <f>+E67+F67</f>
        <v>38461312</v>
      </c>
      <c r="E67" s="284">
        <f>+E65</f>
        <v>38461312</v>
      </c>
      <c r="F67" s="288">
        <f>+F64</f>
        <v>0</v>
      </c>
      <c r="G67" s="286"/>
      <c r="H67" s="289">
        <f>+I67+J67</f>
        <v>38695060</v>
      </c>
      <c r="I67" s="282">
        <f>+I65</f>
        <v>38695060</v>
      </c>
      <c r="J67" s="288">
        <f>+J64</f>
        <v>0</v>
      </c>
      <c r="K67" s="286"/>
    </row>
    <row r="68" spans="1:11" ht="18.75" x14ac:dyDescent="0.3">
      <c r="A68" s="9" t="s">
        <v>182</v>
      </c>
      <c r="B68" s="469" t="s">
        <v>377</v>
      </c>
      <c r="C68" s="469"/>
      <c r="D68" s="288"/>
      <c r="E68" s="272"/>
      <c r="F68" s="191">
        <f t="shared" ref="F68:F80" si="9">SUM(D68:E68)</f>
        <v>0</v>
      </c>
      <c r="G68" s="267"/>
      <c r="H68" s="289">
        <f>+I68+J68</f>
        <v>4903619</v>
      </c>
      <c r="I68" s="270">
        <f>'15'!I68</f>
        <v>4903619</v>
      </c>
      <c r="J68" s="191"/>
      <c r="K68" s="267"/>
    </row>
    <row r="69" spans="1:11" ht="18.75" x14ac:dyDescent="0.3">
      <c r="A69" s="9" t="s">
        <v>183</v>
      </c>
      <c r="B69" s="469" t="s">
        <v>155</v>
      </c>
      <c r="C69" s="469"/>
      <c r="D69" s="288">
        <f>SUM(D70:D73)</f>
        <v>0</v>
      </c>
      <c r="E69" s="272"/>
      <c r="F69" s="191">
        <f t="shared" si="9"/>
        <v>0</v>
      </c>
      <c r="G69" s="267"/>
      <c r="H69" s="288">
        <f>SUM(H70:H73)</f>
        <v>0</v>
      </c>
      <c r="I69" s="272"/>
      <c r="J69" s="191">
        <f t="shared" ref="J69:J71" si="10">SUM(H69:I69)</f>
        <v>0</v>
      </c>
      <c r="K69" s="267"/>
    </row>
    <row r="70" spans="1:11" ht="18.75" x14ac:dyDescent="0.3">
      <c r="A70" s="9"/>
      <c r="B70" s="222" t="s">
        <v>29</v>
      </c>
      <c r="C70" s="220" t="s">
        <v>104</v>
      </c>
      <c r="D70" s="305"/>
      <c r="E70" s="274"/>
      <c r="F70" s="264">
        <f t="shared" si="9"/>
        <v>0</v>
      </c>
      <c r="G70" s="267"/>
      <c r="H70" s="305"/>
      <c r="I70" s="274"/>
      <c r="J70" s="264">
        <f t="shared" si="10"/>
        <v>0</v>
      </c>
      <c r="K70" s="267"/>
    </row>
    <row r="71" spans="1:11" ht="18.75" x14ac:dyDescent="0.3">
      <c r="A71" s="9"/>
      <c r="B71" s="222" t="s">
        <v>43</v>
      </c>
      <c r="C71" s="220" t="s">
        <v>105</v>
      </c>
      <c r="D71" s="288"/>
      <c r="E71" s="272"/>
      <c r="F71" s="191">
        <f t="shared" si="9"/>
        <v>0</v>
      </c>
      <c r="G71" s="267"/>
      <c r="H71" s="288"/>
      <c r="I71" s="272"/>
      <c r="J71" s="191">
        <f t="shared" si="10"/>
        <v>0</v>
      </c>
      <c r="K71" s="267"/>
    </row>
    <row r="72" spans="1:11" ht="18.75" x14ac:dyDescent="0.3">
      <c r="A72" s="9"/>
      <c r="B72" s="222" t="s">
        <v>44</v>
      </c>
      <c r="C72" s="220" t="s">
        <v>231</v>
      </c>
      <c r="D72" s="305"/>
      <c r="E72" s="272"/>
      <c r="F72" s="191"/>
      <c r="G72" s="267"/>
      <c r="H72" s="305"/>
      <c r="I72" s="272"/>
      <c r="J72" s="191"/>
      <c r="K72" s="267"/>
    </row>
    <row r="73" spans="1:11" ht="18.75" x14ac:dyDescent="0.3">
      <c r="A73" s="9"/>
      <c r="B73" s="222" t="s">
        <v>45</v>
      </c>
      <c r="C73" s="220" t="s">
        <v>232</v>
      </c>
      <c r="D73" s="305"/>
      <c r="E73" s="272"/>
      <c r="F73" s="191"/>
      <c r="G73" s="267"/>
      <c r="H73" s="305"/>
      <c r="I73" s="272"/>
      <c r="J73" s="191"/>
      <c r="K73" s="267"/>
    </row>
    <row r="74" spans="1:11" ht="35.25" customHeight="1" x14ac:dyDescent="0.3">
      <c r="A74" s="152" t="s">
        <v>156</v>
      </c>
      <c r="B74" s="527" t="s">
        <v>158</v>
      </c>
      <c r="C74" s="527"/>
      <c r="D74" s="288">
        <f>+D68+D69</f>
        <v>0</v>
      </c>
      <c r="E74" s="272"/>
      <c r="F74" s="191">
        <f t="shared" si="9"/>
        <v>0</v>
      </c>
      <c r="G74" s="267"/>
      <c r="H74" s="289">
        <f>+H68+H69</f>
        <v>4903619</v>
      </c>
      <c r="I74" s="270">
        <v>4903619</v>
      </c>
      <c r="J74" s="191"/>
      <c r="K74" s="267"/>
    </row>
    <row r="75" spans="1:11" ht="18.75" x14ac:dyDescent="0.3">
      <c r="A75" s="152" t="s">
        <v>159</v>
      </c>
      <c r="B75" s="461" t="s">
        <v>160</v>
      </c>
      <c r="C75" s="461"/>
      <c r="D75" s="288">
        <f>+D67+D74</f>
        <v>38461312</v>
      </c>
      <c r="E75" s="272">
        <f>+E67+E74</f>
        <v>38461312</v>
      </c>
      <c r="F75" s="272">
        <f>+F67+F74</f>
        <v>0</v>
      </c>
      <c r="G75" s="267"/>
      <c r="H75" s="288">
        <f>+H67+H74</f>
        <v>43598679</v>
      </c>
      <c r="I75" s="272">
        <f>+I67+I74</f>
        <v>43598679</v>
      </c>
      <c r="J75" s="272">
        <f>+J67+J74</f>
        <v>0</v>
      </c>
      <c r="K75" s="267"/>
    </row>
    <row r="76" spans="1:11" ht="18.75" x14ac:dyDescent="0.3">
      <c r="A76" s="9" t="s">
        <v>184</v>
      </c>
      <c r="B76" s="469" t="s">
        <v>255</v>
      </c>
      <c r="C76" s="469"/>
      <c r="D76" s="288">
        <f>+E76+F76+G76</f>
        <v>97601000</v>
      </c>
      <c r="E76" s="272">
        <v>97601000</v>
      </c>
      <c r="F76" s="191"/>
      <c r="G76" s="267"/>
      <c r="H76" s="289">
        <f>+I76+J76+K76</f>
        <v>101654432</v>
      </c>
      <c r="I76" s="270">
        <f>'15'!I76</f>
        <v>101654432</v>
      </c>
      <c r="J76" s="191"/>
      <c r="K76" s="267"/>
    </row>
    <row r="77" spans="1:11" ht="18.75" x14ac:dyDescent="0.3">
      <c r="A77" s="9" t="s">
        <v>185</v>
      </c>
      <c r="B77" s="469" t="s">
        <v>161</v>
      </c>
      <c r="C77" s="469"/>
      <c r="D77" s="305">
        <f>SUM(D78:D80)</f>
        <v>0</v>
      </c>
      <c r="E77" s="274"/>
      <c r="F77" s="264">
        <f t="shared" si="9"/>
        <v>0</v>
      </c>
      <c r="G77" s="267"/>
      <c r="H77" s="305">
        <f>SUM(H78:H80)</f>
        <v>0</v>
      </c>
      <c r="I77" s="274"/>
      <c r="J77" s="264">
        <f t="shared" ref="J77:J80" si="11">SUM(H77:I77)</f>
        <v>0</v>
      </c>
      <c r="K77" s="267"/>
    </row>
    <row r="78" spans="1:11" ht="18.75" x14ac:dyDescent="0.3">
      <c r="A78" s="9"/>
      <c r="B78" s="222" t="s">
        <v>29</v>
      </c>
      <c r="C78" s="220" t="s">
        <v>227</v>
      </c>
      <c r="D78" s="305"/>
      <c r="E78" s="274"/>
      <c r="F78" s="264">
        <f t="shared" si="9"/>
        <v>0</v>
      </c>
      <c r="G78" s="267"/>
      <c r="H78" s="305"/>
      <c r="I78" s="274"/>
      <c r="J78" s="264">
        <f t="shared" si="11"/>
        <v>0</v>
      </c>
      <c r="K78" s="267"/>
    </row>
    <row r="79" spans="1:11" ht="18.75" x14ac:dyDescent="0.3">
      <c r="A79" s="9"/>
      <c r="B79" s="222" t="s">
        <v>43</v>
      </c>
      <c r="C79" s="220" t="s">
        <v>226</v>
      </c>
      <c r="D79" s="305"/>
      <c r="E79" s="274"/>
      <c r="F79" s="264">
        <f t="shared" si="9"/>
        <v>0</v>
      </c>
      <c r="G79" s="267"/>
      <c r="H79" s="305"/>
      <c r="I79" s="274"/>
      <c r="J79" s="264">
        <f t="shared" si="11"/>
        <v>0</v>
      </c>
      <c r="K79" s="267"/>
    </row>
    <row r="80" spans="1:11" ht="18.75" x14ac:dyDescent="0.3">
      <c r="A80" s="9"/>
      <c r="B80" s="222" t="s">
        <v>44</v>
      </c>
      <c r="C80" s="220" t="s">
        <v>106</v>
      </c>
      <c r="D80" s="305"/>
      <c r="E80" s="274"/>
      <c r="F80" s="264">
        <f t="shared" si="9"/>
        <v>0</v>
      </c>
      <c r="G80" s="267"/>
      <c r="H80" s="305"/>
      <c r="I80" s="274"/>
      <c r="J80" s="264">
        <f t="shared" si="11"/>
        <v>0</v>
      </c>
      <c r="K80" s="267"/>
    </row>
    <row r="81" spans="1:11" ht="18.75" x14ac:dyDescent="0.3">
      <c r="A81" s="9" t="s">
        <v>319</v>
      </c>
      <c r="B81" s="510" t="s">
        <v>318</v>
      </c>
      <c r="C81" s="511"/>
      <c r="D81" s="305">
        <v>4558948</v>
      </c>
      <c r="E81" s="274">
        <f>'15'!E80</f>
        <v>4558948</v>
      </c>
      <c r="F81" s="344"/>
      <c r="G81" s="267"/>
      <c r="H81" s="305">
        <v>4558948</v>
      </c>
      <c r="I81" s="274">
        <f>'15'!I80</f>
        <v>4558948</v>
      </c>
      <c r="J81" s="344"/>
      <c r="K81" s="267"/>
    </row>
    <row r="82" spans="1:11" ht="18.75" x14ac:dyDescent="0.3">
      <c r="A82" s="152" t="s">
        <v>162</v>
      </c>
      <c r="B82" s="461" t="s">
        <v>336</v>
      </c>
      <c r="C82" s="461"/>
      <c r="D82" s="288">
        <f>+D76+D77+D81</f>
        <v>102159948</v>
      </c>
      <c r="E82" s="272">
        <f>+E76+E77+E81</f>
        <v>102159948</v>
      </c>
      <c r="F82" s="272">
        <f>+F76+F77</f>
        <v>0</v>
      </c>
      <c r="G82" s="267"/>
      <c r="H82" s="288">
        <f>+H76+H77+H81</f>
        <v>106213380</v>
      </c>
      <c r="I82" s="272">
        <f>+I76+I77+I81</f>
        <v>106213380</v>
      </c>
      <c r="J82" s="272">
        <f>+J76+J77</f>
        <v>0</v>
      </c>
      <c r="K82" s="267"/>
    </row>
    <row r="83" spans="1:11" ht="18.75" x14ac:dyDescent="0.3">
      <c r="A83" s="328" t="s">
        <v>204</v>
      </c>
      <c r="B83" s="674" t="s">
        <v>206</v>
      </c>
      <c r="C83" s="674"/>
      <c r="D83" s="428">
        <f t="shared" ref="D83:K83" si="12">+D30+D82</f>
        <v>349538000</v>
      </c>
      <c r="E83" s="428">
        <f t="shared" si="12"/>
        <v>320905001</v>
      </c>
      <c r="F83" s="428">
        <f t="shared" si="12"/>
        <v>28632999</v>
      </c>
      <c r="G83" s="429">
        <f t="shared" si="12"/>
        <v>0</v>
      </c>
      <c r="H83" s="428">
        <f t="shared" si="12"/>
        <v>435467302</v>
      </c>
      <c r="I83" s="428">
        <f t="shared" si="12"/>
        <v>375317361</v>
      </c>
      <c r="J83" s="428">
        <f t="shared" si="12"/>
        <v>60149941</v>
      </c>
      <c r="K83" s="429">
        <f t="shared" si="12"/>
        <v>0</v>
      </c>
    </row>
    <row r="84" spans="1:11" ht="19.5" thickBot="1" x14ac:dyDescent="0.35">
      <c r="A84" s="329" t="s">
        <v>205</v>
      </c>
      <c r="B84" s="330" t="s">
        <v>207</v>
      </c>
      <c r="C84" s="330"/>
      <c r="D84" s="430">
        <f>+D61+D75+D63</f>
        <v>349538000</v>
      </c>
      <c r="E84" s="430">
        <f>+E61+E75+E63</f>
        <v>330123709</v>
      </c>
      <c r="F84" s="430">
        <f>+F61+F75+F63</f>
        <v>19414291</v>
      </c>
      <c r="G84" s="431">
        <f>+G61+G75</f>
        <v>0</v>
      </c>
      <c r="H84" s="430">
        <f>+H61+H75+H63</f>
        <v>435467302</v>
      </c>
      <c r="I84" s="430">
        <f>+I61+I75+I63</f>
        <v>435467302</v>
      </c>
      <c r="J84" s="430">
        <f>+J61+J75+J63</f>
        <v>0</v>
      </c>
      <c r="K84" s="431">
        <f>+K61+K75</f>
        <v>0</v>
      </c>
    </row>
    <row r="85" spans="1:11" x14ac:dyDescent="0.2">
      <c r="B85" s="15"/>
      <c r="C85" s="15"/>
      <c r="D85" s="16"/>
      <c r="E85" s="16"/>
      <c r="F85" s="16"/>
      <c r="H85" s="16"/>
      <c r="I85" s="16"/>
      <c r="J85" s="16"/>
      <c r="K85" s="11"/>
    </row>
    <row r="86" spans="1:11" x14ac:dyDescent="0.2">
      <c r="B86" s="15"/>
      <c r="C86" s="15"/>
      <c r="D86" s="178">
        <f t="shared" ref="D86:K86" si="13">+D84-D83</f>
        <v>0</v>
      </c>
      <c r="E86" s="178">
        <f t="shared" si="13"/>
        <v>9218708</v>
      </c>
      <c r="F86" s="178">
        <f t="shared" si="13"/>
        <v>-9218708</v>
      </c>
      <c r="G86" s="178">
        <f t="shared" si="13"/>
        <v>0</v>
      </c>
      <c r="H86" s="178">
        <f t="shared" si="13"/>
        <v>0</v>
      </c>
      <c r="I86" s="178">
        <f t="shared" si="13"/>
        <v>60149941</v>
      </c>
      <c r="J86" s="178">
        <f t="shared" si="13"/>
        <v>-60149941</v>
      </c>
      <c r="K86" s="178">
        <f t="shared" si="13"/>
        <v>0</v>
      </c>
    </row>
    <row r="87" spans="1:11" x14ac:dyDescent="0.2">
      <c r="B87" s="15"/>
      <c r="C87" s="15"/>
      <c r="D87" s="16"/>
      <c r="E87" s="16"/>
      <c r="F87" s="16"/>
    </row>
    <row r="88" spans="1:11" x14ac:dyDescent="0.2">
      <c r="B88" s="15"/>
      <c r="C88" s="15"/>
      <c r="D88" s="16"/>
      <c r="E88" s="16"/>
      <c r="F88" s="16"/>
    </row>
    <row r="89" spans="1:11" x14ac:dyDescent="0.2">
      <c r="B89" s="15"/>
      <c r="C89" s="15"/>
      <c r="D89" s="16"/>
      <c r="E89" s="16"/>
      <c r="F89" s="16"/>
    </row>
    <row r="90" spans="1:11" x14ac:dyDescent="0.2">
      <c r="B90" s="15"/>
      <c r="C90" s="15"/>
      <c r="D90" s="16"/>
      <c r="E90" s="16"/>
      <c r="F90" s="16"/>
    </row>
    <row r="91" spans="1:11" x14ac:dyDescent="0.2">
      <c r="B91" s="15"/>
      <c r="C91" s="15"/>
      <c r="D91" s="16"/>
      <c r="E91" s="16"/>
      <c r="F91" s="16"/>
    </row>
    <row r="92" spans="1:11" x14ac:dyDescent="0.2">
      <c r="B92" s="15"/>
      <c r="C92" s="15"/>
      <c r="D92" s="16"/>
      <c r="E92" s="16"/>
      <c r="F92" s="16"/>
    </row>
    <row r="93" spans="1:11" x14ac:dyDescent="0.2">
      <c r="B93" s="15"/>
      <c r="C93" s="15"/>
      <c r="D93" s="16"/>
      <c r="E93" s="16"/>
      <c r="F93" s="16"/>
    </row>
    <row r="94" spans="1:11" x14ac:dyDescent="0.2">
      <c r="B94" s="15"/>
      <c r="C94" s="15"/>
      <c r="D94" s="16"/>
      <c r="E94" s="16"/>
      <c r="F94" s="16"/>
    </row>
    <row r="95" spans="1:11" x14ac:dyDescent="0.2">
      <c r="B95" s="15"/>
      <c r="C95" s="15"/>
      <c r="D95" s="16"/>
      <c r="E95" s="16"/>
      <c r="F95" s="16"/>
    </row>
    <row r="96" spans="1:11" x14ac:dyDescent="0.2">
      <c r="B96" s="15"/>
      <c r="C96" s="15"/>
      <c r="D96" s="16"/>
      <c r="E96" s="16"/>
      <c r="F96" s="16"/>
    </row>
    <row r="97" spans="2:6" x14ac:dyDescent="0.2">
      <c r="B97" s="15"/>
      <c r="C97" s="15"/>
      <c r="D97" s="16"/>
      <c r="E97" s="16"/>
      <c r="F97" s="16"/>
    </row>
    <row r="98" spans="2:6" x14ac:dyDescent="0.2">
      <c r="B98" s="15"/>
      <c r="C98" s="15"/>
      <c r="D98" s="16"/>
      <c r="E98" s="16"/>
      <c r="F98" s="16"/>
    </row>
    <row r="99" spans="2:6" x14ac:dyDescent="0.2">
      <c r="B99" s="15"/>
      <c r="C99" s="15"/>
      <c r="D99" s="16"/>
      <c r="E99" s="16"/>
      <c r="F99" s="16"/>
    </row>
    <row r="100" spans="2:6" x14ac:dyDescent="0.2">
      <c r="B100" s="15"/>
      <c r="C100" s="15"/>
      <c r="D100" s="16"/>
      <c r="E100" s="16"/>
      <c r="F100" s="16"/>
    </row>
    <row r="101" spans="2:6" x14ac:dyDescent="0.2">
      <c r="B101" s="15"/>
      <c r="C101" s="15"/>
      <c r="D101" s="16"/>
      <c r="E101" s="16"/>
      <c r="F101" s="16"/>
    </row>
    <row r="102" spans="2:6" x14ac:dyDescent="0.2">
      <c r="B102" s="15"/>
      <c r="C102" s="15"/>
      <c r="D102" s="16"/>
      <c r="E102" s="16"/>
      <c r="F102" s="16"/>
    </row>
    <row r="103" spans="2:6" x14ac:dyDescent="0.2">
      <c r="B103" s="15"/>
      <c r="C103" s="15"/>
      <c r="D103" s="16"/>
      <c r="E103" s="16"/>
      <c r="F103" s="16"/>
    </row>
    <row r="104" spans="2:6" x14ac:dyDescent="0.2">
      <c r="B104" s="15"/>
      <c r="C104" s="15"/>
      <c r="D104" s="16"/>
      <c r="E104" s="16"/>
      <c r="F104" s="16"/>
    </row>
    <row r="105" spans="2:6" x14ac:dyDescent="0.2">
      <c r="B105" s="15"/>
      <c r="C105" s="15"/>
      <c r="D105" s="16"/>
      <c r="E105" s="16"/>
      <c r="F105" s="16"/>
    </row>
    <row r="106" spans="2:6" x14ac:dyDescent="0.2">
      <c r="B106" s="15"/>
      <c r="C106" s="15"/>
      <c r="D106" s="16"/>
      <c r="E106" s="16"/>
      <c r="F106" s="16"/>
    </row>
  </sheetData>
  <mergeCells count="66">
    <mergeCell ref="A6:A8"/>
    <mergeCell ref="B6:C8"/>
    <mergeCell ref="D6:D7"/>
    <mergeCell ref="E6:E7"/>
    <mergeCell ref="F6:F7"/>
    <mergeCell ref="A1:F1"/>
    <mergeCell ref="A2:F2"/>
    <mergeCell ref="A3:F3"/>
    <mergeCell ref="A4:F4"/>
    <mergeCell ref="A5:F5"/>
    <mergeCell ref="B11:C11"/>
    <mergeCell ref="B12:C12"/>
    <mergeCell ref="B13:C13"/>
    <mergeCell ref="B14:C14"/>
    <mergeCell ref="G6:G7"/>
    <mergeCell ref="D8:F8"/>
    <mergeCell ref="B9:C9"/>
    <mergeCell ref="B10:C10"/>
    <mergeCell ref="B19:C19"/>
    <mergeCell ref="B20:C20"/>
    <mergeCell ref="B23:C23"/>
    <mergeCell ref="B21:C21"/>
    <mergeCell ref="B15:C15"/>
    <mergeCell ref="B16:C16"/>
    <mergeCell ref="B17:C17"/>
    <mergeCell ref="B18:C18"/>
    <mergeCell ref="B22:C22"/>
    <mergeCell ref="B47:C47"/>
    <mergeCell ref="B32:C32"/>
    <mergeCell ref="B33:C33"/>
    <mergeCell ref="B34:C34"/>
    <mergeCell ref="B38:C38"/>
    <mergeCell ref="B42:C42"/>
    <mergeCell ref="B28:C28"/>
    <mergeCell ref="B29:C29"/>
    <mergeCell ref="B30:C30"/>
    <mergeCell ref="B31:C31"/>
    <mergeCell ref="B24:C24"/>
    <mergeCell ref="B25:C25"/>
    <mergeCell ref="B26:C26"/>
    <mergeCell ref="B27:C27"/>
    <mergeCell ref="B82:C82"/>
    <mergeCell ref="B83:C83"/>
    <mergeCell ref="B68:C68"/>
    <mergeCell ref="B69:C69"/>
    <mergeCell ref="B74:C74"/>
    <mergeCell ref="B75:C75"/>
    <mergeCell ref="B77:C77"/>
    <mergeCell ref="B81:C81"/>
    <mergeCell ref="B48:C48"/>
    <mergeCell ref="B51:C51"/>
    <mergeCell ref="B54:C54"/>
    <mergeCell ref="B76:C76"/>
    <mergeCell ref="B58:C58"/>
    <mergeCell ref="B59:C59"/>
    <mergeCell ref="B60:C60"/>
    <mergeCell ref="B61:C61"/>
    <mergeCell ref="B62:C62"/>
    <mergeCell ref="B64:C64"/>
    <mergeCell ref="B67:C67"/>
    <mergeCell ref="B63:C63"/>
    <mergeCell ref="H6:H7"/>
    <mergeCell ref="I6:I7"/>
    <mergeCell ref="J6:J7"/>
    <mergeCell ref="K6:K7"/>
    <mergeCell ref="H8:J8"/>
  </mergeCells>
  <phoneticPr fontId="20" type="noConversion"/>
  <pageMargins left="0.75" right="0.17" top="0.27" bottom="0.38" header="0.18" footer="0.17"/>
  <pageSetup paperSize="9" scale="4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Q66"/>
  <sheetViews>
    <sheetView view="pageBreakPreview" zoomScale="96" zoomScaleNormal="100" zoomScaleSheetLayoutView="96" workbookViewId="0">
      <selection activeCell="A3" sqref="A3:N4"/>
    </sheetView>
  </sheetViews>
  <sheetFormatPr defaultRowHeight="15.75" x14ac:dyDescent="0.2"/>
  <cols>
    <col min="1" max="1" width="35.7109375" style="35" customWidth="1"/>
    <col min="2" max="2" width="13.5703125" style="35" customWidth="1"/>
    <col min="3" max="3" width="12" style="35" customWidth="1"/>
    <col min="4" max="4" width="12.5703125" style="35" customWidth="1"/>
    <col min="5" max="7" width="12.140625" style="35" customWidth="1"/>
    <col min="8" max="8" width="12" style="35" customWidth="1"/>
    <col min="9" max="11" width="12.140625" style="35" customWidth="1"/>
    <col min="12" max="12" width="12" style="35" customWidth="1"/>
    <col min="13" max="13" width="12.42578125" style="35" customWidth="1"/>
    <col min="14" max="14" width="13.140625" style="35" customWidth="1"/>
    <col min="15" max="15" width="14.28515625" style="30" customWidth="1"/>
    <col min="16" max="16384" width="9.140625" style="30"/>
  </cols>
  <sheetData>
    <row r="1" spans="1:15" x14ac:dyDescent="0.2">
      <c r="A1" s="632" t="s">
        <v>326</v>
      </c>
      <c r="B1" s="632"/>
      <c r="C1" s="632"/>
      <c r="D1" s="632"/>
      <c r="E1" s="632"/>
      <c r="F1" s="632"/>
      <c r="G1" s="632"/>
      <c r="H1" s="632"/>
      <c r="I1" s="632"/>
      <c r="J1" s="632"/>
      <c r="K1" s="632"/>
      <c r="L1" s="632"/>
      <c r="M1" s="632"/>
      <c r="N1" s="632"/>
    </row>
    <row r="2" spans="1:15" ht="24" customHeight="1" x14ac:dyDescent="0.2">
      <c r="A2" s="632"/>
      <c r="B2" s="632"/>
      <c r="C2" s="632"/>
      <c r="D2" s="632"/>
      <c r="E2" s="632"/>
      <c r="F2" s="632"/>
      <c r="G2" s="632"/>
      <c r="H2" s="632"/>
      <c r="I2" s="632"/>
      <c r="J2" s="632"/>
      <c r="K2" s="632"/>
      <c r="L2" s="632"/>
      <c r="M2" s="632"/>
      <c r="N2" s="632"/>
    </row>
    <row r="3" spans="1:15" ht="12.75" customHeight="1" x14ac:dyDescent="0.2">
      <c r="A3" s="633" t="s">
        <v>341</v>
      </c>
      <c r="B3" s="633"/>
      <c r="C3" s="633"/>
      <c r="D3" s="633"/>
      <c r="E3" s="633"/>
      <c r="F3" s="633"/>
      <c r="G3" s="633"/>
      <c r="H3" s="633"/>
      <c r="I3" s="633"/>
      <c r="J3" s="633"/>
      <c r="K3" s="633"/>
      <c r="L3" s="633"/>
      <c r="M3" s="633"/>
      <c r="N3" s="633"/>
    </row>
    <row r="4" spans="1:15" ht="19.5" customHeight="1" x14ac:dyDescent="0.2">
      <c r="A4" s="633"/>
      <c r="B4" s="633"/>
      <c r="C4" s="633"/>
      <c r="D4" s="633"/>
      <c r="E4" s="633"/>
      <c r="F4" s="633"/>
      <c r="G4" s="633"/>
      <c r="H4" s="633"/>
      <c r="I4" s="633"/>
      <c r="J4" s="633"/>
      <c r="K4" s="633"/>
      <c r="L4" s="633"/>
      <c r="M4" s="633"/>
      <c r="N4" s="633"/>
    </row>
    <row r="5" spans="1:15" ht="16.5" customHeight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633" t="s">
        <v>346</v>
      </c>
      <c r="N5" s="633"/>
    </row>
    <row r="6" spans="1:15" ht="18" customHeight="1" x14ac:dyDescent="0.2">
      <c r="A6" s="31" t="s">
        <v>186</v>
      </c>
      <c r="B6" s="32" t="s">
        <v>3</v>
      </c>
      <c r="C6" s="32" t="s">
        <v>4</v>
      </c>
      <c r="D6" s="32" t="s">
        <v>5</v>
      </c>
      <c r="E6" s="32" t="s">
        <v>6</v>
      </c>
      <c r="F6" s="32" t="s">
        <v>7</v>
      </c>
      <c r="G6" s="32" t="s">
        <v>8</v>
      </c>
      <c r="H6" s="32" t="s">
        <v>9</v>
      </c>
      <c r="I6" s="32" t="s">
        <v>10</v>
      </c>
      <c r="J6" s="32" t="s">
        <v>11</v>
      </c>
      <c r="K6" s="32" t="s">
        <v>12</v>
      </c>
      <c r="L6" s="32" t="s">
        <v>13</v>
      </c>
      <c r="M6" s="32" t="s">
        <v>14</v>
      </c>
      <c r="N6" s="31" t="s">
        <v>15</v>
      </c>
    </row>
    <row r="7" spans="1:15" ht="18" customHeight="1" x14ac:dyDescent="0.2">
      <c r="A7" s="42" t="s">
        <v>187</v>
      </c>
      <c r="B7" s="37">
        <f>O7/12</f>
        <v>2986878</v>
      </c>
      <c r="C7" s="37">
        <v>2986878</v>
      </c>
      <c r="D7" s="37">
        <v>2986878</v>
      </c>
      <c r="E7" s="37">
        <v>2986878</v>
      </c>
      <c r="F7" s="37">
        <v>2986878</v>
      </c>
      <c r="G7" s="37">
        <v>2986878</v>
      </c>
      <c r="H7" s="37">
        <v>2986878</v>
      </c>
      <c r="I7" s="37">
        <v>2986878</v>
      </c>
      <c r="J7" s="37">
        <v>2986878</v>
      </c>
      <c r="K7" s="37">
        <v>2986878</v>
      </c>
      <c r="L7" s="37">
        <v>2986878</v>
      </c>
      <c r="M7" s="37">
        <v>2986878</v>
      </c>
      <c r="N7" s="38">
        <f t="shared" ref="N7:N16" si="0">SUM(B7:M7)</f>
        <v>35842536</v>
      </c>
      <c r="O7" s="30">
        <f>'15'!H10</f>
        <v>35842536</v>
      </c>
    </row>
    <row r="8" spans="1:15" ht="18" customHeight="1" x14ac:dyDescent="0.2">
      <c r="A8" s="42" t="s">
        <v>16</v>
      </c>
      <c r="B8" s="37">
        <f t="shared" ref="B8" si="1">O8/12</f>
        <v>661590</v>
      </c>
      <c r="C8" s="37">
        <v>661590</v>
      </c>
      <c r="D8" s="37">
        <v>661590</v>
      </c>
      <c r="E8" s="37">
        <v>661590</v>
      </c>
      <c r="F8" s="37">
        <v>661590</v>
      </c>
      <c r="G8" s="37">
        <v>661590</v>
      </c>
      <c r="H8" s="37">
        <v>661590</v>
      </c>
      <c r="I8" s="37">
        <v>661590</v>
      </c>
      <c r="J8" s="37">
        <v>661590</v>
      </c>
      <c r="K8" s="37">
        <v>661590</v>
      </c>
      <c r="L8" s="37">
        <v>661590</v>
      </c>
      <c r="M8" s="37">
        <v>661590</v>
      </c>
      <c r="N8" s="38">
        <f t="shared" si="0"/>
        <v>7939080</v>
      </c>
      <c r="O8" s="30">
        <f>'15'!H11</f>
        <v>7939080</v>
      </c>
    </row>
    <row r="9" spans="1:15" ht="18" customHeight="1" x14ac:dyDescent="0.2">
      <c r="A9" s="42" t="s">
        <v>197</v>
      </c>
      <c r="B9" s="37">
        <f>O9/12-0.17</f>
        <v>4965043.9966666671</v>
      </c>
      <c r="C9" s="37">
        <v>4965044</v>
      </c>
      <c r="D9" s="37">
        <v>4965044</v>
      </c>
      <c r="E9" s="37">
        <v>4965044</v>
      </c>
      <c r="F9" s="37">
        <v>4965044</v>
      </c>
      <c r="G9" s="37">
        <v>4965044</v>
      </c>
      <c r="H9" s="37">
        <v>4965044</v>
      </c>
      <c r="I9" s="37">
        <v>4965044</v>
      </c>
      <c r="J9" s="37">
        <v>4965044</v>
      </c>
      <c r="K9" s="37">
        <v>4965044</v>
      </c>
      <c r="L9" s="37">
        <v>4965044</v>
      </c>
      <c r="M9" s="37">
        <v>4965046</v>
      </c>
      <c r="N9" s="38">
        <f t="shared" si="0"/>
        <v>59580529.99666667</v>
      </c>
      <c r="O9" s="30">
        <f>'15'!H12</f>
        <v>59580530</v>
      </c>
    </row>
    <row r="10" spans="1:15" ht="18" customHeight="1" x14ac:dyDescent="0.2">
      <c r="A10" s="42" t="s">
        <v>17</v>
      </c>
      <c r="B10" s="37">
        <f>O10/12+0.33</f>
        <v>1389319.9966666668</v>
      </c>
      <c r="C10" s="37">
        <v>1389320</v>
      </c>
      <c r="D10" s="37">
        <v>1389320</v>
      </c>
      <c r="E10" s="37">
        <v>1389320</v>
      </c>
      <c r="F10" s="37">
        <v>1389320</v>
      </c>
      <c r="G10" s="37">
        <v>1389320</v>
      </c>
      <c r="H10" s="37">
        <v>1389320</v>
      </c>
      <c r="I10" s="37">
        <v>1389320</v>
      </c>
      <c r="J10" s="37">
        <v>1389320</v>
      </c>
      <c r="K10" s="37">
        <v>1389320</v>
      </c>
      <c r="L10" s="37">
        <v>1389320</v>
      </c>
      <c r="M10" s="37">
        <v>1389316</v>
      </c>
      <c r="N10" s="38">
        <f t="shared" si="0"/>
        <v>16671835.996666666</v>
      </c>
      <c r="O10" s="30">
        <f>'15'!H16</f>
        <v>16671836</v>
      </c>
    </row>
    <row r="11" spans="1:15" ht="18" customHeight="1" x14ac:dyDescent="0.2">
      <c r="A11" s="42" t="s">
        <v>18</v>
      </c>
      <c r="B11" s="37">
        <f>O11/12-0.33</f>
        <v>1010338.0033333334</v>
      </c>
      <c r="C11" s="37">
        <v>1010338</v>
      </c>
      <c r="D11" s="37">
        <v>1010338</v>
      </c>
      <c r="E11" s="37">
        <v>1010338</v>
      </c>
      <c r="F11" s="37">
        <v>1010338</v>
      </c>
      <c r="G11" s="37">
        <v>1010338</v>
      </c>
      <c r="H11" s="37">
        <v>1010338</v>
      </c>
      <c r="I11" s="37">
        <v>1010338</v>
      </c>
      <c r="J11" s="37">
        <v>1010338</v>
      </c>
      <c r="K11" s="37">
        <v>1010338</v>
      </c>
      <c r="L11" s="37">
        <v>1010338</v>
      </c>
      <c r="M11" s="37">
        <v>1010342</v>
      </c>
      <c r="N11" s="38">
        <f t="shared" si="0"/>
        <v>12124060.003333334</v>
      </c>
      <c r="O11" s="154">
        <f>'15'!H18</f>
        <v>12124060</v>
      </c>
    </row>
    <row r="12" spans="1:15" ht="18" customHeight="1" x14ac:dyDescent="0.2">
      <c r="A12" s="42" t="s">
        <v>308</v>
      </c>
      <c r="B12" s="37"/>
      <c r="C12" s="37"/>
      <c r="D12" s="37"/>
      <c r="E12" s="37"/>
      <c r="F12" s="37">
        <v>92711</v>
      </c>
      <c r="G12" s="37"/>
      <c r="H12" s="37"/>
      <c r="I12" s="37"/>
      <c r="J12" s="37"/>
      <c r="K12" s="37"/>
      <c r="L12" s="37"/>
      <c r="M12" s="37"/>
      <c r="N12" s="38">
        <f t="shared" si="0"/>
        <v>92711</v>
      </c>
      <c r="O12" s="154">
        <f>'15'!H19</f>
        <v>92711</v>
      </c>
    </row>
    <row r="13" spans="1:15" ht="18" customHeight="1" x14ac:dyDescent="0.2">
      <c r="A13" s="42" t="s">
        <v>191</v>
      </c>
      <c r="B13" s="37">
        <f>O13/12-0.42</f>
        <v>1190344.9966666668</v>
      </c>
      <c r="C13" s="37">
        <v>1190345</v>
      </c>
      <c r="D13" s="37">
        <v>1190345</v>
      </c>
      <c r="E13" s="37">
        <v>1190345</v>
      </c>
      <c r="F13" s="37">
        <v>1190345</v>
      </c>
      <c r="G13" s="37">
        <v>1190345</v>
      </c>
      <c r="H13" s="37">
        <v>1190345</v>
      </c>
      <c r="I13" s="37">
        <v>1190345</v>
      </c>
      <c r="J13" s="37">
        <v>1190345</v>
      </c>
      <c r="K13" s="37">
        <v>1190345</v>
      </c>
      <c r="L13" s="37">
        <v>1190345</v>
      </c>
      <c r="M13" s="37">
        <v>1190350</v>
      </c>
      <c r="N13" s="38">
        <f t="shared" si="0"/>
        <v>14284144.996666666</v>
      </c>
      <c r="O13" s="30">
        <f>'15'!H26</f>
        <v>14284145</v>
      </c>
    </row>
    <row r="14" spans="1:15" ht="18" customHeight="1" x14ac:dyDescent="0.2">
      <c r="A14" s="42" t="s">
        <v>303</v>
      </c>
      <c r="B14" s="37">
        <v>0</v>
      </c>
      <c r="C14" s="37">
        <v>0</v>
      </c>
      <c r="D14" s="37">
        <v>0</v>
      </c>
      <c r="E14" s="37">
        <v>0</v>
      </c>
      <c r="F14" s="37">
        <v>0</v>
      </c>
      <c r="G14" s="37">
        <v>0</v>
      </c>
      <c r="H14" s="37">
        <v>0</v>
      </c>
      <c r="I14" s="37">
        <v>0</v>
      </c>
      <c r="J14" s="37">
        <v>0</v>
      </c>
      <c r="K14" s="37">
        <v>0</v>
      </c>
      <c r="L14" s="37">
        <v>0</v>
      </c>
      <c r="M14" s="37">
        <v>79645223</v>
      </c>
      <c r="N14" s="38">
        <f t="shared" si="0"/>
        <v>79645223</v>
      </c>
      <c r="O14" s="30">
        <f>'15'!H21</f>
        <v>79645223</v>
      </c>
    </row>
    <row r="15" spans="1:15" ht="18" customHeight="1" x14ac:dyDescent="0.2">
      <c r="A15" s="42"/>
      <c r="B15" s="37">
        <v>0</v>
      </c>
      <c r="C15" s="37">
        <v>0</v>
      </c>
      <c r="D15" s="37">
        <v>0</v>
      </c>
      <c r="E15" s="37">
        <v>0</v>
      </c>
      <c r="F15" s="37">
        <v>0</v>
      </c>
      <c r="G15" s="37">
        <v>0</v>
      </c>
      <c r="H15" s="37">
        <v>0</v>
      </c>
      <c r="I15" s="37">
        <v>0</v>
      </c>
      <c r="J15" s="37">
        <v>0</v>
      </c>
      <c r="K15" s="37">
        <v>0</v>
      </c>
      <c r="L15" s="37">
        <v>0</v>
      </c>
      <c r="M15" s="37">
        <v>0</v>
      </c>
      <c r="N15" s="38">
        <f t="shared" si="0"/>
        <v>0</v>
      </c>
      <c r="O15" s="30">
        <f>'15'!D20</f>
        <v>0</v>
      </c>
    </row>
    <row r="16" spans="1:15" ht="18" customHeight="1" x14ac:dyDescent="0.2">
      <c r="A16" s="42" t="s">
        <v>304</v>
      </c>
      <c r="B16" s="37">
        <f t="shared" ref="B16" si="2">O16/12</f>
        <v>8851115</v>
      </c>
      <c r="C16" s="37">
        <v>8851115</v>
      </c>
      <c r="D16" s="37">
        <v>8851115</v>
      </c>
      <c r="E16" s="37">
        <v>8851115</v>
      </c>
      <c r="F16" s="37">
        <v>8851115</v>
      </c>
      <c r="G16" s="37">
        <v>8851115</v>
      </c>
      <c r="H16" s="37">
        <v>8851115</v>
      </c>
      <c r="I16" s="37">
        <v>8851115</v>
      </c>
      <c r="J16" s="37">
        <v>8851115</v>
      </c>
      <c r="K16" s="37">
        <v>8851115</v>
      </c>
      <c r="L16" s="37">
        <v>8851115</v>
      </c>
      <c r="M16" s="37">
        <v>8851115</v>
      </c>
      <c r="N16" s="38">
        <f t="shared" si="0"/>
        <v>106213380</v>
      </c>
      <c r="O16" s="30">
        <f>'15'!H81</f>
        <v>106213380</v>
      </c>
    </row>
    <row r="17" spans="1:16" ht="18" customHeight="1" x14ac:dyDescent="0.2">
      <c r="A17" s="43" t="s">
        <v>19</v>
      </c>
      <c r="B17" s="37">
        <f>SUM(B7:B16)</f>
        <v>21054629.993333332</v>
      </c>
      <c r="C17" s="37">
        <f t="shared" ref="C17:K17" si="3">SUM(C7:C16)</f>
        <v>21054630</v>
      </c>
      <c r="D17" s="37">
        <f t="shared" si="3"/>
        <v>21054630</v>
      </c>
      <c r="E17" s="37">
        <f t="shared" si="3"/>
        <v>21054630</v>
      </c>
      <c r="F17" s="37">
        <f t="shared" si="3"/>
        <v>21147341</v>
      </c>
      <c r="G17" s="37">
        <f t="shared" si="3"/>
        <v>21054630</v>
      </c>
      <c r="H17" s="37">
        <f t="shared" si="3"/>
        <v>21054630</v>
      </c>
      <c r="I17" s="37">
        <f t="shared" si="3"/>
        <v>21054630</v>
      </c>
      <c r="J17" s="37">
        <f t="shared" si="3"/>
        <v>21054630</v>
      </c>
      <c r="K17" s="37">
        <f t="shared" si="3"/>
        <v>21054630</v>
      </c>
      <c r="L17" s="37">
        <f>SUM(L7:L16)</f>
        <v>21054630</v>
      </c>
      <c r="M17" s="37">
        <f>SUM(M7:M16)</f>
        <v>100699860</v>
      </c>
      <c r="N17" s="38">
        <f>SUM(N7:N16)</f>
        <v>332393500.99333334</v>
      </c>
      <c r="O17" s="424">
        <f>SUM(O7:O16)</f>
        <v>332393501</v>
      </c>
    </row>
    <row r="18" spans="1:16" ht="18" customHeight="1" x14ac:dyDescent="0.2">
      <c r="A18" s="34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/>
    </row>
    <row r="19" spans="1:16" ht="18" customHeight="1" x14ac:dyDescent="0.2">
      <c r="A19" s="42" t="s">
        <v>20</v>
      </c>
      <c r="B19" s="387">
        <f>O19/12-0.25</f>
        <v>1323535</v>
      </c>
      <c r="C19" s="37">
        <v>1323535</v>
      </c>
      <c r="D19" s="37">
        <v>1323535</v>
      </c>
      <c r="E19" s="37">
        <v>1323535</v>
      </c>
      <c r="F19" s="37">
        <v>1323535</v>
      </c>
      <c r="G19" s="37">
        <v>1323535</v>
      </c>
      <c r="H19" s="37">
        <v>1323535</v>
      </c>
      <c r="I19" s="37">
        <v>1323535</v>
      </c>
      <c r="J19" s="37">
        <v>1323535</v>
      </c>
      <c r="K19" s="37">
        <v>1323535</v>
      </c>
      <c r="L19" s="37">
        <v>1323535</v>
      </c>
      <c r="M19" s="37">
        <v>1323538</v>
      </c>
      <c r="N19" s="38">
        <f t="shared" ref="N19:N25" si="4">SUM(B19:M19)</f>
        <v>15882423</v>
      </c>
      <c r="O19" s="345">
        <f>'15'!H33</f>
        <v>15882423</v>
      </c>
    </row>
    <row r="20" spans="1:16" ht="18" customHeight="1" x14ac:dyDescent="0.2">
      <c r="A20" s="42" t="s">
        <v>198</v>
      </c>
      <c r="B20" s="387">
        <f>O20/12-0.17</f>
        <v>4759757.9966666671</v>
      </c>
      <c r="C20" s="37">
        <v>4759758</v>
      </c>
      <c r="D20" s="37">
        <v>4759758</v>
      </c>
      <c r="E20" s="37">
        <v>4759758</v>
      </c>
      <c r="F20" s="37">
        <v>4759758</v>
      </c>
      <c r="G20" s="37">
        <v>4759758</v>
      </c>
      <c r="H20" s="37">
        <v>4759758</v>
      </c>
      <c r="I20" s="37">
        <v>4759758</v>
      </c>
      <c r="J20" s="37">
        <v>4759758</v>
      </c>
      <c r="K20" s="37">
        <v>4759758</v>
      </c>
      <c r="L20" s="37">
        <v>4759758</v>
      </c>
      <c r="M20" s="37">
        <v>4759760</v>
      </c>
      <c r="N20" s="38">
        <f t="shared" si="4"/>
        <v>57117097.99666667</v>
      </c>
      <c r="O20" s="346">
        <f>'15'!H34</f>
        <v>57117098</v>
      </c>
    </row>
    <row r="21" spans="1:16" ht="18" customHeight="1" x14ac:dyDescent="0.2">
      <c r="A21" s="158" t="s">
        <v>143</v>
      </c>
      <c r="B21" s="387">
        <f>O21/12-0.33</f>
        <v>12437514.003333334</v>
      </c>
      <c r="C21" s="37">
        <v>12437514</v>
      </c>
      <c r="D21" s="37">
        <v>12437514</v>
      </c>
      <c r="E21" s="37">
        <v>12437514</v>
      </c>
      <c r="F21" s="37">
        <v>12437514</v>
      </c>
      <c r="G21" s="37">
        <v>12437514</v>
      </c>
      <c r="H21" s="37">
        <v>12437514</v>
      </c>
      <c r="I21" s="37">
        <v>12437514</v>
      </c>
      <c r="J21" s="37">
        <v>12437514</v>
      </c>
      <c r="K21" s="37">
        <v>12437514</v>
      </c>
      <c r="L21" s="37">
        <v>12437514</v>
      </c>
      <c r="M21" s="37">
        <v>12437518</v>
      </c>
      <c r="N21" s="38">
        <f t="shared" si="4"/>
        <v>149250172.00333333</v>
      </c>
      <c r="O21" s="154">
        <f>'15'!H38</f>
        <v>149250172</v>
      </c>
    </row>
    <row r="22" spans="1:16" ht="18" customHeight="1" x14ac:dyDescent="0.2">
      <c r="A22" s="42" t="s">
        <v>28</v>
      </c>
      <c r="B22" s="387">
        <f>O22/12+0.42</f>
        <v>2403416.0033333334</v>
      </c>
      <c r="C22" s="37">
        <v>2403416</v>
      </c>
      <c r="D22" s="37">
        <v>2403416</v>
      </c>
      <c r="E22" s="37">
        <v>2403416</v>
      </c>
      <c r="F22" s="37">
        <v>2403416</v>
      </c>
      <c r="G22" s="37">
        <v>2403416</v>
      </c>
      <c r="H22" s="37">
        <v>2403416</v>
      </c>
      <c r="I22" s="37">
        <v>2403416</v>
      </c>
      <c r="J22" s="37">
        <v>2403416</v>
      </c>
      <c r="K22" s="37">
        <v>2403416</v>
      </c>
      <c r="L22" s="37">
        <v>2403416</v>
      </c>
      <c r="M22" s="37">
        <v>2403411</v>
      </c>
      <c r="N22" s="38">
        <f t="shared" si="4"/>
        <v>28840987.003333334</v>
      </c>
      <c r="O22" s="154">
        <f>'15'!H42</f>
        <v>28840987</v>
      </c>
      <c r="P22" s="154"/>
    </row>
    <row r="23" spans="1:16" ht="18" customHeight="1" x14ac:dyDescent="0.2">
      <c r="A23" s="42" t="s">
        <v>190</v>
      </c>
      <c r="B23" s="387">
        <f>O23/12+0.17</f>
        <v>3161491.0033333334</v>
      </c>
      <c r="C23" s="37">
        <v>3161491</v>
      </c>
      <c r="D23" s="37">
        <v>3161491</v>
      </c>
      <c r="E23" s="37">
        <v>3161491</v>
      </c>
      <c r="F23" s="37">
        <v>3161491</v>
      </c>
      <c r="G23" s="37">
        <v>3161491</v>
      </c>
      <c r="H23" s="37">
        <v>3161491</v>
      </c>
      <c r="I23" s="37">
        <v>3161491</v>
      </c>
      <c r="J23" s="37">
        <v>3161491</v>
      </c>
      <c r="K23" s="37">
        <v>3161491</v>
      </c>
      <c r="L23" s="37">
        <v>3161491</v>
      </c>
      <c r="M23" s="37">
        <v>3161489</v>
      </c>
      <c r="N23" s="38">
        <f t="shared" si="4"/>
        <v>37937890.00333333</v>
      </c>
      <c r="O23" s="345">
        <f>'15'!H58</f>
        <v>37937890</v>
      </c>
    </row>
    <row r="24" spans="1:16" ht="18" customHeight="1" x14ac:dyDescent="0.2">
      <c r="A24" s="42" t="s">
        <v>152</v>
      </c>
      <c r="B24" s="387">
        <f>O24/12-0.33</f>
        <v>3205109.0033333334</v>
      </c>
      <c r="C24" s="37">
        <v>3205109</v>
      </c>
      <c r="D24" s="37">
        <v>3205109</v>
      </c>
      <c r="E24" s="37">
        <v>3205109</v>
      </c>
      <c r="F24" s="37">
        <v>3205109</v>
      </c>
      <c r="G24" s="37">
        <v>3205109</v>
      </c>
      <c r="H24" s="37">
        <v>3205109</v>
      </c>
      <c r="I24" s="37">
        <v>3205109</v>
      </c>
      <c r="J24" s="37">
        <v>3205109</v>
      </c>
      <c r="K24" s="37">
        <v>3205109</v>
      </c>
      <c r="L24" s="37">
        <v>3205109</v>
      </c>
      <c r="M24" s="37">
        <v>3205113</v>
      </c>
      <c r="N24" s="38">
        <f t="shared" si="4"/>
        <v>38461312.00333333</v>
      </c>
      <c r="O24" s="30">
        <f>'15'!H64</f>
        <v>38461312</v>
      </c>
    </row>
    <row r="25" spans="1:16" ht="18" customHeight="1" x14ac:dyDescent="0.2">
      <c r="A25" s="42" t="s">
        <v>378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>
        <v>4903619</v>
      </c>
      <c r="N25" s="38">
        <f t="shared" si="4"/>
        <v>4903619</v>
      </c>
      <c r="O25" s="30">
        <f>'15'!H68</f>
        <v>4903619</v>
      </c>
    </row>
    <row r="26" spans="1:16" ht="18" customHeight="1" x14ac:dyDescent="0.2">
      <c r="A26" s="33" t="s">
        <v>22</v>
      </c>
      <c r="B26" s="41">
        <f t="shared" ref="B26:L26" si="5">+B19+B20+B21+B22+B23+B24</f>
        <v>27290823.010000002</v>
      </c>
      <c r="C26" s="41">
        <f t="shared" si="5"/>
        <v>27290823</v>
      </c>
      <c r="D26" s="41">
        <f t="shared" si="5"/>
        <v>27290823</v>
      </c>
      <c r="E26" s="41">
        <f t="shared" si="5"/>
        <v>27290823</v>
      </c>
      <c r="F26" s="41">
        <f t="shared" si="5"/>
        <v>27290823</v>
      </c>
      <c r="G26" s="41">
        <f t="shared" si="5"/>
        <v>27290823</v>
      </c>
      <c r="H26" s="41">
        <f t="shared" si="5"/>
        <v>27290823</v>
      </c>
      <c r="I26" s="41">
        <f t="shared" si="5"/>
        <v>27290823</v>
      </c>
      <c r="J26" s="41">
        <f t="shared" si="5"/>
        <v>27290823</v>
      </c>
      <c r="K26" s="41">
        <f t="shared" si="5"/>
        <v>27290823</v>
      </c>
      <c r="L26" s="41">
        <f t="shared" si="5"/>
        <v>27290823</v>
      </c>
      <c r="M26" s="41">
        <f>SUM(M19:M23)+M24</f>
        <v>27290829</v>
      </c>
      <c r="N26" s="38">
        <f>SUM(N19:N25)</f>
        <v>332393501.00999999</v>
      </c>
      <c r="O26" s="154">
        <f>SUM(O19:O25)</f>
        <v>332393501</v>
      </c>
    </row>
    <row r="27" spans="1:16" ht="18" customHeight="1" x14ac:dyDescent="0.2">
      <c r="A27" s="164"/>
      <c r="B27" s="165">
        <f t="shared" ref="B27:M27" si="6">+B17-B26</f>
        <v>-6236193.0166666694</v>
      </c>
      <c r="C27" s="165">
        <f t="shared" si="6"/>
        <v>-6236193</v>
      </c>
      <c r="D27" s="165">
        <f t="shared" si="6"/>
        <v>-6236193</v>
      </c>
      <c r="E27" s="165">
        <f t="shared" si="6"/>
        <v>-6236193</v>
      </c>
      <c r="F27" s="165">
        <f t="shared" si="6"/>
        <v>-6143482</v>
      </c>
      <c r="G27" s="165">
        <f t="shared" si="6"/>
        <v>-6236193</v>
      </c>
      <c r="H27" s="165">
        <f t="shared" si="6"/>
        <v>-6236193</v>
      </c>
      <c r="I27" s="165">
        <f t="shared" si="6"/>
        <v>-6236193</v>
      </c>
      <c r="J27" s="165">
        <f t="shared" si="6"/>
        <v>-6236193</v>
      </c>
      <c r="K27" s="165">
        <f t="shared" si="6"/>
        <v>-6236193</v>
      </c>
      <c r="L27" s="165">
        <f t="shared" si="6"/>
        <v>-6236193</v>
      </c>
      <c r="M27" s="165">
        <f t="shared" si="6"/>
        <v>73409031</v>
      </c>
      <c r="N27" s="166"/>
      <c r="O27" s="154">
        <f>+O17-O26</f>
        <v>0</v>
      </c>
    </row>
    <row r="28" spans="1:16" ht="18" customHeight="1" x14ac:dyDescent="0.2">
      <c r="A28" s="164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6"/>
      <c r="O28" s="154"/>
    </row>
    <row r="29" spans="1:16" ht="18" customHeight="1" x14ac:dyDescent="0.2">
      <c r="A29" s="164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6"/>
      <c r="O29" s="154"/>
    </row>
    <row r="30" spans="1:16" ht="18" customHeight="1" x14ac:dyDescent="0.2">
      <c r="A30" s="164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6"/>
      <c r="O30" s="154"/>
    </row>
    <row r="31" spans="1:16" ht="18" customHeight="1" x14ac:dyDescent="0.2">
      <c r="A31" s="164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6"/>
      <c r="O31" s="154"/>
    </row>
    <row r="32" spans="1:16" ht="18" customHeight="1" x14ac:dyDescent="0.2">
      <c r="A32" s="164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6"/>
      <c r="O32" s="154"/>
    </row>
    <row r="33" spans="1:15" ht="18" customHeight="1" x14ac:dyDescent="0.2">
      <c r="A33" s="164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6"/>
      <c r="O33" s="154"/>
    </row>
    <row r="34" spans="1:15" ht="18" customHeight="1" x14ac:dyDescent="0.2">
      <c r="A34" s="164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6"/>
      <c r="O34" s="154"/>
    </row>
    <row r="35" spans="1:15" ht="18" customHeight="1" x14ac:dyDescent="0.2">
      <c r="A35" s="164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6"/>
      <c r="O35" s="154"/>
    </row>
    <row r="36" spans="1:15" x14ac:dyDescent="0.2"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</row>
    <row r="42" spans="1:15" x14ac:dyDescent="0.2">
      <c r="A42" s="155"/>
    </row>
    <row r="43" spans="1:15" x14ac:dyDescent="0.2">
      <c r="A43" s="155"/>
    </row>
    <row r="44" spans="1:15" x14ac:dyDescent="0.2">
      <c r="A44" s="155"/>
    </row>
    <row r="45" spans="1:15" x14ac:dyDescent="0.2">
      <c r="A45" s="155"/>
    </row>
    <row r="46" spans="1:15" x14ac:dyDescent="0.2">
      <c r="A46" s="155"/>
    </row>
    <row r="47" spans="1:15" x14ac:dyDescent="0.2">
      <c r="A47" s="155"/>
    </row>
    <row r="48" spans="1:15" x14ac:dyDescent="0.2">
      <c r="A48" s="155"/>
    </row>
    <row r="49" spans="1:17" x14ac:dyDescent="0.2">
      <c r="A49" s="155"/>
    </row>
    <row r="50" spans="1:17" x14ac:dyDescent="0.2">
      <c r="A50" s="155"/>
    </row>
    <row r="51" spans="1:17" x14ac:dyDescent="0.2">
      <c r="A51" s="155"/>
    </row>
    <row r="52" spans="1:17" x14ac:dyDescent="0.2">
      <c r="A52" s="155"/>
    </row>
    <row r="53" spans="1:17" x14ac:dyDescent="0.2">
      <c r="A53" s="155"/>
      <c r="Q53" s="30">
        <f>+O53+O43</f>
        <v>0</v>
      </c>
    </row>
    <row r="54" spans="1:17" x14ac:dyDescent="0.2">
      <c r="A54" s="155"/>
    </row>
    <row r="55" spans="1:17" x14ac:dyDescent="0.2">
      <c r="A55" s="155"/>
    </row>
    <row r="56" spans="1:17" x14ac:dyDescent="0.2">
      <c r="A56" s="155"/>
    </row>
    <row r="57" spans="1:17" x14ac:dyDescent="0.2">
      <c r="A57" s="155"/>
    </row>
    <row r="58" spans="1:17" x14ac:dyDescent="0.2">
      <c r="A58" s="155"/>
    </row>
    <row r="59" spans="1:17" x14ac:dyDescent="0.2">
      <c r="A59" s="155"/>
    </row>
    <row r="60" spans="1:17" x14ac:dyDescent="0.2">
      <c r="A60" s="155"/>
    </row>
    <row r="61" spans="1:17" x14ac:dyDescent="0.2">
      <c r="A61" s="155"/>
    </row>
    <row r="62" spans="1:17" x14ac:dyDescent="0.2">
      <c r="A62" s="155"/>
    </row>
    <row r="66" spans="12:12" x14ac:dyDescent="0.2">
      <c r="L66" s="156"/>
    </row>
  </sheetData>
  <mergeCells count="4">
    <mergeCell ref="A1:N1"/>
    <mergeCell ref="M5:N5"/>
    <mergeCell ref="A3:N4"/>
    <mergeCell ref="A2:N2"/>
  </mergeCells>
  <phoneticPr fontId="3" type="noConversion"/>
  <printOptions horizontalCentered="1"/>
  <pageMargins left="0.19685039370078741" right="0.17" top="0.71" bottom="0.6692913385826772" header="0.51181102362204722" footer="0.51181102362204722"/>
  <pageSetup paperSize="9" scale="74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85"/>
  <sheetViews>
    <sheetView tabSelected="1" view="pageBreakPreview" topLeftCell="A6" zoomScale="86" zoomScaleNormal="86" zoomScaleSheetLayoutView="86" workbookViewId="0">
      <selection activeCell="F21" sqref="F21"/>
    </sheetView>
  </sheetViews>
  <sheetFormatPr defaultRowHeight="12.75" x14ac:dyDescent="0.2"/>
  <cols>
    <col min="3" max="3" width="60.7109375" bestFit="1" customWidth="1"/>
    <col min="4" max="4" width="17" bestFit="1" customWidth="1"/>
    <col min="5" max="5" width="14" bestFit="1" customWidth="1"/>
    <col min="6" max="6" width="12.42578125" bestFit="1" customWidth="1"/>
  </cols>
  <sheetData>
    <row r="1" spans="1:6" ht="18.75" x14ac:dyDescent="0.3">
      <c r="A1" s="507" t="s">
        <v>321</v>
      </c>
      <c r="B1" s="524"/>
      <c r="C1" s="524"/>
      <c r="D1" s="524"/>
      <c r="E1" s="524"/>
      <c r="F1" s="524"/>
    </row>
    <row r="2" spans="1:6" ht="15.75" x14ac:dyDescent="0.2">
      <c r="A2" s="457"/>
      <c r="B2" s="457"/>
      <c r="C2" s="457"/>
      <c r="D2" s="457"/>
      <c r="E2" s="457"/>
      <c r="F2" s="457"/>
    </row>
    <row r="3" spans="1:6" ht="15.75" x14ac:dyDescent="0.25">
      <c r="A3" s="508" t="s">
        <v>249</v>
      </c>
      <c r="B3" s="508"/>
      <c r="C3" s="508"/>
      <c r="D3" s="508"/>
      <c r="E3" s="508"/>
      <c r="F3" s="508"/>
    </row>
    <row r="4" spans="1:6" ht="15.75" x14ac:dyDescent="0.2">
      <c r="A4" s="457" t="s">
        <v>342</v>
      </c>
      <c r="B4" s="457"/>
      <c r="C4" s="457"/>
      <c r="D4" s="457"/>
      <c r="E4" s="457"/>
      <c r="F4" s="457"/>
    </row>
    <row r="5" spans="1:6" ht="16.5" thickBot="1" x14ac:dyDescent="0.3">
      <c r="A5" s="509" t="s">
        <v>312</v>
      </c>
      <c r="B5" s="509"/>
      <c r="C5" s="509"/>
      <c r="D5" s="509"/>
      <c r="E5" s="509"/>
      <c r="F5" s="509"/>
    </row>
    <row r="6" spans="1:6" ht="12.75" customHeight="1" x14ac:dyDescent="0.2">
      <c r="A6" s="512" t="s">
        <v>200</v>
      </c>
      <c r="B6" s="503" t="s">
        <v>186</v>
      </c>
      <c r="C6" s="503"/>
      <c r="D6" s="516">
        <v>2017</v>
      </c>
      <c r="E6" s="518">
        <v>2018</v>
      </c>
      <c r="F6" s="521">
        <v>2019</v>
      </c>
    </row>
    <row r="7" spans="1:6" ht="35.25" customHeight="1" x14ac:dyDescent="0.2">
      <c r="A7" s="513"/>
      <c r="B7" s="504"/>
      <c r="C7" s="504"/>
      <c r="D7" s="517"/>
      <c r="E7" s="519"/>
      <c r="F7" s="522"/>
    </row>
    <row r="8" spans="1:6" ht="21" customHeight="1" thickBot="1" x14ac:dyDescent="0.25">
      <c r="A8" s="514"/>
      <c r="B8" s="515"/>
      <c r="C8" s="515"/>
      <c r="D8" s="520" t="s">
        <v>275</v>
      </c>
      <c r="E8" s="517"/>
      <c r="F8" s="506"/>
    </row>
    <row r="9" spans="1:6" ht="15.75" x14ac:dyDescent="0.2">
      <c r="A9" s="349"/>
      <c r="B9" s="503" t="s">
        <v>201</v>
      </c>
      <c r="C9" s="503"/>
      <c r="D9" s="275"/>
      <c r="E9" s="268"/>
      <c r="F9" s="193"/>
    </row>
    <row r="10" spans="1:6" ht="15.75" x14ac:dyDescent="0.2">
      <c r="A10" s="9">
        <v>1</v>
      </c>
      <c r="B10" s="498" t="s">
        <v>187</v>
      </c>
      <c r="C10" s="498"/>
      <c r="D10" s="269">
        <v>92326</v>
      </c>
      <c r="E10" s="269">
        <v>92326</v>
      </c>
      <c r="F10" s="325">
        <v>92326</v>
      </c>
    </row>
    <row r="11" spans="1:6" ht="15.75" x14ac:dyDescent="0.2">
      <c r="A11" s="9">
        <v>2</v>
      </c>
      <c r="B11" s="498" t="s">
        <v>196</v>
      </c>
      <c r="C11" s="498"/>
      <c r="D11" s="269">
        <v>24003</v>
      </c>
      <c r="E11" s="269">
        <v>24003</v>
      </c>
      <c r="F11" s="325">
        <v>24003</v>
      </c>
    </row>
    <row r="12" spans="1:6" ht="15.75" x14ac:dyDescent="0.2">
      <c r="A12" s="9">
        <v>3</v>
      </c>
      <c r="B12" s="498" t="s">
        <v>197</v>
      </c>
      <c r="C12" s="498"/>
      <c r="D12" s="269">
        <v>70030</v>
      </c>
      <c r="E12" s="269">
        <v>70030</v>
      </c>
      <c r="F12" s="325">
        <v>70030</v>
      </c>
    </row>
    <row r="13" spans="1:6" ht="15.75" x14ac:dyDescent="0.2">
      <c r="A13" s="9" t="s">
        <v>45</v>
      </c>
      <c r="B13" s="498" t="s">
        <v>179</v>
      </c>
      <c r="C13" s="498"/>
      <c r="D13" s="280"/>
      <c r="E13" s="280"/>
      <c r="F13" s="325"/>
    </row>
    <row r="14" spans="1:6" ht="15.75" x14ac:dyDescent="0.2">
      <c r="A14" s="9" t="s">
        <v>47</v>
      </c>
      <c r="B14" s="499" t="s">
        <v>173</v>
      </c>
      <c r="C14" s="499"/>
      <c r="D14" s="281">
        <f>+D15+D16+D17+D18+D19</f>
        <v>16718</v>
      </c>
      <c r="E14" s="281">
        <f t="shared" ref="E14:F14" si="0">+E15+E16+E17+E18+E19</f>
        <v>16718</v>
      </c>
      <c r="F14" s="320">
        <f t="shared" si="0"/>
        <v>16718</v>
      </c>
    </row>
    <row r="15" spans="1:6" ht="15.75" x14ac:dyDescent="0.2">
      <c r="A15" s="9" t="s">
        <v>165</v>
      </c>
      <c r="B15" s="491" t="s">
        <v>168</v>
      </c>
      <c r="C15" s="491"/>
      <c r="D15" s="280"/>
      <c r="E15" s="280"/>
      <c r="F15" s="325"/>
    </row>
    <row r="16" spans="1:6" ht="15.75" x14ac:dyDescent="0.2">
      <c r="A16" s="9" t="s">
        <v>166</v>
      </c>
      <c r="B16" s="491" t="s">
        <v>238</v>
      </c>
      <c r="C16" s="491"/>
      <c r="D16" s="280">
        <v>5963</v>
      </c>
      <c r="E16" s="280">
        <v>5963</v>
      </c>
      <c r="F16" s="325">
        <v>5963</v>
      </c>
    </row>
    <row r="17" spans="1:6" ht="15.75" x14ac:dyDescent="0.25">
      <c r="A17" s="9"/>
      <c r="B17" s="525"/>
      <c r="C17" s="526"/>
      <c r="D17" s="280"/>
      <c r="E17" s="280"/>
      <c r="F17" s="325"/>
    </row>
    <row r="18" spans="1:6" ht="15.75" x14ac:dyDescent="0.2">
      <c r="A18" s="9" t="s">
        <v>167</v>
      </c>
      <c r="B18" s="468" t="s">
        <v>169</v>
      </c>
      <c r="C18" s="468"/>
      <c r="D18" s="280">
        <v>10755</v>
      </c>
      <c r="E18" s="280">
        <v>10755</v>
      </c>
      <c r="F18" s="325">
        <v>10755</v>
      </c>
    </row>
    <row r="19" spans="1:6" ht="15.75" x14ac:dyDescent="0.2">
      <c r="A19" s="9" t="s">
        <v>73</v>
      </c>
      <c r="B19" s="468" t="s">
        <v>305</v>
      </c>
      <c r="C19" s="493"/>
      <c r="D19" s="280"/>
      <c r="E19" s="280"/>
      <c r="F19" s="325"/>
    </row>
    <row r="20" spans="1:6" ht="15.75" x14ac:dyDescent="0.2">
      <c r="A20" s="9"/>
      <c r="B20" s="498" t="s">
        <v>337</v>
      </c>
      <c r="C20" s="498"/>
      <c r="D20" s="280">
        <v>647</v>
      </c>
      <c r="E20" s="280">
        <v>244</v>
      </c>
      <c r="F20" s="325">
        <v>148</v>
      </c>
    </row>
    <row r="21" spans="1:6" ht="15.75" x14ac:dyDescent="0.25">
      <c r="A21" s="9"/>
      <c r="B21" s="498" t="s">
        <v>335</v>
      </c>
      <c r="C21" s="498"/>
      <c r="D21" s="282">
        <v>35325</v>
      </c>
      <c r="E21" s="282">
        <v>35325</v>
      </c>
      <c r="F21" s="354">
        <v>35325</v>
      </c>
    </row>
    <row r="22" spans="1:6" ht="15.75" x14ac:dyDescent="0.2">
      <c r="A22" s="9" t="s">
        <v>193</v>
      </c>
      <c r="B22" s="347" t="s">
        <v>164</v>
      </c>
      <c r="C22" s="150"/>
      <c r="D22" s="280">
        <f>+D10+D11+D12+D13+D14+D21+D20</f>
        <v>239049</v>
      </c>
      <c r="E22" s="280">
        <f t="shared" ref="E22:F22" si="1">+E10+E11+E12+E13+E14+E21+E20</f>
        <v>238646</v>
      </c>
      <c r="F22" s="325">
        <f t="shared" si="1"/>
        <v>238550</v>
      </c>
    </row>
    <row r="23" spans="1:6" ht="15.75" x14ac:dyDescent="0.25">
      <c r="A23" s="9" t="s">
        <v>48</v>
      </c>
      <c r="B23" s="498" t="s">
        <v>189</v>
      </c>
      <c r="C23" s="498"/>
      <c r="D23" s="270"/>
      <c r="E23" s="270"/>
      <c r="F23" s="354"/>
    </row>
    <row r="24" spans="1:6" ht="15.75" x14ac:dyDescent="0.25">
      <c r="A24" s="9" t="s">
        <v>49</v>
      </c>
      <c r="B24" s="498" t="s">
        <v>188</v>
      </c>
      <c r="C24" s="498"/>
      <c r="D24" s="270"/>
      <c r="E24" s="270"/>
      <c r="F24" s="354"/>
    </row>
    <row r="25" spans="1:6" ht="15.75" x14ac:dyDescent="0.25">
      <c r="A25" s="9" t="s">
        <v>51</v>
      </c>
      <c r="B25" s="498" t="s">
        <v>306</v>
      </c>
      <c r="C25" s="498"/>
      <c r="D25" s="270"/>
      <c r="E25" s="270"/>
      <c r="F25" s="354"/>
    </row>
    <row r="26" spans="1:6" ht="15.75" x14ac:dyDescent="0.25">
      <c r="A26" s="9" t="s">
        <v>194</v>
      </c>
      <c r="B26" s="498" t="s">
        <v>235</v>
      </c>
      <c r="C26" s="498"/>
      <c r="D26" s="270">
        <f>SUM(D23:D25)</f>
        <v>0</v>
      </c>
      <c r="E26" s="270">
        <f t="shared" ref="E26:F26" si="2">SUM(E23:E25)</f>
        <v>0</v>
      </c>
      <c r="F26" s="354">
        <f t="shared" si="2"/>
        <v>0</v>
      </c>
    </row>
    <row r="27" spans="1:6" ht="15.75" x14ac:dyDescent="0.25">
      <c r="A27" s="9" t="s">
        <v>195</v>
      </c>
      <c r="B27" s="498"/>
      <c r="C27" s="498"/>
      <c r="D27" s="270"/>
      <c r="E27" s="270"/>
      <c r="F27" s="354"/>
    </row>
    <row r="28" spans="1:6" ht="15.75" x14ac:dyDescent="0.25">
      <c r="A28" s="9" t="s">
        <v>180</v>
      </c>
      <c r="B28" s="528"/>
      <c r="C28" s="528"/>
      <c r="D28" s="271"/>
      <c r="E28" s="271"/>
      <c r="F28" s="323"/>
    </row>
    <row r="29" spans="1:6" ht="15.75" x14ac:dyDescent="0.25">
      <c r="A29" s="9" t="s">
        <v>181</v>
      </c>
      <c r="B29" s="528"/>
      <c r="C29" s="528"/>
      <c r="D29" s="314"/>
      <c r="E29" s="314"/>
      <c r="F29" s="355"/>
    </row>
    <row r="30" spans="1:6" ht="19.5" x14ac:dyDescent="0.3">
      <c r="A30" s="152" t="s">
        <v>171</v>
      </c>
      <c r="B30" s="484" t="s">
        <v>172</v>
      </c>
      <c r="C30" s="484"/>
      <c r="D30" s="288">
        <f>+D22+D26+D27+D28+D29</f>
        <v>239049</v>
      </c>
      <c r="E30" s="288">
        <f t="shared" ref="E30:F30" si="3">+E22+E26+E27+E28+E29</f>
        <v>238646</v>
      </c>
      <c r="F30" s="318">
        <f t="shared" si="3"/>
        <v>238550</v>
      </c>
    </row>
    <row r="31" spans="1:6" ht="15.75" x14ac:dyDescent="0.25">
      <c r="A31" s="18"/>
      <c r="B31" s="483"/>
      <c r="C31" s="483"/>
      <c r="D31" s="313"/>
      <c r="E31" s="19"/>
      <c r="F31" s="356"/>
    </row>
    <row r="32" spans="1:6" ht="15.75" x14ac:dyDescent="0.25">
      <c r="A32" s="9"/>
      <c r="B32" s="482" t="s">
        <v>202</v>
      </c>
      <c r="C32" s="482"/>
      <c r="D32" s="289"/>
      <c r="E32" s="315"/>
      <c r="F32" s="14"/>
    </row>
    <row r="33" spans="1:6" ht="15.75" x14ac:dyDescent="0.25">
      <c r="A33" s="9" t="s">
        <v>29</v>
      </c>
      <c r="B33" s="469" t="s">
        <v>233</v>
      </c>
      <c r="C33" s="469"/>
      <c r="D33" s="290">
        <v>10512</v>
      </c>
      <c r="E33" s="290">
        <v>10512</v>
      </c>
      <c r="F33" s="357">
        <v>10512</v>
      </c>
    </row>
    <row r="34" spans="1:6" ht="15.75" x14ac:dyDescent="0.25">
      <c r="A34" s="9" t="s">
        <v>43</v>
      </c>
      <c r="B34" s="469" t="s">
        <v>198</v>
      </c>
      <c r="C34" s="469"/>
      <c r="D34" s="290">
        <f>SUM(D35:D37)</f>
        <v>36669</v>
      </c>
      <c r="E34" s="291">
        <f>SUM(E35:E37)</f>
        <v>36669</v>
      </c>
      <c r="F34" s="295">
        <f>SUM(F35:F37)</f>
        <v>36669</v>
      </c>
    </row>
    <row r="35" spans="1:6" ht="15.75" x14ac:dyDescent="0.25">
      <c r="A35" s="9"/>
      <c r="B35" s="221" t="s">
        <v>75</v>
      </c>
      <c r="C35" s="131" t="s">
        <v>175</v>
      </c>
      <c r="D35" s="290">
        <v>31600</v>
      </c>
      <c r="E35" s="290">
        <v>31600</v>
      </c>
      <c r="F35" s="357">
        <v>31600</v>
      </c>
    </row>
    <row r="36" spans="1:6" ht="15.75" x14ac:dyDescent="0.25">
      <c r="A36" s="9"/>
      <c r="B36" s="221" t="s">
        <v>76</v>
      </c>
      <c r="C36" s="131" t="s">
        <v>176</v>
      </c>
      <c r="D36" s="290">
        <v>4500</v>
      </c>
      <c r="E36" s="290">
        <v>4500</v>
      </c>
      <c r="F36" s="357">
        <v>4500</v>
      </c>
    </row>
    <row r="37" spans="1:6" ht="15.75" x14ac:dyDescent="0.25">
      <c r="A37" s="9"/>
      <c r="B37" s="221" t="s">
        <v>77</v>
      </c>
      <c r="C37" s="131" t="s">
        <v>177</v>
      </c>
      <c r="D37" s="290">
        <v>569</v>
      </c>
      <c r="E37" s="290">
        <v>569</v>
      </c>
      <c r="F37" s="357">
        <v>569</v>
      </c>
    </row>
    <row r="38" spans="1:6" ht="15.75" x14ac:dyDescent="0.25">
      <c r="A38" s="9" t="s">
        <v>44</v>
      </c>
      <c r="B38" s="469" t="s">
        <v>143</v>
      </c>
      <c r="C38" s="469"/>
      <c r="D38" s="294">
        <f>SUM(D39:D41)</f>
        <v>130054</v>
      </c>
      <c r="E38" s="291">
        <f>SUM(E39:E41)</f>
        <v>130054</v>
      </c>
      <c r="F38" s="358">
        <f>SUM(F39:F41)</f>
        <v>130054</v>
      </c>
    </row>
    <row r="39" spans="1:6" ht="15.75" x14ac:dyDescent="0.25">
      <c r="A39" s="9"/>
      <c r="B39" s="222" t="s">
        <v>78</v>
      </c>
      <c r="C39" s="348" t="s">
        <v>236</v>
      </c>
      <c r="D39" s="294">
        <v>128426</v>
      </c>
      <c r="E39" s="294">
        <v>128426</v>
      </c>
      <c r="F39" s="359">
        <v>128426</v>
      </c>
    </row>
    <row r="40" spans="1:6" ht="15.75" x14ac:dyDescent="0.25">
      <c r="A40" s="9"/>
      <c r="B40" s="222" t="s">
        <v>79</v>
      </c>
      <c r="C40" s="348" t="s">
        <v>81</v>
      </c>
      <c r="D40" s="294">
        <f>SUM(E40:F40)</f>
        <v>0</v>
      </c>
      <c r="E40" s="294">
        <f t="shared" ref="E40:F40" si="4">SUM(F40:G40)</f>
        <v>0</v>
      </c>
      <c r="F40" s="359">
        <f t="shared" si="4"/>
        <v>0</v>
      </c>
    </row>
    <row r="41" spans="1:6" ht="15.75" x14ac:dyDescent="0.25">
      <c r="A41" s="9"/>
      <c r="B41" s="222" t="s">
        <v>80</v>
      </c>
      <c r="C41" s="348" t="s">
        <v>237</v>
      </c>
      <c r="D41" s="294">
        <v>1628</v>
      </c>
      <c r="E41" s="294">
        <v>1628</v>
      </c>
      <c r="F41" s="359">
        <v>1628</v>
      </c>
    </row>
    <row r="42" spans="1:6" ht="15.75" x14ac:dyDescent="0.25">
      <c r="A42" s="9" t="s">
        <v>45</v>
      </c>
      <c r="B42" s="469" t="s">
        <v>144</v>
      </c>
      <c r="C42" s="469"/>
      <c r="D42" s="291">
        <f>SUM(D43:D46)</f>
        <v>16827</v>
      </c>
      <c r="E42" s="291">
        <f>SUM(E43:E46)</f>
        <v>16827</v>
      </c>
      <c r="F42" s="295">
        <f>SUM(F43:F46)</f>
        <v>16827</v>
      </c>
    </row>
    <row r="43" spans="1:6" ht="15.75" x14ac:dyDescent="0.25">
      <c r="A43" s="9"/>
      <c r="B43" s="222" t="s">
        <v>82</v>
      </c>
      <c r="C43" s="348" t="s">
        <v>86</v>
      </c>
      <c r="D43" s="294">
        <v>15606</v>
      </c>
      <c r="E43" s="291">
        <v>15606</v>
      </c>
      <c r="F43" s="359">
        <v>15606</v>
      </c>
    </row>
    <row r="44" spans="1:6" ht="15.75" x14ac:dyDescent="0.25">
      <c r="A44" s="9"/>
      <c r="B44" s="222" t="s">
        <v>83</v>
      </c>
      <c r="C44" s="348" t="s">
        <v>87</v>
      </c>
      <c r="D44" s="294"/>
      <c r="E44" s="340"/>
      <c r="F44" s="359"/>
    </row>
    <row r="45" spans="1:6" ht="15.75" x14ac:dyDescent="0.25">
      <c r="A45" s="9"/>
      <c r="B45" s="222" t="s">
        <v>84</v>
      </c>
      <c r="C45" s="348" t="s">
        <v>271</v>
      </c>
      <c r="D45" s="294">
        <v>1221</v>
      </c>
      <c r="E45" s="342">
        <v>1221</v>
      </c>
      <c r="F45" s="359">
        <v>1221</v>
      </c>
    </row>
    <row r="46" spans="1:6" ht="15.75" x14ac:dyDescent="0.25">
      <c r="A46" s="9"/>
      <c r="B46" s="222" t="s">
        <v>85</v>
      </c>
      <c r="C46" s="348" t="s">
        <v>88</v>
      </c>
      <c r="D46" s="294"/>
      <c r="E46" s="291"/>
      <c r="F46" s="358">
        <f>SUM(D46:D46)</f>
        <v>0</v>
      </c>
    </row>
    <row r="47" spans="1:6" ht="15.75" x14ac:dyDescent="0.25">
      <c r="A47" s="223" t="s">
        <v>193</v>
      </c>
      <c r="B47" s="523" t="s">
        <v>89</v>
      </c>
      <c r="C47" s="523"/>
      <c r="D47" s="294">
        <f>+D33+D34+D38+D42</f>
        <v>194062</v>
      </c>
      <c r="E47" s="294">
        <f>+E33+E34+E38+E42</f>
        <v>194062</v>
      </c>
      <c r="F47" s="359">
        <f>+F33+F34+F38+F42</f>
        <v>194062</v>
      </c>
    </row>
    <row r="48" spans="1:6" ht="15.75" x14ac:dyDescent="0.25">
      <c r="A48" s="9" t="s">
        <v>47</v>
      </c>
      <c r="B48" s="469" t="s">
        <v>190</v>
      </c>
      <c r="C48" s="469"/>
      <c r="D48" s="291">
        <f>SUM(D49:D51)</f>
        <v>11085</v>
      </c>
      <c r="E48" s="291">
        <f t="shared" ref="E48:F48" si="5">SUM(E49:E51)</f>
        <v>10682</v>
      </c>
      <c r="F48" s="295">
        <f t="shared" si="5"/>
        <v>10586</v>
      </c>
    </row>
    <row r="49" spans="1:6" ht="15.75" x14ac:dyDescent="0.25">
      <c r="A49" s="9"/>
      <c r="B49" s="222" t="s">
        <v>90</v>
      </c>
      <c r="C49" s="348" t="s">
        <v>92</v>
      </c>
      <c r="D49" s="294">
        <v>2350</v>
      </c>
      <c r="E49" s="294">
        <v>1947</v>
      </c>
      <c r="F49" s="359">
        <v>1851</v>
      </c>
    </row>
    <row r="50" spans="1:6" ht="15.75" x14ac:dyDescent="0.25">
      <c r="A50" s="9"/>
      <c r="B50" s="222" t="s">
        <v>91</v>
      </c>
      <c r="C50" s="348" t="s">
        <v>1</v>
      </c>
      <c r="D50" s="294">
        <v>8735</v>
      </c>
      <c r="E50" s="294">
        <v>8735</v>
      </c>
      <c r="F50" s="359">
        <v>8735</v>
      </c>
    </row>
    <row r="51" spans="1:6" ht="15.75" x14ac:dyDescent="0.25">
      <c r="A51" s="9" t="s">
        <v>48</v>
      </c>
      <c r="B51" s="469" t="s">
        <v>146</v>
      </c>
      <c r="C51" s="469"/>
      <c r="D51" s="294">
        <f>SUM(D52:D53)</f>
        <v>0</v>
      </c>
      <c r="E51" s="291">
        <f>SUM(E52:E53)</f>
        <v>0</v>
      </c>
      <c r="F51" s="358">
        <f t="shared" ref="F51:F57" si="6">SUM(D51:D51)</f>
        <v>0</v>
      </c>
    </row>
    <row r="52" spans="1:6" ht="15.75" x14ac:dyDescent="0.25">
      <c r="A52" s="9"/>
      <c r="B52" s="222" t="s">
        <v>93</v>
      </c>
      <c r="C52" s="348" t="s">
        <v>95</v>
      </c>
      <c r="D52" s="294"/>
      <c r="E52" s="291"/>
      <c r="F52" s="358">
        <f t="shared" si="6"/>
        <v>0</v>
      </c>
    </row>
    <row r="53" spans="1:6" ht="15.75" x14ac:dyDescent="0.25">
      <c r="A53" s="9"/>
      <c r="B53" s="222" t="s">
        <v>94</v>
      </c>
      <c r="C53" s="348" t="s">
        <v>96</v>
      </c>
      <c r="D53" s="294">
        <v>0</v>
      </c>
      <c r="E53" s="291"/>
      <c r="F53" s="358">
        <f t="shared" si="6"/>
        <v>0</v>
      </c>
    </row>
    <row r="54" spans="1:6" ht="15.75" x14ac:dyDescent="0.25">
      <c r="A54" s="9" t="s">
        <v>49</v>
      </c>
      <c r="B54" s="469" t="s">
        <v>147</v>
      </c>
      <c r="C54" s="469"/>
      <c r="D54" s="294">
        <f>SUM(D55:D57)</f>
        <v>0</v>
      </c>
      <c r="E54" s="291">
        <f>SUM(E55:E57)</f>
        <v>0</v>
      </c>
      <c r="F54" s="358">
        <f>SUM(F55:F57)</f>
        <v>0</v>
      </c>
    </row>
    <row r="55" spans="1:6" ht="15.75" x14ac:dyDescent="0.25">
      <c r="A55" s="9"/>
      <c r="B55" s="222" t="s">
        <v>97</v>
      </c>
      <c r="C55" s="348" t="s">
        <v>100</v>
      </c>
      <c r="D55" s="294">
        <v>0</v>
      </c>
      <c r="E55" s="291"/>
      <c r="F55" s="358"/>
    </row>
    <row r="56" spans="1:6" ht="15.75" x14ac:dyDescent="0.25">
      <c r="A56" s="9"/>
      <c r="B56" s="222" t="s">
        <v>98</v>
      </c>
      <c r="C56" s="348" t="s">
        <v>2</v>
      </c>
      <c r="D56" s="294"/>
      <c r="E56" s="291"/>
      <c r="F56" s="358">
        <f t="shared" si="6"/>
        <v>0</v>
      </c>
    </row>
    <row r="57" spans="1:6" ht="15.75" x14ac:dyDescent="0.25">
      <c r="A57" s="9"/>
      <c r="B57" s="222" t="s">
        <v>99</v>
      </c>
      <c r="C57" s="348" t="s">
        <v>101</v>
      </c>
      <c r="D57" s="294"/>
      <c r="E57" s="291"/>
      <c r="F57" s="358">
        <f t="shared" si="6"/>
        <v>0</v>
      </c>
    </row>
    <row r="58" spans="1:6" ht="15.75" x14ac:dyDescent="0.25">
      <c r="A58" s="223" t="s">
        <v>194</v>
      </c>
      <c r="B58" s="523" t="s">
        <v>215</v>
      </c>
      <c r="C58" s="523"/>
      <c r="D58" s="294">
        <f>+D48+D51+D54</f>
        <v>11085</v>
      </c>
      <c r="E58" s="302">
        <f>+E48+E51+E54</f>
        <v>10682</v>
      </c>
      <c r="F58" s="359">
        <f>+F48+F51+F54</f>
        <v>10586</v>
      </c>
    </row>
    <row r="59" spans="1:6" ht="15.75" x14ac:dyDescent="0.25">
      <c r="A59" s="223" t="s">
        <v>195</v>
      </c>
      <c r="B59" s="523" t="s">
        <v>148</v>
      </c>
      <c r="C59" s="523"/>
      <c r="D59" s="304"/>
      <c r="E59" s="297"/>
      <c r="F59" s="360"/>
    </row>
    <row r="60" spans="1:6" ht="15.75" x14ac:dyDescent="0.25">
      <c r="A60" s="223" t="s">
        <v>180</v>
      </c>
      <c r="B60" s="523" t="s">
        <v>21</v>
      </c>
      <c r="C60" s="523"/>
      <c r="D60" s="304"/>
      <c r="E60" s="297"/>
      <c r="F60" s="360"/>
    </row>
    <row r="61" spans="1:6" ht="18.75" x14ac:dyDescent="0.3">
      <c r="A61" s="152" t="s">
        <v>149</v>
      </c>
      <c r="B61" s="461" t="s">
        <v>150</v>
      </c>
      <c r="C61" s="461"/>
      <c r="D61" s="300">
        <f>+D47+D58+D59+D60</f>
        <v>205147</v>
      </c>
      <c r="E61" s="303">
        <f>+E47+E58+E59+E60</f>
        <v>204744</v>
      </c>
      <c r="F61" s="361">
        <f>+F47+F58+F59+F60</f>
        <v>204648</v>
      </c>
    </row>
    <row r="62" spans="1:6" ht="18.75" x14ac:dyDescent="0.3">
      <c r="A62" s="152"/>
      <c r="B62" s="461" t="s">
        <v>151</v>
      </c>
      <c r="C62" s="461"/>
      <c r="D62" s="288">
        <f>+D30-D61</f>
        <v>33902</v>
      </c>
      <c r="E62" s="284">
        <f>+E30-E61</f>
        <v>33902</v>
      </c>
      <c r="F62" s="318">
        <f>+F30-F61</f>
        <v>33902</v>
      </c>
    </row>
    <row r="63" spans="1:6" ht="18.75" x14ac:dyDescent="0.3">
      <c r="A63" s="152"/>
      <c r="B63" s="523" t="s">
        <v>277</v>
      </c>
      <c r="C63" s="523"/>
      <c r="D63" s="288">
        <v>97601</v>
      </c>
      <c r="E63" s="288">
        <v>97601</v>
      </c>
      <c r="F63" s="318">
        <v>97601</v>
      </c>
    </row>
    <row r="64" spans="1:6" ht="15.75" x14ac:dyDescent="0.25">
      <c r="A64" s="223" t="s">
        <v>181</v>
      </c>
      <c r="B64" s="523" t="s">
        <v>152</v>
      </c>
      <c r="C64" s="523"/>
      <c r="D64" s="289">
        <v>39140</v>
      </c>
      <c r="E64" s="289">
        <f>SUM(E65:E66)</f>
        <v>39140</v>
      </c>
      <c r="F64" s="321">
        <f>SUM(F65:F66)</f>
        <v>39140</v>
      </c>
    </row>
    <row r="65" spans="1:6" ht="18.75" x14ac:dyDescent="0.3">
      <c r="A65" s="152"/>
      <c r="B65" s="263" t="s">
        <v>29</v>
      </c>
      <c r="C65" s="348" t="s">
        <v>102</v>
      </c>
      <c r="D65" s="289">
        <v>39140</v>
      </c>
      <c r="E65" s="282">
        <v>39140</v>
      </c>
      <c r="F65" s="362">
        <v>39140</v>
      </c>
    </row>
    <row r="66" spans="1:6" ht="18.75" x14ac:dyDescent="0.3">
      <c r="A66" s="152"/>
      <c r="B66" s="263" t="s">
        <v>43</v>
      </c>
      <c r="C66" s="348" t="s">
        <v>103</v>
      </c>
      <c r="D66" s="305"/>
      <c r="E66" s="284"/>
      <c r="F66" s="14"/>
    </row>
    <row r="67" spans="1:6" ht="18.75" x14ac:dyDescent="0.3">
      <c r="A67" s="152" t="s">
        <v>153</v>
      </c>
      <c r="B67" s="484" t="s">
        <v>157</v>
      </c>
      <c r="C67" s="484"/>
      <c r="D67" s="284">
        <v>38461</v>
      </c>
      <c r="E67" s="284">
        <v>38461</v>
      </c>
      <c r="F67" s="318">
        <v>38461</v>
      </c>
    </row>
    <row r="68" spans="1:6" ht="18.75" x14ac:dyDescent="0.3">
      <c r="A68" s="9" t="s">
        <v>182</v>
      </c>
      <c r="B68" s="469" t="s">
        <v>154</v>
      </c>
      <c r="C68" s="469"/>
      <c r="D68" s="288"/>
      <c r="E68" s="272"/>
      <c r="F68" s="12">
        <f t="shared" ref="F68:F79" si="7">SUM(D68:E68)</f>
        <v>0</v>
      </c>
    </row>
    <row r="69" spans="1:6" ht="18.75" x14ac:dyDescent="0.3">
      <c r="A69" s="9" t="s">
        <v>183</v>
      </c>
      <c r="B69" s="469" t="s">
        <v>155</v>
      </c>
      <c r="C69" s="469"/>
      <c r="D69" s="288">
        <f>SUM(D70:D73)</f>
        <v>0</v>
      </c>
      <c r="E69" s="272"/>
      <c r="F69" s="12">
        <f t="shared" si="7"/>
        <v>0</v>
      </c>
    </row>
    <row r="70" spans="1:6" ht="18.75" x14ac:dyDescent="0.3">
      <c r="A70" s="9"/>
      <c r="B70" s="222" t="s">
        <v>29</v>
      </c>
      <c r="C70" s="348" t="s">
        <v>104</v>
      </c>
      <c r="D70" s="305"/>
      <c r="E70" s="274"/>
      <c r="F70" s="362">
        <f t="shared" si="7"/>
        <v>0</v>
      </c>
    </row>
    <row r="71" spans="1:6" ht="18.75" x14ac:dyDescent="0.3">
      <c r="A71" s="9"/>
      <c r="B71" s="222" t="s">
        <v>43</v>
      </c>
      <c r="C71" s="348" t="s">
        <v>105</v>
      </c>
      <c r="D71" s="288"/>
      <c r="E71" s="272"/>
      <c r="F71" s="12">
        <f t="shared" si="7"/>
        <v>0</v>
      </c>
    </row>
    <row r="72" spans="1:6" ht="18.75" x14ac:dyDescent="0.3">
      <c r="A72" s="9"/>
      <c r="B72" s="222" t="s">
        <v>44</v>
      </c>
      <c r="C72" s="348" t="s">
        <v>231</v>
      </c>
      <c r="D72" s="305"/>
      <c r="E72" s="272"/>
      <c r="F72" s="12"/>
    </row>
    <row r="73" spans="1:6" ht="18.75" x14ac:dyDescent="0.3">
      <c r="A73" s="9"/>
      <c r="B73" s="222" t="s">
        <v>45</v>
      </c>
      <c r="C73" s="348" t="s">
        <v>232</v>
      </c>
      <c r="D73" s="305"/>
      <c r="E73" s="272"/>
      <c r="F73" s="12"/>
    </row>
    <row r="74" spans="1:6" ht="19.5" x14ac:dyDescent="0.3">
      <c r="A74" s="152" t="s">
        <v>156</v>
      </c>
      <c r="B74" s="527" t="s">
        <v>158</v>
      </c>
      <c r="C74" s="527"/>
      <c r="D74" s="288">
        <f>+D68+D69</f>
        <v>0</v>
      </c>
      <c r="E74" s="272"/>
      <c r="F74" s="12">
        <f t="shared" si="7"/>
        <v>0</v>
      </c>
    </row>
    <row r="75" spans="1:6" ht="18.75" x14ac:dyDescent="0.3">
      <c r="A75" s="152" t="s">
        <v>159</v>
      </c>
      <c r="B75" s="461" t="s">
        <v>160</v>
      </c>
      <c r="C75" s="461"/>
      <c r="D75" s="288">
        <f>+D67+D74</f>
        <v>38461</v>
      </c>
      <c r="E75" s="272">
        <f>+E67+E74</f>
        <v>38461</v>
      </c>
      <c r="F75" s="285">
        <f>+F67+F74</f>
        <v>38461</v>
      </c>
    </row>
    <row r="76" spans="1:6" ht="18.75" x14ac:dyDescent="0.3">
      <c r="A76" s="9" t="s">
        <v>184</v>
      </c>
      <c r="B76" s="469" t="s">
        <v>255</v>
      </c>
      <c r="C76" s="469"/>
      <c r="D76" s="288">
        <v>97601</v>
      </c>
      <c r="E76" s="272">
        <v>97601</v>
      </c>
      <c r="F76" s="12">
        <v>97601</v>
      </c>
    </row>
    <row r="77" spans="1:6" ht="18.75" x14ac:dyDescent="0.3">
      <c r="A77" s="9" t="s">
        <v>185</v>
      </c>
      <c r="B77" s="469" t="s">
        <v>161</v>
      </c>
      <c r="C77" s="469"/>
      <c r="D77" s="305">
        <f>E77+F77</f>
        <v>0</v>
      </c>
      <c r="E77" s="274">
        <f>E78+E79</f>
        <v>0</v>
      </c>
      <c r="F77" s="363">
        <f>F78+F79</f>
        <v>0</v>
      </c>
    </row>
    <row r="78" spans="1:6" ht="18.75" x14ac:dyDescent="0.3">
      <c r="A78" s="9"/>
      <c r="B78" s="222" t="s">
        <v>29</v>
      </c>
      <c r="C78" s="348" t="s">
        <v>227</v>
      </c>
      <c r="D78" s="305"/>
      <c r="E78" s="274"/>
      <c r="F78" s="362">
        <f t="shared" si="7"/>
        <v>0</v>
      </c>
    </row>
    <row r="79" spans="1:6" ht="18.75" x14ac:dyDescent="0.3">
      <c r="A79" s="9"/>
      <c r="B79" s="222" t="s">
        <v>43</v>
      </c>
      <c r="C79" s="348" t="s">
        <v>226</v>
      </c>
      <c r="D79" s="305"/>
      <c r="E79" s="274"/>
      <c r="F79" s="362">
        <f t="shared" si="7"/>
        <v>0</v>
      </c>
    </row>
    <row r="80" spans="1:6" ht="18.75" x14ac:dyDescent="0.3">
      <c r="A80" s="9" t="s">
        <v>319</v>
      </c>
      <c r="B80" s="510" t="s">
        <v>318</v>
      </c>
      <c r="C80" s="511"/>
      <c r="D80" s="305">
        <v>4559</v>
      </c>
      <c r="E80" s="274">
        <v>4559</v>
      </c>
      <c r="F80" s="363">
        <v>4559</v>
      </c>
    </row>
    <row r="81" spans="1:6" ht="18.75" x14ac:dyDescent="0.3">
      <c r="A81" s="152" t="s">
        <v>162</v>
      </c>
      <c r="B81" s="461" t="s">
        <v>163</v>
      </c>
      <c r="C81" s="461"/>
      <c r="D81" s="288">
        <f>+D76+D77+D80</f>
        <v>102160</v>
      </c>
      <c r="E81" s="272">
        <f>+E76+E77+E80</f>
        <v>102160</v>
      </c>
      <c r="F81" s="285">
        <f>+F76+F77+F80</f>
        <v>102160</v>
      </c>
    </row>
    <row r="82" spans="1:6" ht="18.75" x14ac:dyDescent="0.3">
      <c r="A82" s="152" t="s">
        <v>204</v>
      </c>
      <c r="B82" s="461" t="s">
        <v>206</v>
      </c>
      <c r="C82" s="461"/>
      <c r="D82" s="307">
        <f>+D30+D81</f>
        <v>341209</v>
      </c>
      <c r="E82" s="306">
        <f>+E30+E81</f>
        <v>340806</v>
      </c>
      <c r="F82" s="170">
        <f>+F30+F81</f>
        <v>340710</v>
      </c>
    </row>
    <row r="83" spans="1:6" ht="19.5" thickBot="1" x14ac:dyDescent="0.35">
      <c r="A83" s="171" t="s">
        <v>205</v>
      </c>
      <c r="B83" s="172" t="s">
        <v>207</v>
      </c>
      <c r="C83" s="172"/>
      <c r="D83" s="174">
        <f>+D61+D75+D63</f>
        <v>341209</v>
      </c>
      <c r="E83" s="174">
        <f t="shared" ref="E83:F83" si="8">+E61+E75+E63</f>
        <v>340806</v>
      </c>
      <c r="F83" s="174">
        <f t="shared" si="8"/>
        <v>340710</v>
      </c>
    </row>
    <row r="84" spans="1:6" ht="15.75" x14ac:dyDescent="0.2">
      <c r="A84" s="2"/>
      <c r="B84" s="15"/>
      <c r="C84" s="15"/>
      <c r="D84" s="16"/>
      <c r="E84" s="16"/>
      <c r="F84" s="16"/>
    </row>
    <row r="85" spans="1:6" ht="15.75" x14ac:dyDescent="0.2">
      <c r="A85" s="2"/>
      <c r="B85" s="15"/>
      <c r="C85" s="15"/>
      <c r="D85" s="178">
        <f>+D83-D82</f>
        <v>0</v>
      </c>
      <c r="E85" s="178">
        <f>+E83-E82</f>
        <v>0</v>
      </c>
      <c r="F85" s="178">
        <f>+F83-F82</f>
        <v>0</v>
      </c>
    </row>
  </sheetData>
  <mergeCells count="59">
    <mergeCell ref="B81:C81"/>
    <mergeCell ref="B82:C82"/>
    <mergeCell ref="B69:C69"/>
    <mergeCell ref="B74:C74"/>
    <mergeCell ref="B75:C75"/>
    <mergeCell ref="B76:C76"/>
    <mergeCell ref="B77:C77"/>
    <mergeCell ref="B80:C80"/>
    <mergeCell ref="B68:C68"/>
    <mergeCell ref="B48:C48"/>
    <mergeCell ref="B51:C51"/>
    <mergeCell ref="B54:C54"/>
    <mergeCell ref="B58:C58"/>
    <mergeCell ref="B59:C59"/>
    <mergeCell ref="B60:C60"/>
    <mergeCell ref="B61:C61"/>
    <mergeCell ref="B62:C62"/>
    <mergeCell ref="B63:C63"/>
    <mergeCell ref="B64:C64"/>
    <mergeCell ref="B67:C67"/>
    <mergeCell ref="B47:C4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8:C38"/>
    <mergeCell ref="B42:C42"/>
    <mergeCell ref="B9:C9"/>
    <mergeCell ref="B10:C10"/>
    <mergeCell ref="B11:C11"/>
    <mergeCell ref="B12:C12"/>
    <mergeCell ref="B25:C25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3:C23"/>
    <mergeCell ref="B24:C24"/>
    <mergeCell ref="A1:F1"/>
    <mergeCell ref="A2:F2"/>
    <mergeCell ref="A3:F3"/>
    <mergeCell ref="A4:F4"/>
    <mergeCell ref="A5:F5"/>
    <mergeCell ref="A6:A8"/>
    <mergeCell ref="B6:C8"/>
    <mergeCell ref="D6:D7"/>
    <mergeCell ref="E6:E7"/>
    <mergeCell ref="F6:F7"/>
    <mergeCell ref="D8:F8"/>
  </mergeCells>
  <pageMargins left="0.7" right="0.7" top="0.75" bottom="0.75" header="0.3" footer="0.3"/>
  <pageSetup paperSize="9" scale="53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H50"/>
  <sheetViews>
    <sheetView view="pageBreakPreview" zoomScale="75" zoomScaleNormal="75" workbookViewId="0">
      <selection activeCell="D23" sqref="D23"/>
    </sheetView>
  </sheetViews>
  <sheetFormatPr defaultRowHeight="12.75" x14ac:dyDescent="0.2"/>
  <cols>
    <col min="1" max="1" width="3.42578125" customWidth="1"/>
    <col min="2" max="2" width="6.140625" customWidth="1"/>
    <col min="3" max="3" width="65" customWidth="1"/>
    <col min="4" max="4" width="18.140625" customWidth="1"/>
    <col min="5" max="5" width="3.140625" customWidth="1"/>
    <col min="6" max="6" width="46.7109375" customWidth="1"/>
    <col min="7" max="7" width="24" customWidth="1"/>
    <col min="8" max="8" width="19.42578125" customWidth="1"/>
  </cols>
  <sheetData>
    <row r="1" spans="1:8" ht="18.75" x14ac:dyDescent="0.3">
      <c r="B1" s="507" t="s">
        <v>321</v>
      </c>
      <c r="C1" s="507"/>
      <c r="D1" s="507"/>
      <c r="E1" s="507"/>
      <c r="F1" s="507"/>
      <c r="G1" s="507"/>
      <c r="H1" s="507"/>
    </row>
    <row r="2" spans="1:8" ht="15.75" x14ac:dyDescent="0.25">
      <c r="B2" s="508" t="s">
        <v>249</v>
      </c>
      <c r="C2" s="508"/>
      <c r="D2" s="508"/>
      <c r="E2" s="508"/>
      <c r="F2" s="508"/>
      <c r="G2" s="508"/>
      <c r="H2" s="508"/>
    </row>
    <row r="3" spans="1:8" ht="15.75" x14ac:dyDescent="0.25">
      <c r="B3" s="508" t="s">
        <v>221</v>
      </c>
      <c r="C3" s="508"/>
      <c r="D3" s="508"/>
      <c r="E3" s="508"/>
      <c r="F3" s="508"/>
      <c r="G3" s="508"/>
      <c r="H3" s="508"/>
    </row>
    <row r="4" spans="1:8" ht="15.75" x14ac:dyDescent="0.25">
      <c r="B4" s="509" t="s">
        <v>243</v>
      </c>
      <c r="C4" s="509"/>
      <c r="D4" s="509"/>
      <c r="E4" s="509"/>
      <c r="F4" s="509"/>
      <c r="G4" s="509"/>
      <c r="H4" s="509"/>
    </row>
    <row r="5" spans="1:8" ht="16.5" thickBot="1" x14ac:dyDescent="0.3">
      <c r="A5" s="167"/>
      <c r="B5" s="169"/>
      <c r="C5" s="169"/>
      <c r="D5" s="169"/>
      <c r="E5" s="169"/>
      <c r="F5" s="169"/>
      <c r="G5" s="169"/>
      <c r="H5" s="169"/>
    </row>
    <row r="6" spans="1:8" ht="28.5" x14ac:dyDescent="0.2">
      <c r="A6" s="168"/>
      <c r="B6" s="501" t="s">
        <v>200</v>
      </c>
      <c r="C6" s="463" t="s">
        <v>186</v>
      </c>
      <c r="D6" s="196" t="s">
        <v>36</v>
      </c>
      <c r="E6" s="196"/>
      <c r="F6" s="503" t="s">
        <v>186</v>
      </c>
      <c r="G6" s="503"/>
      <c r="H6" s="505" t="s">
        <v>36</v>
      </c>
    </row>
    <row r="7" spans="1:8" ht="14.25" x14ac:dyDescent="0.2">
      <c r="A7" s="162"/>
      <c r="B7" s="502"/>
      <c r="C7" s="464"/>
      <c r="D7" s="185"/>
      <c r="E7" s="185"/>
      <c r="F7" s="504"/>
      <c r="G7" s="504"/>
      <c r="H7" s="506"/>
    </row>
    <row r="8" spans="1:8" ht="12.75" customHeight="1" x14ac:dyDescent="0.2">
      <c r="A8" s="162"/>
      <c r="B8" s="502"/>
      <c r="C8" s="465"/>
      <c r="D8" s="185"/>
      <c r="E8" s="185"/>
      <c r="F8" s="504"/>
      <c r="G8" s="504"/>
      <c r="H8" s="176"/>
    </row>
    <row r="9" spans="1:8" ht="15.75" x14ac:dyDescent="0.25">
      <c r="A9" s="162"/>
      <c r="B9" s="482" t="s">
        <v>202</v>
      </c>
      <c r="C9" s="482"/>
      <c r="D9" s="187"/>
      <c r="E9" s="185"/>
      <c r="F9" s="504" t="s">
        <v>201</v>
      </c>
      <c r="G9" s="504"/>
      <c r="H9" s="193"/>
    </row>
    <row r="10" spans="1:8" ht="15.75" x14ac:dyDescent="0.25">
      <c r="A10" s="162" t="s">
        <v>29</v>
      </c>
      <c r="B10" s="469" t="s">
        <v>145</v>
      </c>
      <c r="C10" s="469"/>
      <c r="D10" s="187">
        <f>+'15'!H33</f>
        <v>15882423</v>
      </c>
      <c r="E10" s="188" t="s">
        <v>29</v>
      </c>
      <c r="F10" s="498" t="s">
        <v>187</v>
      </c>
      <c r="G10" s="498"/>
      <c r="H10" s="14">
        <f>'15'!H10</f>
        <v>35842536</v>
      </c>
    </row>
    <row r="11" spans="1:8" ht="15.75" x14ac:dyDescent="0.25">
      <c r="A11" s="162" t="s">
        <v>43</v>
      </c>
      <c r="B11" s="469" t="s">
        <v>198</v>
      </c>
      <c r="C11" s="469"/>
      <c r="D11" s="187">
        <f>+'15'!H34</f>
        <v>57117098</v>
      </c>
      <c r="E11" s="188" t="s">
        <v>43</v>
      </c>
      <c r="F11" s="498" t="s">
        <v>196</v>
      </c>
      <c r="G11" s="498"/>
      <c r="H11" s="14">
        <f>'15'!H11</f>
        <v>7939080</v>
      </c>
    </row>
    <row r="12" spans="1:8" ht="15.75" x14ac:dyDescent="0.25">
      <c r="A12" s="162" t="s">
        <v>44</v>
      </c>
      <c r="B12" s="469" t="s">
        <v>143</v>
      </c>
      <c r="C12" s="469"/>
      <c r="D12" s="187">
        <f>+'15'!H38</f>
        <v>149250172</v>
      </c>
      <c r="E12" s="188" t="s">
        <v>44</v>
      </c>
      <c r="F12" s="498" t="s">
        <v>197</v>
      </c>
      <c r="G12" s="498"/>
      <c r="H12" s="14">
        <f>'15'!H12</f>
        <v>59580530</v>
      </c>
    </row>
    <row r="13" spans="1:8" ht="15.75" x14ac:dyDescent="0.25">
      <c r="A13" s="162" t="s">
        <v>45</v>
      </c>
      <c r="B13" s="469" t="s">
        <v>144</v>
      </c>
      <c r="C13" s="469"/>
      <c r="D13" s="187">
        <f>+'15'!H42</f>
        <v>28840987</v>
      </c>
      <c r="E13" s="188" t="s">
        <v>45</v>
      </c>
      <c r="F13" s="499" t="s">
        <v>173</v>
      </c>
      <c r="G13" s="500"/>
      <c r="H13" s="14">
        <f>SUM(H14:H18)</f>
        <v>28888607</v>
      </c>
    </row>
    <row r="14" spans="1:8" ht="15.75" x14ac:dyDescent="0.25">
      <c r="A14" s="197"/>
      <c r="B14" s="471"/>
      <c r="C14" s="471"/>
      <c r="D14" s="19"/>
      <c r="E14" s="188" t="s">
        <v>165</v>
      </c>
      <c r="F14" s="491" t="s">
        <v>168</v>
      </c>
      <c r="G14" s="492"/>
      <c r="H14" s="14"/>
    </row>
    <row r="15" spans="1:8" ht="15.75" x14ac:dyDescent="0.25">
      <c r="A15" s="197"/>
      <c r="B15" s="471"/>
      <c r="C15" s="471"/>
      <c r="D15" s="19"/>
      <c r="E15" s="188" t="s">
        <v>166</v>
      </c>
      <c r="F15" s="491" t="s">
        <v>340</v>
      </c>
      <c r="G15" s="492"/>
      <c r="H15" s="14">
        <f>'15'!H16</f>
        <v>16671836</v>
      </c>
    </row>
    <row r="16" spans="1:8" ht="15.75" customHeight="1" x14ac:dyDescent="0.25">
      <c r="A16" s="197"/>
      <c r="B16" s="471"/>
      <c r="C16" s="471"/>
      <c r="D16" s="19"/>
      <c r="E16" s="188" t="s">
        <v>167</v>
      </c>
      <c r="F16" s="468" t="s">
        <v>305</v>
      </c>
      <c r="G16" s="493"/>
      <c r="H16" s="14">
        <f>'15'!H19</f>
        <v>92711</v>
      </c>
    </row>
    <row r="17" spans="1:8" ht="16.5" x14ac:dyDescent="0.25">
      <c r="A17" s="199"/>
      <c r="B17" s="479"/>
      <c r="C17" s="479"/>
      <c r="D17" s="200"/>
      <c r="E17" s="201" t="s">
        <v>73</v>
      </c>
      <c r="F17" s="494" t="s">
        <v>174</v>
      </c>
      <c r="G17" s="495"/>
      <c r="H17" s="202">
        <f>+'15'!D17</f>
        <v>0</v>
      </c>
    </row>
    <row r="18" spans="1:8" ht="15.75" x14ac:dyDescent="0.25">
      <c r="A18" s="215"/>
      <c r="B18" s="216"/>
      <c r="C18" s="216"/>
      <c r="D18" s="217"/>
      <c r="E18" s="218" t="s">
        <v>47</v>
      </c>
      <c r="F18" s="468" t="s">
        <v>169</v>
      </c>
      <c r="G18" s="468"/>
      <c r="H18" s="202">
        <f>+'15'!H18</f>
        <v>12124060</v>
      </c>
    </row>
    <row r="19" spans="1:8" ht="16.5" customHeight="1" thickBot="1" x14ac:dyDescent="0.3">
      <c r="A19" s="215"/>
      <c r="B19" s="216"/>
      <c r="C19" s="216"/>
      <c r="D19" s="217"/>
      <c r="E19" s="277"/>
      <c r="F19" s="474" t="s">
        <v>234</v>
      </c>
      <c r="G19" s="475"/>
      <c r="H19" s="278">
        <f>'15'!H21</f>
        <v>79645223</v>
      </c>
    </row>
    <row r="20" spans="1:8" s="184" customFormat="1" ht="15.75" thickBot="1" x14ac:dyDescent="0.3">
      <c r="A20" s="206" t="s">
        <v>171</v>
      </c>
      <c r="B20" s="472" t="s">
        <v>214</v>
      </c>
      <c r="C20" s="472"/>
      <c r="D20" s="207">
        <f>SUM(D10:D18)</f>
        <v>251090680</v>
      </c>
      <c r="E20" s="208" t="s">
        <v>171</v>
      </c>
      <c r="F20" s="209" t="s">
        <v>164</v>
      </c>
      <c r="G20" s="210"/>
      <c r="H20" s="211">
        <f>+H10+H11+H12+H13+H19</f>
        <v>211895976</v>
      </c>
    </row>
    <row r="21" spans="1:8" s="184" customFormat="1" ht="15" x14ac:dyDescent="0.25">
      <c r="A21" s="230" t="s">
        <v>193</v>
      </c>
      <c r="B21" s="476" t="s">
        <v>107</v>
      </c>
      <c r="C21" s="477"/>
      <c r="D21" s="225">
        <f>+D20-H20</f>
        <v>39194704</v>
      </c>
      <c r="E21" s="226"/>
      <c r="F21" s="227"/>
      <c r="G21" s="228"/>
      <c r="H21" s="229"/>
    </row>
    <row r="22" spans="1:8" ht="15.75" x14ac:dyDescent="0.25">
      <c r="A22" s="160" t="s">
        <v>47</v>
      </c>
      <c r="B22" s="473" t="s">
        <v>190</v>
      </c>
      <c r="C22" s="473"/>
      <c r="D22" s="203">
        <f>+'15'!H58</f>
        <v>37937890</v>
      </c>
      <c r="E22" s="204" t="s">
        <v>48</v>
      </c>
      <c r="F22" s="497" t="s">
        <v>213</v>
      </c>
      <c r="G22" s="497"/>
      <c r="H22" s="205">
        <f>+'15'!H23</f>
        <v>11424791</v>
      </c>
    </row>
    <row r="23" spans="1:8" ht="15.75" x14ac:dyDescent="0.25">
      <c r="A23" s="162" t="s">
        <v>48</v>
      </c>
      <c r="B23" s="469" t="s">
        <v>146</v>
      </c>
      <c r="C23" s="469"/>
      <c r="D23" s="187">
        <f>+'15'!D51</f>
        <v>0</v>
      </c>
      <c r="E23" s="188" t="s">
        <v>49</v>
      </c>
      <c r="F23" s="498" t="s">
        <v>188</v>
      </c>
      <c r="G23" s="498"/>
      <c r="H23" s="14">
        <f>+'15'!H24</f>
        <v>1787980</v>
      </c>
    </row>
    <row r="24" spans="1:8" ht="16.5" thickBot="1" x14ac:dyDescent="0.3">
      <c r="A24" s="161" t="s">
        <v>49</v>
      </c>
      <c r="B24" s="478" t="s">
        <v>147</v>
      </c>
      <c r="C24" s="478"/>
      <c r="D24" s="212">
        <f>+'15'!D54</f>
        <v>0</v>
      </c>
      <c r="E24" s="201" t="s">
        <v>51</v>
      </c>
      <c r="F24" s="489" t="s">
        <v>170</v>
      </c>
      <c r="G24" s="489"/>
      <c r="H24" s="202">
        <f>'15'!H25</f>
        <v>1071374</v>
      </c>
    </row>
    <row r="25" spans="1:8" s="184" customFormat="1" ht="15.75" thickBot="1" x14ac:dyDescent="0.3">
      <c r="A25" s="206" t="s">
        <v>149</v>
      </c>
      <c r="B25" s="472" t="s">
        <v>215</v>
      </c>
      <c r="C25" s="472"/>
      <c r="D25" s="207">
        <f>SUM(D22:D24)</f>
        <v>37937890</v>
      </c>
      <c r="E25" s="208" t="s">
        <v>149</v>
      </c>
      <c r="F25" s="490" t="s">
        <v>218</v>
      </c>
      <c r="G25" s="490"/>
      <c r="H25" s="213">
        <f>SUM(H22:H24)</f>
        <v>14284145</v>
      </c>
    </row>
    <row r="26" spans="1:8" s="184" customFormat="1" ht="15" x14ac:dyDescent="0.25">
      <c r="A26" s="230" t="s">
        <v>194</v>
      </c>
      <c r="B26" s="476" t="s">
        <v>220</v>
      </c>
      <c r="C26" s="477"/>
      <c r="D26" s="225">
        <f>+D25-H25</f>
        <v>23653745</v>
      </c>
      <c r="E26" s="226"/>
      <c r="F26" s="231"/>
      <c r="G26" s="231"/>
      <c r="H26" s="232"/>
    </row>
    <row r="27" spans="1:8" ht="15.75" x14ac:dyDescent="0.25">
      <c r="A27" s="160" t="s">
        <v>51</v>
      </c>
      <c r="B27" s="473" t="s">
        <v>148</v>
      </c>
      <c r="C27" s="473"/>
      <c r="D27" s="203"/>
      <c r="E27" s="214"/>
      <c r="F27" s="486"/>
      <c r="G27" s="486"/>
      <c r="H27" s="198"/>
    </row>
    <row r="28" spans="1:8" ht="15.75" x14ac:dyDescent="0.25">
      <c r="A28" s="162" t="s">
        <v>52</v>
      </c>
      <c r="B28" s="469" t="s">
        <v>152</v>
      </c>
      <c r="C28" s="469"/>
      <c r="D28" s="187">
        <f>+'15'!H64</f>
        <v>38461312</v>
      </c>
      <c r="E28" s="192"/>
      <c r="F28" s="496"/>
      <c r="G28" s="496"/>
      <c r="H28" s="198"/>
    </row>
    <row r="29" spans="1:8" ht="15.75" x14ac:dyDescent="0.25">
      <c r="A29" s="162" t="s">
        <v>30</v>
      </c>
      <c r="B29" s="469" t="s">
        <v>377</v>
      </c>
      <c r="C29" s="469"/>
      <c r="D29" s="187">
        <f>'15'!H68</f>
        <v>4903619</v>
      </c>
      <c r="E29" s="214"/>
      <c r="F29" s="486"/>
      <c r="G29" s="486"/>
      <c r="H29" s="198"/>
    </row>
    <row r="30" spans="1:8" ht="15.75" x14ac:dyDescent="0.25">
      <c r="A30" s="162" t="s">
        <v>55</v>
      </c>
      <c r="B30" s="469" t="s">
        <v>155</v>
      </c>
      <c r="C30" s="469"/>
      <c r="D30" s="187"/>
      <c r="E30" s="214"/>
      <c r="F30" s="466"/>
      <c r="G30" s="467"/>
      <c r="H30" s="198"/>
    </row>
    <row r="31" spans="1:8" ht="15.75" x14ac:dyDescent="0.25">
      <c r="A31" s="194" t="s">
        <v>153</v>
      </c>
      <c r="B31" s="470" t="s">
        <v>216</v>
      </c>
      <c r="C31" s="470"/>
      <c r="D31" s="189">
        <f>SUM(D27:D30)</f>
        <v>43364931</v>
      </c>
      <c r="E31" s="186" t="s">
        <v>156</v>
      </c>
      <c r="F31" s="487" t="s">
        <v>27</v>
      </c>
      <c r="G31" s="488"/>
      <c r="H31" s="17">
        <f>+'15'!H81</f>
        <v>106213380</v>
      </c>
    </row>
    <row r="32" spans="1:8" ht="18.75" x14ac:dyDescent="0.3">
      <c r="A32" s="162"/>
      <c r="B32" s="469" t="s">
        <v>255</v>
      </c>
      <c r="C32" s="469"/>
      <c r="D32" s="191"/>
      <c r="E32" s="192"/>
      <c r="F32" s="483"/>
      <c r="G32" s="483"/>
      <c r="H32" s="20"/>
    </row>
    <row r="33" spans="1:8" ht="19.5" x14ac:dyDescent="0.3">
      <c r="A33" s="194" t="s">
        <v>156</v>
      </c>
      <c r="B33" s="461" t="s">
        <v>217</v>
      </c>
      <c r="C33" s="461"/>
      <c r="D33" s="191">
        <f>+D20+D25+D31</f>
        <v>332393501</v>
      </c>
      <c r="E33" s="190" t="s">
        <v>159</v>
      </c>
      <c r="F33" s="484" t="s">
        <v>219</v>
      </c>
      <c r="G33" s="484"/>
      <c r="H33" s="12">
        <f>+H20+H25+H29+H31+H27</f>
        <v>332393501</v>
      </c>
    </row>
    <row r="34" spans="1:8" ht="19.5" thickBot="1" x14ac:dyDescent="0.35">
      <c r="A34" s="163"/>
      <c r="B34" s="462" t="s">
        <v>142</v>
      </c>
      <c r="C34" s="462"/>
      <c r="D34" s="36">
        <f>+D33-H33-D32</f>
        <v>0</v>
      </c>
      <c r="E34" s="173"/>
      <c r="F34" s="485"/>
      <c r="G34" s="485"/>
      <c r="H34" s="195"/>
    </row>
    <row r="35" spans="1:8" ht="15.75" x14ac:dyDescent="0.25">
      <c r="B35" s="179"/>
      <c r="C35" s="179"/>
      <c r="D35" s="179"/>
      <c r="E35" s="179"/>
      <c r="F35" s="480"/>
      <c r="G35" s="480"/>
      <c r="H35" s="180"/>
    </row>
    <row r="36" spans="1:8" ht="15.75" x14ac:dyDescent="0.25">
      <c r="B36" s="179"/>
      <c r="C36" s="179"/>
      <c r="D36" s="219"/>
      <c r="E36" s="179"/>
      <c r="F36" s="480"/>
      <c r="G36" s="480"/>
      <c r="H36" s="180"/>
    </row>
    <row r="37" spans="1:8" ht="15.75" x14ac:dyDescent="0.25">
      <c r="B37" s="179"/>
      <c r="C37" s="179"/>
      <c r="D37" s="179"/>
      <c r="E37" s="179"/>
      <c r="F37" s="480"/>
      <c r="G37" s="480"/>
      <c r="H37" s="180"/>
    </row>
    <row r="38" spans="1:8" ht="15.75" x14ac:dyDescent="0.25">
      <c r="B38" s="179"/>
      <c r="C38" s="179"/>
      <c r="D38" s="179"/>
      <c r="E38" s="179"/>
      <c r="F38" s="480"/>
      <c r="G38" s="480"/>
      <c r="H38" s="180"/>
    </row>
    <row r="39" spans="1:8" ht="15.75" x14ac:dyDescent="0.25">
      <c r="B39" s="179"/>
      <c r="C39" s="179"/>
      <c r="D39" s="179"/>
      <c r="E39" s="179"/>
      <c r="F39" s="480"/>
      <c r="G39" s="480"/>
      <c r="H39" s="180"/>
    </row>
    <row r="40" spans="1:8" ht="15.75" x14ac:dyDescent="0.25">
      <c r="B40" s="179"/>
      <c r="C40" s="179"/>
      <c r="D40" s="179"/>
      <c r="E40" s="179"/>
      <c r="F40" s="480"/>
      <c r="G40" s="480"/>
      <c r="H40" s="180"/>
    </row>
    <row r="41" spans="1:8" ht="15.75" x14ac:dyDescent="0.25">
      <c r="B41" s="179"/>
      <c r="C41" s="179"/>
      <c r="D41" s="179"/>
      <c r="E41" s="179"/>
      <c r="F41" s="480"/>
      <c r="G41" s="480"/>
      <c r="H41" s="180"/>
    </row>
    <row r="42" spans="1:8" ht="15.75" x14ac:dyDescent="0.25">
      <c r="B42" s="179"/>
      <c r="C42" s="179"/>
      <c r="D42" s="179"/>
      <c r="E42" s="179"/>
      <c r="F42" s="480"/>
      <c r="G42" s="480"/>
      <c r="H42" s="180"/>
    </row>
    <row r="43" spans="1:8" ht="15.75" x14ac:dyDescent="0.25">
      <c r="B43" s="179"/>
      <c r="C43" s="179"/>
      <c r="D43" s="179"/>
      <c r="E43" s="179"/>
      <c r="F43" s="480"/>
      <c r="G43" s="480"/>
      <c r="H43" s="180"/>
    </row>
    <row r="44" spans="1:8" ht="15.75" x14ac:dyDescent="0.25">
      <c r="B44" s="179"/>
      <c r="C44" s="179"/>
      <c r="D44" s="179"/>
      <c r="E44" s="179"/>
      <c r="F44" s="480"/>
      <c r="G44" s="480"/>
      <c r="H44" s="180"/>
    </row>
    <row r="45" spans="1:8" ht="15.75" x14ac:dyDescent="0.25">
      <c r="B45" s="179"/>
      <c r="C45" s="179"/>
      <c r="D45" s="179"/>
      <c r="E45" s="179"/>
      <c r="F45" s="480"/>
      <c r="G45" s="480"/>
      <c r="H45" s="180"/>
    </row>
    <row r="46" spans="1:8" ht="15.75" x14ac:dyDescent="0.25">
      <c r="B46" s="179"/>
      <c r="C46" s="179"/>
      <c r="D46" s="179"/>
      <c r="E46" s="179"/>
      <c r="F46" s="480"/>
      <c r="G46" s="480"/>
      <c r="H46" s="180"/>
    </row>
    <row r="47" spans="1:8" ht="15.75" x14ac:dyDescent="0.25">
      <c r="B47" s="179"/>
      <c r="C47" s="179"/>
      <c r="D47" s="179"/>
      <c r="E47" s="179"/>
      <c r="F47" s="480"/>
      <c r="G47" s="480"/>
      <c r="H47" s="180"/>
    </row>
    <row r="48" spans="1:8" ht="18.75" x14ac:dyDescent="0.3">
      <c r="B48" s="179"/>
      <c r="C48" s="179"/>
      <c r="D48" s="179"/>
      <c r="E48" s="179"/>
      <c r="F48" s="480"/>
      <c r="G48" s="480"/>
      <c r="H48" s="181"/>
    </row>
    <row r="49" spans="2:8" ht="18.75" x14ac:dyDescent="0.3">
      <c r="B49" s="182"/>
      <c r="C49" s="182"/>
      <c r="D49" s="182"/>
      <c r="E49" s="182"/>
      <c r="F49" s="481"/>
      <c r="G49" s="481"/>
      <c r="H49" s="181"/>
    </row>
    <row r="50" spans="2:8" ht="18.75" x14ac:dyDescent="0.3">
      <c r="B50" s="179"/>
      <c r="C50" s="179"/>
      <c r="D50" s="179"/>
      <c r="E50" s="179"/>
      <c r="F50" s="481"/>
      <c r="G50" s="481"/>
      <c r="H50" s="183"/>
    </row>
  </sheetData>
  <mergeCells count="71">
    <mergeCell ref="H6:H7"/>
    <mergeCell ref="F9:G9"/>
    <mergeCell ref="B1:H1"/>
    <mergeCell ref="B2:H2"/>
    <mergeCell ref="B3:H3"/>
    <mergeCell ref="B4:H4"/>
    <mergeCell ref="F10:G10"/>
    <mergeCell ref="F11:G11"/>
    <mergeCell ref="F12:G12"/>
    <mergeCell ref="F13:G13"/>
    <mergeCell ref="B6:B8"/>
    <mergeCell ref="F6:G8"/>
    <mergeCell ref="F29:G29"/>
    <mergeCell ref="F31:G31"/>
    <mergeCell ref="F24:G24"/>
    <mergeCell ref="F25:G25"/>
    <mergeCell ref="F14:G14"/>
    <mergeCell ref="F15:G15"/>
    <mergeCell ref="F16:G16"/>
    <mergeCell ref="F17:G17"/>
    <mergeCell ref="F27:G27"/>
    <mergeCell ref="F28:G28"/>
    <mergeCell ref="F22:G22"/>
    <mergeCell ref="F23:G23"/>
    <mergeCell ref="F39:G39"/>
    <mergeCell ref="F32:G32"/>
    <mergeCell ref="F33:G33"/>
    <mergeCell ref="F34:G34"/>
    <mergeCell ref="F35:G35"/>
    <mergeCell ref="F49:G49"/>
    <mergeCell ref="F50:G50"/>
    <mergeCell ref="B9:C9"/>
    <mergeCell ref="B10:C10"/>
    <mergeCell ref="B11:C11"/>
    <mergeCell ref="B12:C12"/>
    <mergeCell ref="B13:C13"/>
    <mergeCell ref="B14:C14"/>
    <mergeCell ref="B15:C15"/>
    <mergeCell ref="F44:G44"/>
    <mergeCell ref="F41:G41"/>
    <mergeCell ref="F42:G42"/>
    <mergeCell ref="F43:G43"/>
    <mergeCell ref="F36:G36"/>
    <mergeCell ref="F37:G37"/>
    <mergeCell ref="F38:G38"/>
    <mergeCell ref="F48:G48"/>
    <mergeCell ref="F45:G45"/>
    <mergeCell ref="F46:G46"/>
    <mergeCell ref="F47:G47"/>
    <mergeCell ref="F40:G40"/>
    <mergeCell ref="B17:C17"/>
    <mergeCell ref="B20:C20"/>
    <mergeCell ref="B22:C22"/>
    <mergeCell ref="B23:C23"/>
    <mergeCell ref="B21:C21"/>
    <mergeCell ref="B33:C33"/>
    <mergeCell ref="B34:C34"/>
    <mergeCell ref="C6:C8"/>
    <mergeCell ref="F30:G30"/>
    <mergeCell ref="F18:G18"/>
    <mergeCell ref="B29:C29"/>
    <mergeCell ref="B30:C30"/>
    <mergeCell ref="B31:C31"/>
    <mergeCell ref="B32:C32"/>
    <mergeCell ref="B16:C16"/>
    <mergeCell ref="B25:C25"/>
    <mergeCell ref="B27:C27"/>
    <mergeCell ref="F19:G19"/>
    <mergeCell ref="B28:C28"/>
    <mergeCell ref="B26:C26"/>
    <mergeCell ref="B24:C24"/>
  </mergeCells>
  <phoneticPr fontId="20" type="noConversion"/>
  <pageMargins left="0.16" right="0.17" top="1" bottom="1" header="0.5" footer="0.5"/>
  <pageSetup paperSize="9" scale="7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K105"/>
  <sheetViews>
    <sheetView view="pageBreakPreview" zoomScale="75" zoomScaleNormal="70" zoomScaleSheetLayoutView="75" workbookViewId="0">
      <selection activeCell="H50" sqref="H50"/>
    </sheetView>
  </sheetViews>
  <sheetFormatPr defaultRowHeight="20.100000000000001" customHeight="1" x14ac:dyDescent="0.2"/>
  <cols>
    <col min="1" max="1" width="6" style="2" customWidth="1"/>
    <col min="2" max="2" width="5.140625" style="1" customWidth="1"/>
    <col min="3" max="3" width="82.5703125" style="1" customWidth="1"/>
    <col min="4" max="5" width="18.7109375" style="2" customWidth="1"/>
    <col min="6" max="6" width="16.5703125" style="2" customWidth="1"/>
    <col min="7" max="7" width="9.85546875" style="11" customWidth="1"/>
    <col min="8" max="9" width="18.7109375" style="11" customWidth="1"/>
    <col min="10" max="10" width="16.85546875" style="11" customWidth="1"/>
    <col min="11" max="16384" width="9.140625" style="11"/>
  </cols>
  <sheetData>
    <row r="1" spans="1:11" ht="20.100000000000001" customHeight="1" x14ac:dyDescent="0.3">
      <c r="A1" s="507" t="s">
        <v>321</v>
      </c>
      <c r="B1" s="524"/>
      <c r="C1" s="524"/>
      <c r="D1" s="524"/>
      <c r="E1" s="524"/>
      <c r="F1" s="524"/>
    </row>
    <row r="2" spans="1:11" ht="20.100000000000001" customHeight="1" x14ac:dyDescent="0.2">
      <c r="A2" s="457"/>
      <c r="B2" s="457"/>
      <c r="C2" s="457"/>
      <c r="D2" s="457"/>
      <c r="E2" s="457"/>
      <c r="F2" s="457"/>
    </row>
    <row r="3" spans="1:11" ht="20.100000000000001" customHeight="1" x14ac:dyDescent="0.25">
      <c r="A3" s="508" t="s">
        <v>249</v>
      </c>
      <c r="B3" s="508"/>
      <c r="C3" s="508"/>
      <c r="D3" s="508"/>
      <c r="E3" s="508"/>
      <c r="F3" s="508"/>
    </row>
    <row r="4" spans="1:11" ht="20.100000000000001" customHeight="1" x14ac:dyDescent="0.2">
      <c r="A4" s="457" t="s">
        <v>199</v>
      </c>
      <c r="B4" s="457"/>
      <c r="C4" s="457"/>
      <c r="D4" s="457"/>
      <c r="E4" s="457"/>
      <c r="F4" s="457"/>
    </row>
    <row r="5" spans="1:11" ht="29.25" customHeight="1" thickBot="1" x14ac:dyDescent="0.3">
      <c r="A5" s="509" t="s">
        <v>312</v>
      </c>
      <c r="B5" s="509"/>
      <c r="C5" s="509"/>
      <c r="D5" s="509"/>
      <c r="E5" s="509"/>
      <c r="F5" s="509"/>
    </row>
    <row r="6" spans="1:11" ht="20.100000000000001" customHeight="1" x14ac:dyDescent="0.2">
      <c r="A6" s="512" t="s">
        <v>200</v>
      </c>
      <c r="B6" s="503" t="s">
        <v>186</v>
      </c>
      <c r="C6" s="503"/>
      <c r="D6" s="516" t="s">
        <v>302</v>
      </c>
      <c r="E6" s="518" t="s">
        <v>239</v>
      </c>
      <c r="F6" s="518" t="s">
        <v>240</v>
      </c>
      <c r="G6" s="521" t="s">
        <v>241</v>
      </c>
      <c r="H6" s="516" t="s">
        <v>302</v>
      </c>
      <c r="I6" s="518" t="s">
        <v>239</v>
      </c>
      <c r="J6" s="518" t="s">
        <v>240</v>
      </c>
      <c r="K6" s="521" t="s">
        <v>241</v>
      </c>
    </row>
    <row r="7" spans="1:11" ht="38.25" customHeight="1" x14ac:dyDescent="0.2">
      <c r="A7" s="513"/>
      <c r="B7" s="504"/>
      <c r="C7" s="504"/>
      <c r="D7" s="517"/>
      <c r="E7" s="519"/>
      <c r="F7" s="519"/>
      <c r="G7" s="522"/>
      <c r="H7" s="517"/>
      <c r="I7" s="519"/>
      <c r="J7" s="519"/>
      <c r="K7" s="522"/>
    </row>
    <row r="8" spans="1:11" ht="22.5" customHeight="1" thickBot="1" x14ac:dyDescent="0.25">
      <c r="A8" s="514"/>
      <c r="B8" s="515"/>
      <c r="C8" s="515"/>
      <c r="D8" s="520" t="s">
        <v>343</v>
      </c>
      <c r="E8" s="520"/>
      <c r="F8" s="520"/>
      <c r="G8" s="383"/>
      <c r="H8" s="520" t="s">
        <v>344</v>
      </c>
      <c r="I8" s="520"/>
      <c r="J8" s="520"/>
      <c r="K8" s="383"/>
    </row>
    <row r="9" spans="1:11" ht="15.95" customHeight="1" x14ac:dyDescent="0.2">
      <c r="A9" s="367"/>
      <c r="B9" s="503" t="s">
        <v>201</v>
      </c>
      <c r="C9" s="503"/>
      <c r="D9" s="385"/>
      <c r="E9" s="384"/>
      <c r="F9" s="385"/>
      <c r="G9" s="275"/>
      <c r="H9" s="385"/>
      <c r="I9" s="384"/>
      <c r="J9" s="385"/>
      <c r="K9" s="275"/>
    </row>
    <row r="10" spans="1:11" ht="15.95" customHeight="1" x14ac:dyDescent="0.25">
      <c r="A10" s="9">
        <v>1</v>
      </c>
      <c r="B10" s="498" t="s">
        <v>187</v>
      </c>
      <c r="C10" s="498"/>
      <c r="D10" s="269">
        <f>SUM(E10:G10)</f>
        <v>28589000</v>
      </c>
      <c r="E10" s="269">
        <v>28589000</v>
      </c>
      <c r="F10" s="187"/>
      <c r="G10" s="266"/>
      <c r="H10" s="269">
        <f>SUM(I10:K10)</f>
        <v>35842536</v>
      </c>
      <c r="I10" s="269">
        <v>35842536</v>
      </c>
      <c r="J10" s="187"/>
      <c r="K10" s="266"/>
    </row>
    <row r="11" spans="1:11" ht="15.95" customHeight="1" x14ac:dyDescent="0.25">
      <c r="A11" s="9">
        <v>2</v>
      </c>
      <c r="B11" s="498" t="s">
        <v>196</v>
      </c>
      <c r="C11" s="498"/>
      <c r="D11" s="269">
        <f>SUM(E11:G11)</f>
        <v>6682000</v>
      </c>
      <c r="E11" s="269">
        <v>6682000</v>
      </c>
      <c r="F11" s="187"/>
      <c r="G11" s="266"/>
      <c r="H11" s="269">
        <f>SUM(I11:K11)</f>
        <v>7939080</v>
      </c>
      <c r="I11" s="269">
        <v>7939080</v>
      </c>
      <c r="J11" s="187"/>
      <c r="K11" s="266"/>
    </row>
    <row r="12" spans="1:11" ht="15.95" customHeight="1" x14ac:dyDescent="0.25">
      <c r="A12" s="9">
        <v>3</v>
      </c>
      <c r="B12" s="498" t="s">
        <v>197</v>
      </c>
      <c r="C12" s="498"/>
      <c r="D12" s="269">
        <f>E12+F12+G12</f>
        <v>54751053</v>
      </c>
      <c r="E12" s="269">
        <v>54751053</v>
      </c>
      <c r="F12" s="187"/>
      <c r="G12" s="276"/>
      <c r="H12" s="269">
        <f>I12+J12+K12</f>
        <v>59580530</v>
      </c>
      <c r="I12" s="269">
        <v>59580530</v>
      </c>
      <c r="J12" s="187"/>
      <c r="K12" s="276"/>
    </row>
    <row r="13" spans="1:11" ht="15.95" customHeight="1" x14ac:dyDescent="0.25">
      <c r="A13" s="9" t="s">
        <v>45</v>
      </c>
      <c r="B13" s="498" t="s">
        <v>179</v>
      </c>
      <c r="C13" s="498"/>
      <c r="D13" s="269">
        <f t="shared" ref="D13:D19" si="0">SUM(E13:G13)</f>
        <v>0</v>
      </c>
      <c r="E13" s="280"/>
      <c r="F13" s="187"/>
      <c r="G13" s="283"/>
      <c r="H13" s="269">
        <f t="shared" ref="H13:H19" si="1">SUM(I13:K13)</f>
        <v>0</v>
      </c>
      <c r="I13" s="280"/>
      <c r="J13" s="187"/>
      <c r="K13" s="283"/>
    </row>
    <row r="14" spans="1:11" ht="15.95" customHeight="1" x14ac:dyDescent="0.2">
      <c r="A14" s="9" t="s">
        <v>47</v>
      </c>
      <c r="B14" s="499" t="s">
        <v>173</v>
      </c>
      <c r="C14" s="499"/>
      <c r="D14" s="269">
        <f t="shared" si="0"/>
        <v>16718000</v>
      </c>
      <c r="E14" s="281">
        <f>+E15+E16+E17+E18+E19</f>
        <v>14670000</v>
      </c>
      <c r="F14" s="13">
        <v>2048000</v>
      </c>
      <c r="G14" s="325"/>
      <c r="H14" s="269">
        <f t="shared" si="1"/>
        <v>28888607</v>
      </c>
      <c r="I14" s="281">
        <f>+I15+I16+I17+I18+I19</f>
        <v>26707871</v>
      </c>
      <c r="J14" s="281">
        <f>+J15+J16+J17+J18+J19</f>
        <v>2180736</v>
      </c>
      <c r="K14" s="325"/>
    </row>
    <row r="15" spans="1:11" ht="15.95" customHeight="1" x14ac:dyDescent="0.25">
      <c r="A15" s="9" t="s">
        <v>165</v>
      </c>
      <c r="B15" s="491" t="s">
        <v>168</v>
      </c>
      <c r="C15" s="491"/>
      <c r="D15" s="269">
        <f t="shared" si="0"/>
        <v>0</v>
      </c>
      <c r="E15" s="280"/>
      <c r="F15" s="187"/>
      <c r="G15" s="283"/>
      <c r="H15" s="269">
        <f t="shared" si="1"/>
        <v>0</v>
      </c>
      <c r="I15" s="280"/>
      <c r="J15" s="187"/>
      <c r="K15" s="283"/>
    </row>
    <row r="16" spans="1:11" ht="15.95" customHeight="1" x14ac:dyDescent="0.25">
      <c r="A16" s="9" t="s">
        <v>166</v>
      </c>
      <c r="B16" s="491" t="s">
        <v>238</v>
      </c>
      <c r="C16" s="491"/>
      <c r="D16" s="269">
        <f t="shared" si="0"/>
        <v>5963000</v>
      </c>
      <c r="E16" s="280">
        <v>3915000</v>
      </c>
      <c r="F16" s="187">
        <v>2048000</v>
      </c>
      <c r="G16" s="283"/>
      <c r="H16" s="269">
        <f t="shared" si="1"/>
        <v>16671836</v>
      </c>
      <c r="I16" s="280">
        <v>14491100</v>
      </c>
      <c r="J16" s="187">
        <v>2180736</v>
      </c>
      <c r="K16" s="283"/>
    </row>
    <row r="17" spans="1:11" ht="15.95" customHeight="1" x14ac:dyDescent="0.25">
      <c r="A17" s="9"/>
      <c r="B17" s="525"/>
      <c r="C17" s="526"/>
      <c r="D17" s="269">
        <f t="shared" si="0"/>
        <v>0</v>
      </c>
      <c r="E17" s="280"/>
      <c r="F17" s="187"/>
      <c r="G17" s="283"/>
      <c r="H17" s="269">
        <f t="shared" si="1"/>
        <v>0</v>
      </c>
      <c r="I17" s="280"/>
      <c r="J17" s="187"/>
      <c r="K17" s="283"/>
    </row>
    <row r="18" spans="1:11" ht="15.95" customHeight="1" x14ac:dyDescent="0.25">
      <c r="A18" s="9" t="s">
        <v>167</v>
      </c>
      <c r="B18" s="468" t="s">
        <v>169</v>
      </c>
      <c r="C18" s="468"/>
      <c r="D18" s="269">
        <f t="shared" si="0"/>
        <v>10755000</v>
      </c>
      <c r="E18" s="280">
        <v>10755000</v>
      </c>
      <c r="F18" s="187"/>
      <c r="G18" s="283"/>
      <c r="H18" s="269">
        <f t="shared" si="1"/>
        <v>12124060</v>
      </c>
      <c r="I18" s="280">
        <v>12124060</v>
      </c>
      <c r="J18" s="187"/>
      <c r="K18" s="283"/>
    </row>
    <row r="19" spans="1:11" ht="15.95" customHeight="1" x14ac:dyDescent="0.25">
      <c r="A19" s="9" t="s">
        <v>73</v>
      </c>
      <c r="B19" s="468" t="s">
        <v>305</v>
      </c>
      <c r="C19" s="493"/>
      <c r="D19" s="269">
        <f t="shared" si="0"/>
        <v>0</v>
      </c>
      <c r="E19" s="280"/>
      <c r="F19" s="187"/>
      <c r="G19" s="283"/>
      <c r="H19" s="269">
        <f t="shared" si="1"/>
        <v>92711</v>
      </c>
      <c r="I19" s="280">
        <v>92711</v>
      </c>
      <c r="J19" s="187"/>
      <c r="K19" s="283"/>
    </row>
    <row r="20" spans="1:11" ht="15.95" customHeight="1" x14ac:dyDescent="0.25">
      <c r="A20" s="9"/>
      <c r="B20" s="498"/>
      <c r="C20" s="498"/>
      <c r="D20" s="13">
        <f>E20+F20+G20</f>
        <v>0</v>
      </c>
      <c r="E20" s="280"/>
      <c r="F20" s="187"/>
      <c r="G20" s="283"/>
      <c r="H20" s="13">
        <f>I20+J20+K20</f>
        <v>0</v>
      </c>
      <c r="I20" s="280"/>
      <c r="J20" s="187"/>
      <c r="K20" s="283"/>
    </row>
    <row r="21" spans="1:11" ht="15.95" customHeight="1" x14ac:dyDescent="0.25">
      <c r="A21" s="9"/>
      <c r="B21" s="498" t="s">
        <v>337</v>
      </c>
      <c r="C21" s="498"/>
      <c r="D21" s="289">
        <f>E21+F21+G21</f>
        <v>35324999</v>
      </c>
      <c r="E21" s="282">
        <v>16177000</v>
      </c>
      <c r="F21" s="187">
        <v>19147999</v>
      </c>
      <c r="G21" s="283"/>
      <c r="H21" s="289">
        <f>I21+J21+K21</f>
        <v>79645223</v>
      </c>
      <c r="I21" s="282">
        <v>21676018</v>
      </c>
      <c r="J21" s="187">
        <v>57969205</v>
      </c>
      <c r="K21" s="283"/>
    </row>
    <row r="22" spans="1:11" ht="15.95" customHeight="1" x14ac:dyDescent="0.2">
      <c r="A22" s="9" t="s">
        <v>193</v>
      </c>
      <c r="B22" s="364" t="s">
        <v>164</v>
      </c>
      <c r="C22" s="150"/>
      <c r="D22" s="13">
        <f>+D10+D11+D12+D13+D14+D21+D20</f>
        <v>142065052</v>
      </c>
      <c r="E22" s="280">
        <f>+E10+E11+E12+E13+E14+E21+E20</f>
        <v>120869053</v>
      </c>
      <c r="F22" s="13">
        <f>+F10+F11+F12+F13+F14+F21</f>
        <v>21195999</v>
      </c>
      <c r="G22" s="325"/>
      <c r="H22" s="13">
        <f>+H10+H11+H12+H13+H14+H21+H20</f>
        <v>211895976</v>
      </c>
      <c r="I22" s="280">
        <f>+I10+I11+I12+I13+I14+I21+I20</f>
        <v>151746035</v>
      </c>
      <c r="J22" s="13">
        <f>+J10+J11+J12+J13+J14+J21</f>
        <v>60149941</v>
      </c>
      <c r="K22" s="325"/>
    </row>
    <row r="23" spans="1:11" ht="15.95" customHeight="1" x14ac:dyDescent="0.25">
      <c r="A23" s="9" t="s">
        <v>48</v>
      </c>
      <c r="B23" s="498" t="s">
        <v>189</v>
      </c>
      <c r="C23" s="498"/>
      <c r="D23" s="13">
        <f>SUM(E23:G23)</f>
        <v>5103000</v>
      </c>
      <c r="E23" s="270"/>
      <c r="F23" s="187">
        <v>5103000</v>
      </c>
      <c r="G23" s="266"/>
      <c r="H23" s="13">
        <f>SUM(I23:K23)</f>
        <v>11424791</v>
      </c>
      <c r="I23" s="270">
        <v>11424791</v>
      </c>
      <c r="J23" s="187"/>
      <c r="K23" s="266"/>
    </row>
    <row r="24" spans="1:11" ht="15.95" customHeight="1" x14ac:dyDescent="0.25">
      <c r="A24" s="9" t="s">
        <v>49</v>
      </c>
      <c r="B24" s="498" t="s">
        <v>188</v>
      </c>
      <c r="C24" s="498"/>
      <c r="D24" s="13">
        <f>SUM(E24:G24)</f>
        <v>1000000</v>
      </c>
      <c r="E24" s="270"/>
      <c r="F24" s="187">
        <v>1000000</v>
      </c>
      <c r="G24" s="266"/>
      <c r="H24" s="13">
        <f>SUM(I24:K24)</f>
        <v>1787980</v>
      </c>
      <c r="I24" s="270">
        <v>1787980</v>
      </c>
      <c r="J24" s="187"/>
      <c r="K24" s="266"/>
    </row>
    <row r="25" spans="1:11" ht="15.95" customHeight="1" x14ac:dyDescent="0.25">
      <c r="A25" s="9" t="s">
        <v>51</v>
      </c>
      <c r="B25" s="498" t="s">
        <v>306</v>
      </c>
      <c r="C25" s="498"/>
      <c r="D25" s="13">
        <f>SUM(E25:G25)</f>
        <v>1334000</v>
      </c>
      <c r="E25" s="270"/>
      <c r="F25" s="187">
        <v>1334000</v>
      </c>
      <c r="G25" s="266"/>
      <c r="H25" s="13">
        <f>SUM(I25:K25)</f>
        <v>1071374</v>
      </c>
      <c r="I25" s="270">
        <v>1071374</v>
      </c>
      <c r="J25" s="187"/>
      <c r="K25" s="266"/>
    </row>
    <row r="26" spans="1:11" ht="15.95" customHeight="1" x14ac:dyDescent="0.25">
      <c r="A26" s="9" t="s">
        <v>194</v>
      </c>
      <c r="B26" s="498" t="s">
        <v>235</v>
      </c>
      <c r="C26" s="498"/>
      <c r="D26" s="289">
        <f>+D23+D24+D25</f>
        <v>7437000</v>
      </c>
      <c r="E26" s="270"/>
      <c r="F26" s="187">
        <f>SUM(F23:F25)</f>
        <v>7437000</v>
      </c>
      <c r="G26" s="266"/>
      <c r="H26" s="289">
        <f>+H23+H24+H25</f>
        <v>14284145</v>
      </c>
      <c r="I26" s="187">
        <f>SUM(I23:I25)</f>
        <v>14284145</v>
      </c>
      <c r="J26" s="187">
        <f>SUM(J23:J25)</f>
        <v>0</v>
      </c>
      <c r="K26" s="266"/>
    </row>
    <row r="27" spans="1:11" ht="15.95" customHeight="1" x14ac:dyDescent="0.25">
      <c r="A27" s="9" t="s">
        <v>195</v>
      </c>
      <c r="B27" s="498"/>
      <c r="C27" s="498"/>
      <c r="D27" s="289"/>
      <c r="E27" s="270"/>
      <c r="F27" s="187"/>
      <c r="G27" s="266"/>
      <c r="H27" s="289"/>
      <c r="I27" s="270"/>
      <c r="J27" s="187"/>
      <c r="K27" s="266"/>
    </row>
    <row r="28" spans="1:11" ht="15.95" customHeight="1" x14ac:dyDescent="0.25">
      <c r="A28" s="9" t="s">
        <v>180</v>
      </c>
      <c r="B28" s="528"/>
      <c r="C28" s="528"/>
      <c r="D28" s="287"/>
      <c r="E28" s="271"/>
      <c r="F28" s="187">
        <f>+D28+E28</f>
        <v>0</v>
      </c>
      <c r="G28" s="266"/>
      <c r="H28" s="287"/>
      <c r="I28" s="271"/>
      <c r="J28" s="187">
        <f>+H28+I28</f>
        <v>0</v>
      </c>
      <c r="K28" s="266"/>
    </row>
    <row r="29" spans="1:11" ht="15.95" customHeight="1" x14ac:dyDescent="0.25">
      <c r="A29" s="9" t="s">
        <v>181</v>
      </c>
      <c r="B29" s="528"/>
      <c r="C29" s="528"/>
      <c r="D29" s="287"/>
      <c r="E29" s="314"/>
      <c r="F29" s="187">
        <f>+D29+E29</f>
        <v>0</v>
      </c>
      <c r="G29" s="266"/>
      <c r="H29" s="287"/>
      <c r="I29" s="314"/>
      <c r="J29" s="187">
        <f>+H29+I29</f>
        <v>0</v>
      </c>
      <c r="K29" s="266"/>
    </row>
    <row r="30" spans="1:11" ht="15.95" customHeight="1" x14ac:dyDescent="0.3">
      <c r="A30" s="152" t="s">
        <v>171</v>
      </c>
      <c r="B30" s="484" t="s">
        <v>172</v>
      </c>
      <c r="C30" s="484"/>
      <c r="D30" s="312">
        <f t="shared" ref="D30:K30" si="2">+D22+D26+D27+D28+D29</f>
        <v>149502052</v>
      </c>
      <c r="E30" s="288">
        <f t="shared" si="2"/>
        <v>120869053</v>
      </c>
      <c r="F30" s="288">
        <f t="shared" si="2"/>
        <v>28632999</v>
      </c>
      <c r="G30" s="285">
        <f t="shared" si="2"/>
        <v>0</v>
      </c>
      <c r="H30" s="312">
        <f t="shared" si="2"/>
        <v>226180121</v>
      </c>
      <c r="I30" s="288">
        <f t="shared" si="2"/>
        <v>166030180</v>
      </c>
      <c r="J30" s="288">
        <f t="shared" si="2"/>
        <v>60149941</v>
      </c>
      <c r="K30" s="285">
        <f t="shared" si="2"/>
        <v>0</v>
      </c>
    </row>
    <row r="31" spans="1:11" ht="15.95" customHeight="1" x14ac:dyDescent="0.25">
      <c r="A31" s="18"/>
      <c r="B31" s="483"/>
      <c r="C31" s="483"/>
      <c r="D31" s="313"/>
      <c r="E31" s="19"/>
      <c r="F31" s="273"/>
      <c r="G31" s="20"/>
      <c r="H31" s="313"/>
      <c r="I31" s="19"/>
      <c r="J31" s="273"/>
      <c r="K31" s="20"/>
    </row>
    <row r="32" spans="1:11" ht="15.95" customHeight="1" x14ac:dyDescent="0.25">
      <c r="A32" s="9"/>
      <c r="B32" s="482" t="s">
        <v>202</v>
      </c>
      <c r="C32" s="482"/>
      <c r="D32" s="289"/>
      <c r="E32" s="315"/>
      <c r="F32" s="187"/>
      <c r="G32" s="266"/>
      <c r="H32" s="289"/>
      <c r="I32" s="315"/>
      <c r="J32" s="187"/>
      <c r="K32" s="266"/>
    </row>
    <row r="33" spans="1:11" ht="15.95" customHeight="1" x14ac:dyDescent="0.25">
      <c r="A33" s="9" t="s">
        <v>29</v>
      </c>
      <c r="B33" s="469" t="s">
        <v>233</v>
      </c>
      <c r="C33" s="469"/>
      <c r="D33" s="290">
        <f t="shared" ref="D33:D41" si="3">SUM(E33:G33)</f>
        <v>10236680</v>
      </c>
      <c r="E33" s="291">
        <v>10236680</v>
      </c>
      <c r="F33" s="341"/>
      <c r="G33" s="293">
        <v>0</v>
      </c>
      <c r="H33" s="290">
        <f t="shared" ref="H33:H41" si="4">SUM(I33:K33)</f>
        <v>15882423</v>
      </c>
      <c r="I33" s="291">
        <v>15882423</v>
      </c>
      <c r="J33" s="341"/>
      <c r="K33" s="293"/>
    </row>
    <row r="34" spans="1:11" ht="15.95" customHeight="1" x14ac:dyDescent="0.25">
      <c r="A34" s="9" t="s">
        <v>43</v>
      </c>
      <c r="B34" s="469" t="s">
        <v>198</v>
      </c>
      <c r="C34" s="469"/>
      <c r="D34" s="290">
        <f t="shared" si="3"/>
        <v>36669000</v>
      </c>
      <c r="E34" s="291">
        <f>SUM(E35:E37)</f>
        <v>36669000</v>
      </c>
      <c r="F34" s="340">
        <f>SUM(F35:F37)</f>
        <v>0</v>
      </c>
      <c r="G34" s="293"/>
      <c r="H34" s="290">
        <f t="shared" si="4"/>
        <v>57117098</v>
      </c>
      <c r="I34" s="291">
        <f>SUM(I35:I37)</f>
        <v>57117098</v>
      </c>
      <c r="J34" s="340"/>
      <c r="K34" s="293"/>
    </row>
    <row r="35" spans="1:11" ht="15.95" customHeight="1" x14ac:dyDescent="0.25">
      <c r="A35" s="9"/>
      <c r="B35" s="221" t="s">
        <v>75</v>
      </c>
      <c r="C35" s="131" t="s">
        <v>175</v>
      </c>
      <c r="D35" s="290">
        <f t="shared" si="3"/>
        <v>31600000</v>
      </c>
      <c r="E35" s="291">
        <v>31600000</v>
      </c>
      <c r="F35" s="341"/>
      <c r="G35" s="293"/>
      <c r="H35" s="290">
        <f t="shared" si="4"/>
        <v>39292773</v>
      </c>
      <c r="I35" s="291">
        <v>39292773</v>
      </c>
      <c r="J35" s="341"/>
      <c r="K35" s="293"/>
    </row>
    <row r="36" spans="1:11" ht="15.95" customHeight="1" x14ac:dyDescent="0.25">
      <c r="A36" s="9"/>
      <c r="B36" s="221" t="s">
        <v>76</v>
      </c>
      <c r="C36" s="131" t="s">
        <v>176</v>
      </c>
      <c r="D36" s="290">
        <f t="shared" si="3"/>
        <v>4500000</v>
      </c>
      <c r="E36" s="342">
        <v>4500000</v>
      </c>
      <c r="F36" s="341"/>
      <c r="G36" s="293"/>
      <c r="H36" s="290">
        <f t="shared" si="4"/>
        <v>10575908</v>
      </c>
      <c r="I36" s="342">
        <v>10575908</v>
      </c>
      <c r="J36" s="341"/>
      <c r="K36" s="293"/>
    </row>
    <row r="37" spans="1:11" ht="15.95" customHeight="1" x14ac:dyDescent="0.25">
      <c r="A37" s="9"/>
      <c r="B37" s="221" t="s">
        <v>77</v>
      </c>
      <c r="C37" s="131" t="s">
        <v>177</v>
      </c>
      <c r="D37" s="290">
        <f t="shared" si="3"/>
        <v>569000</v>
      </c>
      <c r="E37" s="291">
        <v>569000</v>
      </c>
      <c r="F37" s="341"/>
      <c r="G37" s="293"/>
      <c r="H37" s="290">
        <f t="shared" si="4"/>
        <v>7248417</v>
      </c>
      <c r="I37" s="291">
        <v>7248417</v>
      </c>
      <c r="J37" s="341"/>
      <c r="K37" s="293"/>
    </row>
    <row r="38" spans="1:11" ht="15.95" customHeight="1" x14ac:dyDescent="0.25">
      <c r="A38" s="9" t="s">
        <v>44</v>
      </c>
      <c r="B38" s="469" t="s">
        <v>143</v>
      </c>
      <c r="C38" s="469"/>
      <c r="D38" s="294">
        <f t="shared" si="3"/>
        <v>130054591</v>
      </c>
      <c r="E38" s="291">
        <f>SUM(E39:E41)</f>
        <v>130054591</v>
      </c>
      <c r="F38" s="341">
        <f>SUM(F39:F41)</f>
        <v>0</v>
      </c>
      <c r="G38" s="293"/>
      <c r="H38" s="294">
        <f t="shared" si="4"/>
        <v>149250172</v>
      </c>
      <c r="I38" s="291">
        <f>SUM(I39:I41)</f>
        <v>149250172</v>
      </c>
      <c r="J38" s="341"/>
      <c r="K38" s="293"/>
    </row>
    <row r="39" spans="1:11" ht="15.95" customHeight="1" x14ac:dyDescent="0.25">
      <c r="A39" s="9"/>
      <c r="B39" s="222" t="s">
        <v>78</v>
      </c>
      <c r="C39" s="365" t="s">
        <v>236</v>
      </c>
      <c r="D39" s="294">
        <f t="shared" si="3"/>
        <v>130054591</v>
      </c>
      <c r="E39" s="291">
        <v>130054591</v>
      </c>
      <c r="F39" s="341"/>
      <c r="G39" s="293"/>
      <c r="H39" s="294">
        <f t="shared" si="4"/>
        <v>149250172</v>
      </c>
      <c r="I39" s="291">
        <v>149250172</v>
      </c>
      <c r="J39" s="341"/>
      <c r="K39" s="293"/>
    </row>
    <row r="40" spans="1:11" ht="15.95" customHeight="1" x14ac:dyDescent="0.25">
      <c r="A40" s="9"/>
      <c r="B40" s="222" t="s">
        <v>79</v>
      </c>
      <c r="C40" s="365" t="s">
        <v>81</v>
      </c>
      <c r="D40" s="294">
        <f t="shared" si="3"/>
        <v>0</v>
      </c>
      <c r="E40" s="291"/>
      <c r="F40" s="341"/>
      <c r="G40" s="293"/>
      <c r="H40" s="294">
        <f t="shared" si="4"/>
        <v>0</v>
      </c>
      <c r="I40" s="291"/>
      <c r="J40" s="341"/>
      <c r="K40" s="293"/>
    </row>
    <row r="41" spans="1:11" ht="15.95" customHeight="1" x14ac:dyDescent="0.25">
      <c r="A41" s="9"/>
      <c r="B41" s="222" t="s">
        <v>80</v>
      </c>
      <c r="C41" s="365" t="s">
        <v>237</v>
      </c>
      <c r="D41" s="294">
        <f t="shared" si="3"/>
        <v>0</v>
      </c>
      <c r="E41" s="291"/>
      <c r="F41" s="341"/>
      <c r="G41" s="293"/>
      <c r="H41" s="294">
        <f t="shared" si="4"/>
        <v>0</v>
      </c>
      <c r="I41" s="291"/>
      <c r="J41" s="341"/>
      <c r="K41" s="293"/>
    </row>
    <row r="42" spans="1:11" ht="15.95" customHeight="1" x14ac:dyDescent="0.25">
      <c r="A42" s="9" t="s">
        <v>45</v>
      </c>
      <c r="B42" s="469" t="s">
        <v>144</v>
      </c>
      <c r="C42" s="469"/>
      <c r="D42" s="294">
        <f>SUM(D43:D46)</f>
        <v>16826126</v>
      </c>
      <c r="E42" s="291">
        <f>SUM(E43:E46)</f>
        <v>16826126</v>
      </c>
      <c r="F42" s="291">
        <f>SUM(F43:F46)</f>
        <v>0</v>
      </c>
      <c r="G42" s="293"/>
      <c r="H42" s="294">
        <f>SUM(H43:H46)</f>
        <v>28840987</v>
      </c>
      <c r="I42" s="291">
        <f>SUM(I43:I46)</f>
        <v>28840987</v>
      </c>
      <c r="J42" s="291"/>
      <c r="K42" s="293"/>
    </row>
    <row r="43" spans="1:11" ht="15.95" customHeight="1" x14ac:dyDescent="0.25">
      <c r="A43" s="9"/>
      <c r="B43" s="222" t="s">
        <v>82</v>
      </c>
      <c r="C43" s="365" t="s">
        <v>86</v>
      </c>
      <c r="D43" s="294">
        <f>SUM(E43:G43)</f>
        <v>15605608</v>
      </c>
      <c r="E43" s="291">
        <v>15605608</v>
      </c>
      <c r="F43" s="341"/>
      <c r="G43" s="293"/>
      <c r="H43" s="294">
        <f>SUM(I43:K43)</f>
        <v>26935632</v>
      </c>
      <c r="I43" s="291">
        <v>26935632</v>
      </c>
      <c r="J43" s="341"/>
      <c r="K43" s="293"/>
    </row>
    <row r="44" spans="1:11" ht="15.95" customHeight="1" x14ac:dyDescent="0.25">
      <c r="A44" s="9"/>
      <c r="B44" s="222" t="s">
        <v>83</v>
      </c>
      <c r="C44" s="365" t="s">
        <v>87</v>
      </c>
      <c r="D44" s="294"/>
      <c r="E44" s="340"/>
      <c r="F44" s="341"/>
      <c r="G44" s="293"/>
      <c r="H44" s="294">
        <v>684837</v>
      </c>
      <c r="I44" s="291">
        <v>684837</v>
      </c>
      <c r="J44" s="341"/>
      <c r="K44" s="293"/>
    </row>
    <row r="45" spans="1:11" ht="15.95" customHeight="1" x14ac:dyDescent="0.25">
      <c r="A45" s="9"/>
      <c r="B45" s="222" t="s">
        <v>84</v>
      </c>
      <c r="C45" s="365" t="s">
        <v>271</v>
      </c>
      <c r="D45" s="294">
        <f>G45+F45+E45</f>
        <v>1220518</v>
      </c>
      <c r="E45" s="342">
        <v>1220518</v>
      </c>
      <c r="F45" s="341"/>
      <c r="G45" s="293"/>
      <c r="H45" s="294">
        <f>K45+J45+I45</f>
        <v>1220518</v>
      </c>
      <c r="I45" s="342">
        <v>1220518</v>
      </c>
      <c r="J45" s="341"/>
      <c r="K45" s="293"/>
    </row>
    <row r="46" spans="1:11" ht="15.95" customHeight="1" x14ac:dyDescent="0.25">
      <c r="A46" s="9"/>
      <c r="B46" s="222" t="s">
        <v>85</v>
      </c>
      <c r="C46" s="365" t="s">
        <v>88</v>
      </c>
      <c r="D46" s="294"/>
      <c r="E46" s="291"/>
      <c r="F46" s="292">
        <f>SUM(D46:D46)</f>
        <v>0</v>
      </c>
      <c r="G46" s="293"/>
      <c r="H46" s="294"/>
      <c r="I46" s="291"/>
      <c r="J46" s="292"/>
      <c r="K46" s="293"/>
    </row>
    <row r="47" spans="1:11" s="224" customFormat="1" ht="15.95" customHeight="1" x14ac:dyDescent="0.25">
      <c r="A47" s="223" t="s">
        <v>193</v>
      </c>
      <c r="B47" s="523" t="s">
        <v>89</v>
      </c>
      <c r="C47" s="523"/>
      <c r="D47" s="294">
        <f t="shared" ref="D47:I47" si="5">+D33+D34+D38+D42</f>
        <v>193786397</v>
      </c>
      <c r="E47" s="294">
        <f t="shared" si="5"/>
        <v>193786397</v>
      </c>
      <c r="F47" s="294">
        <f t="shared" si="5"/>
        <v>0</v>
      </c>
      <c r="G47" s="295">
        <f t="shared" si="5"/>
        <v>0</v>
      </c>
      <c r="H47" s="294">
        <f t="shared" si="5"/>
        <v>251090680</v>
      </c>
      <c r="I47" s="294">
        <f t="shared" si="5"/>
        <v>251090680</v>
      </c>
      <c r="J47" s="294"/>
      <c r="K47" s="295"/>
    </row>
    <row r="48" spans="1:11" ht="15.95" customHeight="1" x14ac:dyDescent="0.25">
      <c r="A48" s="9" t="s">
        <v>47</v>
      </c>
      <c r="B48" s="469" t="s">
        <v>190</v>
      </c>
      <c r="C48" s="469"/>
      <c r="D48" s="291">
        <f>SUM(D49:D50)</f>
        <v>19414291</v>
      </c>
      <c r="E48" s="291">
        <f>SUM(E49:E50)</f>
        <v>0</v>
      </c>
      <c r="F48" s="291">
        <f>SUM(F49:F50)</f>
        <v>19414291</v>
      </c>
      <c r="G48" s="293"/>
      <c r="H48" s="291">
        <f>SUM(H49:H50)</f>
        <v>35042138</v>
      </c>
      <c r="I48" s="291">
        <f>SUM(I49:I50)</f>
        <v>35042138</v>
      </c>
      <c r="J48" s="291"/>
      <c r="K48" s="293"/>
    </row>
    <row r="49" spans="1:11" ht="15.95" customHeight="1" x14ac:dyDescent="0.25">
      <c r="A49" s="9"/>
      <c r="B49" s="222" t="s">
        <v>90</v>
      </c>
      <c r="C49" s="365" t="s">
        <v>92</v>
      </c>
      <c r="D49" s="294">
        <f>+E49+F49+G49</f>
        <v>10679000</v>
      </c>
      <c r="E49" s="291"/>
      <c r="F49" s="292">
        <v>10679000</v>
      </c>
      <c r="G49" s="293"/>
      <c r="H49" s="294">
        <f>+I49+J49+K49</f>
        <v>20484686</v>
      </c>
      <c r="I49" s="291">
        <v>20484686</v>
      </c>
      <c r="J49" s="292"/>
      <c r="K49" s="293"/>
    </row>
    <row r="50" spans="1:11" ht="15.95" customHeight="1" x14ac:dyDescent="0.25">
      <c r="A50" s="9"/>
      <c r="B50" s="222" t="s">
        <v>91</v>
      </c>
      <c r="C50" s="365" t="s">
        <v>1</v>
      </c>
      <c r="D50" s="294">
        <f>+E50+F50+G50</f>
        <v>8735291</v>
      </c>
      <c r="E50" s="291"/>
      <c r="F50" s="292">
        <v>8735291</v>
      </c>
      <c r="G50" s="293"/>
      <c r="H50" s="294">
        <f>+I50+J50+K50</f>
        <v>14557452</v>
      </c>
      <c r="I50" s="291">
        <v>14557452</v>
      </c>
      <c r="J50" s="292"/>
      <c r="K50" s="293"/>
    </row>
    <row r="51" spans="1:11" ht="15.95" customHeight="1" x14ac:dyDescent="0.25">
      <c r="A51" s="9" t="s">
        <v>48</v>
      </c>
      <c r="B51" s="469" t="s">
        <v>146</v>
      </c>
      <c r="C51" s="469"/>
      <c r="D51" s="294">
        <f>SUM(D52:D53)</f>
        <v>0</v>
      </c>
      <c r="E51" s="291">
        <f>SUM(E52:E53)</f>
        <v>0</v>
      </c>
      <c r="F51" s="292">
        <f t="shared" ref="F51:F57" si="6">SUM(D51:D51)</f>
        <v>0</v>
      </c>
      <c r="G51" s="293"/>
      <c r="H51" s="294">
        <f>SUM(H52:H53)</f>
        <v>0</v>
      </c>
      <c r="I51" s="291">
        <f>SUM(I52:I53)</f>
        <v>0</v>
      </c>
      <c r="J51" s="292"/>
      <c r="K51" s="293"/>
    </row>
    <row r="52" spans="1:11" ht="15.95" customHeight="1" x14ac:dyDescent="0.25">
      <c r="A52" s="9"/>
      <c r="B52" s="222" t="s">
        <v>93</v>
      </c>
      <c r="C52" s="365" t="s">
        <v>95</v>
      </c>
      <c r="D52" s="294"/>
      <c r="E52" s="291"/>
      <c r="F52" s="292">
        <f t="shared" si="6"/>
        <v>0</v>
      </c>
      <c r="G52" s="293"/>
      <c r="H52" s="294"/>
      <c r="I52" s="291"/>
      <c r="J52" s="292"/>
      <c r="K52" s="293"/>
    </row>
    <row r="53" spans="1:11" ht="15.95" customHeight="1" x14ac:dyDescent="0.25">
      <c r="A53" s="9"/>
      <c r="B53" s="222" t="s">
        <v>94</v>
      </c>
      <c r="C53" s="365" t="s">
        <v>96</v>
      </c>
      <c r="D53" s="294">
        <v>0</v>
      </c>
      <c r="E53" s="291"/>
      <c r="F53" s="292">
        <f t="shared" si="6"/>
        <v>0</v>
      </c>
      <c r="G53" s="293"/>
      <c r="H53" s="294">
        <v>0</v>
      </c>
      <c r="I53" s="291"/>
      <c r="J53" s="292"/>
      <c r="K53" s="293"/>
    </row>
    <row r="54" spans="1:11" ht="15.95" customHeight="1" x14ac:dyDescent="0.25">
      <c r="A54" s="9" t="s">
        <v>49</v>
      </c>
      <c r="B54" s="469" t="s">
        <v>147</v>
      </c>
      <c r="C54" s="469"/>
      <c r="D54" s="294">
        <f>SUM(D55:D57)</f>
        <v>0</v>
      </c>
      <c r="E54" s="291">
        <f>SUM(E55:E57)</f>
        <v>0</v>
      </c>
      <c r="F54" s="292">
        <f>SUM(F55:F57)</f>
        <v>0</v>
      </c>
      <c r="G54" s="293"/>
      <c r="H54" s="294">
        <f>SUM(H55:H57)</f>
        <v>2895752</v>
      </c>
      <c r="I54" s="291">
        <f>SUM(I55:I57)</f>
        <v>2895752</v>
      </c>
      <c r="J54" s="292"/>
      <c r="K54" s="293"/>
    </row>
    <row r="55" spans="1:11" ht="15.95" customHeight="1" x14ac:dyDescent="0.25">
      <c r="A55" s="9"/>
      <c r="B55" s="222" t="s">
        <v>97</v>
      </c>
      <c r="C55" s="365" t="s">
        <v>100</v>
      </c>
      <c r="D55" s="294">
        <f>+E55+F55+G55</f>
        <v>0</v>
      </c>
      <c r="E55" s="291"/>
      <c r="F55" s="292"/>
      <c r="G55" s="293"/>
      <c r="H55" s="294">
        <f>+I55+J55+K55</f>
        <v>2700002</v>
      </c>
      <c r="I55" s="291">
        <v>2700002</v>
      </c>
      <c r="J55" s="292"/>
      <c r="K55" s="293"/>
    </row>
    <row r="56" spans="1:11" ht="15.95" customHeight="1" x14ac:dyDescent="0.25">
      <c r="A56" s="9"/>
      <c r="B56" s="222" t="s">
        <v>98</v>
      </c>
      <c r="C56" s="365" t="s">
        <v>2</v>
      </c>
      <c r="D56" s="294"/>
      <c r="E56" s="291"/>
      <c r="F56" s="292">
        <f t="shared" si="6"/>
        <v>0</v>
      </c>
      <c r="G56" s="293"/>
      <c r="H56" s="294">
        <v>195750</v>
      </c>
      <c r="I56" s="291">
        <v>195750</v>
      </c>
      <c r="J56" s="292"/>
      <c r="K56" s="293"/>
    </row>
    <row r="57" spans="1:11" ht="15.95" customHeight="1" x14ac:dyDescent="0.25">
      <c r="A57" s="9"/>
      <c r="B57" s="222" t="s">
        <v>99</v>
      </c>
      <c r="C57" s="365" t="s">
        <v>101</v>
      </c>
      <c r="D57" s="294"/>
      <c r="E57" s="291"/>
      <c r="F57" s="292">
        <f t="shared" si="6"/>
        <v>0</v>
      </c>
      <c r="G57" s="293"/>
      <c r="H57" s="294"/>
      <c r="I57" s="291"/>
      <c r="J57" s="292"/>
      <c r="K57" s="293"/>
    </row>
    <row r="58" spans="1:11" s="224" customFormat="1" ht="15.95" customHeight="1" x14ac:dyDescent="0.25">
      <c r="A58" s="223" t="s">
        <v>194</v>
      </c>
      <c r="B58" s="523" t="s">
        <v>215</v>
      </c>
      <c r="C58" s="523"/>
      <c r="D58" s="294">
        <f t="shared" ref="D58:I58" si="7">+D48+D51+D54</f>
        <v>19414291</v>
      </c>
      <c r="E58" s="302">
        <f t="shared" si="7"/>
        <v>0</v>
      </c>
      <c r="F58" s="294">
        <f t="shared" si="7"/>
        <v>19414291</v>
      </c>
      <c r="G58" s="296">
        <f t="shared" si="7"/>
        <v>0</v>
      </c>
      <c r="H58" s="294">
        <f t="shared" si="7"/>
        <v>37937890</v>
      </c>
      <c r="I58" s="302">
        <f t="shared" si="7"/>
        <v>37937890</v>
      </c>
      <c r="J58" s="294"/>
      <c r="K58" s="296"/>
    </row>
    <row r="59" spans="1:11" s="224" customFormat="1" ht="15.95" customHeight="1" x14ac:dyDescent="0.25">
      <c r="A59" s="223" t="s">
        <v>195</v>
      </c>
      <c r="B59" s="523" t="s">
        <v>148</v>
      </c>
      <c r="C59" s="523"/>
      <c r="D59" s="304"/>
      <c r="E59" s="297"/>
      <c r="F59" s="298"/>
      <c r="G59" s="299"/>
      <c r="H59" s="304"/>
      <c r="I59" s="297"/>
      <c r="J59" s="298"/>
      <c r="K59" s="299"/>
    </row>
    <row r="60" spans="1:11" s="224" customFormat="1" ht="15.95" customHeight="1" x14ac:dyDescent="0.25">
      <c r="A60" s="223" t="s">
        <v>180</v>
      </c>
      <c r="B60" s="523" t="s">
        <v>21</v>
      </c>
      <c r="C60" s="523"/>
      <c r="D60" s="304"/>
      <c r="E60" s="297"/>
      <c r="F60" s="298"/>
      <c r="G60" s="299"/>
      <c r="H60" s="304"/>
      <c r="I60" s="297"/>
      <c r="J60" s="298"/>
      <c r="K60" s="299"/>
    </row>
    <row r="61" spans="1:11" s="153" customFormat="1" ht="15.95" customHeight="1" x14ac:dyDescent="0.3">
      <c r="A61" s="152" t="s">
        <v>149</v>
      </c>
      <c r="B61" s="461" t="s">
        <v>150</v>
      </c>
      <c r="C61" s="461"/>
      <c r="D61" s="300">
        <f t="shared" ref="D61:J61" si="8">+D47+D58+D59+D60</f>
        <v>213200688</v>
      </c>
      <c r="E61" s="303">
        <f t="shared" si="8"/>
        <v>193786397</v>
      </c>
      <c r="F61" s="300">
        <f t="shared" si="8"/>
        <v>19414291</v>
      </c>
      <c r="G61" s="301">
        <f t="shared" si="8"/>
        <v>0</v>
      </c>
      <c r="H61" s="300">
        <f t="shared" si="8"/>
        <v>289028570</v>
      </c>
      <c r="I61" s="303">
        <f t="shared" si="8"/>
        <v>289028570</v>
      </c>
      <c r="J61" s="300">
        <f t="shared" si="8"/>
        <v>0</v>
      </c>
      <c r="K61" s="301"/>
    </row>
    <row r="62" spans="1:11" s="153" customFormat="1" ht="15.95" customHeight="1" x14ac:dyDescent="0.3">
      <c r="A62" s="152"/>
      <c r="B62" s="461" t="s">
        <v>151</v>
      </c>
      <c r="C62" s="461"/>
      <c r="D62" s="288">
        <f t="shared" ref="D62:J62" si="9">+D30-D61</f>
        <v>-63698636</v>
      </c>
      <c r="E62" s="284">
        <f t="shared" si="9"/>
        <v>-72917344</v>
      </c>
      <c r="F62" s="288">
        <f t="shared" si="9"/>
        <v>9218708</v>
      </c>
      <c r="G62" s="285">
        <f t="shared" si="9"/>
        <v>0</v>
      </c>
      <c r="H62" s="288">
        <f t="shared" si="9"/>
        <v>-62848449</v>
      </c>
      <c r="I62" s="284">
        <f t="shared" si="9"/>
        <v>-122998390</v>
      </c>
      <c r="J62" s="288">
        <f t="shared" si="9"/>
        <v>60149941</v>
      </c>
      <c r="K62" s="285"/>
    </row>
    <row r="63" spans="1:11" s="153" customFormat="1" ht="15.95" customHeight="1" x14ac:dyDescent="0.3">
      <c r="A63" s="152"/>
      <c r="B63" s="523" t="s">
        <v>277</v>
      </c>
      <c r="C63" s="523"/>
      <c r="D63" s="288"/>
      <c r="E63" s="288"/>
      <c r="F63" s="288"/>
      <c r="G63" s="285"/>
      <c r="H63" s="288"/>
      <c r="I63" s="288"/>
      <c r="J63" s="288"/>
      <c r="K63" s="285"/>
    </row>
    <row r="64" spans="1:11" ht="15.95" customHeight="1" x14ac:dyDescent="0.25">
      <c r="A64" s="223" t="s">
        <v>181</v>
      </c>
      <c r="B64" s="523" t="s">
        <v>152</v>
      </c>
      <c r="C64" s="523"/>
      <c r="D64" s="289">
        <f>+E64+F64</f>
        <v>38461312</v>
      </c>
      <c r="E64" s="289">
        <v>38461312</v>
      </c>
      <c r="F64" s="289">
        <f>SUM(F65:F66)</f>
        <v>0</v>
      </c>
      <c r="G64" s="283"/>
      <c r="H64" s="289">
        <f>+I64+J64</f>
        <v>38461312</v>
      </c>
      <c r="I64" s="289">
        <v>38461312</v>
      </c>
      <c r="J64" s="289">
        <f>SUM(J65:J66)</f>
        <v>0</v>
      </c>
      <c r="K64" s="283"/>
    </row>
    <row r="65" spans="1:11" s="153" customFormat="1" ht="15.95" customHeight="1" x14ac:dyDescent="0.3">
      <c r="A65" s="152"/>
      <c r="B65" s="263" t="s">
        <v>29</v>
      </c>
      <c r="C65" s="365" t="s">
        <v>102</v>
      </c>
      <c r="D65" s="289">
        <f>+E65+F65</f>
        <v>38461312</v>
      </c>
      <c r="E65" s="282">
        <v>38461312</v>
      </c>
      <c r="F65" s="264"/>
      <c r="G65" s="286"/>
      <c r="H65" s="289">
        <f>+I65+J65</f>
        <v>38461312</v>
      </c>
      <c r="I65" s="282">
        <v>38461312</v>
      </c>
      <c r="J65" s="264"/>
      <c r="K65" s="286"/>
    </row>
    <row r="66" spans="1:11" s="153" customFormat="1" ht="15.95" customHeight="1" x14ac:dyDescent="0.3">
      <c r="A66" s="152"/>
      <c r="B66" s="263" t="s">
        <v>43</v>
      </c>
      <c r="C66" s="365" t="s">
        <v>103</v>
      </c>
      <c r="D66" s="305"/>
      <c r="E66" s="284"/>
      <c r="F66" s="187"/>
      <c r="G66" s="286"/>
      <c r="H66" s="305"/>
      <c r="I66" s="284"/>
      <c r="J66" s="187"/>
      <c r="K66" s="286"/>
    </row>
    <row r="67" spans="1:11" s="153" customFormat="1" ht="39.75" customHeight="1" x14ac:dyDescent="0.3">
      <c r="A67" s="152" t="s">
        <v>153</v>
      </c>
      <c r="B67" s="484" t="s">
        <v>157</v>
      </c>
      <c r="C67" s="484"/>
      <c r="D67" s="288">
        <f>+E67+F67</f>
        <v>38461312</v>
      </c>
      <c r="E67" s="284">
        <f>+E65</f>
        <v>38461312</v>
      </c>
      <c r="F67" s="288">
        <f>+F64</f>
        <v>0</v>
      </c>
      <c r="G67" s="286"/>
      <c r="H67" s="288">
        <f>+I67+J67</f>
        <v>38461312</v>
      </c>
      <c r="I67" s="284">
        <f>+I65</f>
        <v>38461312</v>
      </c>
      <c r="J67" s="288">
        <f>+J64</f>
        <v>0</v>
      </c>
      <c r="K67" s="286"/>
    </row>
    <row r="68" spans="1:11" s="153" customFormat="1" ht="15.95" customHeight="1" x14ac:dyDescent="0.3">
      <c r="A68" s="9" t="s">
        <v>182</v>
      </c>
      <c r="B68" s="469" t="s">
        <v>377</v>
      </c>
      <c r="C68" s="469"/>
      <c r="D68" s="288"/>
      <c r="E68" s="272"/>
      <c r="F68" s="191">
        <f t="shared" ref="F68:F79" si="10">SUM(D68:E68)</f>
        <v>0</v>
      </c>
      <c r="G68" s="267"/>
      <c r="H68" s="305">
        <v>4903619</v>
      </c>
      <c r="I68" s="274">
        <v>4903619</v>
      </c>
      <c r="J68" s="191"/>
      <c r="K68" s="267"/>
    </row>
    <row r="69" spans="1:11" s="153" customFormat="1" ht="15.95" customHeight="1" x14ac:dyDescent="0.3">
      <c r="A69" s="9" t="s">
        <v>183</v>
      </c>
      <c r="B69" s="469" t="s">
        <v>155</v>
      </c>
      <c r="C69" s="469"/>
      <c r="D69" s="288">
        <f>SUM(D70:D73)</f>
        <v>0</v>
      </c>
      <c r="E69" s="272"/>
      <c r="F69" s="191">
        <f t="shared" si="10"/>
        <v>0</v>
      </c>
      <c r="G69" s="267"/>
      <c r="H69" s="288">
        <f>SUM(H70:H73)</f>
        <v>0</v>
      </c>
      <c r="I69" s="272"/>
      <c r="J69" s="191">
        <f t="shared" ref="J69:J71" si="11">SUM(H69:I69)</f>
        <v>0</v>
      </c>
      <c r="K69" s="267"/>
    </row>
    <row r="70" spans="1:11" s="153" customFormat="1" ht="15.95" customHeight="1" x14ac:dyDescent="0.3">
      <c r="A70" s="9"/>
      <c r="B70" s="222" t="s">
        <v>29</v>
      </c>
      <c r="C70" s="365" t="s">
        <v>104</v>
      </c>
      <c r="D70" s="305"/>
      <c r="E70" s="274"/>
      <c r="F70" s="264">
        <f t="shared" si="10"/>
        <v>0</v>
      </c>
      <c r="G70" s="267"/>
      <c r="H70" s="305"/>
      <c r="I70" s="274"/>
      <c r="J70" s="264">
        <f t="shared" si="11"/>
        <v>0</v>
      </c>
      <c r="K70" s="267"/>
    </row>
    <row r="71" spans="1:11" s="153" customFormat="1" ht="15.95" customHeight="1" x14ac:dyDescent="0.3">
      <c r="A71" s="9"/>
      <c r="B71" s="222" t="s">
        <v>43</v>
      </c>
      <c r="C71" s="365" t="s">
        <v>105</v>
      </c>
      <c r="D71" s="288"/>
      <c r="E71" s="272"/>
      <c r="F71" s="191">
        <f t="shared" si="10"/>
        <v>0</v>
      </c>
      <c r="G71" s="267"/>
      <c r="H71" s="288"/>
      <c r="I71" s="272"/>
      <c r="J71" s="191">
        <f t="shared" si="11"/>
        <v>0</v>
      </c>
      <c r="K71" s="267"/>
    </row>
    <row r="72" spans="1:11" s="153" customFormat="1" ht="15.95" customHeight="1" x14ac:dyDescent="0.3">
      <c r="A72" s="9"/>
      <c r="B72" s="222" t="s">
        <v>44</v>
      </c>
      <c r="C72" s="365" t="s">
        <v>231</v>
      </c>
      <c r="D72" s="305"/>
      <c r="E72" s="272"/>
      <c r="F72" s="191"/>
      <c r="G72" s="267"/>
      <c r="H72" s="305"/>
      <c r="I72" s="272"/>
      <c r="J72" s="191"/>
      <c r="K72" s="267"/>
    </row>
    <row r="73" spans="1:11" s="153" customFormat="1" ht="15.95" customHeight="1" x14ac:dyDescent="0.3">
      <c r="A73" s="9"/>
      <c r="B73" s="222" t="s">
        <v>45</v>
      </c>
      <c r="C73" s="365" t="s">
        <v>232</v>
      </c>
      <c r="D73" s="305"/>
      <c r="E73" s="272"/>
      <c r="F73" s="191"/>
      <c r="G73" s="267"/>
      <c r="H73" s="305"/>
      <c r="I73" s="272"/>
      <c r="J73" s="191"/>
      <c r="K73" s="267"/>
    </row>
    <row r="74" spans="1:11" s="153" customFormat="1" ht="33" customHeight="1" x14ac:dyDescent="0.3">
      <c r="A74" s="152" t="s">
        <v>156</v>
      </c>
      <c r="B74" s="527" t="s">
        <v>158</v>
      </c>
      <c r="C74" s="527"/>
      <c r="D74" s="288">
        <f>+D68+D69</f>
        <v>0</v>
      </c>
      <c r="E74" s="272"/>
      <c r="F74" s="191">
        <f t="shared" si="10"/>
        <v>0</v>
      </c>
      <c r="G74" s="267"/>
      <c r="H74" s="288">
        <f>+H68+H69</f>
        <v>4903619</v>
      </c>
      <c r="I74" s="272">
        <f>I68+I69</f>
        <v>4903619</v>
      </c>
      <c r="J74" s="191"/>
      <c r="K74" s="267"/>
    </row>
    <row r="75" spans="1:11" s="153" customFormat="1" ht="15.95" customHeight="1" x14ac:dyDescent="0.3">
      <c r="A75" s="152" t="s">
        <v>159</v>
      </c>
      <c r="B75" s="461" t="s">
        <v>160</v>
      </c>
      <c r="C75" s="461"/>
      <c r="D75" s="288">
        <f>+D67+D74</f>
        <v>38461312</v>
      </c>
      <c r="E75" s="272">
        <f>+E67+E74</f>
        <v>38461312</v>
      </c>
      <c r="F75" s="272">
        <f>+F67+F74</f>
        <v>0</v>
      </c>
      <c r="G75" s="267"/>
      <c r="H75" s="288">
        <f>+H67+H74</f>
        <v>43364931</v>
      </c>
      <c r="I75" s="272">
        <f>+I67+I74</f>
        <v>43364931</v>
      </c>
      <c r="J75" s="272">
        <f>+J67+J74</f>
        <v>0</v>
      </c>
      <c r="K75" s="267"/>
    </row>
    <row r="76" spans="1:11" s="153" customFormat="1" ht="15.95" customHeight="1" x14ac:dyDescent="0.3">
      <c r="A76" s="9" t="s">
        <v>184</v>
      </c>
      <c r="B76" s="469" t="s">
        <v>255</v>
      </c>
      <c r="C76" s="469"/>
      <c r="D76" s="288">
        <f>+E76+F76+G76</f>
        <v>97601000</v>
      </c>
      <c r="E76" s="272">
        <v>97601000</v>
      </c>
      <c r="F76" s="191"/>
      <c r="G76" s="267"/>
      <c r="H76" s="288">
        <f>+I76+J76+K76</f>
        <v>101654432</v>
      </c>
      <c r="I76" s="272">
        <v>101654432</v>
      </c>
      <c r="J76" s="191"/>
      <c r="K76" s="267"/>
    </row>
    <row r="77" spans="1:11" s="153" customFormat="1" ht="15.95" customHeight="1" x14ac:dyDescent="0.3">
      <c r="A77" s="9" t="s">
        <v>185</v>
      </c>
      <c r="B77" s="469" t="s">
        <v>161</v>
      </c>
      <c r="C77" s="469"/>
      <c r="D77" s="305">
        <f>E77+F77</f>
        <v>0</v>
      </c>
      <c r="E77" s="274">
        <f>E78+E79</f>
        <v>0</v>
      </c>
      <c r="F77" s="274">
        <f>F78+F79</f>
        <v>0</v>
      </c>
      <c r="G77" s="267"/>
      <c r="H77" s="305"/>
      <c r="I77" s="274"/>
      <c r="J77" s="274">
        <f>J78+J79</f>
        <v>0</v>
      </c>
      <c r="K77" s="267"/>
    </row>
    <row r="78" spans="1:11" s="153" customFormat="1" ht="15.95" customHeight="1" x14ac:dyDescent="0.3">
      <c r="A78" s="9"/>
      <c r="B78" s="222" t="s">
        <v>29</v>
      </c>
      <c r="C78" s="365" t="s">
        <v>227</v>
      </c>
      <c r="D78" s="305"/>
      <c r="E78" s="274"/>
      <c r="F78" s="264">
        <f t="shared" si="10"/>
        <v>0</v>
      </c>
      <c r="G78" s="267"/>
      <c r="H78" s="305"/>
      <c r="I78" s="274"/>
      <c r="J78" s="264">
        <f t="shared" ref="J78:J79" si="12">SUM(H78:I78)</f>
        <v>0</v>
      </c>
      <c r="K78" s="267"/>
    </row>
    <row r="79" spans="1:11" s="153" customFormat="1" ht="15.95" customHeight="1" x14ac:dyDescent="0.3">
      <c r="A79" s="9"/>
      <c r="B79" s="222" t="s">
        <v>43</v>
      </c>
      <c r="C79" s="365" t="s">
        <v>226</v>
      </c>
      <c r="D79" s="305"/>
      <c r="E79" s="274"/>
      <c r="F79" s="264">
        <f t="shared" si="10"/>
        <v>0</v>
      </c>
      <c r="G79" s="267"/>
      <c r="H79" s="305"/>
      <c r="I79" s="274"/>
      <c r="J79" s="264">
        <f t="shared" si="12"/>
        <v>0</v>
      </c>
      <c r="K79" s="267"/>
    </row>
    <row r="80" spans="1:11" s="153" customFormat="1" ht="15.95" customHeight="1" x14ac:dyDescent="0.3">
      <c r="A80" s="9" t="s">
        <v>319</v>
      </c>
      <c r="B80" s="510" t="s">
        <v>318</v>
      </c>
      <c r="C80" s="511"/>
      <c r="D80" s="305">
        <f>E80+F80</f>
        <v>4558948</v>
      </c>
      <c r="E80" s="274">
        <v>4558948</v>
      </c>
      <c r="F80" s="264">
        <v>0</v>
      </c>
      <c r="G80" s="267"/>
      <c r="H80" s="305">
        <f>I80+J80</f>
        <v>4558948</v>
      </c>
      <c r="I80" s="274">
        <v>4558948</v>
      </c>
      <c r="J80" s="264">
        <v>0</v>
      </c>
      <c r="K80" s="267"/>
    </row>
    <row r="81" spans="1:11" s="153" customFormat="1" ht="15.95" customHeight="1" x14ac:dyDescent="0.3">
      <c r="A81" s="152" t="s">
        <v>162</v>
      </c>
      <c r="B81" s="461" t="s">
        <v>163</v>
      </c>
      <c r="C81" s="461"/>
      <c r="D81" s="288">
        <f>+D76+D77+D80</f>
        <v>102159948</v>
      </c>
      <c r="E81" s="272">
        <f>+E76+E77+E80</f>
        <v>102159948</v>
      </c>
      <c r="F81" s="272">
        <f>+F76+F77+F80</f>
        <v>0</v>
      </c>
      <c r="G81" s="267"/>
      <c r="H81" s="288">
        <f>+H76+H77+H80</f>
        <v>106213380</v>
      </c>
      <c r="I81" s="272">
        <f>+I76+I77+I80</f>
        <v>106213380</v>
      </c>
      <c r="J81" s="272">
        <f>+J76+J77+J80</f>
        <v>0</v>
      </c>
      <c r="K81" s="267"/>
    </row>
    <row r="82" spans="1:11" s="153" customFormat="1" ht="15.95" customHeight="1" x14ac:dyDescent="0.3">
      <c r="A82" s="152" t="s">
        <v>204</v>
      </c>
      <c r="B82" s="461" t="s">
        <v>206</v>
      </c>
      <c r="C82" s="461"/>
      <c r="D82" s="423">
        <f t="shared" ref="D82:K82" si="13">+D30+D81</f>
        <v>251662000</v>
      </c>
      <c r="E82" s="307">
        <f t="shared" si="13"/>
        <v>223029001</v>
      </c>
      <c r="F82" s="307">
        <f t="shared" si="13"/>
        <v>28632999</v>
      </c>
      <c r="G82" s="306">
        <f t="shared" si="13"/>
        <v>0</v>
      </c>
      <c r="H82" s="423">
        <f t="shared" si="13"/>
        <v>332393501</v>
      </c>
      <c r="I82" s="307">
        <f t="shared" si="13"/>
        <v>272243560</v>
      </c>
      <c r="J82" s="307">
        <f t="shared" si="13"/>
        <v>60149941</v>
      </c>
      <c r="K82" s="306">
        <f t="shared" si="13"/>
        <v>0</v>
      </c>
    </row>
    <row r="83" spans="1:11" s="153" customFormat="1" ht="15.95" customHeight="1" thickBot="1" x14ac:dyDescent="0.35">
      <c r="A83" s="171" t="s">
        <v>205</v>
      </c>
      <c r="B83" s="172" t="s">
        <v>207</v>
      </c>
      <c r="C83" s="172"/>
      <c r="D83" s="380">
        <f t="shared" ref="D83:K83" si="14">+D61+D75</f>
        <v>251662000</v>
      </c>
      <c r="E83" s="36">
        <f t="shared" si="14"/>
        <v>232247709</v>
      </c>
      <c r="F83" s="36">
        <f t="shared" si="14"/>
        <v>19414291</v>
      </c>
      <c r="G83" s="381">
        <f t="shared" si="14"/>
        <v>0</v>
      </c>
      <c r="H83" s="380">
        <f t="shared" si="14"/>
        <v>332393501</v>
      </c>
      <c r="I83" s="36">
        <f t="shared" si="14"/>
        <v>332393501</v>
      </c>
      <c r="J83" s="36">
        <f t="shared" si="14"/>
        <v>0</v>
      </c>
      <c r="K83" s="381">
        <f t="shared" si="14"/>
        <v>0</v>
      </c>
    </row>
    <row r="84" spans="1:11" ht="20.100000000000001" customHeight="1" x14ac:dyDescent="0.2">
      <c r="B84" s="15"/>
      <c r="C84" s="15"/>
      <c r="D84" s="16"/>
      <c r="E84" s="16"/>
      <c r="F84" s="16"/>
    </row>
    <row r="85" spans="1:11" ht="20.100000000000001" customHeight="1" x14ac:dyDescent="0.2">
      <c r="B85" s="15"/>
      <c r="C85" s="15"/>
      <c r="D85" s="178">
        <f>+D83-D82</f>
        <v>0</v>
      </c>
      <c r="E85" s="178">
        <f>+E83-E82</f>
        <v>9218708</v>
      </c>
      <c r="F85" s="178">
        <f>+F83-F82</f>
        <v>-9218708</v>
      </c>
      <c r="G85" s="178">
        <f>+G83-G82</f>
        <v>0</v>
      </c>
      <c r="H85" s="159">
        <f>SUM(E85:G85)</f>
        <v>0</v>
      </c>
    </row>
    <row r="86" spans="1:11" ht="20.100000000000001" customHeight="1" x14ac:dyDescent="0.2">
      <c r="B86" s="15"/>
      <c r="C86" s="15"/>
      <c r="D86" s="16"/>
      <c r="E86" s="16"/>
      <c r="F86" s="16"/>
    </row>
    <row r="87" spans="1:11" ht="20.100000000000001" customHeight="1" x14ac:dyDescent="0.2">
      <c r="B87" s="15"/>
      <c r="C87" s="15"/>
      <c r="D87" s="16"/>
      <c r="E87" s="16"/>
      <c r="F87" s="16"/>
    </row>
    <row r="88" spans="1:11" ht="20.100000000000001" customHeight="1" x14ac:dyDescent="0.2">
      <c r="B88" s="15"/>
      <c r="C88" s="15"/>
      <c r="D88" s="16"/>
      <c r="E88" s="16"/>
      <c r="F88" s="16"/>
    </row>
    <row r="89" spans="1:11" ht="20.100000000000001" customHeight="1" x14ac:dyDescent="0.2">
      <c r="B89" s="15"/>
      <c r="C89" s="15"/>
      <c r="D89" s="16"/>
      <c r="E89" s="16"/>
      <c r="F89" s="16"/>
    </row>
    <row r="90" spans="1:11" ht="20.100000000000001" customHeight="1" x14ac:dyDescent="0.2">
      <c r="B90" s="15"/>
      <c r="C90" s="15"/>
      <c r="D90" s="16"/>
      <c r="E90" s="16"/>
      <c r="F90" s="16"/>
    </row>
    <row r="91" spans="1:11" ht="20.100000000000001" customHeight="1" x14ac:dyDescent="0.2">
      <c r="B91" s="15"/>
      <c r="C91" s="15"/>
      <c r="D91" s="16"/>
      <c r="E91" s="16"/>
      <c r="F91" s="16"/>
    </row>
    <row r="92" spans="1:11" ht="20.100000000000001" customHeight="1" x14ac:dyDescent="0.2">
      <c r="B92" s="15"/>
      <c r="C92" s="15"/>
      <c r="D92" s="16"/>
      <c r="E92" s="16"/>
      <c r="F92" s="16"/>
    </row>
    <row r="93" spans="1:11" ht="20.100000000000001" customHeight="1" x14ac:dyDescent="0.2">
      <c r="B93" s="15"/>
      <c r="C93" s="15"/>
      <c r="D93" s="16"/>
      <c r="E93" s="16"/>
      <c r="F93" s="16"/>
    </row>
    <row r="94" spans="1:11" ht="20.100000000000001" customHeight="1" x14ac:dyDescent="0.2">
      <c r="B94" s="15"/>
      <c r="C94" s="15"/>
      <c r="D94" s="16"/>
      <c r="E94" s="16"/>
      <c r="F94" s="16"/>
    </row>
    <row r="95" spans="1:11" ht="20.100000000000001" customHeight="1" x14ac:dyDescent="0.2">
      <c r="B95" s="15"/>
      <c r="C95" s="15"/>
      <c r="D95" s="16"/>
      <c r="E95" s="16"/>
      <c r="F95" s="16"/>
    </row>
    <row r="96" spans="1:11" ht="20.100000000000001" customHeight="1" x14ac:dyDescent="0.2">
      <c r="B96" s="15"/>
      <c r="C96" s="15"/>
      <c r="D96" s="16"/>
      <c r="E96" s="16"/>
      <c r="F96" s="16"/>
    </row>
    <row r="97" spans="2:6" ht="20.100000000000001" customHeight="1" x14ac:dyDescent="0.2">
      <c r="B97" s="15"/>
      <c r="C97" s="15"/>
      <c r="D97" s="16"/>
      <c r="E97" s="16"/>
      <c r="F97" s="16"/>
    </row>
    <row r="98" spans="2:6" ht="20.100000000000001" customHeight="1" x14ac:dyDescent="0.2">
      <c r="B98" s="15"/>
      <c r="C98" s="15"/>
      <c r="D98" s="16"/>
      <c r="E98" s="16"/>
      <c r="F98" s="16"/>
    </row>
    <row r="99" spans="2:6" ht="20.100000000000001" customHeight="1" x14ac:dyDescent="0.2">
      <c r="B99" s="15"/>
      <c r="C99" s="15"/>
      <c r="D99" s="16"/>
      <c r="E99" s="16"/>
      <c r="F99" s="16"/>
    </row>
    <row r="100" spans="2:6" ht="20.100000000000001" customHeight="1" x14ac:dyDescent="0.2">
      <c r="B100" s="15"/>
      <c r="C100" s="15"/>
      <c r="D100" s="16"/>
      <c r="E100" s="16"/>
      <c r="F100" s="16"/>
    </row>
    <row r="101" spans="2:6" ht="20.100000000000001" customHeight="1" x14ac:dyDescent="0.2">
      <c r="B101" s="15"/>
      <c r="C101" s="15"/>
      <c r="D101" s="16"/>
      <c r="E101" s="16"/>
      <c r="F101" s="16"/>
    </row>
    <row r="102" spans="2:6" ht="20.100000000000001" customHeight="1" x14ac:dyDescent="0.2">
      <c r="B102" s="15"/>
      <c r="C102" s="15"/>
      <c r="D102" s="16"/>
      <c r="E102" s="16"/>
      <c r="F102" s="16"/>
    </row>
    <row r="103" spans="2:6" ht="20.100000000000001" customHeight="1" x14ac:dyDescent="0.2">
      <c r="B103" s="15"/>
      <c r="C103" s="15"/>
      <c r="D103" s="16"/>
      <c r="E103" s="16"/>
      <c r="F103" s="16"/>
    </row>
    <row r="104" spans="2:6" ht="20.100000000000001" customHeight="1" x14ac:dyDescent="0.2">
      <c r="B104" s="15"/>
      <c r="C104" s="15"/>
      <c r="D104" s="16"/>
      <c r="E104" s="16"/>
      <c r="F104" s="16"/>
    </row>
    <row r="105" spans="2:6" ht="20.100000000000001" customHeight="1" x14ac:dyDescent="0.2">
      <c r="B105" s="15"/>
      <c r="C105" s="15"/>
      <c r="D105" s="16"/>
      <c r="E105" s="16"/>
      <c r="F105" s="16"/>
    </row>
  </sheetData>
  <mergeCells count="65">
    <mergeCell ref="J6:J7"/>
    <mergeCell ref="K6:K7"/>
    <mergeCell ref="H8:J8"/>
    <mergeCell ref="B62:C62"/>
    <mergeCell ref="B30:C30"/>
    <mergeCell ref="B25:C25"/>
    <mergeCell ref="B26:C26"/>
    <mergeCell ref="B29:C29"/>
    <mergeCell ref="B47:C47"/>
    <mergeCell ref="B54:C54"/>
    <mergeCell ref="B51:C51"/>
    <mergeCell ref="B38:C38"/>
    <mergeCell ref="B61:C61"/>
    <mergeCell ref="B28:C28"/>
    <mergeCell ref="B60:C60"/>
    <mergeCell ref="B34:C34"/>
    <mergeCell ref="B82:C82"/>
    <mergeCell ref="B31:C31"/>
    <mergeCell ref="B33:C33"/>
    <mergeCell ref="B48:C48"/>
    <mergeCell ref="B69:C69"/>
    <mergeCell ref="B74:C74"/>
    <mergeCell ref="B32:C32"/>
    <mergeCell ref="B59:C59"/>
    <mergeCell ref="B58:C58"/>
    <mergeCell ref="B81:C81"/>
    <mergeCell ref="B64:C64"/>
    <mergeCell ref="B77:C77"/>
    <mergeCell ref="B67:C67"/>
    <mergeCell ref="B68:C68"/>
    <mergeCell ref="B75:C75"/>
    <mergeCell ref="B76:C76"/>
    <mergeCell ref="I6:I7"/>
    <mergeCell ref="B21:C21"/>
    <mergeCell ref="E6:E7"/>
    <mergeCell ref="B18:C18"/>
    <mergeCell ref="B17:C17"/>
    <mergeCell ref="B13:C13"/>
    <mergeCell ref="B11:C11"/>
    <mergeCell ref="B12:C12"/>
    <mergeCell ref="B9:C9"/>
    <mergeCell ref="B10:C10"/>
    <mergeCell ref="B20:C20"/>
    <mergeCell ref="B42:C42"/>
    <mergeCell ref="A1:F1"/>
    <mergeCell ref="A5:F5"/>
    <mergeCell ref="A4:F4"/>
    <mergeCell ref="A3:F3"/>
    <mergeCell ref="A2:F2"/>
    <mergeCell ref="B80:C80"/>
    <mergeCell ref="A6:A8"/>
    <mergeCell ref="B6:C8"/>
    <mergeCell ref="H6:H7"/>
    <mergeCell ref="F6:F7"/>
    <mergeCell ref="B23:C23"/>
    <mergeCell ref="D6:D7"/>
    <mergeCell ref="B14:C14"/>
    <mergeCell ref="B19:C19"/>
    <mergeCell ref="D8:F8"/>
    <mergeCell ref="G6:G7"/>
    <mergeCell ref="B15:C15"/>
    <mergeCell ref="B16:C16"/>
    <mergeCell ref="B63:C63"/>
    <mergeCell ref="B24:C24"/>
    <mergeCell ref="B27:C27"/>
  </mergeCells>
  <phoneticPr fontId="3" type="noConversion"/>
  <printOptions horizontalCentered="1"/>
  <pageMargins left="0.19685039370078741" right="0.15748031496062992" top="0.23622047244094491" bottom="0.15748031496062992" header="0.15748031496062992" footer="0.15748031496062992"/>
  <pageSetup paperSize="9" scale="46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W161"/>
  <sheetViews>
    <sheetView showGridLines="0" zoomScaleNormal="100" zoomScaleSheetLayoutView="100" workbookViewId="0">
      <selection activeCell="A4" sqref="A4:W4"/>
    </sheetView>
  </sheetViews>
  <sheetFormatPr defaultRowHeight="12.75" x14ac:dyDescent="0.2"/>
  <cols>
    <col min="1" max="19" width="2.85546875" style="21" customWidth="1"/>
    <col min="20" max="20" width="9.140625" style="21"/>
    <col min="21" max="21" width="12.42578125" style="21" bestFit="1" customWidth="1"/>
    <col min="22" max="22" width="14.140625" style="21" bestFit="1" customWidth="1"/>
    <col min="23" max="23" width="12.5703125" style="21" bestFit="1" customWidth="1"/>
    <col min="24" max="16384" width="9.140625" style="21"/>
  </cols>
  <sheetData>
    <row r="1" spans="1:23" s="27" customFormat="1" ht="22.5" customHeight="1" x14ac:dyDescent="0.25">
      <c r="A1" s="534" t="s">
        <v>470</v>
      </c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</row>
    <row r="2" spans="1:23" s="27" customFormat="1" ht="15.75" x14ac:dyDescent="0.25">
      <c r="A2" s="534"/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</row>
    <row r="3" spans="1:23" s="27" customFormat="1" ht="15.75" x14ac:dyDescent="0.25">
      <c r="A3" s="368"/>
      <c r="B3" s="368"/>
      <c r="C3" s="368"/>
      <c r="D3" s="368"/>
      <c r="E3" s="368"/>
      <c r="F3" s="534" t="s">
        <v>249</v>
      </c>
      <c r="G3" s="535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534"/>
      <c r="U3" s="368"/>
      <c r="V3" s="438"/>
      <c r="W3" s="438"/>
    </row>
    <row r="4" spans="1:23" ht="15.75" x14ac:dyDescent="0.2">
      <c r="A4" s="536" t="s">
        <v>208</v>
      </c>
      <c r="B4" s="536"/>
      <c r="C4" s="536"/>
      <c r="D4" s="536"/>
      <c r="E4" s="536"/>
      <c r="F4" s="536"/>
      <c r="G4" s="536"/>
      <c r="H4" s="536"/>
      <c r="I4" s="536"/>
      <c r="J4" s="536"/>
      <c r="K4" s="536"/>
      <c r="L4" s="536"/>
      <c r="M4" s="536"/>
      <c r="N4" s="536"/>
      <c r="O4" s="536"/>
      <c r="P4" s="536"/>
      <c r="Q4" s="536"/>
      <c r="R4" s="536"/>
      <c r="S4" s="536"/>
      <c r="T4" s="536"/>
      <c r="U4" s="536"/>
      <c r="V4" s="536"/>
      <c r="W4" s="536"/>
    </row>
    <row r="5" spans="1:23" ht="15.75" x14ac:dyDescent="0.2">
      <c r="A5" s="375"/>
      <c r="B5" s="375"/>
      <c r="C5" s="375"/>
      <c r="D5" s="375"/>
      <c r="E5" s="375"/>
      <c r="F5" s="375"/>
      <c r="G5" s="375"/>
      <c r="H5" s="375"/>
      <c r="I5" s="375"/>
      <c r="J5" s="375"/>
      <c r="K5" s="375"/>
      <c r="L5" s="375"/>
      <c r="M5" s="375"/>
      <c r="N5" s="375"/>
      <c r="O5" s="375"/>
      <c r="P5" s="375"/>
      <c r="Q5" s="375"/>
      <c r="R5" s="375"/>
      <c r="S5" s="375"/>
      <c r="T5" s="375"/>
      <c r="U5" s="375"/>
      <c r="V5" s="439"/>
      <c r="W5" s="439"/>
    </row>
    <row r="6" spans="1:23" ht="13.5" thickBot="1" x14ac:dyDescent="0.25">
      <c r="U6" s="24" t="s">
        <v>454</v>
      </c>
      <c r="V6" s="440"/>
      <c r="W6" s="440"/>
    </row>
    <row r="7" spans="1:23" ht="31.5" customHeight="1" x14ac:dyDescent="0.2">
      <c r="A7" s="531" t="s">
        <v>186</v>
      </c>
      <c r="B7" s="532"/>
      <c r="C7" s="532"/>
      <c r="D7" s="532"/>
      <c r="E7" s="532"/>
      <c r="F7" s="532"/>
      <c r="G7" s="532"/>
      <c r="H7" s="532"/>
      <c r="I7" s="532"/>
      <c r="J7" s="532"/>
      <c r="K7" s="532"/>
      <c r="L7" s="532"/>
      <c r="M7" s="532"/>
      <c r="N7" s="532"/>
      <c r="O7" s="532"/>
      <c r="P7" s="532"/>
      <c r="Q7" s="532"/>
      <c r="R7" s="532"/>
      <c r="S7" s="533"/>
      <c r="T7" s="537" t="s">
        <v>455</v>
      </c>
      <c r="U7" s="539" t="s">
        <v>456</v>
      </c>
      <c r="V7" s="529" t="s">
        <v>457</v>
      </c>
      <c r="W7" s="541" t="s">
        <v>209</v>
      </c>
    </row>
    <row r="8" spans="1:23" x14ac:dyDescent="0.2">
      <c r="A8" s="44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5"/>
      <c r="T8" s="538"/>
      <c r="U8" s="540"/>
      <c r="V8" s="530"/>
      <c r="W8" s="542"/>
    </row>
    <row r="9" spans="1:23" ht="24.75" customHeight="1" x14ac:dyDescent="0.2">
      <c r="A9" s="543" t="s">
        <v>32</v>
      </c>
      <c r="B9" s="544"/>
      <c r="C9" s="544"/>
      <c r="D9" s="544"/>
      <c r="E9" s="544"/>
      <c r="F9" s="544"/>
      <c r="G9" s="544"/>
      <c r="H9" s="544"/>
      <c r="I9" s="544"/>
      <c r="J9" s="544"/>
      <c r="K9" s="544"/>
      <c r="L9" s="544"/>
      <c r="M9" s="544"/>
      <c r="N9" s="544"/>
      <c r="O9" s="544"/>
      <c r="P9" s="544"/>
      <c r="Q9" s="544"/>
      <c r="R9" s="544"/>
      <c r="S9" s="545"/>
      <c r="T9" s="371" t="s">
        <v>203</v>
      </c>
      <c r="U9" s="311"/>
      <c r="V9" s="442"/>
      <c r="W9" s="443"/>
    </row>
    <row r="10" spans="1:23" ht="22.5" customHeight="1" x14ac:dyDescent="0.2">
      <c r="A10" s="543" t="s">
        <v>269</v>
      </c>
      <c r="B10" s="544"/>
      <c r="C10" s="544"/>
      <c r="D10" s="544"/>
      <c r="E10" s="544"/>
      <c r="F10" s="544"/>
      <c r="G10" s="544"/>
      <c r="H10" s="544"/>
      <c r="I10" s="544"/>
      <c r="J10" s="544"/>
      <c r="K10" s="544"/>
      <c r="L10" s="544"/>
      <c r="M10" s="544"/>
      <c r="N10" s="544"/>
      <c r="O10" s="544"/>
      <c r="P10" s="544"/>
      <c r="Q10" s="544"/>
      <c r="R10" s="544"/>
      <c r="S10" s="545"/>
      <c r="T10" s="371" t="s">
        <v>458</v>
      </c>
      <c r="U10" s="311"/>
      <c r="V10" s="442"/>
      <c r="W10" s="443"/>
    </row>
    <row r="11" spans="1:23" ht="19.5" customHeight="1" x14ac:dyDescent="0.2">
      <c r="A11" s="543" t="s">
        <v>313</v>
      </c>
      <c r="B11" s="544"/>
      <c r="C11" s="544"/>
      <c r="D11" s="544"/>
      <c r="E11" s="544"/>
      <c r="F11" s="544"/>
      <c r="G11" s="544"/>
      <c r="H11" s="544"/>
      <c r="I11" s="544"/>
      <c r="J11" s="544"/>
      <c r="K11" s="544"/>
      <c r="L11" s="544"/>
      <c r="M11" s="544"/>
      <c r="N11" s="544"/>
      <c r="O11" s="544"/>
      <c r="P11" s="544"/>
      <c r="Q11" s="544"/>
      <c r="R11" s="544"/>
      <c r="S11" s="545"/>
      <c r="T11" s="371" t="s">
        <v>459</v>
      </c>
      <c r="U11" s="311"/>
      <c r="V11" s="442"/>
      <c r="W11" s="443"/>
    </row>
    <row r="12" spans="1:23" ht="19.5" customHeight="1" x14ac:dyDescent="0.2">
      <c r="A12" s="543" t="s">
        <v>314</v>
      </c>
      <c r="B12" s="544"/>
      <c r="C12" s="544"/>
      <c r="D12" s="544"/>
      <c r="E12" s="544"/>
      <c r="F12" s="544"/>
      <c r="G12" s="544"/>
      <c r="H12" s="544"/>
      <c r="I12" s="544"/>
      <c r="J12" s="544"/>
      <c r="K12" s="544"/>
      <c r="L12" s="544"/>
      <c r="M12" s="544"/>
      <c r="N12" s="544"/>
      <c r="O12" s="544"/>
      <c r="P12" s="544"/>
      <c r="Q12" s="544"/>
      <c r="R12" s="544"/>
      <c r="S12" s="545"/>
      <c r="T12" s="371" t="s">
        <v>460</v>
      </c>
      <c r="U12" s="444">
        <v>4080000</v>
      </c>
      <c r="V12" s="442">
        <v>4080000</v>
      </c>
      <c r="W12" s="443"/>
    </row>
    <row r="13" spans="1:23" ht="19.5" customHeight="1" x14ac:dyDescent="0.2">
      <c r="A13" s="546" t="s">
        <v>315</v>
      </c>
      <c r="B13" s="547"/>
      <c r="C13" s="547"/>
      <c r="D13" s="547"/>
      <c r="E13" s="547"/>
      <c r="F13" s="547"/>
      <c r="G13" s="547"/>
      <c r="H13" s="547"/>
      <c r="I13" s="547"/>
      <c r="J13" s="547"/>
      <c r="K13" s="547"/>
      <c r="L13" s="547"/>
      <c r="M13" s="547"/>
      <c r="N13" s="547"/>
      <c r="O13" s="547"/>
      <c r="P13" s="547"/>
      <c r="Q13" s="547"/>
      <c r="R13" s="547"/>
      <c r="S13" s="548"/>
      <c r="T13" s="371" t="s">
        <v>461</v>
      </c>
      <c r="U13" s="444">
        <v>3239000</v>
      </c>
      <c r="V13" s="442">
        <v>6448060</v>
      </c>
      <c r="W13" s="443"/>
    </row>
    <row r="14" spans="1:23" ht="19.5" customHeight="1" x14ac:dyDescent="0.2">
      <c r="A14" s="543" t="s">
        <v>317</v>
      </c>
      <c r="B14" s="544"/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5"/>
      <c r="T14" s="371" t="s">
        <v>462</v>
      </c>
      <c r="U14" s="444"/>
      <c r="V14" s="442"/>
      <c r="W14" s="443"/>
    </row>
    <row r="15" spans="1:23" ht="19.5" customHeight="1" x14ac:dyDescent="0.2">
      <c r="A15" s="543" t="s">
        <v>316</v>
      </c>
      <c r="B15" s="544"/>
      <c r="C15" s="544"/>
      <c r="D15" s="544"/>
      <c r="E15" s="544"/>
      <c r="F15" s="544"/>
      <c r="G15" s="544"/>
      <c r="H15" s="544"/>
      <c r="I15" s="544"/>
      <c r="J15" s="544"/>
      <c r="K15" s="544"/>
      <c r="L15" s="544"/>
      <c r="M15" s="544"/>
      <c r="N15" s="544"/>
      <c r="O15" s="544"/>
      <c r="P15" s="544"/>
      <c r="Q15" s="544"/>
      <c r="R15" s="544"/>
      <c r="S15" s="545"/>
      <c r="T15" s="371" t="s">
        <v>463</v>
      </c>
      <c r="U15" s="444"/>
      <c r="V15" s="442"/>
      <c r="W15" s="443"/>
    </row>
    <row r="16" spans="1:23" ht="27" customHeight="1" x14ac:dyDescent="0.2">
      <c r="A16" s="543" t="s">
        <v>464</v>
      </c>
      <c r="B16" s="544"/>
      <c r="C16" s="544"/>
      <c r="D16" s="544"/>
      <c r="E16" s="544"/>
      <c r="F16" s="544"/>
      <c r="G16" s="544"/>
      <c r="H16" s="544"/>
      <c r="I16" s="544"/>
      <c r="J16" s="544"/>
      <c r="K16" s="544"/>
      <c r="L16" s="544"/>
      <c r="M16" s="544"/>
      <c r="N16" s="544"/>
      <c r="O16" s="544"/>
      <c r="P16" s="544"/>
      <c r="Q16" s="544"/>
      <c r="R16" s="544"/>
      <c r="S16" s="545"/>
      <c r="T16" s="371" t="s">
        <v>465</v>
      </c>
      <c r="U16" s="444">
        <f>2450000+986000</f>
        <v>3436000</v>
      </c>
      <c r="V16" s="442">
        <v>1596000</v>
      </c>
      <c r="W16" s="443"/>
    </row>
    <row r="17" spans="1:23" ht="19.5" customHeight="1" x14ac:dyDescent="0.2">
      <c r="A17" s="546"/>
      <c r="B17" s="547"/>
      <c r="C17" s="547"/>
      <c r="D17" s="547"/>
      <c r="E17" s="547"/>
      <c r="F17" s="547"/>
      <c r="G17" s="547"/>
      <c r="H17" s="547"/>
      <c r="I17" s="547"/>
      <c r="J17" s="547"/>
      <c r="K17" s="547"/>
      <c r="L17" s="547"/>
      <c r="M17" s="547"/>
      <c r="N17" s="547"/>
      <c r="O17" s="547"/>
      <c r="P17" s="547"/>
      <c r="Q17" s="547"/>
      <c r="R17" s="547"/>
      <c r="S17" s="548"/>
      <c r="T17" s="371" t="s">
        <v>466</v>
      </c>
      <c r="U17" s="445"/>
      <c r="V17" s="442"/>
      <c r="W17" s="443"/>
    </row>
    <row r="18" spans="1:23" ht="27" customHeight="1" x14ac:dyDescent="0.2">
      <c r="A18" s="543" t="s">
        <v>228</v>
      </c>
      <c r="B18" s="544"/>
      <c r="C18" s="544"/>
      <c r="D18" s="544"/>
      <c r="E18" s="544"/>
      <c r="F18" s="544"/>
      <c r="G18" s="544"/>
      <c r="H18" s="544"/>
      <c r="I18" s="544"/>
      <c r="J18" s="544"/>
      <c r="K18" s="544"/>
      <c r="L18" s="544"/>
      <c r="M18" s="544"/>
      <c r="N18" s="544"/>
      <c r="O18" s="544"/>
      <c r="P18" s="544"/>
      <c r="Q18" s="544"/>
      <c r="R18" s="544"/>
      <c r="S18" s="545"/>
      <c r="T18" s="371" t="s">
        <v>467</v>
      </c>
      <c r="U18" s="446"/>
      <c r="V18" s="447"/>
      <c r="W18" s="448"/>
    </row>
    <row r="19" spans="1:23" ht="20.25" customHeight="1" thickBot="1" x14ac:dyDescent="0.25">
      <c r="A19" s="549" t="s">
        <v>468</v>
      </c>
      <c r="B19" s="550"/>
      <c r="C19" s="550"/>
      <c r="D19" s="550"/>
      <c r="E19" s="550"/>
      <c r="F19" s="550"/>
      <c r="G19" s="550"/>
      <c r="H19" s="550"/>
      <c r="I19" s="550"/>
      <c r="J19" s="550"/>
      <c r="K19" s="550"/>
      <c r="L19" s="550"/>
      <c r="M19" s="550"/>
      <c r="N19" s="550"/>
      <c r="O19" s="550"/>
      <c r="P19" s="550"/>
      <c r="Q19" s="550"/>
      <c r="R19" s="550"/>
      <c r="S19" s="551"/>
      <c r="T19" s="449" t="s">
        <v>469</v>
      </c>
      <c r="U19" s="450">
        <f>SUM(U9:U18)</f>
        <v>10755000</v>
      </c>
      <c r="V19" s="450">
        <f t="shared" ref="V19:W19" si="0">SUM(V9:V18)</f>
        <v>12124060</v>
      </c>
      <c r="W19" s="451">
        <f t="shared" si="0"/>
        <v>0</v>
      </c>
    </row>
    <row r="20" spans="1:23" ht="21.95" customHeight="1" x14ac:dyDescent="0.2"/>
    <row r="21" spans="1:23" ht="21.95" customHeight="1" x14ac:dyDescent="0.2"/>
    <row r="22" spans="1:23" ht="21.95" customHeight="1" x14ac:dyDescent="0.2"/>
    <row r="23" spans="1:23" ht="21.95" customHeight="1" x14ac:dyDescent="0.2"/>
    <row r="24" spans="1:23" ht="21.95" customHeight="1" x14ac:dyDescent="0.2"/>
    <row r="25" spans="1:23" ht="21.95" customHeight="1" x14ac:dyDescent="0.2"/>
    <row r="26" spans="1:23" ht="21.95" customHeight="1" x14ac:dyDescent="0.2"/>
    <row r="27" spans="1:23" ht="21.95" customHeight="1" x14ac:dyDescent="0.2"/>
    <row r="28" spans="1:23" ht="21.95" customHeight="1" x14ac:dyDescent="0.2"/>
    <row r="29" spans="1:23" ht="21.95" customHeight="1" x14ac:dyDescent="0.2"/>
    <row r="30" spans="1:23" ht="21.95" customHeight="1" x14ac:dyDescent="0.2"/>
    <row r="31" spans="1:23" ht="21.95" customHeight="1" x14ac:dyDescent="0.2"/>
    <row r="32" spans="1:23" ht="21.95" customHeight="1" x14ac:dyDescent="0.2"/>
    <row r="33" ht="21.95" customHeight="1" x14ac:dyDescent="0.2"/>
    <row r="34" ht="21.95" customHeight="1" x14ac:dyDescent="0.2"/>
    <row r="35" ht="21.95" customHeight="1" x14ac:dyDescent="0.2"/>
    <row r="36" ht="21.95" customHeight="1" x14ac:dyDescent="0.2"/>
    <row r="37" ht="21.95" customHeight="1" x14ac:dyDescent="0.2"/>
    <row r="38" ht="21.95" customHeight="1" x14ac:dyDescent="0.2"/>
    <row r="39" ht="21.95" customHeight="1" x14ac:dyDescent="0.2"/>
    <row r="40" ht="21.95" customHeight="1" x14ac:dyDescent="0.2"/>
    <row r="41" ht="21.95" customHeight="1" x14ac:dyDescent="0.2"/>
    <row r="42" ht="21.95" customHeight="1" x14ac:dyDescent="0.2"/>
    <row r="43" ht="21.95" customHeight="1" x14ac:dyDescent="0.2"/>
    <row r="44" ht="21.95" customHeight="1" x14ac:dyDescent="0.2"/>
    <row r="45" ht="21.95" customHeight="1" x14ac:dyDescent="0.2"/>
    <row r="46" ht="21.95" customHeight="1" x14ac:dyDescent="0.2"/>
    <row r="47" ht="21.95" customHeight="1" x14ac:dyDescent="0.2"/>
    <row r="48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ht="21.95" customHeight="1" x14ac:dyDescent="0.2"/>
    <row r="98" ht="21.95" customHeight="1" x14ac:dyDescent="0.2"/>
    <row r="99" ht="21.95" customHeight="1" x14ac:dyDescent="0.2"/>
    <row r="100" ht="21.95" customHeight="1" x14ac:dyDescent="0.2"/>
    <row r="101" ht="21.95" customHeight="1" x14ac:dyDescent="0.2"/>
    <row r="102" ht="21.95" customHeight="1" x14ac:dyDescent="0.2"/>
    <row r="103" ht="21.95" customHeight="1" x14ac:dyDescent="0.2"/>
    <row r="104" ht="21.95" customHeight="1" x14ac:dyDescent="0.2"/>
    <row r="105" ht="21.95" customHeight="1" x14ac:dyDescent="0.2"/>
    <row r="106" ht="21.95" customHeight="1" x14ac:dyDescent="0.2"/>
    <row r="107" ht="21.95" customHeight="1" x14ac:dyDescent="0.2"/>
    <row r="108" ht="21.95" customHeight="1" x14ac:dyDescent="0.2"/>
    <row r="109" ht="21.95" customHeight="1" x14ac:dyDescent="0.2"/>
    <row r="110" ht="21.95" customHeight="1" x14ac:dyDescent="0.2"/>
    <row r="111" ht="21.95" customHeight="1" x14ac:dyDescent="0.2"/>
    <row r="112" ht="21.95" customHeight="1" x14ac:dyDescent="0.2"/>
    <row r="113" ht="21.95" customHeight="1" x14ac:dyDescent="0.2"/>
    <row r="114" ht="21.95" customHeight="1" x14ac:dyDescent="0.2"/>
    <row r="115" ht="21.95" customHeight="1" x14ac:dyDescent="0.2"/>
    <row r="116" ht="21.95" customHeight="1" x14ac:dyDescent="0.2"/>
    <row r="117" ht="21.95" customHeight="1" x14ac:dyDescent="0.2"/>
    <row r="118" ht="21.95" customHeight="1" x14ac:dyDescent="0.2"/>
    <row r="119" ht="21.95" customHeight="1" x14ac:dyDescent="0.2"/>
    <row r="120" ht="21.95" customHeight="1" x14ac:dyDescent="0.2"/>
    <row r="121" ht="21.95" customHeight="1" x14ac:dyDescent="0.2"/>
    <row r="122" ht="21.95" customHeight="1" x14ac:dyDescent="0.2"/>
    <row r="123" ht="21.95" customHeight="1" x14ac:dyDescent="0.2"/>
    <row r="124" ht="21.95" customHeight="1" x14ac:dyDescent="0.2"/>
    <row r="125" ht="21.95" customHeight="1" x14ac:dyDescent="0.2"/>
    <row r="126" ht="21.95" customHeight="1" x14ac:dyDescent="0.2"/>
    <row r="127" ht="21.95" customHeight="1" x14ac:dyDescent="0.2"/>
    <row r="128" ht="21.95" customHeight="1" x14ac:dyDescent="0.2"/>
    <row r="129" ht="21.95" customHeight="1" x14ac:dyDescent="0.2"/>
    <row r="130" ht="21.95" customHeight="1" x14ac:dyDescent="0.2"/>
    <row r="131" ht="21.95" customHeight="1" x14ac:dyDescent="0.2"/>
    <row r="132" ht="21.95" customHeight="1" x14ac:dyDescent="0.2"/>
    <row r="133" ht="21.95" customHeight="1" x14ac:dyDescent="0.2"/>
    <row r="134" ht="21.95" customHeight="1" x14ac:dyDescent="0.2"/>
    <row r="135" ht="21.95" customHeight="1" x14ac:dyDescent="0.2"/>
    <row r="136" ht="21.95" customHeight="1" x14ac:dyDescent="0.2"/>
    <row r="137" ht="21.95" customHeight="1" x14ac:dyDescent="0.2"/>
    <row r="138" ht="21.95" customHeight="1" x14ac:dyDescent="0.2"/>
    <row r="139" ht="21.95" customHeight="1" x14ac:dyDescent="0.2"/>
    <row r="140" ht="21.95" customHeight="1" x14ac:dyDescent="0.2"/>
    <row r="141" ht="21.95" customHeight="1" x14ac:dyDescent="0.2"/>
    <row r="142" ht="21.95" customHeight="1" x14ac:dyDescent="0.2"/>
    <row r="143" ht="21.95" customHeight="1" x14ac:dyDescent="0.2"/>
    <row r="144" ht="21.95" customHeight="1" x14ac:dyDescent="0.2"/>
    <row r="145" ht="21.95" customHeight="1" x14ac:dyDescent="0.2"/>
    <row r="146" ht="21.95" customHeight="1" x14ac:dyDescent="0.2"/>
    <row r="147" ht="21.95" customHeight="1" x14ac:dyDescent="0.2"/>
    <row r="148" ht="21.95" customHeight="1" x14ac:dyDescent="0.2"/>
    <row r="149" ht="21.95" customHeight="1" x14ac:dyDescent="0.2"/>
    <row r="150" ht="21.95" customHeight="1" x14ac:dyDescent="0.2"/>
    <row r="151" ht="21.95" customHeight="1" x14ac:dyDescent="0.2"/>
    <row r="152" ht="21.95" customHeight="1" x14ac:dyDescent="0.2"/>
    <row r="153" ht="21.95" customHeight="1" x14ac:dyDescent="0.2"/>
    <row r="154" ht="21.95" customHeight="1" x14ac:dyDescent="0.2"/>
    <row r="155" ht="21.95" customHeight="1" x14ac:dyDescent="0.2"/>
    <row r="156" ht="21.95" customHeight="1" x14ac:dyDescent="0.2"/>
    <row r="157" ht="21.95" customHeight="1" x14ac:dyDescent="0.2"/>
    <row r="158" ht="21.95" customHeight="1" x14ac:dyDescent="0.2"/>
    <row r="159" ht="21.95" customHeight="1" x14ac:dyDescent="0.2"/>
    <row r="160" ht="21.95" customHeight="1" x14ac:dyDescent="0.2"/>
    <row r="161" ht="21.95" customHeight="1" x14ac:dyDescent="0.2"/>
  </sheetData>
  <mergeCells count="20">
    <mergeCell ref="A14:S14"/>
    <mergeCell ref="A13:S13"/>
    <mergeCell ref="A19:S19"/>
    <mergeCell ref="A9:S9"/>
    <mergeCell ref="A12:S12"/>
    <mergeCell ref="A11:S11"/>
    <mergeCell ref="A17:S17"/>
    <mergeCell ref="A18:S18"/>
    <mergeCell ref="A10:S10"/>
    <mergeCell ref="A16:S16"/>
    <mergeCell ref="A15:S15"/>
    <mergeCell ref="V7:V8"/>
    <mergeCell ref="A7:S7"/>
    <mergeCell ref="A1:W1"/>
    <mergeCell ref="A2:W2"/>
    <mergeCell ref="F3:T3"/>
    <mergeCell ref="A4:W4"/>
    <mergeCell ref="T7:T8"/>
    <mergeCell ref="U7:U8"/>
    <mergeCell ref="W7:W8"/>
  </mergeCells>
  <phoneticPr fontId="0" type="noConversion"/>
  <printOptions horizontalCentered="1"/>
  <pageMargins left="0.16" right="0.19685039370078741" top="0.28000000000000003" bottom="0.35" header="0.18" footer="0.3"/>
  <pageSetup paperSize="9" scale="82" fitToHeight="0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AK180"/>
  <sheetViews>
    <sheetView showGridLines="0" view="pageBreakPreview" zoomScaleNormal="100" zoomScaleSheetLayoutView="100" workbookViewId="0">
      <selection activeCell="Z15" sqref="Z15:AD15"/>
    </sheetView>
  </sheetViews>
  <sheetFormatPr defaultRowHeight="12.75" x14ac:dyDescent="0.2"/>
  <cols>
    <col min="1" max="1" width="5.28515625" style="21" customWidth="1"/>
    <col min="2" max="7" width="3.28515625" style="21" customWidth="1"/>
    <col min="8" max="8" width="5.140625" style="21" customWidth="1"/>
    <col min="9" max="12" width="3.28515625" style="21" customWidth="1"/>
    <col min="13" max="13" width="4.28515625" style="21" customWidth="1"/>
    <col min="14" max="15" width="3.28515625" style="21" customWidth="1"/>
    <col min="16" max="16" width="4.42578125" style="21" customWidth="1"/>
    <col min="17" max="24" width="3.28515625" style="21" customWidth="1"/>
    <col min="25" max="25" width="6.42578125" style="21" customWidth="1"/>
    <col min="26" max="26" width="3.42578125" style="21" customWidth="1"/>
    <col min="27" max="27" width="5.140625" style="21" customWidth="1"/>
    <col min="28" max="28" width="4.42578125" style="21" customWidth="1"/>
    <col min="29" max="29" width="4.7109375" style="21" customWidth="1"/>
    <col min="30" max="30" width="4" style="21" customWidth="1"/>
    <col min="31" max="31" width="5.140625" style="21" customWidth="1"/>
    <col min="32" max="32" width="2.42578125" style="21" customWidth="1"/>
    <col min="33" max="33" width="2.85546875" style="21" customWidth="1"/>
    <col min="34" max="34" width="4.140625" style="21" customWidth="1"/>
    <col min="35" max="16384" width="9.140625" style="21"/>
  </cols>
  <sheetData>
    <row r="1" spans="1:34" x14ac:dyDescent="0.2">
      <c r="B1" s="534"/>
      <c r="C1" s="534"/>
      <c r="D1" s="534"/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</row>
    <row r="2" spans="1:34" x14ac:dyDescent="0.2">
      <c r="B2" s="534"/>
      <c r="C2" s="534"/>
      <c r="D2" s="534"/>
      <c r="E2" s="534"/>
      <c r="F2" s="534"/>
      <c r="G2" s="534"/>
      <c r="H2" s="534"/>
      <c r="I2" s="534"/>
      <c r="J2" s="534"/>
      <c r="K2" s="534"/>
      <c r="L2" s="534"/>
      <c r="M2" s="534"/>
      <c r="N2" s="534"/>
      <c r="O2" s="534"/>
      <c r="P2" s="534"/>
      <c r="Q2" s="534"/>
      <c r="R2" s="534"/>
      <c r="S2" s="534"/>
      <c r="T2" s="534"/>
      <c r="U2" s="534"/>
      <c r="V2" s="534"/>
      <c r="W2" s="534"/>
      <c r="X2" s="534"/>
      <c r="Y2" s="534"/>
      <c r="Z2" s="534"/>
      <c r="AA2" s="534"/>
      <c r="AB2" s="534"/>
      <c r="AC2" s="534"/>
      <c r="AD2" s="534"/>
      <c r="AE2" s="534"/>
      <c r="AF2" s="534"/>
      <c r="AG2" s="534"/>
      <c r="AH2" s="534"/>
    </row>
    <row r="3" spans="1:34" s="27" customFormat="1" ht="26.25" customHeight="1" x14ac:dyDescent="0.25">
      <c r="B3" s="534" t="s">
        <v>322</v>
      </c>
      <c r="C3" s="534"/>
      <c r="D3" s="534"/>
      <c r="E3" s="534"/>
      <c r="F3" s="534"/>
      <c r="G3" s="534"/>
      <c r="H3" s="534"/>
      <c r="I3" s="534"/>
      <c r="J3" s="534"/>
      <c r="K3" s="534"/>
      <c r="L3" s="534"/>
      <c r="M3" s="534"/>
      <c r="N3" s="534"/>
      <c r="O3" s="534"/>
      <c r="P3" s="534"/>
      <c r="Q3" s="534"/>
      <c r="R3" s="534"/>
      <c r="S3" s="534"/>
      <c r="T3" s="534"/>
      <c r="U3" s="534"/>
      <c r="V3" s="534"/>
      <c r="W3" s="534"/>
      <c r="X3" s="534"/>
      <c r="Y3" s="534"/>
      <c r="Z3" s="534"/>
      <c r="AA3" s="534"/>
      <c r="AB3" s="534"/>
      <c r="AC3" s="534"/>
      <c r="AD3" s="534"/>
      <c r="AE3" s="534"/>
      <c r="AF3" s="534"/>
      <c r="AG3" s="534"/>
      <c r="AH3" s="534"/>
    </row>
    <row r="4" spans="1:34" s="27" customFormat="1" ht="19.5" customHeight="1" x14ac:dyDescent="0.25">
      <c r="B4" s="534"/>
      <c r="C4" s="534"/>
      <c r="D4" s="534"/>
      <c r="E4" s="534"/>
      <c r="F4" s="534"/>
      <c r="G4" s="534"/>
      <c r="H4" s="534"/>
      <c r="I4" s="534"/>
      <c r="J4" s="534"/>
      <c r="K4" s="534"/>
      <c r="L4" s="534"/>
      <c r="M4" s="534"/>
      <c r="N4" s="534"/>
      <c r="O4" s="534"/>
      <c r="P4" s="534"/>
      <c r="Q4" s="534"/>
      <c r="R4" s="534"/>
      <c r="S4" s="534"/>
      <c r="T4" s="534"/>
      <c r="U4" s="534"/>
      <c r="V4" s="534"/>
      <c r="W4" s="534"/>
      <c r="X4" s="534"/>
      <c r="Y4" s="534"/>
      <c r="Z4" s="534"/>
      <c r="AA4" s="534"/>
      <c r="AB4" s="534"/>
      <c r="AC4" s="534"/>
      <c r="AD4" s="534"/>
      <c r="AE4" s="534"/>
      <c r="AF4" s="534"/>
      <c r="AG4" s="534"/>
      <c r="AH4" s="534"/>
    </row>
    <row r="5" spans="1:34" s="27" customFormat="1" ht="15.75" x14ac:dyDescent="0.25">
      <c r="B5" s="28"/>
      <c r="C5" s="28"/>
      <c r="D5" s="28"/>
      <c r="E5" s="28"/>
      <c r="F5" s="28"/>
      <c r="G5" s="534" t="s">
        <v>249</v>
      </c>
      <c r="H5" s="535"/>
      <c r="I5" s="534"/>
      <c r="J5" s="534"/>
      <c r="K5" s="534"/>
      <c r="L5" s="534"/>
      <c r="M5" s="534"/>
      <c r="N5" s="534"/>
      <c r="O5" s="534"/>
      <c r="P5" s="534"/>
      <c r="Q5" s="534"/>
      <c r="R5" s="534"/>
      <c r="S5" s="534"/>
      <c r="T5" s="534"/>
      <c r="U5" s="534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</row>
    <row r="6" spans="1:34" ht="15.75" x14ac:dyDescent="0.2">
      <c r="B6" s="536" t="s">
        <v>211</v>
      </c>
      <c r="C6" s="536"/>
      <c r="D6" s="536"/>
      <c r="E6" s="536"/>
      <c r="F6" s="536"/>
      <c r="G6" s="536"/>
      <c r="H6" s="536"/>
      <c r="I6" s="536"/>
      <c r="J6" s="536"/>
      <c r="K6" s="536"/>
      <c r="L6" s="536"/>
      <c r="M6" s="536"/>
      <c r="N6" s="536"/>
      <c r="O6" s="536"/>
      <c r="P6" s="536"/>
      <c r="Q6" s="536"/>
      <c r="R6" s="536"/>
      <c r="S6" s="536"/>
      <c r="T6" s="536"/>
      <c r="U6" s="536"/>
      <c r="V6" s="536"/>
      <c r="W6" s="536"/>
      <c r="X6" s="536"/>
      <c r="Y6" s="536"/>
      <c r="Z6" s="536"/>
      <c r="AA6" s="536"/>
      <c r="AB6" s="536"/>
      <c r="AC6" s="536"/>
      <c r="AD6" s="536"/>
      <c r="AE6" s="536"/>
      <c r="AF6" s="536"/>
      <c r="AG6" s="536"/>
      <c r="AH6" s="536"/>
    </row>
    <row r="7" spans="1:34" ht="15.75" x14ac:dyDescent="0.2"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</row>
    <row r="8" spans="1:34" ht="13.5" thickBot="1" x14ac:dyDescent="0.25">
      <c r="V8" s="21" t="s">
        <v>245</v>
      </c>
      <c r="AF8" s="24" t="s">
        <v>477</v>
      </c>
    </row>
    <row r="9" spans="1:34" ht="31.5" customHeight="1" x14ac:dyDescent="0.2">
      <c r="A9" s="579"/>
      <c r="B9" s="531" t="s">
        <v>186</v>
      </c>
      <c r="C9" s="532"/>
      <c r="D9" s="532"/>
      <c r="E9" s="532"/>
      <c r="F9" s="532"/>
      <c r="G9" s="532"/>
      <c r="H9" s="532"/>
      <c r="I9" s="532"/>
      <c r="J9" s="532"/>
      <c r="K9" s="532"/>
      <c r="L9" s="532"/>
      <c r="M9" s="532"/>
      <c r="N9" s="532"/>
      <c r="O9" s="532"/>
      <c r="P9" s="532"/>
      <c r="Q9" s="532"/>
      <c r="R9" s="532"/>
      <c r="S9" s="532"/>
      <c r="T9" s="533"/>
      <c r="U9" s="590" t="s">
        <v>210</v>
      </c>
      <c r="V9" s="532"/>
      <c r="W9" s="532"/>
      <c r="X9" s="532"/>
      <c r="Y9" s="533"/>
      <c r="Z9" s="590" t="s">
        <v>476</v>
      </c>
      <c r="AA9" s="532"/>
      <c r="AB9" s="532"/>
      <c r="AC9" s="532"/>
      <c r="AD9" s="533"/>
      <c r="AE9" s="590"/>
      <c r="AF9" s="597"/>
      <c r="AG9" s="597"/>
      <c r="AH9" s="598"/>
    </row>
    <row r="10" spans="1:34" x14ac:dyDescent="0.2">
      <c r="A10" s="580"/>
      <c r="B10" s="441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5"/>
      <c r="U10" s="591"/>
      <c r="V10" s="592"/>
      <c r="W10" s="592"/>
      <c r="X10" s="592"/>
      <c r="Y10" s="593"/>
      <c r="Z10" s="591"/>
      <c r="AA10" s="592"/>
      <c r="AB10" s="592"/>
      <c r="AC10" s="592"/>
      <c r="AD10" s="593"/>
      <c r="AE10" s="599"/>
      <c r="AF10" s="600"/>
      <c r="AG10" s="600"/>
      <c r="AH10" s="601"/>
    </row>
    <row r="11" spans="1:34" ht="24.75" customHeight="1" x14ac:dyDescent="0.2">
      <c r="A11" s="452"/>
      <c r="B11" s="594" t="s">
        <v>23</v>
      </c>
      <c r="C11" s="595"/>
      <c r="D11" s="595"/>
      <c r="E11" s="595"/>
      <c r="F11" s="595"/>
      <c r="G11" s="595"/>
      <c r="H11" s="595"/>
      <c r="I11" s="595"/>
      <c r="J11" s="595"/>
      <c r="K11" s="595"/>
      <c r="L11" s="595"/>
      <c r="M11" s="595"/>
      <c r="N11" s="595"/>
      <c r="O11" s="595"/>
      <c r="P11" s="595"/>
      <c r="Q11" s="595"/>
      <c r="R11" s="595"/>
      <c r="S11" s="595"/>
      <c r="T11" s="596"/>
      <c r="U11" s="558"/>
      <c r="V11" s="559"/>
      <c r="W11" s="559"/>
      <c r="X11" s="559"/>
      <c r="Y11" s="560"/>
      <c r="Z11" s="552"/>
      <c r="AA11" s="553"/>
      <c r="AB11" s="553"/>
      <c r="AC11" s="553"/>
      <c r="AD11" s="602"/>
      <c r="AE11" s="552"/>
      <c r="AF11" s="553"/>
      <c r="AG11" s="553"/>
      <c r="AH11" s="554"/>
    </row>
    <row r="12" spans="1:34" ht="24.75" customHeight="1" x14ac:dyDescent="0.2">
      <c r="A12" s="452"/>
      <c r="B12" s="546" t="s">
        <v>212</v>
      </c>
      <c r="C12" s="547"/>
      <c r="D12" s="547"/>
      <c r="E12" s="547"/>
      <c r="F12" s="547"/>
      <c r="G12" s="547"/>
      <c r="H12" s="547"/>
      <c r="I12" s="547"/>
      <c r="J12" s="547"/>
      <c r="K12" s="547"/>
      <c r="L12" s="547"/>
      <c r="M12" s="547"/>
      <c r="N12" s="547"/>
      <c r="O12" s="547"/>
      <c r="P12" s="547"/>
      <c r="Q12" s="547"/>
      <c r="R12" s="547"/>
      <c r="S12" s="547"/>
      <c r="T12" s="548"/>
      <c r="U12" s="558">
        <v>400000</v>
      </c>
      <c r="V12" s="559"/>
      <c r="W12" s="559"/>
      <c r="X12" s="559"/>
      <c r="Y12" s="560"/>
      <c r="Z12" s="561">
        <v>400000</v>
      </c>
      <c r="AA12" s="562"/>
      <c r="AB12" s="562"/>
      <c r="AC12" s="562"/>
      <c r="AD12" s="563"/>
      <c r="AE12" s="552"/>
      <c r="AF12" s="553"/>
      <c r="AG12" s="553"/>
      <c r="AH12" s="554"/>
    </row>
    <row r="13" spans="1:34" ht="24.75" customHeight="1" x14ac:dyDescent="0.2">
      <c r="A13" s="452"/>
      <c r="B13" s="543" t="s">
        <v>296</v>
      </c>
      <c r="C13" s="544"/>
      <c r="D13" s="544"/>
      <c r="E13" s="544"/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4"/>
      <c r="R13" s="544"/>
      <c r="S13" s="544"/>
      <c r="T13" s="545"/>
      <c r="U13" s="584">
        <v>1632000</v>
      </c>
      <c r="V13" s="585"/>
      <c r="W13" s="585"/>
      <c r="X13" s="585"/>
      <c r="Y13" s="586"/>
      <c r="Z13" s="561">
        <f>1632000-109</f>
        <v>1631891</v>
      </c>
      <c r="AA13" s="562"/>
      <c r="AB13" s="562"/>
      <c r="AC13" s="562"/>
      <c r="AD13" s="563"/>
      <c r="AE13" s="552"/>
      <c r="AF13" s="553"/>
      <c r="AG13" s="553"/>
      <c r="AH13" s="554"/>
    </row>
    <row r="14" spans="1:34" ht="24.75" customHeight="1" x14ac:dyDescent="0.2">
      <c r="A14" s="452"/>
      <c r="B14" s="543" t="s">
        <v>320</v>
      </c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  <c r="T14" s="545"/>
      <c r="U14" s="584">
        <f>160000+356000</f>
        <v>516000</v>
      </c>
      <c r="V14" s="585"/>
      <c r="W14" s="585"/>
      <c r="X14" s="585"/>
      <c r="Y14" s="586"/>
      <c r="Z14" s="561">
        <v>516000</v>
      </c>
      <c r="AA14" s="562"/>
      <c r="AB14" s="562"/>
      <c r="AC14" s="562"/>
      <c r="AD14" s="563"/>
      <c r="AE14" s="369"/>
      <c r="AF14" s="370"/>
      <c r="AG14" s="370"/>
      <c r="AH14" s="453"/>
    </row>
    <row r="15" spans="1:34" ht="23.25" customHeight="1" x14ac:dyDescent="0.2">
      <c r="A15" s="452"/>
      <c r="B15" s="543" t="s">
        <v>471</v>
      </c>
      <c r="C15" s="544"/>
      <c r="D15" s="544"/>
      <c r="E15" s="544"/>
      <c r="F15" s="544"/>
      <c r="G15" s="544"/>
      <c r="H15" s="544"/>
      <c r="I15" s="544"/>
      <c r="J15" s="544"/>
      <c r="K15" s="544"/>
      <c r="L15" s="544"/>
      <c r="M15" s="544"/>
      <c r="N15" s="544"/>
      <c r="O15" s="544"/>
      <c r="P15" s="544"/>
      <c r="Q15" s="544"/>
      <c r="R15" s="544"/>
      <c r="S15" s="544"/>
      <c r="T15" s="545"/>
      <c r="U15" s="372"/>
      <c r="V15" s="373"/>
      <c r="W15" s="373"/>
      <c r="X15" s="373"/>
      <c r="Y15" s="374"/>
      <c r="Z15" s="561">
        <v>30000</v>
      </c>
      <c r="AA15" s="562"/>
      <c r="AB15" s="562"/>
      <c r="AC15" s="562"/>
      <c r="AD15" s="563"/>
      <c r="AE15" s="552"/>
      <c r="AF15" s="553"/>
      <c r="AG15" s="553"/>
      <c r="AH15" s="554"/>
    </row>
    <row r="16" spans="1:34" ht="23.25" customHeight="1" x14ac:dyDescent="0.2">
      <c r="A16" s="452"/>
      <c r="B16" s="581" t="s">
        <v>252</v>
      </c>
      <c r="C16" s="582"/>
      <c r="D16" s="582"/>
      <c r="E16" s="582"/>
      <c r="F16" s="582"/>
      <c r="G16" s="582"/>
      <c r="H16" s="582"/>
      <c r="I16" s="582"/>
      <c r="J16" s="582"/>
      <c r="K16" s="582"/>
      <c r="L16" s="582"/>
      <c r="M16" s="582"/>
      <c r="N16" s="582"/>
      <c r="O16" s="582"/>
      <c r="P16" s="582"/>
      <c r="Q16" s="582"/>
      <c r="R16" s="582"/>
      <c r="S16" s="582"/>
      <c r="T16" s="583"/>
      <c r="U16" s="558">
        <v>60000</v>
      </c>
      <c r="V16" s="559"/>
      <c r="W16" s="559"/>
      <c r="X16" s="559"/>
      <c r="Y16" s="560"/>
      <c r="Z16" s="561">
        <v>60000</v>
      </c>
      <c r="AA16" s="562"/>
      <c r="AB16" s="562"/>
      <c r="AC16" s="562"/>
      <c r="AD16" s="563"/>
      <c r="AE16" s="552"/>
      <c r="AF16" s="553"/>
      <c r="AG16" s="553"/>
      <c r="AH16" s="554"/>
    </row>
    <row r="17" spans="1:37" ht="19.5" customHeight="1" x14ac:dyDescent="0.2">
      <c r="A17" s="452"/>
      <c r="B17" s="587" t="s">
        <v>254</v>
      </c>
      <c r="C17" s="588"/>
      <c r="D17" s="588"/>
      <c r="E17" s="588"/>
      <c r="F17" s="588"/>
      <c r="G17" s="588"/>
      <c r="H17" s="588"/>
      <c r="I17" s="588"/>
      <c r="J17" s="588"/>
      <c r="K17" s="588"/>
      <c r="L17" s="588"/>
      <c r="M17" s="588"/>
      <c r="N17" s="588"/>
      <c r="O17" s="588"/>
      <c r="P17" s="588"/>
      <c r="Q17" s="588"/>
      <c r="R17" s="588"/>
      <c r="S17" s="588"/>
      <c r="T17" s="589"/>
      <c r="U17" s="558">
        <f>117000*11+112000</f>
        <v>1399000</v>
      </c>
      <c r="V17" s="559"/>
      <c r="W17" s="559"/>
      <c r="X17" s="559"/>
      <c r="Y17" s="560"/>
      <c r="Z17" s="561">
        <v>1399109</v>
      </c>
      <c r="AA17" s="562"/>
      <c r="AB17" s="562"/>
      <c r="AC17" s="562"/>
      <c r="AD17" s="563"/>
      <c r="AE17" s="552"/>
      <c r="AF17" s="553"/>
      <c r="AG17" s="553"/>
      <c r="AH17" s="554"/>
    </row>
    <row r="18" spans="1:37" ht="19.5" customHeight="1" x14ac:dyDescent="0.2">
      <c r="A18" s="452"/>
      <c r="B18" s="546" t="s">
        <v>250</v>
      </c>
      <c r="C18" s="547"/>
      <c r="D18" s="547"/>
      <c r="E18" s="547"/>
      <c r="F18" s="547"/>
      <c r="G18" s="547"/>
      <c r="H18" s="547"/>
      <c r="I18" s="547"/>
      <c r="J18" s="547"/>
      <c r="K18" s="547"/>
      <c r="L18" s="547"/>
      <c r="M18" s="547"/>
      <c r="N18" s="547"/>
      <c r="O18" s="547"/>
      <c r="P18" s="547"/>
      <c r="Q18" s="547"/>
      <c r="R18" s="547"/>
      <c r="S18" s="547"/>
      <c r="T18" s="548"/>
      <c r="U18" s="584">
        <v>368000</v>
      </c>
      <c r="V18" s="585"/>
      <c r="W18" s="585"/>
      <c r="X18" s="585"/>
      <c r="Y18" s="586"/>
      <c r="Z18" s="561">
        <v>368000</v>
      </c>
      <c r="AA18" s="562"/>
      <c r="AB18" s="562"/>
      <c r="AC18" s="562"/>
      <c r="AD18" s="563"/>
      <c r="AE18" s="552"/>
      <c r="AF18" s="553"/>
      <c r="AG18" s="553"/>
      <c r="AH18" s="554"/>
    </row>
    <row r="19" spans="1:37" ht="19.5" customHeight="1" x14ac:dyDescent="0.2">
      <c r="A19" s="452"/>
      <c r="B19" s="570" t="s">
        <v>24</v>
      </c>
      <c r="C19" s="571"/>
      <c r="D19" s="571"/>
      <c r="E19" s="571"/>
      <c r="F19" s="571"/>
      <c r="G19" s="571"/>
      <c r="H19" s="571"/>
      <c r="I19" s="571"/>
      <c r="J19" s="571"/>
      <c r="K19" s="571"/>
      <c r="L19" s="571"/>
      <c r="M19" s="571"/>
      <c r="N19" s="571"/>
      <c r="O19" s="571"/>
      <c r="P19" s="571"/>
      <c r="Q19" s="571"/>
      <c r="R19" s="571"/>
      <c r="S19" s="571"/>
      <c r="T19" s="572"/>
      <c r="U19" s="573">
        <f>SUM(U12:Y18)</f>
        <v>4375000</v>
      </c>
      <c r="V19" s="574"/>
      <c r="W19" s="574"/>
      <c r="X19" s="574"/>
      <c r="Y19" s="575"/>
      <c r="Z19" s="576">
        <f t="shared" ref="Z19" si="0">SUM(Z12:AD18)</f>
        <v>4405000</v>
      </c>
      <c r="AA19" s="577"/>
      <c r="AB19" s="577"/>
      <c r="AC19" s="577"/>
      <c r="AD19" s="578"/>
      <c r="AE19" s="552"/>
      <c r="AF19" s="553"/>
      <c r="AG19" s="553"/>
      <c r="AH19" s="554"/>
    </row>
    <row r="20" spans="1:37" ht="19.5" customHeight="1" x14ac:dyDescent="0.2">
      <c r="A20" s="452"/>
      <c r="B20" s="605"/>
      <c r="C20" s="606"/>
      <c r="D20" s="606"/>
      <c r="E20" s="606"/>
      <c r="F20" s="606"/>
      <c r="G20" s="606"/>
      <c r="H20" s="606"/>
      <c r="I20" s="606"/>
      <c r="J20" s="606"/>
      <c r="K20" s="606"/>
      <c r="L20" s="606"/>
      <c r="M20" s="606"/>
      <c r="N20" s="606"/>
      <c r="O20" s="606"/>
      <c r="P20" s="606"/>
      <c r="Q20" s="606"/>
      <c r="R20" s="606"/>
      <c r="S20" s="606"/>
      <c r="T20" s="607"/>
      <c r="U20" s="608"/>
      <c r="V20" s="609"/>
      <c r="W20" s="609"/>
      <c r="X20" s="609"/>
      <c r="Y20" s="610"/>
      <c r="Z20" s="608"/>
      <c r="AA20" s="609"/>
      <c r="AB20" s="609"/>
      <c r="AC20" s="609"/>
      <c r="AD20" s="610"/>
      <c r="AE20" s="552"/>
      <c r="AF20" s="553"/>
      <c r="AG20" s="553"/>
      <c r="AH20" s="554"/>
    </row>
    <row r="21" spans="1:37" ht="19.5" customHeight="1" x14ac:dyDescent="0.2">
      <c r="A21" s="452"/>
      <c r="B21" s="594" t="s">
        <v>25</v>
      </c>
      <c r="C21" s="595"/>
      <c r="D21" s="595"/>
      <c r="E21" s="595"/>
      <c r="F21" s="595"/>
      <c r="G21" s="595"/>
      <c r="H21" s="595"/>
      <c r="I21" s="595"/>
      <c r="J21" s="595"/>
      <c r="K21" s="595"/>
      <c r="L21" s="595"/>
      <c r="M21" s="595"/>
      <c r="N21" s="595"/>
      <c r="O21" s="595"/>
      <c r="P21" s="595"/>
      <c r="Q21" s="595"/>
      <c r="R21" s="595"/>
      <c r="S21" s="595"/>
      <c r="T21" s="596"/>
      <c r="U21" s="558"/>
      <c r="V21" s="559"/>
      <c r="W21" s="559"/>
      <c r="X21" s="559"/>
      <c r="Y21" s="560"/>
      <c r="Z21" s="552"/>
      <c r="AA21" s="553"/>
      <c r="AB21" s="553"/>
      <c r="AC21" s="553"/>
      <c r="AD21" s="602"/>
      <c r="AE21" s="552"/>
      <c r="AF21" s="553"/>
      <c r="AG21" s="553"/>
      <c r="AH21" s="554"/>
    </row>
    <row r="22" spans="1:37" ht="19.5" customHeight="1" x14ac:dyDescent="0.2">
      <c r="A22" s="452"/>
      <c r="B22" s="581" t="s">
        <v>260</v>
      </c>
      <c r="C22" s="603"/>
      <c r="D22" s="603"/>
      <c r="E22" s="603"/>
      <c r="F22" s="603"/>
      <c r="G22" s="603"/>
      <c r="H22" s="603"/>
      <c r="I22" s="603"/>
      <c r="J22" s="603"/>
      <c r="K22" s="603"/>
      <c r="L22" s="603"/>
      <c r="M22" s="603"/>
      <c r="N22" s="603"/>
      <c r="O22" s="603"/>
      <c r="P22" s="603"/>
      <c r="Q22" s="603"/>
      <c r="R22" s="603"/>
      <c r="S22" s="603"/>
      <c r="T22" s="604"/>
      <c r="U22" s="584"/>
      <c r="V22" s="585"/>
      <c r="W22" s="585"/>
      <c r="X22" s="585"/>
      <c r="Y22" s="586"/>
      <c r="Z22" s="561">
        <v>50000</v>
      </c>
      <c r="AA22" s="562"/>
      <c r="AB22" s="562"/>
      <c r="AC22" s="562"/>
      <c r="AD22" s="563"/>
      <c r="AE22" s="552"/>
      <c r="AF22" s="553"/>
      <c r="AG22" s="553"/>
      <c r="AH22" s="554"/>
    </row>
    <row r="23" spans="1:37" ht="19.5" customHeight="1" x14ac:dyDescent="0.2">
      <c r="A23" s="452"/>
      <c r="B23" s="581" t="s">
        <v>251</v>
      </c>
      <c r="C23" s="582"/>
      <c r="D23" s="582"/>
      <c r="E23" s="582"/>
      <c r="F23" s="582"/>
      <c r="G23" s="582"/>
      <c r="H23" s="582"/>
      <c r="I23" s="582"/>
      <c r="J23" s="582"/>
      <c r="K23" s="582"/>
      <c r="L23" s="582"/>
      <c r="M23" s="582"/>
      <c r="N23" s="582"/>
      <c r="O23" s="582"/>
      <c r="P23" s="582"/>
      <c r="Q23" s="582"/>
      <c r="R23" s="582"/>
      <c r="S23" s="582"/>
      <c r="T23" s="583"/>
      <c r="U23" s="558">
        <f>1440000-180000</f>
        <v>1260000</v>
      </c>
      <c r="V23" s="559"/>
      <c r="W23" s="559"/>
      <c r="X23" s="559"/>
      <c r="Y23" s="560"/>
      <c r="Z23" s="561">
        <f>262626+1260000+200000</f>
        <v>1722626</v>
      </c>
      <c r="AA23" s="562"/>
      <c r="AB23" s="562"/>
      <c r="AC23" s="562"/>
      <c r="AD23" s="563"/>
      <c r="AE23" s="552"/>
      <c r="AF23" s="553"/>
      <c r="AG23" s="553"/>
      <c r="AH23" s="554"/>
    </row>
    <row r="24" spans="1:37" ht="19.5" customHeight="1" x14ac:dyDescent="0.2">
      <c r="A24" s="452"/>
      <c r="B24" s="581" t="s">
        <v>300</v>
      </c>
      <c r="C24" s="582"/>
      <c r="D24" s="582"/>
      <c r="E24" s="582"/>
      <c r="F24" s="582"/>
      <c r="G24" s="582"/>
      <c r="H24" s="582"/>
      <c r="I24" s="582"/>
      <c r="J24" s="582"/>
      <c r="K24" s="582"/>
      <c r="L24" s="582"/>
      <c r="M24" s="582"/>
      <c r="N24" s="582"/>
      <c r="O24" s="582"/>
      <c r="P24" s="582"/>
      <c r="Q24" s="582"/>
      <c r="R24" s="582"/>
      <c r="S24" s="582"/>
      <c r="T24" s="583"/>
      <c r="U24" s="558">
        <v>167000</v>
      </c>
      <c r="V24" s="559"/>
      <c r="W24" s="559"/>
      <c r="X24" s="559"/>
      <c r="Y24" s="560"/>
      <c r="Z24" s="561">
        <v>167110</v>
      </c>
      <c r="AA24" s="562"/>
      <c r="AB24" s="562"/>
      <c r="AC24" s="562"/>
      <c r="AD24" s="563"/>
      <c r="AE24" s="369"/>
      <c r="AF24" s="370"/>
      <c r="AG24" s="370"/>
      <c r="AH24" s="453"/>
    </row>
    <row r="25" spans="1:37" ht="19.5" customHeight="1" x14ac:dyDescent="0.2">
      <c r="A25" s="452"/>
      <c r="B25" s="581" t="s">
        <v>327</v>
      </c>
      <c r="C25" s="582"/>
      <c r="D25" s="582"/>
      <c r="E25" s="582"/>
      <c r="F25" s="582"/>
      <c r="G25" s="582"/>
      <c r="H25" s="582"/>
      <c r="I25" s="582"/>
      <c r="J25" s="582"/>
      <c r="K25" s="582"/>
      <c r="L25" s="582"/>
      <c r="M25" s="582"/>
      <c r="N25" s="582"/>
      <c r="O25" s="582"/>
      <c r="P25" s="582"/>
      <c r="Q25" s="582"/>
      <c r="R25" s="582"/>
      <c r="S25" s="582"/>
      <c r="T25" s="583"/>
      <c r="U25" s="558">
        <v>50000</v>
      </c>
      <c r="V25" s="559"/>
      <c r="W25" s="559"/>
      <c r="X25" s="559"/>
      <c r="Y25" s="560"/>
      <c r="Z25" s="561">
        <v>50000</v>
      </c>
      <c r="AA25" s="562"/>
      <c r="AB25" s="562"/>
      <c r="AC25" s="562"/>
      <c r="AD25" s="563"/>
      <c r="AE25" s="552"/>
      <c r="AF25" s="553"/>
      <c r="AG25" s="553"/>
      <c r="AH25" s="554"/>
    </row>
    <row r="26" spans="1:37" ht="19.5" customHeight="1" x14ac:dyDescent="0.2">
      <c r="A26" s="452"/>
      <c r="B26" s="581" t="s">
        <v>472</v>
      </c>
      <c r="C26" s="582"/>
      <c r="D26" s="582"/>
      <c r="E26" s="582"/>
      <c r="F26" s="582"/>
      <c r="G26" s="582"/>
      <c r="H26" s="582"/>
      <c r="I26" s="582"/>
      <c r="J26" s="582"/>
      <c r="K26" s="582"/>
      <c r="L26" s="582"/>
      <c r="M26" s="582"/>
      <c r="N26" s="582"/>
      <c r="O26" s="582"/>
      <c r="P26" s="582"/>
      <c r="Q26" s="582"/>
      <c r="R26" s="582"/>
      <c r="S26" s="582"/>
      <c r="T26" s="583"/>
      <c r="U26" s="558"/>
      <c r="V26" s="559"/>
      <c r="W26" s="559"/>
      <c r="X26" s="559"/>
      <c r="Y26" s="560"/>
      <c r="Z26" s="561">
        <v>30000</v>
      </c>
      <c r="AA26" s="562"/>
      <c r="AB26" s="562"/>
      <c r="AC26" s="562"/>
      <c r="AD26" s="563"/>
      <c r="AE26" s="552"/>
      <c r="AF26" s="553"/>
      <c r="AG26" s="553"/>
      <c r="AH26" s="554"/>
    </row>
    <row r="27" spans="1:37" ht="19.5" customHeight="1" x14ac:dyDescent="0.2">
      <c r="A27" s="452"/>
      <c r="B27" s="581" t="s">
        <v>253</v>
      </c>
      <c r="C27" s="582"/>
      <c r="D27" s="582"/>
      <c r="E27" s="582"/>
      <c r="F27" s="582"/>
      <c r="G27" s="582"/>
      <c r="H27" s="582"/>
      <c r="I27" s="582"/>
      <c r="J27" s="582"/>
      <c r="K27" s="582"/>
      <c r="L27" s="582"/>
      <c r="M27" s="582"/>
      <c r="N27" s="582"/>
      <c r="O27" s="582"/>
      <c r="P27" s="582"/>
      <c r="Q27" s="582"/>
      <c r="R27" s="582"/>
      <c r="S27" s="582"/>
      <c r="T27" s="583"/>
      <c r="U27" s="558">
        <v>111000</v>
      </c>
      <c r="V27" s="559"/>
      <c r="W27" s="559"/>
      <c r="X27" s="559"/>
      <c r="Y27" s="560"/>
      <c r="Z27" s="561">
        <v>111000</v>
      </c>
      <c r="AA27" s="562"/>
      <c r="AB27" s="562"/>
      <c r="AC27" s="562"/>
      <c r="AD27" s="563"/>
      <c r="AE27" s="552"/>
      <c r="AF27" s="553"/>
      <c r="AG27" s="553"/>
      <c r="AH27" s="554"/>
      <c r="AK27" s="177"/>
    </row>
    <row r="28" spans="1:37" ht="19.5" customHeight="1" x14ac:dyDescent="0.2">
      <c r="A28" s="452"/>
      <c r="B28" s="581" t="s">
        <v>473</v>
      </c>
      <c r="C28" s="582"/>
      <c r="D28" s="582"/>
      <c r="E28" s="582"/>
      <c r="F28" s="582"/>
      <c r="G28" s="582"/>
      <c r="H28" s="582"/>
      <c r="I28" s="582"/>
      <c r="J28" s="582"/>
      <c r="K28" s="582"/>
      <c r="L28" s="582"/>
      <c r="M28" s="582"/>
      <c r="N28" s="582"/>
      <c r="O28" s="582"/>
      <c r="P28" s="582"/>
      <c r="Q28" s="582"/>
      <c r="R28" s="582"/>
      <c r="S28" s="582"/>
      <c r="T28" s="583"/>
      <c r="U28" s="376"/>
      <c r="V28" s="377"/>
      <c r="W28" s="377"/>
      <c r="X28" s="377"/>
      <c r="Y28" s="378"/>
      <c r="Z28" s="561">
        <v>20000</v>
      </c>
      <c r="AA28" s="562"/>
      <c r="AB28" s="562"/>
      <c r="AC28" s="562"/>
      <c r="AD28" s="563"/>
      <c r="AE28" s="369"/>
      <c r="AF28" s="370"/>
      <c r="AG28" s="370"/>
      <c r="AH28" s="453"/>
      <c r="AK28" s="177"/>
    </row>
    <row r="29" spans="1:37" ht="19.5" customHeight="1" x14ac:dyDescent="0.2">
      <c r="A29" s="452"/>
      <c r="B29" s="581" t="s">
        <v>474</v>
      </c>
      <c r="C29" s="582"/>
      <c r="D29" s="582"/>
      <c r="E29" s="582"/>
      <c r="F29" s="582"/>
      <c r="G29" s="582"/>
      <c r="H29" s="582"/>
      <c r="I29" s="582"/>
      <c r="J29" s="582"/>
      <c r="K29" s="582"/>
      <c r="L29" s="582"/>
      <c r="M29" s="582"/>
      <c r="N29" s="582"/>
      <c r="O29" s="582"/>
      <c r="P29" s="582"/>
      <c r="Q29" s="582"/>
      <c r="R29" s="582"/>
      <c r="S29" s="582"/>
      <c r="T29" s="583"/>
      <c r="U29" s="558"/>
      <c r="V29" s="559"/>
      <c r="W29" s="559"/>
      <c r="X29" s="559"/>
      <c r="Y29" s="560"/>
      <c r="Z29" s="561">
        <v>30000</v>
      </c>
      <c r="AA29" s="562"/>
      <c r="AB29" s="562"/>
      <c r="AC29" s="562"/>
      <c r="AD29" s="563"/>
      <c r="AE29" s="369"/>
      <c r="AF29" s="370"/>
      <c r="AG29" s="370"/>
      <c r="AH29" s="453"/>
      <c r="AK29" s="177"/>
    </row>
    <row r="30" spans="1:37" ht="19.5" customHeight="1" x14ac:dyDescent="0.2">
      <c r="A30" s="452"/>
      <c r="B30" s="581" t="s">
        <v>475</v>
      </c>
      <c r="C30" s="582"/>
      <c r="D30" s="582"/>
      <c r="E30" s="582"/>
      <c r="F30" s="582"/>
      <c r="G30" s="582"/>
      <c r="H30" s="582"/>
      <c r="I30" s="582"/>
      <c r="J30" s="582"/>
      <c r="K30" s="582"/>
      <c r="L30" s="582"/>
      <c r="M30" s="582"/>
      <c r="N30" s="582"/>
      <c r="O30" s="582"/>
      <c r="P30" s="582"/>
      <c r="Q30" s="582"/>
      <c r="R30" s="582"/>
      <c r="S30" s="582"/>
      <c r="T30" s="583"/>
      <c r="U30" s="376"/>
      <c r="V30" s="377"/>
      <c r="W30" s="377"/>
      <c r="X30" s="377"/>
      <c r="Y30" s="378"/>
      <c r="Z30" s="561">
        <v>10086100</v>
      </c>
      <c r="AA30" s="562"/>
      <c r="AB30" s="562"/>
      <c r="AC30" s="562"/>
      <c r="AD30" s="563"/>
      <c r="AE30" s="369"/>
      <c r="AF30" s="370"/>
      <c r="AG30" s="370"/>
      <c r="AH30" s="453"/>
      <c r="AK30" s="177"/>
    </row>
    <row r="31" spans="1:37" ht="19.5" customHeight="1" x14ac:dyDescent="0.2">
      <c r="A31" s="452"/>
      <c r="B31" s="570" t="s">
        <v>26</v>
      </c>
      <c r="C31" s="571"/>
      <c r="D31" s="571"/>
      <c r="E31" s="571"/>
      <c r="F31" s="571"/>
      <c r="G31" s="571"/>
      <c r="H31" s="571"/>
      <c r="I31" s="571"/>
      <c r="J31" s="571"/>
      <c r="K31" s="571"/>
      <c r="L31" s="571"/>
      <c r="M31" s="571"/>
      <c r="N31" s="571"/>
      <c r="O31" s="571"/>
      <c r="P31" s="571"/>
      <c r="Q31" s="571"/>
      <c r="R31" s="571"/>
      <c r="S31" s="571"/>
      <c r="T31" s="572"/>
      <c r="U31" s="573">
        <f>SUM(U22:Y29)</f>
        <v>1588000</v>
      </c>
      <c r="V31" s="574"/>
      <c r="W31" s="574"/>
      <c r="X31" s="574"/>
      <c r="Y31" s="575"/>
      <c r="Z31" s="576">
        <f>SUM(Z22:AD30)</f>
        <v>12266836</v>
      </c>
      <c r="AA31" s="577"/>
      <c r="AB31" s="577"/>
      <c r="AC31" s="577"/>
      <c r="AD31" s="578"/>
      <c r="AE31" s="552"/>
      <c r="AF31" s="553"/>
      <c r="AG31" s="553"/>
      <c r="AH31" s="554"/>
      <c r="AK31" s="177"/>
    </row>
    <row r="32" spans="1:37" ht="21.95" customHeight="1" x14ac:dyDescent="0.2">
      <c r="A32" s="452"/>
      <c r="B32" s="570" t="s">
        <v>298</v>
      </c>
      <c r="C32" s="571"/>
      <c r="D32" s="571"/>
      <c r="E32" s="571"/>
      <c r="F32" s="571"/>
      <c r="G32" s="571"/>
      <c r="H32" s="571"/>
      <c r="I32" s="571"/>
      <c r="J32" s="571"/>
      <c r="K32" s="571"/>
      <c r="L32" s="571"/>
      <c r="M32" s="571"/>
      <c r="N32" s="571"/>
      <c r="O32" s="571"/>
      <c r="P32" s="571"/>
      <c r="Q32" s="571"/>
      <c r="R32" s="571"/>
      <c r="S32" s="571"/>
      <c r="T32" s="572"/>
      <c r="U32" s="573">
        <f>+U31+U19</f>
        <v>5963000</v>
      </c>
      <c r="V32" s="574"/>
      <c r="W32" s="574"/>
      <c r="X32" s="574"/>
      <c r="Y32" s="575"/>
      <c r="Z32" s="576">
        <f>+Z31+Z19</f>
        <v>16671836</v>
      </c>
      <c r="AA32" s="577"/>
      <c r="AB32" s="577"/>
      <c r="AC32" s="577"/>
      <c r="AD32" s="578"/>
      <c r="AE32" s="552"/>
      <c r="AF32" s="553"/>
      <c r="AG32" s="553"/>
      <c r="AH32" s="554"/>
      <c r="AK32" s="177"/>
    </row>
    <row r="33" spans="1:34" ht="21.95" customHeight="1" x14ac:dyDescent="0.2">
      <c r="A33" s="452"/>
      <c r="B33" s="543" t="s">
        <v>297</v>
      </c>
      <c r="C33" s="544"/>
      <c r="D33" s="544"/>
      <c r="E33" s="544"/>
      <c r="F33" s="544"/>
      <c r="G33" s="544"/>
      <c r="H33" s="544"/>
      <c r="I33" s="544"/>
      <c r="J33" s="544"/>
      <c r="K33" s="544"/>
      <c r="L33" s="544"/>
      <c r="M33" s="544"/>
      <c r="N33" s="544"/>
      <c r="O33" s="544"/>
      <c r="P33" s="544"/>
      <c r="Q33" s="544"/>
      <c r="R33" s="544"/>
      <c r="S33" s="544"/>
      <c r="T33" s="545"/>
      <c r="U33" s="558">
        <f>1448000-614000</f>
        <v>834000</v>
      </c>
      <c r="V33" s="559"/>
      <c r="W33" s="559"/>
      <c r="X33" s="559"/>
      <c r="Y33" s="560"/>
      <c r="Z33" s="561">
        <f>1448000-614000-262626</f>
        <v>571374</v>
      </c>
      <c r="AA33" s="562"/>
      <c r="AB33" s="562"/>
      <c r="AC33" s="562"/>
      <c r="AD33" s="563"/>
      <c r="AE33" s="552"/>
      <c r="AF33" s="553"/>
      <c r="AG33" s="553"/>
      <c r="AH33" s="554"/>
    </row>
    <row r="34" spans="1:34" ht="21.95" customHeight="1" x14ac:dyDescent="0.2">
      <c r="A34" s="452"/>
      <c r="B34" s="543" t="s">
        <v>270</v>
      </c>
      <c r="C34" s="544"/>
      <c r="D34" s="544"/>
      <c r="E34" s="544"/>
      <c r="F34" s="544"/>
      <c r="G34" s="544"/>
      <c r="H34" s="544"/>
      <c r="I34" s="544"/>
      <c r="J34" s="544"/>
      <c r="K34" s="544"/>
      <c r="L34" s="544"/>
      <c r="M34" s="544"/>
      <c r="N34" s="544"/>
      <c r="O34" s="544"/>
      <c r="P34" s="544"/>
      <c r="Q34" s="544"/>
      <c r="R34" s="544"/>
      <c r="S34" s="544"/>
      <c r="T34" s="545"/>
      <c r="U34" s="558">
        <f>(730000+390000+370000)/2-245000</f>
        <v>500000</v>
      </c>
      <c r="V34" s="559"/>
      <c r="W34" s="559"/>
      <c r="X34" s="559"/>
      <c r="Y34" s="560"/>
      <c r="Z34" s="561">
        <v>500000</v>
      </c>
      <c r="AA34" s="562"/>
      <c r="AB34" s="562"/>
      <c r="AC34" s="562"/>
      <c r="AD34" s="563"/>
      <c r="AE34" s="552"/>
      <c r="AF34" s="553"/>
      <c r="AG34" s="553"/>
      <c r="AH34" s="554"/>
    </row>
    <row r="35" spans="1:34" ht="21.95" customHeight="1" thickBot="1" x14ac:dyDescent="0.25">
      <c r="A35" s="452"/>
      <c r="B35" s="549" t="s">
        <v>299</v>
      </c>
      <c r="C35" s="550"/>
      <c r="D35" s="550"/>
      <c r="E35" s="550"/>
      <c r="F35" s="550"/>
      <c r="G35" s="550"/>
      <c r="H35" s="550"/>
      <c r="I35" s="550"/>
      <c r="J35" s="550"/>
      <c r="K35" s="550"/>
      <c r="L35" s="550"/>
      <c r="M35" s="550"/>
      <c r="N35" s="550"/>
      <c r="O35" s="550"/>
      <c r="P35" s="550"/>
      <c r="Q35" s="550"/>
      <c r="R35" s="550"/>
      <c r="S35" s="550"/>
      <c r="T35" s="551"/>
      <c r="U35" s="564">
        <f>+U33+U34</f>
        <v>1334000</v>
      </c>
      <c r="V35" s="565"/>
      <c r="W35" s="565"/>
      <c r="X35" s="565"/>
      <c r="Y35" s="566"/>
      <c r="Z35" s="567">
        <f t="shared" ref="Z35" si="1">+Z33+Z34</f>
        <v>1071374</v>
      </c>
      <c r="AA35" s="568"/>
      <c r="AB35" s="568"/>
      <c r="AC35" s="568"/>
      <c r="AD35" s="569"/>
      <c r="AE35" s="555"/>
      <c r="AF35" s="556"/>
      <c r="AG35" s="556"/>
      <c r="AH35" s="557"/>
    </row>
    <row r="36" spans="1:34" ht="21.95" customHeight="1" x14ac:dyDescent="0.2"/>
    <row r="37" spans="1:34" ht="21.95" customHeight="1" x14ac:dyDescent="0.2"/>
    <row r="38" spans="1:34" ht="21.95" customHeight="1" x14ac:dyDescent="0.2"/>
    <row r="39" spans="1:34" ht="21.95" customHeight="1" x14ac:dyDescent="0.2"/>
    <row r="40" spans="1:34" ht="21.95" customHeight="1" x14ac:dyDescent="0.2"/>
    <row r="41" spans="1:34" ht="21.95" customHeight="1" x14ac:dyDescent="0.2"/>
    <row r="42" spans="1:34" ht="21.95" customHeight="1" x14ac:dyDescent="0.2"/>
    <row r="43" spans="1:34" ht="21.95" customHeight="1" x14ac:dyDescent="0.2"/>
    <row r="44" spans="1:34" ht="21.95" customHeight="1" x14ac:dyDescent="0.2"/>
    <row r="45" spans="1:34" ht="21.95" customHeight="1" x14ac:dyDescent="0.2"/>
    <row r="46" spans="1:34" ht="21.95" customHeight="1" x14ac:dyDescent="0.2"/>
    <row r="47" spans="1:34" ht="21.95" customHeight="1" x14ac:dyDescent="0.2"/>
    <row r="48" spans="1:34" ht="21.95" customHeight="1" x14ac:dyDescent="0.2"/>
    <row r="49" ht="21.95" customHeight="1" x14ac:dyDescent="0.2"/>
    <row r="50" ht="21.95" customHeight="1" x14ac:dyDescent="0.2"/>
    <row r="51" ht="21.95" customHeight="1" x14ac:dyDescent="0.2"/>
    <row r="52" ht="21.95" customHeight="1" x14ac:dyDescent="0.2"/>
    <row r="53" ht="21.95" customHeight="1" x14ac:dyDescent="0.2"/>
    <row r="54" ht="21.95" customHeight="1" x14ac:dyDescent="0.2"/>
    <row r="55" ht="21.95" customHeight="1" x14ac:dyDescent="0.2"/>
    <row r="56" ht="21.95" customHeight="1" x14ac:dyDescent="0.2"/>
    <row r="57" ht="21.95" customHeight="1" x14ac:dyDescent="0.2"/>
    <row r="58" ht="21.95" customHeight="1" x14ac:dyDescent="0.2"/>
    <row r="59" ht="21.95" customHeight="1" x14ac:dyDescent="0.2"/>
    <row r="60" ht="21.95" customHeight="1" x14ac:dyDescent="0.2"/>
    <row r="61" ht="21.95" customHeight="1" x14ac:dyDescent="0.2"/>
    <row r="62" ht="21.95" customHeight="1" x14ac:dyDescent="0.2"/>
    <row r="63" ht="21.95" customHeight="1" x14ac:dyDescent="0.2"/>
    <row r="64" ht="21.95" customHeight="1" x14ac:dyDescent="0.2"/>
    <row r="65" ht="21.95" customHeight="1" x14ac:dyDescent="0.2"/>
    <row r="66" ht="21.95" customHeight="1" x14ac:dyDescent="0.2"/>
    <row r="67" ht="21.95" customHeight="1" x14ac:dyDescent="0.2"/>
    <row r="68" ht="21.95" customHeight="1" x14ac:dyDescent="0.2"/>
    <row r="69" ht="21.95" customHeight="1" x14ac:dyDescent="0.2"/>
    <row r="70" ht="21.95" customHeight="1" x14ac:dyDescent="0.2"/>
    <row r="71" ht="21.95" customHeight="1" x14ac:dyDescent="0.2"/>
    <row r="72" ht="21.95" customHeight="1" x14ac:dyDescent="0.2"/>
    <row r="73" ht="21.95" customHeight="1" x14ac:dyDescent="0.2"/>
    <row r="74" ht="21.95" customHeight="1" x14ac:dyDescent="0.2"/>
    <row r="75" ht="21.95" customHeight="1" x14ac:dyDescent="0.2"/>
    <row r="76" ht="21.95" customHeight="1" x14ac:dyDescent="0.2"/>
    <row r="77" ht="21.95" customHeight="1" x14ac:dyDescent="0.2"/>
    <row r="78" ht="21.95" customHeight="1" x14ac:dyDescent="0.2"/>
    <row r="79" ht="21.95" customHeight="1" x14ac:dyDescent="0.2"/>
    <row r="80" ht="21.95" customHeight="1" x14ac:dyDescent="0.2"/>
    <row r="81" ht="21.95" customHeight="1" x14ac:dyDescent="0.2"/>
    <row r="82" ht="21.95" customHeight="1" x14ac:dyDescent="0.2"/>
    <row r="83" ht="21.95" customHeight="1" x14ac:dyDescent="0.2"/>
    <row r="84" ht="21.95" customHeight="1" x14ac:dyDescent="0.2"/>
    <row r="85" ht="21.95" customHeight="1" x14ac:dyDescent="0.2"/>
    <row r="86" ht="21.95" customHeight="1" x14ac:dyDescent="0.2"/>
    <row r="87" ht="21.95" customHeight="1" x14ac:dyDescent="0.2"/>
    <row r="88" ht="21.95" customHeight="1" x14ac:dyDescent="0.2"/>
    <row r="89" ht="21.95" customHeight="1" x14ac:dyDescent="0.2"/>
    <row r="90" ht="21.95" customHeight="1" x14ac:dyDescent="0.2"/>
    <row r="91" ht="21.95" customHeight="1" x14ac:dyDescent="0.2"/>
    <row r="92" ht="21.95" customHeight="1" x14ac:dyDescent="0.2"/>
    <row r="93" ht="21.95" customHeight="1" x14ac:dyDescent="0.2"/>
    <row r="94" ht="21.95" customHeight="1" x14ac:dyDescent="0.2"/>
    <row r="95" ht="21.95" customHeight="1" x14ac:dyDescent="0.2"/>
    <row r="96" ht="21.95" customHeight="1" x14ac:dyDescent="0.2"/>
    <row r="97" spans="2:5" ht="21.95" customHeight="1" x14ac:dyDescent="0.2"/>
    <row r="98" spans="2:5" ht="21.95" customHeight="1" x14ac:dyDescent="0.2">
      <c r="B98" s="26"/>
      <c r="C98" s="26"/>
      <c r="D98" s="26"/>
      <c r="E98" s="26"/>
    </row>
    <row r="99" spans="2:5" ht="21.95" customHeight="1" x14ac:dyDescent="0.2">
      <c r="B99" s="26"/>
      <c r="C99" s="26"/>
      <c r="D99" s="26"/>
      <c r="E99" s="26"/>
    </row>
    <row r="100" spans="2:5" ht="21.95" customHeight="1" x14ac:dyDescent="0.2">
      <c r="B100" s="26"/>
      <c r="C100" s="26"/>
      <c r="D100" s="26"/>
      <c r="E100" s="26"/>
    </row>
    <row r="101" spans="2:5" ht="21.95" customHeight="1" x14ac:dyDescent="0.2">
      <c r="B101" s="26"/>
      <c r="C101" s="26"/>
      <c r="D101" s="26"/>
      <c r="E101" s="26"/>
    </row>
    <row r="102" spans="2:5" ht="21.95" customHeight="1" x14ac:dyDescent="0.2">
      <c r="B102" s="26"/>
      <c r="C102" s="26"/>
      <c r="D102" s="26"/>
      <c r="E102" s="26"/>
    </row>
    <row r="103" spans="2:5" ht="21.95" customHeight="1" x14ac:dyDescent="0.2">
      <c r="B103" s="26"/>
      <c r="C103" s="26"/>
      <c r="D103" s="26"/>
      <c r="E103" s="26"/>
    </row>
    <row r="104" spans="2:5" ht="21.95" customHeight="1" x14ac:dyDescent="0.2">
      <c r="B104" s="26"/>
      <c r="C104" s="26"/>
      <c r="D104" s="26"/>
      <c r="E104" s="26"/>
    </row>
    <row r="105" spans="2:5" ht="21.95" customHeight="1" x14ac:dyDescent="0.2">
      <c r="B105" s="26"/>
      <c r="C105" s="26"/>
      <c r="D105" s="26"/>
      <c r="E105" s="26"/>
    </row>
    <row r="106" spans="2:5" ht="21.95" customHeight="1" x14ac:dyDescent="0.2">
      <c r="B106" s="26"/>
      <c r="C106" s="26"/>
      <c r="D106" s="26"/>
      <c r="E106" s="26"/>
    </row>
    <row r="107" spans="2:5" ht="21.95" customHeight="1" x14ac:dyDescent="0.2">
      <c r="B107" s="26"/>
      <c r="C107" s="26"/>
      <c r="D107" s="26"/>
      <c r="E107" s="26"/>
    </row>
    <row r="108" spans="2:5" ht="21.95" customHeight="1" x14ac:dyDescent="0.2">
      <c r="B108" s="26"/>
      <c r="C108" s="26"/>
      <c r="D108" s="26"/>
      <c r="E108" s="26"/>
    </row>
    <row r="109" spans="2:5" ht="21.95" customHeight="1" x14ac:dyDescent="0.2">
      <c r="B109" s="26"/>
      <c r="C109" s="26"/>
      <c r="D109" s="26"/>
      <c r="E109" s="26"/>
    </row>
    <row r="110" spans="2:5" ht="21.95" customHeight="1" x14ac:dyDescent="0.2">
      <c r="B110" s="26"/>
      <c r="C110" s="26"/>
      <c r="D110" s="26"/>
      <c r="E110" s="26"/>
    </row>
    <row r="111" spans="2:5" ht="21.95" customHeight="1" x14ac:dyDescent="0.2">
      <c r="B111" s="26"/>
      <c r="C111" s="26"/>
      <c r="D111" s="26"/>
      <c r="E111" s="26"/>
    </row>
    <row r="112" spans="2:5" ht="21.95" customHeight="1" x14ac:dyDescent="0.2">
      <c r="B112" s="26"/>
      <c r="C112" s="26"/>
      <c r="D112" s="26"/>
      <c r="E112" s="26"/>
    </row>
    <row r="113" spans="2:5" ht="21.95" customHeight="1" x14ac:dyDescent="0.2">
      <c r="B113" s="26"/>
      <c r="C113" s="26"/>
      <c r="D113" s="26"/>
      <c r="E113" s="26"/>
    </row>
    <row r="114" spans="2:5" ht="21.95" customHeight="1" x14ac:dyDescent="0.2">
      <c r="B114" s="26"/>
      <c r="C114" s="26"/>
      <c r="D114" s="26"/>
      <c r="E114" s="26"/>
    </row>
    <row r="115" spans="2:5" ht="21.95" customHeight="1" x14ac:dyDescent="0.2">
      <c r="B115" s="26"/>
      <c r="C115" s="26"/>
      <c r="D115" s="26"/>
      <c r="E115" s="26"/>
    </row>
    <row r="116" spans="2:5" ht="21.95" customHeight="1" x14ac:dyDescent="0.2">
      <c r="B116" s="26"/>
      <c r="C116" s="26"/>
      <c r="D116" s="26"/>
      <c r="E116" s="26"/>
    </row>
    <row r="117" spans="2:5" ht="21.95" customHeight="1" x14ac:dyDescent="0.2">
      <c r="B117" s="26"/>
      <c r="C117" s="26"/>
      <c r="D117" s="26"/>
      <c r="E117" s="26"/>
    </row>
    <row r="118" spans="2:5" ht="21.95" customHeight="1" x14ac:dyDescent="0.2">
      <c r="B118" s="26"/>
      <c r="C118" s="26"/>
      <c r="D118" s="26"/>
      <c r="E118" s="26"/>
    </row>
    <row r="119" spans="2:5" ht="21.95" customHeight="1" x14ac:dyDescent="0.2">
      <c r="B119" s="26"/>
      <c r="C119" s="26"/>
      <c r="D119" s="26"/>
      <c r="E119" s="26"/>
    </row>
    <row r="120" spans="2:5" ht="21.95" customHeight="1" x14ac:dyDescent="0.2">
      <c r="B120" s="26"/>
      <c r="C120" s="26"/>
      <c r="D120" s="26"/>
      <c r="E120" s="26"/>
    </row>
    <row r="121" spans="2:5" ht="21.95" customHeight="1" x14ac:dyDescent="0.2">
      <c r="B121" s="26"/>
      <c r="C121" s="26"/>
      <c r="D121" s="26"/>
      <c r="E121" s="26"/>
    </row>
    <row r="122" spans="2:5" ht="21.95" customHeight="1" x14ac:dyDescent="0.2">
      <c r="B122" s="26"/>
      <c r="C122" s="26"/>
      <c r="D122" s="26"/>
      <c r="E122" s="26"/>
    </row>
    <row r="123" spans="2:5" ht="21.95" customHeight="1" x14ac:dyDescent="0.2">
      <c r="B123" s="26"/>
      <c r="C123" s="26"/>
      <c r="D123" s="26"/>
      <c r="E123" s="26"/>
    </row>
    <row r="124" spans="2:5" ht="21.95" customHeight="1" x14ac:dyDescent="0.2">
      <c r="B124" s="26"/>
      <c r="C124" s="26"/>
      <c r="D124" s="26"/>
      <c r="E124" s="26"/>
    </row>
    <row r="125" spans="2:5" ht="21.95" customHeight="1" x14ac:dyDescent="0.2">
      <c r="B125" s="26"/>
      <c r="C125" s="26"/>
      <c r="D125" s="26"/>
      <c r="E125" s="26"/>
    </row>
    <row r="126" spans="2:5" ht="21.95" customHeight="1" x14ac:dyDescent="0.2">
      <c r="B126" s="26"/>
      <c r="C126" s="26"/>
      <c r="D126" s="26"/>
      <c r="E126" s="26"/>
    </row>
    <row r="127" spans="2:5" ht="21.95" customHeight="1" x14ac:dyDescent="0.2">
      <c r="B127" s="26"/>
      <c r="C127" s="26"/>
      <c r="D127" s="26"/>
      <c r="E127" s="26"/>
    </row>
    <row r="128" spans="2:5" ht="21.95" customHeight="1" x14ac:dyDescent="0.2">
      <c r="B128" s="26"/>
      <c r="C128" s="26"/>
      <c r="D128" s="26"/>
      <c r="E128" s="26"/>
    </row>
    <row r="129" spans="2:5" ht="21.95" customHeight="1" x14ac:dyDescent="0.2">
      <c r="B129" s="26"/>
      <c r="C129" s="26"/>
      <c r="D129" s="26"/>
      <c r="E129" s="26"/>
    </row>
    <row r="130" spans="2:5" ht="21.95" customHeight="1" x14ac:dyDescent="0.2">
      <c r="B130" s="26"/>
      <c r="C130" s="26"/>
      <c r="D130" s="26"/>
      <c r="E130" s="26"/>
    </row>
    <row r="131" spans="2:5" ht="21.95" customHeight="1" x14ac:dyDescent="0.2">
      <c r="B131" s="26"/>
      <c r="C131" s="26"/>
      <c r="D131" s="26"/>
      <c r="E131" s="26"/>
    </row>
    <row r="132" spans="2:5" ht="21.95" customHeight="1" x14ac:dyDescent="0.2">
      <c r="B132" s="26"/>
      <c r="C132" s="26"/>
      <c r="D132" s="26"/>
      <c r="E132" s="26"/>
    </row>
    <row r="133" spans="2:5" ht="21.95" customHeight="1" x14ac:dyDescent="0.2">
      <c r="B133" s="26"/>
      <c r="C133" s="26"/>
      <c r="D133" s="26"/>
      <c r="E133" s="26"/>
    </row>
    <row r="134" spans="2:5" ht="21.95" customHeight="1" x14ac:dyDescent="0.2">
      <c r="B134" s="26"/>
      <c r="C134" s="26"/>
      <c r="D134" s="26"/>
      <c r="E134" s="26"/>
    </row>
    <row r="135" spans="2:5" ht="21.95" customHeight="1" x14ac:dyDescent="0.2">
      <c r="B135" s="26"/>
      <c r="C135" s="26"/>
      <c r="D135" s="26"/>
      <c r="E135" s="26"/>
    </row>
    <row r="136" spans="2:5" ht="21.95" customHeight="1" x14ac:dyDescent="0.2">
      <c r="B136" s="26"/>
      <c r="C136" s="26"/>
      <c r="D136" s="26"/>
      <c r="E136" s="26"/>
    </row>
    <row r="137" spans="2:5" ht="21.95" customHeight="1" x14ac:dyDescent="0.2">
      <c r="B137" s="26"/>
      <c r="C137" s="26"/>
      <c r="D137" s="26"/>
      <c r="E137" s="26"/>
    </row>
    <row r="138" spans="2:5" ht="21.95" customHeight="1" x14ac:dyDescent="0.2">
      <c r="B138" s="26"/>
      <c r="C138" s="26"/>
      <c r="D138" s="26"/>
      <c r="E138" s="26"/>
    </row>
    <row r="139" spans="2:5" ht="21.95" customHeight="1" x14ac:dyDescent="0.2">
      <c r="B139" s="26"/>
      <c r="C139" s="26"/>
      <c r="D139" s="26"/>
      <c r="E139" s="26"/>
    </row>
    <row r="140" spans="2:5" ht="21.95" customHeight="1" x14ac:dyDescent="0.2">
      <c r="B140" s="26"/>
      <c r="C140" s="26"/>
      <c r="D140" s="26"/>
      <c r="E140" s="26"/>
    </row>
    <row r="141" spans="2:5" ht="21.95" customHeight="1" x14ac:dyDescent="0.2">
      <c r="B141" s="26"/>
      <c r="C141" s="26"/>
      <c r="D141" s="26"/>
      <c r="E141" s="26"/>
    </row>
    <row r="142" spans="2:5" ht="21.95" customHeight="1" x14ac:dyDescent="0.2">
      <c r="B142" s="26"/>
      <c r="C142" s="26"/>
      <c r="D142" s="26"/>
      <c r="E142" s="26"/>
    </row>
    <row r="143" spans="2:5" ht="21.95" customHeight="1" x14ac:dyDescent="0.2">
      <c r="B143" s="26"/>
      <c r="C143" s="26"/>
      <c r="D143" s="26"/>
      <c r="E143" s="26"/>
    </row>
    <row r="144" spans="2:5" ht="21.95" customHeight="1" x14ac:dyDescent="0.2">
      <c r="B144" s="26"/>
      <c r="C144" s="26"/>
      <c r="D144" s="26"/>
      <c r="E144" s="26"/>
    </row>
    <row r="145" spans="2:5" ht="21.95" customHeight="1" x14ac:dyDescent="0.2">
      <c r="B145" s="26"/>
      <c r="C145" s="26"/>
      <c r="D145" s="26"/>
      <c r="E145" s="26"/>
    </row>
    <row r="146" spans="2:5" ht="21.95" customHeight="1" x14ac:dyDescent="0.2">
      <c r="B146" s="26"/>
      <c r="C146" s="26"/>
      <c r="D146" s="26"/>
      <c r="E146" s="26"/>
    </row>
    <row r="147" spans="2:5" ht="21.95" customHeight="1" x14ac:dyDescent="0.2">
      <c r="B147" s="26"/>
      <c r="C147" s="26"/>
      <c r="D147" s="26"/>
      <c r="E147" s="26"/>
    </row>
    <row r="148" spans="2:5" ht="21.95" customHeight="1" x14ac:dyDescent="0.2">
      <c r="B148" s="26"/>
      <c r="C148" s="26"/>
      <c r="D148" s="26"/>
      <c r="E148" s="26"/>
    </row>
    <row r="149" spans="2:5" ht="21.95" customHeight="1" x14ac:dyDescent="0.2">
      <c r="B149" s="26"/>
      <c r="C149" s="26"/>
      <c r="D149" s="26"/>
      <c r="E149" s="26"/>
    </row>
    <row r="150" spans="2:5" ht="21.95" customHeight="1" x14ac:dyDescent="0.2">
      <c r="B150" s="26"/>
      <c r="C150" s="26"/>
      <c r="D150" s="26"/>
      <c r="E150" s="26"/>
    </row>
    <row r="151" spans="2:5" ht="21.95" customHeight="1" x14ac:dyDescent="0.2">
      <c r="B151" s="26"/>
      <c r="C151" s="26"/>
      <c r="D151" s="26"/>
      <c r="E151" s="26"/>
    </row>
    <row r="152" spans="2:5" ht="21.95" customHeight="1" x14ac:dyDescent="0.2">
      <c r="B152" s="26"/>
      <c r="C152" s="26"/>
      <c r="D152" s="26"/>
      <c r="E152" s="26"/>
    </row>
    <row r="153" spans="2:5" ht="21.95" customHeight="1" x14ac:dyDescent="0.2">
      <c r="B153" s="26"/>
      <c r="C153" s="26"/>
      <c r="D153" s="26"/>
      <c r="E153" s="26"/>
    </row>
    <row r="154" spans="2:5" ht="21.95" customHeight="1" x14ac:dyDescent="0.2">
      <c r="B154" s="26"/>
      <c r="C154" s="26"/>
      <c r="D154" s="26"/>
      <c r="E154" s="26"/>
    </row>
    <row r="155" spans="2:5" ht="21.95" customHeight="1" x14ac:dyDescent="0.2">
      <c r="B155" s="26"/>
      <c r="C155" s="26"/>
      <c r="D155" s="26"/>
      <c r="E155" s="26"/>
    </row>
    <row r="156" spans="2:5" ht="21.95" customHeight="1" x14ac:dyDescent="0.2">
      <c r="B156" s="26"/>
      <c r="C156" s="26"/>
      <c r="D156" s="26"/>
      <c r="E156" s="26"/>
    </row>
    <row r="157" spans="2:5" ht="21.95" customHeight="1" x14ac:dyDescent="0.2">
      <c r="B157" s="26"/>
      <c r="C157" s="26"/>
      <c r="D157" s="26"/>
      <c r="E157" s="26"/>
    </row>
    <row r="158" spans="2:5" ht="21.95" customHeight="1" x14ac:dyDescent="0.2">
      <c r="B158" s="26"/>
      <c r="C158" s="26"/>
      <c r="D158" s="26"/>
      <c r="E158" s="26"/>
    </row>
    <row r="159" spans="2:5" ht="21.95" customHeight="1" x14ac:dyDescent="0.2">
      <c r="B159" s="26"/>
      <c r="C159" s="26"/>
      <c r="D159" s="26"/>
      <c r="E159" s="26"/>
    </row>
    <row r="160" spans="2:5" ht="21.95" customHeight="1" x14ac:dyDescent="0.2">
      <c r="B160" s="26"/>
      <c r="C160" s="26"/>
      <c r="D160" s="26"/>
      <c r="E160" s="26"/>
    </row>
    <row r="161" spans="2:5" ht="21.95" customHeight="1" x14ac:dyDescent="0.2">
      <c r="B161" s="26"/>
      <c r="C161" s="26"/>
      <c r="D161" s="26"/>
      <c r="E161" s="26"/>
    </row>
    <row r="162" spans="2:5" ht="21.95" customHeight="1" x14ac:dyDescent="0.2">
      <c r="B162" s="26"/>
      <c r="C162" s="26"/>
      <c r="D162" s="26"/>
      <c r="E162" s="26"/>
    </row>
    <row r="163" spans="2:5" ht="21.95" customHeight="1" x14ac:dyDescent="0.2">
      <c r="B163" s="26"/>
      <c r="C163" s="26"/>
      <c r="D163" s="26"/>
      <c r="E163" s="26"/>
    </row>
    <row r="164" spans="2:5" ht="21.95" customHeight="1" x14ac:dyDescent="0.2">
      <c r="B164" s="26"/>
      <c r="C164" s="26"/>
      <c r="D164" s="26"/>
      <c r="E164" s="26"/>
    </row>
    <row r="165" spans="2:5" ht="21.95" customHeight="1" x14ac:dyDescent="0.2">
      <c r="B165" s="26"/>
      <c r="C165" s="26"/>
      <c r="D165" s="26"/>
      <c r="E165" s="26"/>
    </row>
    <row r="166" spans="2:5" ht="21.95" customHeight="1" x14ac:dyDescent="0.2">
      <c r="B166" s="26"/>
      <c r="C166" s="26"/>
      <c r="D166" s="26"/>
      <c r="E166" s="26"/>
    </row>
    <row r="167" spans="2:5" ht="21.95" customHeight="1" x14ac:dyDescent="0.2">
      <c r="B167" s="26"/>
      <c r="C167" s="26"/>
      <c r="D167" s="26"/>
      <c r="E167" s="26"/>
    </row>
    <row r="168" spans="2:5" ht="21.95" customHeight="1" x14ac:dyDescent="0.2">
      <c r="B168" s="26"/>
      <c r="C168" s="26"/>
      <c r="D168" s="26"/>
      <c r="E168" s="26"/>
    </row>
    <row r="169" spans="2:5" ht="21.95" customHeight="1" x14ac:dyDescent="0.2">
      <c r="B169" s="26"/>
      <c r="C169" s="26"/>
      <c r="D169" s="26"/>
      <c r="E169" s="26"/>
    </row>
    <row r="170" spans="2:5" ht="21.95" customHeight="1" x14ac:dyDescent="0.2">
      <c r="B170" s="26"/>
      <c r="C170" s="26"/>
      <c r="D170" s="26"/>
      <c r="E170" s="26"/>
    </row>
    <row r="171" spans="2:5" ht="21.95" customHeight="1" x14ac:dyDescent="0.2">
      <c r="B171" s="26"/>
      <c r="C171" s="26"/>
      <c r="D171" s="26"/>
      <c r="E171" s="26"/>
    </row>
    <row r="172" spans="2:5" ht="21.95" customHeight="1" x14ac:dyDescent="0.2">
      <c r="B172" s="26"/>
      <c r="C172" s="26"/>
      <c r="D172" s="26"/>
      <c r="E172" s="26"/>
    </row>
    <row r="173" spans="2:5" ht="21.95" customHeight="1" x14ac:dyDescent="0.2">
      <c r="B173" s="26"/>
      <c r="C173" s="26"/>
      <c r="D173" s="26"/>
      <c r="E173" s="26"/>
    </row>
    <row r="174" spans="2:5" x14ac:dyDescent="0.2">
      <c r="B174" s="26"/>
      <c r="C174" s="26"/>
      <c r="D174" s="26"/>
      <c r="E174" s="26"/>
    </row>
    <row r="175" spans="2:5" x14ac:dyDescent="0.2">
      <c r="B175" s="26"/>
      <c r="C175" s="26"/>
      <c r="D175" s="26"/>
      <c r="E175" s="26"/>
    </row>
    <row r="176" spans="2:5" x14ac:dyDescent="0.2">
      <c r="B176" s="26"/>
      <c r="C176" s="26"/>
      <c r="D176" s="26"/>
      <c r="E176" s="26"/>
    </row>
    <row r="177" spans="2:5" x14ac:dyDescent="0.2">
      <c r="B177" s="26"/>
      <c r="C177" s="26"/>
      <c r="D177" s="26"/>
      <c r="E177" s="26"/>
    </row>
    <row r="178" spans="2:5" x14ac:dyDescent="0.2">
      <c r="B178" s="26"/>
      <c r="C178" s="26"/>
      <c r="D178" s="26"/>
      <c r="E178" s="26"/>
    </row>
    <row r="179" spans="2:5" x14ac:dyDescent="0.2">
      <c r="B179" s="26"/>
      <c r="C179" s="26"/>
      <c r="D179" s="26"/>
      <c r="E179" s="26"/>
    </row>
    <row r="180" spans="2:5" x14ac:dyDescent="0.2">
      <c r="B180" s="26"/>
      <c r="C180" s="26"/>
      <c r="D180" s="26"/>
      <c r="E180" s="26"/>
    </row>
  </sheetData>
  <mergeCells count="102">
    <mergeCell ref="AE20:AH20"/>
    <mergeCell ref="AE21:AH21"/>
    <mergeCell ref="AE19:AH19"/>
    <mergeCell ref="U29:Y29"/>
    <mergeCell ref="B28:T28"/>
    <mergeCell ref="B30:T30"/>
    <mergeCell ref="U23:Y23"/>
    <mergeCell ref="U24:Y24"/>
    <mergeCell ref="U19:Y19"/>
    <mergeCell ref="B19:T19"/>
    <mergeCell ref="B29:T29"/>
    <mergeCell ref="B25:T25"/>
    <mergeCell ref="Z28:AD28"/>
    <mergeCell ref="Z29:AD29"/>
    <mergeCell ref="Z30:AD30"/>
    <mergeCell ref="Z22:AD22"/>
    <mergeCell ref="Z23:AD23"/>
    <mergeCell ref="Z24:AD24"/>
    <mergeCell ref="Z25:AD25"/>
    <mergeCell ref="Z27:AD27"/>
    <mergeCell ref="Z31:AD31"/>
    <mergeCell ref="AE31:AH31"/>
    <mergeCell ref="U27:Y27"/>
    <mergeCell ref="Z21:AD21"/>
    <mergeCell ref="AE27:AH27"/>
    <mergeCell ref="B22:T22"/>
    <mergeCell ref="U22:Y22"/>
    <mergeCell ref="U26:Y26"/>
    <mergeCell ref="B20:T20"/>
    <mergeCell ref="U20:Y20"/>
    <mergeCell ref="U25:Y25"/>
    <mergeCell ref="Z26:AD26"/>
    <mergeCell ref="Z20:AD20"/>
    <mergeCell ref="AE23:AH23"/>
    <mergeCell ref="AE25:AH25"/>
    <mergeCell ref="AE26:AH26"/>
    <mergeCell ref="AE22:AH22"/>
    <mergeCell ref="B31:T31"/>
    <mergeCell ref="B26:T26"/>
    <mergeCell ref="B27:T27"/>
    <mergeCell ref="B21:T21"/>
    <mergeCell ref="B23:T23"/>
    <mergeCell ref="B24:T24"/>
    <mergeCell ref="U31:Y31"/>
    <mergeCell ref="U18:Y18"/>
    <mergeCell ref="Z18:AD18"/>
    <mergeCell ref="AE18:AH18"/>
    <mergeCell ref="B1:AH2"/>
    <mergeCell ref="U9:Y10"/>
    <mergeCell ref="B6:AH6"/>
    <mergeCell ref="AE11:AH11"/>
    <mergeCell ref="B3:AH3"/>
    <mergeCell ref="B4:AH4"/>
    <mergeCell ref="U11:Y11"/>
    <mergeCell ref="B9:T9"/>
    <mergeCell ref="B11:T11"/>
    <mergeCell ref="G5:U5"/>
    <mergeCell ref="AE9:AH10"/>
    <mergeCell ref="Z9:AD10"/>
    <mergeCell ref="AE12:AH12"/>
    <mergeCell ref="AE13:AH13"/>
    <mergeCell ref="Z11:AD11"/>
    <mergeCell ref="A9:A10"/>
    <mergeCell ref="U12:Y12"/>
    <mergeCell ref="B16:T16"/>
    <mergeCell ref="U16:Y16"/>
    <mergeCell ref="B12:T12"/>
    <mergeCell ref="U21:Y21"/>
    <mergeCell ref="B14:T14"/>
    <mergeCell ref="U14:Y14"/>
    <mergeCell ref="AE15:AH15"/>
    <mergeCell ref="B18:T18"/>
    <mergeCell ref="B17:T17"/>
    <mergeCell ref="B15:T15"/>
    <mergeCell ref="B13:T13"/>
    <mergeCell ref="U13:Y13"/>
    <mergeCell ref="Z16:AD16"/>
    <mergeCell ref="AE16:AH16"/>
    <mergeCell ref="Z15:AD15"/>
    <mergeCell ref="Z14:AD14"/>
    <mergeCell ref="U17:Y17"/>
    <mergeCell ref="Z17:AD17"/>
    <mergeCell ref="AE17:AH17"/>
    <mergeCell ref="Z12:AD12"/>
    <mergeCell ref="Z13:AD13"/>
    <mergeCell ref="Z19:AD19"/>
    <mergeCell ref="AE32:AH32"/>
    <mergeCell ref="AE33:AH33"/>
    <mergeCell ref="AE34:AH34"/>
    <mergeCell ref="AE35:AH35"/>
    <mergeCell ref="B34:T34"/>
    <mergeCell ref="U34:Y34"/>
    <mergeCell ref="Z34:AD34"/>
    <mergeCell ref="B35:T35"/>
    <mergeCell ref="U35:Y35"/>
    <mergeCell ref="Z35:AD35"/>
    <mergeCell ref="B32:T32"/>
    <mergeCell ref="U32:Y32"/>
    <mergeCell ref="Z32:AD32"/>
    <mergeCell ref="B33:T33"/>
    <mergeCell ref="U33:Y33"/>
    <mergeCell ref="Z33:AD33"/>
  </mergeCells>
  <phoneticPr fontId="0" type="noConversion"/>
  <printOptions horizontalCentered="1"/>
  <pageMargins left="0.17" right="0.19685039370078741" top="0.59055118110236227" bottom="0.59055118110236227" header="0.5" footer="0.5"/>
  <pageSetup paperSize="9" scale="84" fitToHeight="0" orientation="portrait" horizontalDpi="360" verticalDpi="36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K155"/>
  <sheetViews>
    <sheetView view="pageBreakPreview" topLeftCell="A6" zoomScale="87" zoomScaleNormal="100" zoomScaleSheetLayoutView="87" workbookViewId="0">
      <selection activeCell="B147" sqref="B147"/>
    </sheetView>
  </sheetViews>
  <sheetFormatPr defaultRowHeight="12.75" x14ac:dyDescent="0.2"/>
  <cols>
    <col min="1" max="1" width="57" style="50" customWidth="1"/>
    <col min="2" max="2" width="13.42578125" style="51" customWidth="1"/>
    <col min="3" max="3" width="14" style="51" customWidth="1"/>
    <col min="4" max="4" width="15.42578125" style="51" customWidth="1"/>
    <col min="5" max="5" width="14.28515625" style="51" customWidth="1"/>
    <col min="6" max="6" width="12.140625" style="51" customWidth="1"/>
    <col min="7" max="7" width="12.5703125" style="237" bestFit="1" customWidth="1"/>
    <col min="8" max="8" width="5.42578125" style="237" bestFit="1" customWidth="1"/>
    <col min="9" max="9" width="12.5703125" style="237" bestFit="1" customWidth="1"/>
    <col min="11" max="11" width="12.5703125" bestFit="1" customWidth="1"/>
  </cols>
  <sheetData>
    <row r="1" spans="1:11" ht="18.75" x14ac:dyDescent="0.2">
      <c r="A1" s="611" t="s">
        <v>323</v>
      </c>
      <c r="B1" s="611"/>
      <c r="C1" s="611"/>
      <c r="D1" s="611"/>
      <c r="E1" s="611"/>
    </row>
    <row r="2" spans="1:11" ht="18.75" x14ac:dyDescent="0.2">
      <c r="A2" s="611" t="s">
        <v>249</v>
      </c>
      <c r="B2" s="612"/>
      <c r="C2" s="612"/>
      <c r="D2" s="612"/>
      <c r="E2" s="612"/>
      <c r="F2" s="51" t="s">
        <v>453</v>
      </c>
    </row>
    <row r="4" spans="1:11" ht="18.75" x14ac:dyDescent="0.2">
      <c r="A4" s="611" t="s">
        <v>222</v>
      </c>
      <c r="B4" s="612"/>
      <c r="C4" s="612"/>
      <c r="D4" s="612"/>
      <c r="E4" s="612"/>
      <c r="F4" s="235" t="s">
        <v>244</v>
      </c>
    </row>
    <row r="5" spans="1:11" ht="19.5" thickBot="1" x14ac:dyDescent="0.3">
      <c r="A5" s="233"/>
      <c r="B5" s="234"/>
      <c r="C5" s="234"/>
      <c r="D5" s="234"/>
      <c r="E5" s="234"/>
      <c r="F5" s="134"/>
    </row>
    <row r="6" spans="1:11" ht="36.75" thickBot="1" x14ac:dyDescent="0.25">
      <c r="A6" s="135" t="s">
        <v>136</v>
      </c>
      <c r="B6" s="136" t="s">
        <v>137</v>
      </c>
      <c r="C6" s="136" t="s">
        <v>138</v>
      </c>
      <c r="D6" s="136" t="s">
        <v>329</v>
      </c>
      <c r="E6" s="136" t="s">
        <v>347</v>
      </c>
      <c r="F6" s="136" t="s">
        <v>348</v>
      </c>
    </row>
    <row r="7" spans="1:11" ht="13.5" thickBot="1" x14ac:dyDescent="0.25">
      <c r="A7" s="137">
        <v>1</v>
      </c>
      <c r="B7" s="138">
        <v>2</v>
      </c>
      <c r="C7" s="138">
        <v>3</v>
      </c>
      <c r="D7" s="138">
        <v>4</v>
      </c>
      <c r="E7" s="138">
        <v>5</v>
      </c>
      <c r="F7" s="139">
        <v>6</v>
      </c>
    </row>
    <row r="8" spans="1:11" ht="15.75" x14ac:dyDescent="0.2">
      <c r="A8" s="394" t="s">
        <v>295</v>
      </c>
      <c r="B8" s="392"/>
      <c r="C8" s="392"/>
      <c r="D8" s="392"/>
      <c r="E8" s="392"/>
      <c r="F8" s="393"/>
    </row>
    <row r="9" spans="1:11" ht="20.25" customHeight="1" x14ac:dyDescent="0.2">
      <c r="A9" s="395" t="s">
        <v>139</v>
      </c>
      <c r="B9" s="141"/>
      <c r="C9" s="142"/>
      <c r="D9" s="141"/>
      <c r="E9" s="343">
        <f>SUM(E10:E13)</f>
        <v>1000000</v>
      </c>
      <c r="F9" s="343">
        <f>SUM(F10:F13)</f>
        <v>1787980</v>
      </c>
    </row>
    <row r="10" spans="1:11" ht="20.25" customHeight="1" x14ac:dyDescent="0.2">
      <c r="A10" s="144" t="s">
        <v>328</v>
      </c>
      <c r="B10" s="141"/>
      <c r="C10" s="142"/>
      <c r="D10" s="141"/>
      <c r="E10" s="141">
        <v>1000000</v>
      </c>
      <c r="F10" s="435">
        <f>521066+26522</f>
        <v>547588</v>
      </c>
      <c r="G10" s="415"/>
      <c r="H10" s="415"/>
      <c r="I10" s="415"/>
      <c r="J10" s="416"/>
    </row>
    <row r="11" spans="1:11" ht="20.25" customHeight="1" x14ac:dyDescent="0.2">
      <c r="A11" s="144" t="s">
        <v>379</v>
      </c>
      <c r="B11" s="141"/>
      <c r="C11" s="142"/>
      <c r="D11" s="141"/>
      <c r="E11" s="141"/>
      <c r="F11" s="435">
        <f>11000+810+810+21001+77781+128000</f>
        <v>239402</v>
      </c>
      <c r="G11" s="415"/>
      <c r="H11" s="415"/>
      <c r="I11" s="415"/>
      <c r="J11" s="416"/>
    </row>
    <row r="12" spans="1:11" ht="20.25" customHeight="1" x14ac:dyDescent="0.2">
      <c r="A12" s="144" t="s">
        <v>380</v>
      </c>
      <c r="B12" s="141"/>
      <c r="C12" s="142"/>
      <c r="D12" s="141"/>
      <c r="E12" s="141"/>
      <c r="F12" s="435">
        <f>257000+483000+191600+69390</f>
        <v>1000990</v>
      </c>
      <c r="G12" s="415"/>
      <c r="H12" s="415"/>
      <c r="I12" s="415"/>
      <c r="J12" s="416"/>
    </row>
    <row r="13" spans="1:11" ht="20.25" customHeight="1" x14ac:dyDescent="0.2">
      <c r="A13" s="144"/>
      <c r="B13" s="141"/>
      <c r="C13" s="142"/>
      <c r="D13" s="141"/>
      <c r="E13" s="141"/>
      <c r="F13" s="143">
        <f>B13-D13-E13</f>
        <v>0</v>
      </c>
      <c r="G13" s="415"/>
      <c r="H13" s="415"/>
      <c r="I13" s="415"/>
      <c r="J13" s="416"/>
    </row>
    <row r="14" spans="1:11" ht="20.25" customHeight="1" x14ac:dyDescent="0.2">
      <c r="A14" s="395" t="s">
        <v>140</v>
      </c>
      <c r="B14" s="141"/>
      <c r="C14" s="142"/>
      <c r="D14" s="141"/>
      <c r="E14" s="343">
        <f>SUM(E15:E20)</f>
        <v>5103000</v>
      </c>
      <c r="F14" s="418">
        <f>SUM(F15:F100)</f>
        <v>11424790.85</v>
      </c>
      <c r="G14" s="415"/>
      <c r="H14" s="415"/>
      <c r="I14" s="415"/>
      <c r="J14" s="416"/>
    </row>
    <row r="15" spans="1:11" ht="20.25" customHeight="1" x14ac:dyDescent="0.2">
      <c r="A15" s="144" t="s">
        <v>330</v>
      </c>
      <c r="B15" s="141"/>
      <c r="C15" s="151"/>
      <c r="D15" s="141"/>
      <c r="E15" s="141">
        <v>1000000</v>
      </c>
      <c r="F15" s="435">
        <v>978279</v>
      </c>
      <c r="G15" s="415"/>
      <c r="H15" s="415"/>
      <c r="I15" s="415"/>
      <c r="J15" s="416"/>
      <c r="K15" s="261"/>
    </row>
    <row r="16" spans="1:11" ht="20.25" customHeight="1" x14ac:dyDescent="0.2">
      <c r="A16" s="144" t="s">
        <v>333</v>
      </c>
      <c r="B16" s="141"/>
      <c r="C16" s="142"/>
      <c r="D16" s="141"/>
      <c r="E16" s="141">
        <v>500000</v>
      </c>
      <c r="F16" s="143"/>
      <c r="G16" s="415"/>
      <c r="H16" s="415"/>
      <c r="I16" s="415"/>
      <c r="J16" s="416"/>
      <c r="K16" s="261"/>
    </row>
    <row r="17" spans="1:11" ht="20.25" customHeight="1" x14ac:dyDescent="0.2">
      <c r="A17" s="145" t="s">
        <v>331</v>
      </c>
      <c r="B17" s="141"/>
      <c r="C17" s="142"/>
      <c r="D17" s="141"/>
      <c r="E17" s="141">
        <v>673000</v>
      </c>
      <c r="F17" s="143">
        <v>0</v>
      </c>
      <c r="G17" s="415"/>
      <c r="H17" s="415"/>
      <c r="I17" s="415"/>
      <c r="J17" s="416"/>
      <c r="K17" s="261"/>
    </row>
    <row r="18" spans="1:11" ht="20.25" customHeight="1" x14ac:dyDescent="0.2">
      <c r="A18" s="145" t="s">
        <v>332</v>
      </c>
      <c r="B18" s="141"/>
      <c r="C18" s="142"/>
      <c r="D18" s="141"/>
      <c r="E18" s="141">
        <v>600000</v>
      </c>
      <c r="F18" s="143"/>
      <c r="G18" s="415"/>
      <c r="H18" s="415"/>
      <c r="I18" s="415"/>
      <c r="J18" s="416"/>
      <c r="K18" s="261"/>
    </row>
    <row r="19" spans="1:11" ht="20.25" customHeight="1" x14ac:dyDescent="0.2">
      <c r="A19" s="145" t="s">
        <v>338</v>
      </c>
      <c r="B19" s="141"/>
      <c r="C19" s="142"/>
      <c r="D19" s="141"/>
      <c r="E19" s="141">
        <v>1800000</v>
      </c>
      <c r="F19" s="143"/>
      <c r="G19" s="415"/>
      <c r="H19" s="415"/>
      <c r="I19" s="415"/>
      <c r="J19" s="416"/>
      <c r="K19" s="261"/>
    </row>
    <row r="20" spans="1:11" ht="20.25" customHeight="1" x14ac:dyDescent="0.2">
      <c r="A20" s="145" t="s">
        <v>339</v>
      </c>
      <c r="B20" s="141"/>
      <c r="C20" s="142"/>
      <c r="D20" s="141"/>
      <c r="E20" s="141">
        <v>530000</v>
      </c>
      <c r="F20" s="143"/>
      <c r="G20" s="415"/>
      <c r="H20" s="415"/>
      <c r="I20" s="415"/>
      <c r="J20" s="416"/>
      <c r="K20" s="261"/>
    </row>
    <row r="21" spans="1:11" ht="20.25" customHeight="1" x14ac:dyDescent="0.2">
      <c r="A21" s="145"/>
      <c r="B21" s="141"/>
      <c r="C21" s="142"/>
      <c r="D21" s="141"/>
      <c r="E21" s="141"/>
      <c r="F21" s="143"/>
      <c r="G21" s="415"/>
      <c r="H21" s="415"/>
      <c r="I21" s="415"/>
      <c r="J21" s="416"/>
      <c r="K21" s="261"/>
    </row>
    <row r="22" spans="1:11" ht="20.25" customHeight="1" x14ac:dyDescent="0.2">
      <c r="A22" s="436" t="s">
        <v>381</v>
      </c>
      <c r="B22" s="141"/>
      <c r="C22" s="142"/>
      <c r="D22" s="141"/>
      <c r="E22" s="141"/>
      <c r="F22" s="143"/>
      <c r="G22" s="415"/>
      <c r="H22" s="415"/>
      <c r="I22" s="415"/>
      <c r="J22" s="416"/>
      <c r="K22" s="261"/>
    </row>
    <row r="23" spans="1:11" ht="20.25" customHeight="1" x14ac:dyDescent="0.2">
      <c r="A23" s="145" t="s">
        <v>382</v>
      </c>
      <c r="B23" s="141"/>
      <c r="C23" s="142"/>
      <c r="D23" s="141"/>
      <c r="E23" s="141"/>
      <c r="F23" s="435">
        <f>75000*1.27</f>
        <v>95250</v>
      </c>
      <c r="G23" s="415"/>
      <c r="H23" s="415"/>
      <c r="I23" s="415"/>
      <c r="J23" s="416"/>
      <c r="K23" s="261"/>
    </row>
    <row r="24" spans="1:11" ht="20.25" customHeight="1" x14ac:dyDescent="0.2">
      <c r="A24" s="145" t="s">
        <v>383</v>
      </c>
      <c r="B24" s="141"/>
      <c r="C24" s="142"/>
      <c r="D24" s="141"/>
      <c r="E24" s="141"/>
      <c r="F24" s="435">
        <f>250000*1.27</f>
        <v>317500</v>
      </c>
      <c r="G24" s="415"/>
      <c r="H24" s="415"/>
      <c r="I24" s="415"/>
      <c r="J24" s="416"/>
      <c r="K24" s="261"/>
    </row>
    <row r="25" spans="1:11" ht="20.25" customHeight="1" x14ac:dyDescent="0.2">
      <c r="A25" s="145" t="s">
        <v>384</v>
      </c>
      <c r="B25" s="141"/>
      <c r="C25" s="142"/>
      <c r="D25" s="141"/>
      <c r="E25" s="141"/>
      <c r="F25" s="435">
        <f>189077*1.27</f>
        <v>240127.79</v>
      </c>
      <c r="G25" s="415"/>
      <c r="H25" s="415"/>
      <c r="I25" s="415"/>
      <c r="J25" s="416"/>
      <c r="K25" s="261"/>
    </row>
    <row r="26" spans="1:11" ht="20.25" customHeight="1" x14ac:dyDescent="0.2">
      <c r="A26" s="145" t="s">
        <v>385</v>
      </c>
      <c r="B26" s="141"/>
      <c r="C26" s="142"/>
      <c r="D26" s="141"/>
      <c r="E26" s="141"/>
      <c r="F26" s="435">
        <f>82110*1.27</f>
        <v>104279.7</v>
      </c>
      <c r="G26" s="415"/>
      <c r="H26" s="415"/>
      <c r="I26" s="415"/>
      <c r="J26" s="416"/>
      <c r="K26" s="261"/>
    </row>
    <row r="27" spans="1:11" ht="20.25" customHeight="1" x14ac:dyDescent="0.2">
      <c r="A27" s="145" t="s">
        <v>386</v>
      </c>
      <c r="B27" s="141"/>
      <c r="C27" s="142"/>
      <c r="D27" s="141"/>
      <c r="E27" s="141"/>
      <c r="F27" s="435">
        <f>1234964*1.27</f>
        <v>1568404.28</v>
      </c>
      <c r="G27" s="415"/>
      <c r="H27" s="415"/>
      <c r="I27" s="415"/>
      <c r="J27" s="416"/>
      <c r="K27" s="261"/>
    </row>
    <row r="28" spans="1:11" ht="20.25" customHeight="1" x14ac:dyDescent="0.2">
      <c r="A28" s="145" t="s">
        <v>387</v>
      </c>
      <c r="B28" s="141"/>
      <c r="C28" s="142"/>
      <c r="D28" s="141"/>
      <c r="E28" s="141"/>
      <c r="F28" s="435">
        <f>300000*1.27</f>
        <v>381000</v>
      </c>
      <c r="G28" s="415"/>
      <c r="H28" s="415"/>
      <c r="I28" s="415"/>
      <c r="J28" s="416"/>
      <c r="K28" s="261"/>
    </row>
    <row r="29" spans="1:11" ht="20.25" customHeight="1" x14ac:dyDescent="0.2">
      <c r="A29" s="145" t="s">
        <v>388</v>
      </c>
      <c r="B29" s="141"/>
      <c r="C29" s="142"/>
      <c r="D29" s="141"/>
      <c r="E29" s="141"/>
      <c r="F29" s="435">
        <f>425000+114750</f>
        <v>539750</v>
      </c>
      <c r="G29" s="415"/>
      <c r="H29" s="415"/>
      <c r="I29" s="415"/>
      <c r="J29" s="416"/>
      <c r="K29" s="261"/>
    </row>
    <row r="30" spans="1:11" ht="20.25" customHeight="1" x14ac:dyDescent="0.2">
      <c r="A30" s="145" t="s">
        <v>389</v>
      </c>
      <c r="B30" s="141"/>
      <c r="C30" s="142"/>
      <c r="D30" s="141"/>
      <c r="E30" s="141"/>
      <c r="F30" s="435">
        <f>250000*1.27</f>
        <v>317500</v>
      </c>
      <c r="G30" s="415"/>
      <c r="H30" s="415"/>
      <c r="I30" s="415"/>
      <c r="J30" s="416"/>
      <c r="K30" s="261"/>
    </row>
    <row r="31" spans="1:11" ht="20.25" customHeight="1" x14ac:dyDescent="0.2">
      <c r="A31" s="145" t="s">
        <v>390</v>
      </c>
      <c r="B31" s="141"/>
      <c r="C31" s="142"/>
      <c r="D31" s="141"/>
      <c r="E31" s="141"/>
      <c r="F31" s="437">
        <v>63500</v>
      </c>
      <c r="G31" s="415"/>
      <c r="H31" s="415"/>
      <c r="I31" s="415"/>
      <c r="J31" s="416"/>
      <c r="K31" s="261"/>
    </row>
    <row r="32" spans="1:11" ht="20.25" customHeight="1" x14ac:dyDescent="0.2">
      <c r="A32" s="436" t="s">
        <v>391</v>
      </c>
      <c r="B32" s="141"/>
      <c r="C32" s="142"/>
      <c r="D32" s="141"/>
      <c r="E32" s="141"/>
      <c r="F32" s="143"/>
      <c r="G32" s="415"/>
      <c r="H32" s="415"/>
      <c r="I32" s="415"/>
      <c r="J32" s="416"/>
      <c r="K32" s="261"/>
    </row>
    <row r="33" spans="1:11" ht="20.25" customHeight="1" x14ac:dyDescent="0.2">
      <c r="A33" s="145" t="s">
        <v>392</v>
      </c>
      <c r="B33" s="141"/>
      <c r="C33" s="142"/>
      <c r="D33" s="141"/>
      <c r="E33" s="437"/>
      <c r="F33" s="437">
        <f>245669*1.27</f>
        <v>311999.63</v>
      </c>
      <c r="G33" s="415"/>
      <c r="H33" s="415"/>
      <c r="I33" s="415"/>
      <c r="J33" s="416"/>
      <c r="K33" s="261"/>
    </row>
    <row r="34" spans="1:11" ht="20.25" customHeight="1" x14ac:dyDescent="0.2">
      <c r="A34" s="145" t="s">
        <v>392</v>
      </c>
      <c r="B34" s="141"/>
      <c r="C34" s="142"/>
      <c r="D34" s="141"/>
      <c r="E34" s="437"/>
      <c r="F34" s="437">
        <f>245669*1.27</f>
        <v>311999.63</v>
      </c>
      <c r="G34" s="415"/>
      <c r="H34" s="415"/>
      <c r="I34" s="415"/>
      <c r="J34" s="416"/>
      <c r="K34" s="261"/>
    </row>
    <row r="35" spans="1:11" ht="20.25" customHeight="1" x14ac:dyDescent="0.2">
      <c r="A35" s="145" t="s">
        <v>393</v>
      </c>
      <c r="B35" s="141"/>
      <c r="C35" s="142"/>
      <c r="D35" s="141"/>
      <c r="E35" s="437"/>
      <c r="F35" s="437">
        <v>265600</v>
      </c>
      <c r="G35" s="415"/>
      <c r="H35" s="415"/>
      <c r="I35" s="415"/>
      <c r="J35" s="416"/>
      <c r="K35" s="261"/>
    </row>
    <row r="36" spans="1:11" ht="20.25" customHeight="1" x14ac:dyDescent="0.2">
      <c r="A36" s="145" t="s">
        <v>394</v>
      </c>
      <c r="B36" s="141"/>
      <c r="C36" s="142"/>
      <c r="D36" s="141"/>
      <c r="E36" s="437"/>
      <c r="F36" s="437">
        <f>280000*1.27</f>
        <v>355600</v>
      </c>
      <c r="G36" s="415"/>
      <c r="H36" s="415"/>
      <c r="I36" s="415"/>
      <c r="J36" s="416"/>
      <c r="K36" s="261"/>
    </row>
    <row r="37" spans="1:11" ht="20.25" customHeight="1" x14ac:dyDescent="0.2">
      <c r="A37" s="145" t="s">
        <v>394</v>
      </c>
      <c r="B37" s="141"/>
      <c r="C37" s="142"/>
      <c r="D37" s="141"/>
      <c r="E37" s="437"/>
      <c r="F37" s="437">
        <v>355600</v>
      </c>
      <c r="G37" s="415"/>
      <c r="H37" s="415"/>
      <c r="I37" s="415"/>
      <c r="J37" s="416"/>
      <c r="K37" s="261"/>
    </row>
    <row r="38" spans="1:11" ht="20.25" customHeight="1" x14ac:dyDescent="0.2">
      <c r="A38" s="145" t="s">
        <v>395</v>
      </c>
      <c r="B38" s="141"/>
      <c r="C38" s="142"/>
      <c r="D38" s="141"/>
      <c r="E38" s="437"/>
      <c r="F38" s="437">
        <f>77598*1.27</f>
        <v>98549.46</v>
      </c>
      <c r="G38" s="415"/>
      <c r="H38" s="415"/>
      <c r="I38" s="415"/>
      <c r="J38" s="416"/>
      <c r="K38" s="261"/>
    </row>
    <row r="39" spans="1:11" ht="20.25" customHeight="1" x14ac:dyDescent="0.2">
      <c r="A39" s="145"/>
      <c r="B39" s="141"/>
      <c r="C39" s="142"/>
      <c r="D39" s="141"/>
      <c r="E39" s="141"/>
      <c r="F39" s="143"/>
      <c r="G39" s="415"/>
      <c r="H39" s="415"/>
      <c r="I39" s="415"/>
      <c r="J39" s="416"/>
      <c r="K39" s="261"/>
    </row>
    <row r="40" spans="1:11" ht="20.25" customHeight="1" x14ac:dyDescent="0.2">
      <c r="A40" s="436" t="s">
        <v>396</v>
      </c>
      <c r="B40" s="141"/>
      <c r="C40" s="142"/>
      <c r="D40" s="141"/>
      <c r="E40" s="141"/>
      <c r="F40" s="143"/>
      <c r="G40" s="415"/>
      <c r="H40" s="415"/>
      <c r="I40" s="415"/>
      <c r="J40" s="416"/>
      <c r="K40" s="261"/>
    </row>
    <row r="41" spans="1:11" ht="20.25" customHeight="1" x14ac:dyDescent="0.2">
      <c r="A41" s="145" t="s">
        <v>397</v>
      </c>
      <c r="B41" s="141"/>
      <c r="C41" s="142"/>
      <c r="D41" s="141"/>
      <c r="E41" s="141"/>
      <c r="F41" s="437">
        <f>18268*1.27</f>
        <v>23200.36</v>
      </c>
      <c r="G41" s="415"/>
      <c r="H41" s="415"/>
      <c r="I41" s="415"/>
      <c r="J41" s="416"/>
      <c r="K41" s="261"/>
    </row>
    <row r="42" spans="1:11" ht="20.25" customHeight="1" x14ac:dyDescent="0.2">
      <c r="A42" s="145" t="s">
        <v>398</v>
      </c>
      <c r="B42" s="141"/>
      <c r="C42" s="142"/>
      <c r="D42" s="141"/>
      <c r="E42" s="141"/>
      <c r="F42" s="437">
        <f>1575560+425401</f>
        <v>2000961</v>
      </c>
      <c r="G42" s="415"/>
      <c r="H42" s="415"/>
      <c r="I42" s="415"/>
      <c r="J42" s="416"/>
      <c r="K42" s="261"/>
    </row>
    <row r="43" spans="1:11" ht="20.25" customHeight="1" x14ac:dyDescent="0.2">
      <c r="A43" s="145"/>
      <c r="B43" s="141"/>
      <c r="C43" s="142"/>
      <c r="D43" s="141"/>
      <c r="E43" s="141"/>
      <c r="F43" s="143"/>
      <c r="G43" s="415"/>
      <c r="H43" s="415"/>
      <c r="I43" s="415"/>
      <c r="J43" s="416"/>
      <c r="K43" s="261"/>
    </row>
    <row r="44" spans="1:11" ht="20.25" customHeight="1" x14ac:dyDescent="0.2">
      <c r="A44" s="436" t="s">
        <v>399</v>
      </c>
      <c r="B44" s="141"/>
      <c r="C44" s="142"/>
      <c r="D44" s="141"/>
      <c r="E44" s="141"/>
      <c r="F44" s="143"/>
      <c r="G44" s="415"/>
      <c r="H44" s="415"/>
      <c r="I44" s="415"/>
      <c r="J44" s="416"/>
      <c r="K44" s="261"/>
    </row>
    <row r="45" spans="1:11" ht="20.25" customHeight="1" x14ac:dyDescent="0.2">
      <c r="A45" s="145" t="s">
        <v>400</v>
      </c>
      <c r="B45" s="141"/>
      <c r="C45" s="142"/>
      <c r="D45" s="141"/>
      <c r="E45" s="141"/>
      <c r="F45" s="437">
        <f>70709+19091</f>
        <v>89800</v>
      </c>
      <c r="G45" s="415"/>
      <c r="H45" s="415"/>
      <c r="I45" s="415"/>
      <c r="J45" s="416"/>
      <c r="K45" s="261"/>
    </row>
    <row r="46" spans="1:11" ht="20.25" customHeight="1" x14ac:dyDescent="0.2">
      <c r="A46" s="145" t="s">
        <v>369</v>
      </c>
      <c r="B46" s="141"/>
      <c r="C46" s="142"/>
      <c r="D46" s="141"/>
      <c r="E46" s="141"/>
      <c r="F46" s="437">
        <f>5000+1350</f>
        <v>6350</v>
      </c>
      <c r="G46" s="415"/>
      <c r="H46" s="415"/>
      <c r="I46" s="415"/>
      <c r="J46" s="416"/>
      <c r="K46" s="261"/>
    </row>
    <row r="47" spans="1:11" ht="20.25" customHeight="1" x14ac:dyDescent="0.2">
      <c r="A47" s="145" t="s">
        <v>401</v>
      </c>
      <c r="B47" s="141"/>
      <c r="C47" s="142"/>
      <c r="D47" s="141"/>
      <c r="E47" s="141"/>
      <c r="F47" s="437">
        <v>13500</v>
      </c>
      <c r="G47" s="415"/>
      <c r="H47" s="415"/>
      <c r="I47" s="415"/>
      <c r="J47" s="416"/>
      <c r="K47" s="261"/>
    </row>
    <row r="48" spans="1:11" ht="20.25" customHeight="1" x14ac:dyDescent="0.2">
      <c r="A48" s="145" t="s">
        <v>402</v>
      </c>
      <c r="B48" s="141"/>
      <c r="C48" s="142"/>
      <c r="D48" s="141"/>
      <c r="E48" s="141"/>
      <c r="F48" s="437">
        <f>25299+6831</f>
        <v>32130</v>
      </c>
      <c r="G48" s="415"/>
      <c r="H48" s="415"/>
      <c r="I48" s="415"/>
      <c r="J48" s="416"/>
      <c r="K48" s="261"/>
    </row>
    <row r="49" spans="1:11" ht="20.25" customHeight="1" x14ac:dyDescent="0.2">
      <c r="A49" s="145" t="s">
        <v>403</v>
      </c>
      <c r="B49" s="141"/>
      <c r="C49" s="142"/>
      <c r="D49" s="141"/>
      <c r="E49" s="141"/>
      <c r="F49" s="437">
        <f>4843+1307</f>
        <v>6150</v>
      </c>
      <c r="G49" s="415"/>
      <c r="H49" s="415"/>
      <c r="I49" s="415"/>
      <c r="J49" s="416"/>
      <c r="K49" s="261"/>
    </row>
    <row r="50" spans="1:11" ht="20.25" customHeight="1" x14ac:dyDescent="0.2">
      <c r="A50" s="145" t="s">
        <v>404</v>
      </c>
      <c r="B50" s="141"/>
      <c r="C50" s="142"/>
      <c r="D50" s="141"/>
      <c r="E50" s="141"/>
      <c r="F50" s="437">
        <f>1402+378</f>
        <v>1780</v>
      </c>
      <c r="G50" s="415"/>
      <c r="H50" s="415"/>
      <c r="I50" s="415"/>
      <c r="J50" s="416"/>
      <c r="K50" s="261"/>
    </row>
    <row r="51" spans="1:11" ht="20.25" customHeight="1" x14ac:dyDescent="0.2">
      <c r="A51" s="145" t="s">
        <v>405</v>
      </c>
      <c r="B51" s="141"/>
      <c r="C51" s="142"/>
      <c r="D51" s="141"/>
      <c r="E51" s="141"/>
      <c r="F51" s="437">
        <f>1646+444</f>
        <v>2090</v>
      </c>
      <c r="G51" s="415"/>
      <c r="H51" s="415"/>
      <c r="I51" s="415"/>
      <c r="J51" s="416"/>
      <c r="K51" s="261"/>
    </row>
    <row r="52" spans="1:11" ht="20.25" customHeight="1" x14ac:dyDescent="0.2">
      <c r="A52" s="145" t="s">
        <v>406</v>
      </c>
      <c r="B52" s="141"/>
      <c r="C52" s="142"/>
      <c r="D52" s="141"/>
      <c r="E52" s="141"/>
      <c r="F52" s="437">
        <f>2488+672</f>
        <v>3160</v>
      </c>
      <c r="G52" s="415"/>
      <c r="H52" s="415"/>
      <c r="I52" s="415"/>
      <c r="J52" s="416"/>
      <c r="K52" s="261"/>
    </row>
    <row r="53" spans="1:11" ht="20.25" customHeight="1" x14ac:dyDescent="0.2">
      <c r="A53" s="145" t="s">
        <v>407</v>
      </c>
      <c r="B53" s="141"/>
      <c r="C53" s="142"/>
      <c r="D53" s="141"/>
      <c r="E53" s="141"/>
      <c r="F53" s="437">
        <f>11890+3210</f>
        <v>15100</v>
      </c>
      <c r="G53" s="415"/>
      <c r="H53" s="415"/>
      <c r="I53" s="415"/>
      <c r="J53" s="416"/>
      <c r="K53" s="261"/>
    </row>
    <row r="54" spans="1:11" ht="20.25" customHeight="1" x14ac:dyDescent="0.2">
      <c r="A54" s="145" t="s">
        <v>408</v>
      </c>
      <c r="B54" s="141"/>
      <c r="C54" s="142"/>
      <c r="D54" s="141"/>
      <c r="E54" s="141"/>
      <c r="F54" s="437">
        <f>18799+5076</f>
        <v>23875</v>
      </c>
      <c r="G54" s="415"/>
      <c r="H54" s="415"/>
      <c r="I54" s="415"/>
      <c r="J54" s="416"/>
      <c r="K54" s="261"/>
    </row>
    <row r="55" spans="1:11" ht="20.25" customHeight="1" x14ac:dyDescent="0.2">
      <c r="A55" s="145" t="s">
        <v>409</v>
      </c>
      <c r="B55" s="141"/>
      <c r="C55" s="142"/>
      <c r="D55" s="141"/>
      <c r="E55" s="141"/>
      <c r="F55" s="437">
        <f>29528+7972</f>
        <v>37500</v>
      </c>
      <c r="G55" s="415"/>
      <c r="H55" s="415"/>
      <c r="I55" s="415"/>
      <c r="J55" s="416"/>
      <c r="K55" s="261"/>
    </row>
    <row r="56" spans="1:11" ht="20.25" customHeight="1" x14ac:dyDescent="0.2">
      <c r="A56" s="145" t="s">
        <v>410</v>
      </c>
      <c r="B56" s="141"/>
      <c r="C56" s="142"/>
      <c r="D56" s="141"/>
      <c r="E56" s="141"/>
      <c r="F56" s="437">
        <f>24394+6586</f>
        <v>30980</v>
      </c>
      <c r="G56" s="415"/>
      <c r="H56" s="415"/>
      <c r="I56" s="415"/>
      <c r="J56" s="416"/>
      <c r="K56" s="261"/>
    </row>
    <row r="57" spans="1:11" ht="20.25" customHeight="1" x14ac:dyDescent="0.2">
      <c r="A57" s="145" t="s">
        <v>411</v>
      </c>
      <c r="B57" s="141"/>
      <c r="C57" s="142"/>
      <c r="D57" s="141"/>
      <c r="E57" s="141"/>
      <c r="F57" s="437">
        <f>78583+21217</f>
        <v>99800</v>
      </c>
      <c r="G57" s="415"/>
      <c r="H57" s="415"/>
      <c r="I57" s="415"/>
      <c r="J57" s="416"/>
      <c r="K57" s="261"/>
    </row>
    <row r="58" spans="1:11" ht="20.25" customHeight="1" x14ac:dyDescent="0.2">
      <c r="A58" s="145" t="s">
        <v>412</v>
      </c>
      <c r="B58" s="141"/>
      <c r="C58" s="142"/>
      <c r="D58" s="141"/>
      <c r="E58" s="141"/>
      <c r="F58" s="437">
        <f>23465+6335</f>
        <v>29800</v>
      </c>
      <c r="G58" s="415"/>
      <c r="H58" s="415"/>
      <c r="I58" s="415"/>
      <c r="J58" s="416"/>
      <c r="K58" s="261"/>
    </row>
    <row r="59" spans="1:11" ht="20.25" customHeight="1" x14ac:dyDescent="0.2">
      <c r="A59" s="145" t="s">
        <v>413</v>
      </c>
      <c r="B59" s="141"/>
      <c r="C59" s="142"/>
      <c r="D59" s="141"/>
      <c r="E59" s="141"/>
      <c r="F59" s="437">
        <f>39291+10609</f>
        <v>49900</v>
      </c>
      <c r="G59" s="415"/>
      <c r="H59" s="415"/>
      <c r="I59" s="415"/>
      <c r="J59" s="416"/>
      <c r="K59" s="261"/>
    </row>
    <row r="60" spans="1:11" ht="20.25" customHeight="1" x14ac:dyDescent="0.2">
      <c r="A60" s="145" t="s">
        <v>414</v>
      </c>
      <c r="B60" s="141"/>
      <c r="C60" s="142"/>
      <c r="D60" s="141"/>
      <c r="E60" s="141"/>
      <c r="F60" s="437">
        <f>71800+19386</f>
        <v>91186</v>
      </c>
      <c r="G60" s="415"/>
      <c r="H60" s="415"/>
      <c r="I60" s="415"/>
      <c r="J60" s="416"/>
      <c r="K60" s="261"/>
    </row>
    <row r="61" spans="1:11" ht="20.25" customHeight="1" x14ac:dyDescent="0.2">
      <c r="A61" s="145" t="s">
        <v>415</v>
      </c>
      <c r="B61" s="141"/>
      <c r="C61" s="142"/>
      <c r="D61" s="141"/>
      <c r="E61" s="141"/>
      <c r="F61" s="437">
        <f>25208+6806</f>
        <v>32014</v>
      </c>
      <c r="G61" s="415"/>
      <c r="H61" s="415"/>
      <c r="I61" s="415"/>
      <c r="J61" s="416"/>
      <c r="K61" s="261"/>
    </row>
    <row r="62" spans="1:11" ht="20.25" customHeight="1" x14ac:dyDescent="0.2">
      <c r="A62" s="145" t="s">
        <v>416</v>
      </c>
      <c r="B62" s="141"/>
      <c r="C62" s="142"/>
      <c r="D62" s="141"/>
      <c r="E62" s="141"/>
      <c r="F62" s="437">
        <f>86575+23375</f>
        <v>109950</v>
      </c>
      <c r="G62" s="415"/>
      <c r="H62" s="415"/>
      <c r="I62" s="415"/>
      <c r="J62" s="416"/>
      <c r="K62" s="261"/>
    </row>
    <row r="63" spans="1:11" ht="20.25" customHeight="1" x14ac:dyDescent="0.2">
      <c r="A63" s="145" t="s">
        <v>417</v>
      </c>
      <c r="B63" s="141"/>
      <c r="C63" s="142"/>
      <c r="D63" s="141"/>
      <c r="E63" s="141"/>
      <c r="F63" s="437">
        <f>5906+1594</f>
        <v>7500</v>
      </c>
      <c r="G63" s="415"/>
      <c r="H63" s="415"/>
      <c r="I63" s="415"/>
      <c r="J63" s="416"/>
      <c r="K63" s="261"/>
    </row>
    <row r="64" spans="1:11" ht="20.25" customHeight="1" x14ac:dyDescent="0.2">
      <c r="A64" s="145" t="s">
        <v>418</v>
      </c>
      <c r="B64" s="141"/>
      <c r="C64" s="142"/>
      <c r="D64" s="141"/>
      <c r="E64" s="141"/>
      <c r="F64" s="437">
        <f>1320+4889</f>
        <v>6209</v>
      </c>
      <c r="G64" s="415"/>
      <c r="H64" s="415"/>
      <c r="I64" s="415"/>
      <c r="J64" s="416"/>
      <c r="K64" s="261"/>
    </row>
    <row r="65" spans="1:11" ht="20.25" customHeight="1" x14ac:dyDescent="0.2">
      <c r="A65" s="145" t="s">
        <v>419</v>
      </c>
      <c r="B65" s="141"/>
      <c r="C65" s="142"/>
      <c r="D65" s="141"/>
      <c r="E65" s="141"/>
      <c r="F65" s="437">
        <f>147800+39906</f>
        <v>187706</v>
      </c>
      <c r="G65" s="415"/>
      <c r="H65" s="415"/>
      <c r="I65" s="415"/>
      <c r="J65" s="416"/>
      <c r="K65" s="261"/>
    </row>
    <row r="66" spans="1:11" ht="20.25" customHeight="1" x14ac:dyDescent="0.2">
      <c r="A66" s="145" t="s">
        <v>420</v>
      </c>
      <c r="B66" s="141"/>
      <c r="C66" s="142"/>
      <c r="D66" s="141"/>
      <c r="E66" s="141"/>
      <c r="F66" s="437">
        <f>27600+7452</f>
        <v>35052</v>
      </c>
      <c r="G66" s="415"/>
      <c r="H66" s="415"/>
      <c r="I66" s="415"/>
      <c r="J66" s="416"/>
      <c r="K66" s="261"/>
    </row>
    <row r="67" spans="1:11" ht="20.25" customHeight="1" x14ac:dyDescent="0.2">
      <c r="A67" s="145" t="s">
        <v>421</v>
      </c>
      <c r="B67" s="141"/>
      <c r="C67" s="142"/>
      <c r="D67" s="141"/>
      <c r="E67" s="141"/>
      <c r="F67" s="437">
        <f>31988+8637</f>
        <v>40625</v>
      </c>
      <c r="G67" s="415"/>
      <c r="H67" s="415"/>
      <c r="I67" s="415"/>
      <c r="J67" s="416"/>
      <c r="K67" s="261"/>
    </row>
    <row r="68" spans="1:11" ht="20.25" customHeight="1" x14ac:dyDescent="0.2">
      <c r="A68" s="145" t="s">
        <v>422</v>
      </c>
      <c r="B68" s="141"/>
      <c r="C68" s="142"/>
      <c r="D68" s="141"/>
      <c r="E68" s="141"/>
      <c r="F68" s="437">
        <f>16378+4422</f>
        <v>20800</v>
      </c>
      <c r="G68" s="415"/>
      <c r="H68" s="415"/>
      <c r="I68" s="415"/>
      <c r="J68" s="416"/>
      <c r="K68" s="261"/>
    </row>
    <row r="69" spans="1:11" ht="20.25" customHeight="1" x14ac:dyDescent="0.2">
      <c r="A69" s="145" t="s">
        <v>423</v>
      </c>
      <c r="B69" s="141"/>
      <c r="C69" s="142"/>
      <c r="D69" s="141"/>
      <c r="E69" s="141"/>
      <c r="F69" s="437">
        <f>23465+6335</f>
        <v>29800</v>
      </c>
      <c r="G69" s="415"/>
      <c r="H69" s="415"/>
      <c r="I69" s="415"/>
      <c r="J69" s="416"/>
      <c r="K69" s="261"/>
    </row>
    <row r="70" spans="1:11" ht="20.25" customHeight="1" x14ac:dyDescent="0.2">
      <c r="A70" s="145" t="s">
        <v>424</v>
      </c>
      <c r="B70" s="141"/>
      <c r="C70" s="142"/>
      <c r="D70" s="141"/>
      <c r="E70" s="141"/>
      <c r="F70" s="437">
        <f>154173+41627</f>
        <v>195800</v>
      </c>
      <c r="G70" s="415"/>
      <c r="H70" s="415"/>
      <c r="I70" s="415"/>
      <c r="J70" s="416"/>
      <c r="K70" s="261"/>
    </row>
    <row r="71" spans="1:11" ht="20.25" customHeight="1" x14ac:dyDescent="0.2">
      <c r="A71" s="145" t="s">
        <v>425</v>
      </c>
      <c r="B71" s="141"/>
      <c r="C71" s="142"/>
      <c r="D71" s="141"/>
      <c r="E71" s="141"/>
      <c r="F71" s="437">
        <f>21890+5910</f>
        <v>27800</v>
      </c>
      <c r="G71" s="415"/>
      <c r="H71" s="415"/>
      <c r="I71" s="415"/>
      <c r="J71" s="416"/>
      <c r="K71" s="261"/>
    </row>
    <row r="72" spans="1:11" ht="20.25" customHeight="1" x14ac:dyDescent="0.2">
      <c r="A72" s="145" t="s">
        <v>426</v>
      </c>
      <c r="B72" s="141"/>
      <c r="C72" s="142"/>
      <c r="D72" s="141"/>
      <c r="E72" s="141"/>
      <c r="F72" s="437">
        <f>13835+3735</f>
        <v>17570</v>
      </c>
      <c r="G72" s="415"/>
      <c r="H72" s="415"/>
      <c r="I72" s="415"/>
      <c r="J72" s="416"/>
      <c r="K72" s="261"/>
    </row>
    <row r="73" spans="1:11" ht="20.25" customHeight="1" x14ac:dyDescent="0.2">
      <c r="A73" s="145" t="s">
        <v>427</v>
      </c>
      <c r="B73" s="141"/>
      <c r="C73" s="142"/>
      <c r="D73" s="141"/>
      <c r="E73" s="141"/>
      <c r="F73" s="437">
        <f>115000+31050</f>
        <v>146050</v>
      </c>
      <c r="G73" s="415"/>
      <c r="H73" s="415"/>
      <c r="I73" s="415"/>
      <c r="J73" s="416"/>
      <c r="K73" s="261"/>
    </row>
    <row r="74" spans="1:11" ht="20.25" customHeight="1" x14ac:dyDescent="0.2">
      <c r="A74" s="145" t="s">
        <v>428</v>
      </c>
      <c r="B74" s="141"/>
      <c r="C74" s="142"/>
      <c r="D74" s="141"/>
      <c r="E74" s="141"/>
      <c r="F74" s="437">
        <f>339+92</f>
        <v>431</v>
      </c>
      <c r="G74" s="415"/>
      <c r="H74" s="415"/>
      <c r="I74" s="415"/>
      <c r="J74" s="416"/>
      <c r="K74" s="261"/>
    </row>
    <row r="75" spans="1:11" ht="20.25" customHeight="1" x14ac:dyDescent="0.2">
      <c r="A75" s="145" t="s">
        <v>429</v>
      </c>
      <c r="B75" s="141"/>
      <c r="C75" s="142"/>
      <c r="D75" s="141"/>
      <c r="E75" s="141"/>
      <c r="F75" s="437">
        <f>512+138</f>
        <v>650</v>
      </c>
      <c r="G75" s="415"/>
      <c r="H75" s="415"/>
      <c r="I75" s="415"/>
      <c r="J75" s="416"/>
      <c r="K75" s="261"/>
    </row>
    <row r="76" spans="1:11" ht="20.25" customHeight="1" x14ac:dyDescent="0.2">
      <c r="A76" s="145" t="s">
        <v>430</v>
      </c>
      <c r="B76" s="141"/>
      <c r="C76" s="142"/>
      <c r="D76" s="141"/>
      <c r="E76" s="141"/>
      <c r="F76" s="437">
        <f>851+230</f>
        <v>1081</v>
      </c>
      <c r="G76" s="415"/>
      <c r="H76" s="415"/>
      <c r="I76" s="415"/>
      <c r="J76" s="416"/>
      <c r="K76" s="261"/>
    </row>
    <row r="77" spans="1:11" ht="20.25" customHeight="1" x14ac:dyDescent="0.2">
      <c r="A77" s="145" t="s">
        <v>431</v>
      </c>
      <c r="B77" s="141"/>
      <c r="C77" s="142"/>
      <c r="D77" s="141"/>
      <c r="E77" s="141"/>
      <c r="F77" s="437">
        <f>61025+16477</f>
        <v>77502</v>
      </c>
      <c r="G77" s="415"/>
      <c r="H77" s="415"/>
      <c r="I77" s="415"/>
      <c r="J77" s="416"/>
      <c r="K77" s="261"/>
    </row>
    <row r="78" spans="1:11" ht="20.25" customHeight="1" x14ac:dyDescent="0.2">
      <c r="A78" s="145" t="s">
        <v>432</v>
      </c>
      <c r="B78" s="141"/>
      <c r="C78" s="142"/>
      <c r="D78" s="141"/>
      <c r="E78" s="141"/>
      <c r="F78" s="437">
        <f>6298+1700</f>
        <v>7998</v>
      </c>
      <c r="G78" s="415"/>
      <c r="H78" s="415"/>
      <c r="I78" s="415"/>
      <c r="J78" s="416"/>
      <c r="K78" s="261"/>
    </row>
    <row r="79" spans="1:11" ht="20.25" customHeight="1" x14ac:dyDescent="0.2">
      <c r="A79" s="145" t="s">
        <v>433</v>
      </c>
      <c r="B79" s="141"/>
      <c r="C79" s="142"/>
      <c r="D79" s="141"/>
      <c r="E79" s="141"/>
      <c r="F79" s="437">
        <f>56692+15307</f>
        <v>71999</v>
      </c>
      <c r="G79" s="415"/>
      <c r="H79" s="415"/>
      <c r="I79" s="415"/>
      <c r="J79" s="416"/>
      <c r="K79" s="261"/>
    </row>
    <row r="80" spans="1:11" ht="20.25" customHeight="1" x14ac:dyDescent="0.2">
      <c r="A80" s="145" t="s">
        <v>434</v>
      </c>
      <c r="B80" s="141"/>
      <c r="C80" s="142"/>
      <c r="D80" s="141"/>
      <c r="E80" s="141"/>
      <c r="F80" s="437">
        <f>15748+4252</f>
        <v>20000</v>
      </c>
      <c r="G80" s="415"/>
      <c r="H80" s="415"/>
      <c r="I80" s="415"/>
      <c r="J80" s="416"/>
      <c r="K80" s="261"/>
    </row>
    <row r="81" spans="1:11" ht="20.25" customHeight="1" x14ac:dyDescent="0.2">
      <c r="A81" s="145" t="s">
        <v>435</v>
      </c>
      <c r="B81" s="141"/>
      <c r="C81" s="142"/>
      <c r="D81" s="141"/>
      <c r="E81" s="141"/>
      <c r="F81" s="437">
        <f>47220+12750</f>
        <v>59970</v>
      </c>
      <c r="G81" s="415"/>
      <c r="H81" s="415"/>
      <c r="I81" s="415"/>
      <c r="J81" s="416"/>
      <c r="K81" s="261"/>
    </row>
    <row r="82" spans="1:11" ht="20.25" customHeight="1" x14ac:dyDescent="0.2">
      <c r="A82" s="145" t="s">
        <v>436</v>
      </c>
      <c r="B82" s="141"/>
      <c r="C82" s="142"/>
      <c r="D82" s="141"/>
      <c r="E82" s="141"/>
      <c r="F82" s="437">
        <f>2480+670</f>
        <v>3150</v>
      </c>
      <c r="G82" s="415"/>
      <c r="H82" s="415"/>
      <c r="I82" s="415"/>
      <c r="J82" s="416"/>
      <c r="K82" s="261"/>
    </row>
    <row r="83" spans="1:11" ht="20.25" customHeight="1" x14ac:dyDescent="0.2">
      <c r="A83" s="145" t="s">
        <v>437</v>
      </c>
      <c r="B83" s="141"/>
      <c r="C83" s="142"/>
      <c r="D83" s="141"/>
      <c r="E83" s="141"/>
      <c r="F83" s="437">
        <f>82677+22323</f>
        <v>105000</v>
      </c>
      <c r="G83" s="415"/>
      <c r="H83" s="415"/>
      <c r="I83" s="415"/>
      <c r="J83" s="416"/>
      <c r="K83" s="261"/>
    </row>
    <row r="84" spans="1:11" ht="20.25" customHeight="1" x14ac:dyDescent="0.2">
      <c r="A84" s="145" t="s">
        <v>438</v>
      </c>
      <c r="B84" s="141"/>
      <c r="C84" s="142"/>
      <c r="D84" s="141"/>
      <c r="E84" s="141"/>
      <c r="F84" s="437">
        <f>7874+2126</f>
        <v>10000</v>
      </c>
      <c r="G84" s="415"/>
      <c r="H84" s="415"/>
      <c r="I84" s="415"/>
      <c r="J84" s="416"/>
      <c r="K84" s="261"/>
    </row>
    <row r="85" spans="1:11" ht="20.25" customHeight="1" x14ac:dyDescent="0.2">
      <c r="A85" s="145" t="s">
        <v>439</v>
      </c>
      <c r="B85" s="141"/>
      <c r="C85" s="142"/>
      <c r="D85" s="141"/>
      <c r="E85" s="141"/>
      <c r="F85" s="437">
        <f>788+212</f>
        <v>1000</v>
      </c>
      <c r="G85" s="415"/>
      <c r="H85" s="415"/>
      <c r="I85" s="415"/>
      <c r="J85" s="416"/>
      <c r="K85" s="261"/>
    </row>
    <row r="86" spans="1:11" ht="20.25" customHeight="1" x14ac:dyDescent="0.2">
      <c r="A86" s="145" t="s">
        <v>440</v>
      </c>
      <c r="B86" s="141"/>
      <c r="C86" s="142"/>
      <c r="D86" s="141"/>
      <c r="E86" s="141"/>
      <c r="F86" s="437">
        <f>4720+1275</f>
        <v>5995</v>
      </c>
      <c r="G86" s="415"/>
      <c r="H86" s="415"/>
      <c r="I86" s="415"/>
      <c r="J86" s="416"/>
      <c r="K86" s="261"/>
    </row>
    <row r="87" spans="1:11" ht="20.25" customHeight="1" x14ac:dyDescent="0.2">
      <c r="A87" s="145" t="s">
        <v>441</v>
      </c>
      <c r="B87" s="141"/>
      <c r="C87" s="142"/>
      <c r="D87" s="141"/>
      <c r="E87" s="141"/>
      <c r="F87" s="437">
        <f>3346+904</f>
        <v>4250</v>
      </c>
      <c r="G87" s="415"/>
      <c r="H87" s="415"/>
      <c r="I87" s="415"/>
      <c r="J87" s="416"/>
      <c r="K87" s="261"/>
    </row>
    <row r="88" spans="1:11" ht="20.25" customHeight="1" x14ac:dyDescent="0.2">
      <c r="A88" s="145" t="s">
        <v>442</v>
      </c>
      <c r="B88" s="141"/>
      <c r="C88" s="142"/>
      <c r="D88" s="141"/>
      <c r="E88" s="141"/>
      <c r="F88" s="437">
        <f>4535+1225</f>
        <v>5760</v>
      </c>
      <c r="G88" s="415"/>
      <c r="H88" s="415"/>
      <c r="I88" s="415"/>
      <c r="J88" s="416"/>
      <c r="K88" s="261"/>
    </row>
    <row r="89" spans="1:11" ht="20.25" customHeight="1" x14ac:dyDescent="0.2">
      <c r="A89" s="145" t="s">
        <v>439</v>
      </c>
      <c r="B89" s="141"/>
      <c r="C89" s="142"/>
      <c r="D89" s="141"/>
      <c r="E89" s="141"/>
      <c r="F89" s="437">
        <f>1488+402</f>
        <v>1890</v>
      </c>
      <c r="G89" s="415"/>
      <c r="H89" s="415"/>
      <c r="I89" s="415"/>
      <c r="J89" s="416"/>
      <c r="K89" s="261"/>
    </row>
    <row r="90" spans="1:11" ht="20.25" customHeight="1" x14ac:dyDescent="0.2">
      <c r="A90" s="145" t="s">
        <v>443</v>
      </c>
      <c r="B90" s="141"/>
      <c r="C90" s="142"/>
      <c r="D90" s="141"/>
      <c r="E90" s="141"/>
      <c r="F90" s="437">
        <f>57874+15626</f>
        <v>73500</v>
      </c>
      <c r="G90" s="415"/>
      <c r="H90" s="415"/>
      <c r="I90" s="415"/>
      <c r="J90" s="416"/>
      <c r="K90" s="261"/>
    </row>
    <row r="91" spans="1:11" ht="20.25" customHeight="1" x14ac:dyDescent="0.2">
      <c r="A91" s="145" t="s">
        <v>444</v>
      </c>
      <c r="B91" s="141"/>
      <c r="C91" s="142"/>
      <c r="D91" s="141"/>
      <c r="E91" s="141"/>
      <c r="F91" s="437">
        <f>19800+5346</f>
        <v>25146</v>
      </c>
      <c r="G91" s="415"/>
      <c r="H91" s="415"/>
      <c r="I91" s="415"/>
      <c r="J91" s="416"/>
      <c r="K91" s="261"/>
    </row>
    <row r="92" spans="1:11" ht="20.25" customHeight="1" x14ac:dyDescent="0.2">
      <c r="A92" s="145" t="s">
        <v>445</v>
      </c>
      <c r="B92" s="141"/>
      <c r="C92" s="142"/>
      <c r="D92" s="141"/>
      <c r="E92" s="141"/>
      <c r="F92" s="437">
        <f>2945+795</f>
        <v>3740</v>
      </c>
      <c r="G92" s="415"/>
      <c r="H92" s="415"/>
      <c r="I92" s="415"/>
      <c r="J92" s="416"/>
      <c r="K92" s="261"/>
    </row>
    <row r="93" spans="1:11" ht="20.25" customHeight="1" x14ac:dyDescent="0.2">
      <c r="A93" s="145" t="s">
        <v>446</v>
      </c>
      <c r="B93" s="141"/>
      <c r="C93" s="142"/>
      <c r="D93" s="141"/>
      <c r="E93" s="141"/>
      <c r="F93" s="437">
        <f>20082+5422</f>
        <v>25504</v>
      </c>
      <c r="G93" s="415"/>
      <c r="H93" s="415"/>
      <c r="I93" s="415"/>
      <c r="J93" s="416"/>
      <c r="K93" s="261"/>
    </row>
    <row r="94" spans="1:11" ht="20.25" customHeight="1" x14ac:dyDescent="0.2">
      <c r="A94" s="145" t="s">
        <v>445</v>
      </c>
      <c r="B94" s="141"/>
      <c r="C94" s="142"/>
      <c r="D94" s="141"/>
      <c r="E94" s="141"/>
      <c r="F94" s="437">
        <f>2945+795</f>
        <v>3740</v>
      </c>
      <c r="G94" s="415"/>
      <c r="H94" s="415"/>
      <c r="I94" s="415"/>
      <c r="J94" s="416"/>
      <c r="K94" s="261"/>
    </row>
    <row r="95" spans="1:11" ht="20.25" customHeight="1" x14ac:dyDescent="0.2">
      <c r="A95" s="145" t="s">
        <v>447</v>
      </c>
      <c r="B95" s="141"/>
      <c r="C95" s="142"/>
      <c r="D95" s="141"/>
      <c r="E95" s="141"/>
      <c r="F95" s="437">
        <f>2087+563</f>
        <v>2650</v>
      </c>
      <c r="G95" s="415"/>
      <c r="H95" s="415"/>
      <c r="I95" s="415"/>
      <c r="J95" s="416"/>
      <c r="K95" s="261"/>
    </row>
    <row r="96" spans="1:11" ht="20.25" customHeight="1" x14ac:dyDescent="0.2">
      <c r="A96" s="145" t="s">
        <v>448</v>
      </c>
      <c r="B96" s="141"/>
      <c r="C96" s="142"/>
      <c r="D96" s="141"/>
      <c r="E96" s="141"/>
      <c r="F96" s="437">
        <f>149342+40322</f>
        <v>189664</v>
      </c>
      <c r="G96" s="415"/>
      <c r="H96" s="415"/>
      <c r="I96" s="415"/>
      <c r="J96" s="416"/>
      <c r="K96" s="261"/>
    </row>
    <row r="97" spans="1:11" ht="20.25" customHeight="1" x14ac:dyDescent="0.2">
      <c r="A97" s="145" t="s">
        <v>449</v>
      </c>
      <c r="B97" s="141"/>
      <c r="C97" s="142"/>
      <c r="D97" s="141"/>
      <c r="E97" s="141"/>
      <c r="F97" s="437">
        <f>238000+64260</f>
        <v>302260</v>
      </c>
      <c r="G97" s="415"/>
      <c r="H97" s="415"/>
      <c r="I97" s="415"/>
      <c r="J97" s="416"/>
      <c r="K97" s="261"/>
    </row>
    <row r="98" spans="1:11" ht="20.25" customHeight="1" x14ac:dyDescent="0.2">
      <c r="A98" s="145" t="s">
        <v>450</v>
      </c>
      <c r="B98" s="141"/>
      <c r="C98" s="142"/>
      <c r="D98" s="141"/>
      <c r="E98" s="141"/>
      <c r="F98" s="437">
        <f>24990+6747</f>
        <v>31737</v>
      </c>
      <c r="G98" s="415"/>
      <c r="H98" s="415"/>
      <c r="I98" s="415"/>
      <c r="J98" s="416"/>
      <c r="K98" s="261"/>
    </row>
    <row r="99" spans="1:11" ht="20.25" customHeight="1" x14ac:dyDescent="0.2">
      <c r="A99" s="145" t="s">
        <v>451</v>
      </c>
      <c r="B99" s="141"/>
      <c r="C99" s="142"/>
      <c r="D99" s="141"/>
      <c r="E99" s="141"/>
      <c r="F99" s="437">
        <f>402502+108676</f>
        <v>511178</v>
      </c>
      <c r="G99" s="415"/>
      <c r="H99" s="415"/>
      <c r="I99" s="415"/>
      <c r="J99" s="416"/>
      <c r="K99" s="261"/>
    </row>
    <row r="100" spans="1:11" ht="20.25" customHeight="1" x14ac:dyDescent="0.2">
      <c r="A100" s="145" t="s">
        <v>452</v>
      </c>
      <c r="B100" s="141"/>
      <c r="C100" s="142"/>
      <c r="D100" s="141"/>
      <c r="E100" s="141"/>
      <c r="F100" s="437">
        <f>125920+33998</f>
        <v>159918</v>
      </c>
      <c r="G100" s="415"/>
      <c r="H100" s="415"/>
      <c r="I100" s="415"/>
      <c r="J100" s="416"/>
      <c r="K100" s="261"/>
    </row>
    <row r="101" spans="1:11" ht="20.25" customHeight="1" x14ac:dyDescent="0.2">
      <c r="A101" s="145"/>
      <c r="B101" s="141"/>
      <c r="C101" s="142"/>
      <c r="D101" s="141"/>
      <c r="E101" s="141"/>
      <c r="F101" s="143"/>
      <c r="K101" s="261"/>
    </row>
    <row r="102" spans="1:11" ht="20.25" customHeight="1" x14ac:dyDescent="0.2">
      <c r="A102" s="140" t="s">
        <v>247</v>
      </c>
      <c r="B102" s="141"/>
      <c r="C102" s="142"/>
      <c r="D102" s="141"/>
      <c r="E102" s="141"/>
      <c r="F102" s="143"/>
      <c r="K102" s="261"/>
    </row>
    <row r="103" spans="1:11" ht="20.25" customHeight="1" x14ac:dyDescent="0.2">
      <c r="A103" s="395" t="s">
        <v>140</v>
      </c>
      <c r="B103" s="141"/>
      <c r="C103" s="142"/>
      <c r="D103" s="141"/>
      <c r="E103" s="141"/>
      <c r="F103" s="418">
        <f>SUM(F104:F106)</f>
        <v>222040</v>
      </c>
      <c r="K103" s="261"/>
    </row>
    <row r="104" spans="1:11" ht="20.25" customHeight="1" x14ac:dyDescent="0.2">
      <c r="A104" s="145" t="s">
        <v>349</v>
      </c>
      <c r="B104" s="141"/>
      <c r="C104" s="142"/>
      <c r="D104" s="141"/>
      <c r="E104" s="141"/>
      <c r="F104" s="143">
        <v>167640</v>
      </c>
      <c r="K104" s="261"/>
    </row>
    <row r="105" spans="1:11" ht="20.25" customHeight="1" x14ac:dyDescent="0.2">
      <c r="A105" s="145" t="s">
        <v>350</v>
      </c>
      <c r="B105" s="141"/>
      <c r="C105" s="142"/>
      <c r="D105" s="141"/>
      <c r="E105" s="141"/>
      <c r="F105" s="143">
        <v>41110</v>
      </c>
      <c r="K105" s="261"/>
    </row>
    <row r="106" spans="1:11" ht="20.25" customHeight="1" x14ac:dyDescent="0.2">
      <c r="A106" s="145" t="s">
        <v>351</v>
      </c>
      <c r="B106" s="141"/>
      <c r="C106" s="142"/>
      <c r="D106" s="141"/>
      <c r="E106" s="141"/>
      <c r="F106" s="143">
        <v>13290</v>
      </c>
      <c r="K106" s="261"/>
    </row>
    <row r="107" spans="1:11" ht="20.25" customHeight="1" x14ac:dyDescent="0.2">
      <c r="A107" s="145"/>
      <c r="B107" s="141"/>
      <c r="C107" s="142"/>
      <c r="D107" s="141"/>
      <c r="E107" s="141"/>
      <c r="F107" s="143"/>
      <c r="K107" s="261"/>
    </row>
    <row r="108" spans="1:11" ht="20.25" customHeight="1" x14ac:dyDescent="0.2">
      <c r="A108" s="140" t="s">
        <v>276</v>
      </c>
      <c r="B108" s="141"/>
      <c r="C108" s="142"/>
      <c r="D108" s="141"/>
      <c r="E108" s="141"/>
      <c r="F108" s="143"/>
      <c r="K108" s="261"/>
    </row>
    <row r="109" spans="1:11" ht="20.25" customHeight="1" x14ac:dyDescent="0.2">
      <c r="A109" s="395" t="s">
        <v>140</v>
      </c>
      <c r="B109" s="141"/>
      <c r="C109" s="142"/>
      <c r="D109" s="141"/>
      <c r="E109" s="343">
        <f>E117+E133+E134</f>
        <v>1539000</v>
      </c>
      <c r="F109" s="418">
        <f>F117+F133+F134</f>
        <v>972005</v>
      </c>
      <c r="K109" s="261"/>
    </row>
    <row r="110" spans="1:11" ht="20.25" customHeight="1" x14ac:dyDescent="0.2">
      <c r="A110" s="144" t="s">
        <v>352</v>
      </c>
      <c r="B110" s="141"/>
      <c r="C110" s="151"/>
      <c r="D110" s="141"/>
      <c r="E110" s="396">
        <v>50000</v>
      </c>
      <c r="F110" s="143">
        <f>23622+6378</f>
        <v>30000</v>
      </c>
      <c r="K110" s="261"/>
    </row>
    <row r="111" spans="1:11" ht="20.25" customHeight="1" x14ac:dyDescent="0.2">
      <c r="A111" s="144" t="s">
        <v>353</v>
      </c>
      <c r="B111" s="141"/>
      <c r="C111" s="142"/>
      <c r="D111" s="141"/>
      <c r="E111" s="396">
        <v>5000</v>
      </c>
      <c r="F111" s="143"/>
      <c r="K111" s="261"/>
    </row>
    <row r="112" spans="1:11" ht="20.25" customHeight="1" x14ac:dyDescent="0.2">
      <c r="A112" s="144" t="s">
        <v>369</v>
      </c>
      <c r="B112" s="141"/>
      <c r="C112" s="142"/>
      <c r="D112" s="141"/>
      <c r="E112" s="396"/>
      <c r="F112" s="143">
        <f>5511+1488</f>
        <v>6999</v>
      </c>
      <c r="K112" s="261"/>
    </row>
    <row r="113" spans="1:11" ht="20.25" customHeight="1" x14ac:dyDescent="0.2">
      <c r="A113" s="144" t="s">
        <v>370</v>
      </c>
      <c r="B113" s="141"/>
      <c r="C113" s="142"/>
      <c r="D113" s="141"/>
      <c r="E113" s="396"/>
      <c r="F113" s="143">
        <f>39370+10630</f>
        <v>50000</v>
      </c>
      <c r="K113" s="261"/>
    </row>
    <row r="114" spans="1:11" ht="20.25" customHeight="1" x14ac:dyDescent="0.2">
      <c r="A114" s="144" t="s">
        <v>372</v>
      </c>
      <c r="B114" s="141"/>
      <c r="C114" s="142"/>
      <c r="D114" s="141"/>
      <c r="E114" s="396"/>
      <c r="F114" s="143">
        <f>64000+4150+17280+1120</f>
        <v>86550</v>
      </c>
      <c r="K114" s="261"/>
    </row>
    <row r="115" spans="1:11" ht="20.25" customHeight="1" x14ac:dyDescent="0.2">
      <c r="A115" s="144" t="s">
        <v>373</v>
      </c>
      <c r="B115" s="141"/>
      <c r="C115" s="142"/>
      <c r="D115" s="141"/>
      <c r="E115" s="396"/>
      <c r="F115" s="143">
        <f>34630+9350</f>
        <v>43980</v>
      </c>
      <c r="K115" s="261"/>
    </row>
    <row r="116" spans="1:11" ht="20.25" customHeight="1" x14ac:dyDescent="0.2">
      <c r="A116" s="144" t="s">
        <v>374</v>
      </c>
      <c r="B116" s="141"/>
      <c r="C116" s="142"/>
      <c r="D116" s="141"/>
      <c r="E116" s="396"/>
      <c r="F116" s="143">
        <f>15350+4145</f>
        <v>19495</v>
      </c>
      <c r="K116" s="261"/>
    </row>
    <row r="117" spans="1:11" ht="20.25" customHeight="1" x14ac:dyDescent="0.2">
      <c r="A117" s="140" t="s">
        <v>354</v>
      </c>
      <c r="B117" s="141"/>
      <c r="C117" s="142"/>
      <c r="D117" s="141"/>
      <c r="E117" s="396">
        <f>SUM(E110:E111)</f>
        <v>55000</v>
      </c>
      <c r="F117" s="396">
        <f>SUM(F110:F116)</f>
        <v>237024</v>
      </c>
      <c r="K117" s="261"/>
    </row>
    <row r="118" spans="1:11" ht="20.25" customHeight="1" x14ac:dyDescent="0.2">
      <c r="A118" s="144"/>
      <c r="B118" s="141"/>
      <c r="C118" s="142"/>
      <c r="D118" s="141"/>
      <c r="E118" s="141"/>
      <c r="F118" s="143"/>
      <c r="K118" s="261"/>
    </row>
    <row r="119" spans="1:11" ht="20.25" customHeight="1" x14ac:dyDescent="0.2">
      <c r="A119" s="144" t="s">
        <v>355</v>
      </c>
      <c r="B119" s="141"/>
      <c r="C119" s="142"/>
      <c r="D119" s="141"/>
      <c r="E119" s="141"/>
      <c r="F119" s="143"/>
      <c r="K119" s="261"/>
    </row>
    <row r="120" spans="1:11" ht="20.25" customHeight="1" x14ac:dyDescent="0.2">
      <c r="A120" s="397" t="s">
        <v>356</v>
      </c>
      <c r="B120" s="141"/>
      <c r="C120" s="142"/>
      <c r="D120" s="141"/>
      <c r="E120" s="398">
        <v>40000</v>
      </c>
      <c r="F120" s="143"/>
      <c r="K120" s="261"/>
    </row>
    <row r="121" spans="1:11" ht="20.25" customHeight="1" x14ac:dyDescent="0.2">
      <c r="A121" s="399" t="s">
        <v>357</v>
      </c>
      <c r="B121" s="141"/>
      <c r="C121" s="142"/>
      <c r="D121" s="141"/>
      <c r="E121" s="398">
        <v>70000</v>
      </c>
      <c r="F121" s="143">
        <f>55117+14882</f>
        <v>69999</v>
      </c>
      <c r="K121" s="261"/>
    </row>
    <row r="122" spans="1:11" ht="20.25" customHeight="1" x14ac:dyDescent="0.2">
      <c r="A122" s="399" t="s">
        <v>358</v>
      </c>
      <c r="B122" s="141"/>
      <c r="C122" s="142"/>
      <c r="D122" s="141"/>
      <c r="E122" s="398">
        <v>60000</v>
      </c>
      <c r="F122" s="143">
        <f>18110+11811+7890+3189</f>
        <v>41000</v>
      </c>
      <c r="K122" s="261"/>
    </row>
    <row r="123" spans="1:11" ht="20.25" customHeight="1" x14ac:dyDescent="0.2">
      <c r="A123" s="399" t="s">
        <v>359</v>
      </c>
      <c r="B123" s="141"/>
      <c r="C123" s="142"/>
      <c r="D123" s="141"/>
      <c r="E123" s="398">
        <v>60000</v>
      </c>
      <c r="F123" s="143"/>
      <c r="K123" s="261"/>
    </row>
    <row r="124" spans="1:11" ht="20.25" customHeight="1" x14ac:dyDescent="0.2">
      <c r="A124" s="399" t="s">
        <v>360</v>
      </c>
      <c r="B124" s="141"/>
      <c r="C124" s="142"/>
      <c r="D124" s="141"/>
      <c r="E124" s="398">
        <v>100000</v>
      </c>
      <c r="F124" s="143"/>
      <c r="K124" s="261"/>
    </row>
    <row r="125" spans="1:11" ht="20.25" customHeight="1" x14ac:dyDescent="0.2">
      <c r="A125" s="399" t="s">
        <v>361</v>
      </c>
      <c r="B125" s="141"/>
      <c r="C125" s="142"/>
      <c r="D125" s="141"/>
      <c r="E125" s="398">
        <v>200000</v>
      </c>
      <c r="F125" s="143"/>
      <c r="K125" s="261"/>
    </row>
    <row r="126" spans="1:11" ht="20.25" customHeight="1" x14ac:dyDescent="0.2">
      <c r="A126" s="399" t="s">
        <v>362</v>
      </c>
      <c r="B126" s="141"/>
      <c r="C126" s="142"/>
      <c r="D126" s="141"/>
      <c r="E126" s="398">
        <v>50000</v>
      </c>
      <c r="F126" s="143">
        <f>47243+12756</f>
        <v>59999</v>
      </c>
      <c r="K126" s="261"/>
    </row>
    <row r="127" spans="1:11" ht="20.25" customHeight="1" x14ac:dyDescent="0.2">
      <c r="A127" s="399" t="s">
        <v>363</v>
      </c>
      <c r="B127" s="141"/>
      <c r="C127" s="142"/>
      <c r="D127" s="141"/>
      <c r="E127" s="398">
        <v>100000</v>
      </c>
      <c r="F127" s="143"/>
      <c r="K127" s="261"/>
    </row>
    <row r="128" spans="1:11" ht="20.25" customHeight="1" x14ac:dyDescent="0.2">
      <c r="A128" s="399" t="s">
        <v>364</v>
      </c>
      <c r="B128" s="141"/>
      <c r="C128" s="142"/>
      <c r="D128" s="141"/>
      <c r="E128" s="398">
        <v>100000</v>
      </c>
      <c r="F128" s="143"/>
      <c r="K128" s="261"/>
    </row>
    <row r="129" spans="1:11" ht="20.25" customHeight="1" x14ac:dyDescent="0.2">
      <c r="A129" s="417" t="s">
        <v>368</v>
      </c>
      <c r="B129" s="141"/>
      <c r="C129" s="142"/>
      <c r="D129" s="141"/>
      <c r="E129" s="398"/>
      <c r="F129" s="143">
        <f>157480+42520</f>
        <v>200000</v>
      </c>
      <c r="K129" s="261"/>
    </row>
    <row r="130" spans="1:11" ht="20.25" customHeight="1" x14ac:dyDescent="0.2">
      <c r="A130" s="417" t="s">
        <v>371</v>
      </c>
      <c r="B130" s="141"/>
      <c r="C130" s="142"/>
      <c r="D130" s="141"/>
      <c r="E130" s="398"/>
      <c r="F130" s="143">
        <f>74795+20195</f>
        <v>94990</v>
      </c>
      <c r="K130" s="261"/>
    </row>
    <row r="131" spans="1:11" ht="20.25" customHeight="1" x14ac:dyDescent="0.2">
      <c r="A131" s="417" t="s">
        <v>375</v>
      </c>
      <c r="B131" s="141"/>
      <c r="C131" s="142"/>
      <c r="D131" s="141"/>
      <c r="E131" s="398"/>
      <c r="F131" s="143">
        <f>23622+6378</f>
        <v>30000</v>
      </c>
      <c r="K131" s="261"/>
    </row>
    <row r="132" spans="1:11" ht="20.25" customHeight="1" x14ac:dyDescent="0.2">
      <c r="A132" s="417" t="s">
        <v>376</v>
      </c>
      <c r="B132" s="141"/>
      <c r="C132" s="142"/>
      <c r="D132" s="141"/>
      <c r="E132" s="398"/>
      <c r="F132" s="143">
        <v>209995</v>
      </c>
      <c r="K132" s="261"/>
    </row>
    <row r="133" spans="1:11" ht="20.25" customHeight="1" x14ac:dyDescent="0.2">
      <c r="A133" s="140" t="s">
        <v>365</v>
      </c>
      <c r="B133" s="419"/>
      <c r="C133" s="420"/>
      <c r="D133" s="419"/>
      <c r="E133" s="421">
        <f>SUM(E120:E128)</f>
        <v>780000</v>
      </c>
      <c r="F133" s="143">
        <f>SUM(F120:F132)</f>
        <v>705983</v>
      </c>
      <c r="K133" s="261"/>
    </row>
    <row r="134" spans="1:11" ht="20.25" customHeight="1" x14ac:dyDescent="0.2">
      <c r="A134" s="144" t="s">
        <v>366</v>
      </c>
      <c r="B134" s="141"/>
      <c r="C134" s="142"/>
      <c r="D134" s="141"/>
      <c r="E134" s="421">
        <v>704000</v>
      </c>
      <c r="F134" s="143">
        <f>22833+6165</f>
        <v>28998</v>
      </c>
      <c r="K134" s="261"/>
    </row>
    <row r="135" spans="1:11" ht="20.25" customHeight="1" x14ac:dyDescent="0.2">
      <c r="A135" s="145"/>
      <c r="B135" s="141"/>
      <c r="C135" s="142"/>
      <c r="D135" s="141"/>
      <c r="E135" s="141"/>
      <c r="F135" s="143"/>
    </row>
    <row r="136" spans="1:11" ht="20.25" customHeight="1" x14ac:dyDescent="0.2">
      <c r="A136" s="145"/>
      <c r="B136" s="141"/>
      <c r="C136" s="142"/>
      <c r="D136" s="141"/>
      <c r="E136" s="141"/>
      <c r="F136" s="143"/>
    </row>
    <row r="137" spans="1:11" ht="20.25" customHeight="1" x14ac:dyDescent="0.2">
      <c r="A137" s="145"/>
      <c r="B137" s="141"/>
      <c r="C137" s="142"/>
      <c r="D137" s="141"/>
      <c r="E137" s="141"/>
      <c r="F137" s="143"/>
      <c r="K137" s="261"/>
    </row>
    <row r="138" spans="1:11" ht="20.25" customHeight="1" thickBot="1" x14ac:dyDescent="0.25">
      <c r="A138" s="350"/>
      <c r="B138" s="351"/>
      <c r="C138" s="352"/>
      <c r="D138" s="351"/>
      <c r="E138" s="351"/>
      <c r="F138" s="353"/>
    </row>
    <row r="139" spans="1:11" ht="13.5" thickBot="1" x14ac:dyDescent="0.25">
      <c r="A139" s="146" t="s">
        <v>141</v>
      </c>
      <c r="B139" s="147">
        <f>SUM(B10:B18)</f>
        <v>0</v>
      </c>
      <c r="C139" s="148"/>
      <c r="D139" s="147">
        <f>SUM(D9:D17)</f>
        <v>0</v>
      </c>
      <c r="E139" s="147">
        <f>E9+E14+E109</f>
        <v>7642000</v>
      </c>
      <c r="F139" s="149">
        <f>F9+F14+F103+F109</f>
        <v>14406815.85</v>
      </c>
    </row>
    <row r="147" spans="1:4" x14ac:dyDescent="0.2">
      <c r="B147" s="240"/>
      <c r="C147" s="240"/>
      <c r="D147" s="240"/>
    </row>
    <row r="148" spans="1:4" ht="15.75" x14ac:dyDescent="0.2">
      <c r="A148" s="253"/>
      <c r="B148" s="252"/>
      <c r="C148" s="258"/>
      <c r="D148" s="259"/>
    </row>
    <row r="149" spans="1:4" ht="15.75" x14ac:dyDescent="0.2">
      <c r="A149" s="253"/>
      <c r="B149" s="254"/>
      <c r="C149" s="255"/>
      <c r="D149" s="259"/>
    </row>
    <row r="150" spans="1:4" ht="15.75" x14ac:dyDescent="0.2">
      <c r="A150" s="309"/>
      <c r="B150" s="254"/>
      <c r="C150" s="255"/>
      <c r="D150" s="259"/>
    </row>
    <row r="151" spans="1:4" ht="15.75" x14ac:dyDescent="0.2">
      <c r="A151" s="253"/>
      <c r="B151" s="254"/>
      <c r="C151" s="255"/>
    </row>
    <row r="152" spans="1:4" x14ac:dyDescent="0.2">
      <c r="A152" s="256"/>
      <c r="B152" s="254"/>
      <c r="C152" s="257"/>
    </row>
    <row r="153" spans="1:4" ht="15.75" x14ac:dyDescent="0.25">
      <c r="A153" s="260"/>
      <c r="B153" s="254"/>
      <c r="C153" s="255"/>
      <c r="D153" s="259"/>
    </row>
    <row r="154" spans="1:4" ht="15.75" x14ac:dyDescent="0.25">
      <c r="A154" s="260"/>
      <c r="C154" s="259"/>
      <c r="D154" s="259"/>
    </row>
    <row r="155" spans="1:4" ht="15.75" x14ac:dyDescent="0.25">
      <c r="A155" s="260"/>
      <c r="C155" s="259"/>
      <c r="D155" s="259"/>
    </row>
  </sheetData>
  <mergeCells count="3">
    <mergeCell ref="A1:E1"/>
    <mergeCell ref="A2:E2"/>
    <mergeCell ref="A4:E4"/>
  </mergeCells>
  <phoneticPr fontId="20" type="noConversion"/>
  <printOptions horizontalCentered="1" gridLines="1"/>
  <pageMargins left="0.15748031496062992" right="0.15748031496062992" top="0.55118110236220474" bottom="0.98425196850393704" header="0.51181102362204722" footer="0.15748031496062992"/>
  <pageSetup paperSize="9" scale="8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43"/>
  <sheetViews>
    <sheetView view="pageBreakPreview" zoomScaleNormal="100" zoomScaleSheetLayoutView="100" workbookViewId="0">
      <selection activeCell="B27" sqref="B27:E27"/>
    </sheetView>
  </sheetViews>
  <sheetFormatPr defaultRowHeight="12.75" x14ac:dyDescent="0.2"/>
  <cols>
    <col min="1" max="1" width="38.140625" style="44" customWidth="1"/>
    <col min="2" max="2" width="15.7109375" style="241" bestFit="1" customWidth="1"/>
    <col min="3" max="3" width="18" style="241" bestFit="1" customWidth="1"/>
    <col min="4" max="4" width="15.5703125" style="241" bestFit="1" customWidth="1"/>
    <col min="5" max="5" width="18" style="241" bestFit="1" customWidth="1"/>
    <col min="6" max="7" width="9.140625" style="44" customWidth="1"/>
  </cols>
  <sheetData>
    <row r="1" spans="1:5" ht="18" x14ac:dyDescent="0.25">
      <c r="A1" s="615" t="s">
        <v>323</v>
      </c>
      <c r="B1" s="616"/>
      <c r="C1" s="616"/>
      <c r="D1" s="616"/>
      <c r="E1" s="616"/>
    </row>
    <row r="2" spans="1:5" ht="18.75" x14ac:dyDescent="0.3">
      <c r="A2" s="617" t="s">
        <v>249</v>
      </c>
      <c r="B2" s="617"/>
      <c r="C2" s="617"/>
      <c r="D2" s="617"/>
      <c r="E2" s="617"/>
    </row>
    <row r="4" spans="1:5" ht="45" customHeight="1" x14ac:dyDescent="0.2">
      <c r="A4" s="614" t="s">
        <v>123</v>
      </c>
      <c r="B4" s="614"/>
      <c r="C4" s="614"/>
      <c r="D4" s="614"/>
      <c r="E4" s="614"/>
    </row>
    <row r="5" spans="1:5" ht="29.25" customHeight="1" x14ac:dyDescent="0.2"/>
    <row r="6" spans="1:5" ht="18" customHeight="1" x14ac:dyDescent="0.2"/>
    <row r="7" spans="1:5" ht="15.75" x14ac:dyDescent="0.2">
      <c r="B7" s="618"/>
      <c r="C7" s="618"/>
      <c r="D7" s="618"/>
      <c r="E7" s="618"/>
    </row>
    <row r="8" spans="1:5" ht="15.75" x14ac:dyDescent="0.25">
      <c r="A8" s="127" t="s">
        <v>124</v>
      </c>
      <c r="B8" s="613"/>
      <c r="C8" s="613"/>
      <c r="D8" s="613"/>
      <c r="E8" s="613"/>
    </row>
    <row r="9" spans="1:5" ht="13.5" thickBot="1" x14ac:dyDescent="0.25">
      <c r="E9" s="241" t="s">
        <v>246</v>
      </c>
    </row>
    <row r="10" spans="1:5" ht="16.5" thickBot="1" x14ac:dyDescent="0.3">
      <c r="A10" s="128" t="s">
        <v>125</v>
      </c>
      <c r="B10" s="242">
        <v>2014</v>
      </c>
      <c r="C10" s="242">
        <v>2015</v>
      </c>
      <c r="D10" s="242">
        <v>2016</v>
      </c>
      <c r="E10" s="243" t="s">
        <v>41</v>
      </c>
    </row>
    <row r="11" spans="1:5" ht="15.75" x14ac:dyDescent="0.25">
      <c r="A11" s="129" t="s">
        <v>126</v>
      </c>
      <c r="B11" s="244"/>
      <c r="C11" s="244"/>
      <c r="D11" s="244"/>
      <c r="E11" s="245">
        <f t="shared" ref="E11:E17" si="0">SUM(B11:D11)</f>
        <v>0</v>
      </c>
    </row>
    <row r="12" spans="1:5" ht="15.75" x14ac:dyDescent="0.25">
      <c r="A12" s="130" t="s">
        <v>127</v>
      </c>
      <c r="B12" s="246"/>
      <c r="C12" s="246"/>
      <c r="D12" s="246"/>
      <c r="E12" s="245">
        <f t="shared" si="0"/>
        <v>0</v>
      </c>
    </row>
    <row r="13" spans="1:5" ht="15.75" x14ac:dyDescent="0.25">
      <c r="A13" s="132" t="s">
        <v>128</v>
      </c>
      <c r="B13" s="246"/>
      <c r="C13" s="246"/>
      <c r="D13" s="246"/>
      <c r="E13" s="245">
        <f t="shared" si="0"/>
        <v>0</v>
      </c>
    </row>
    <row r="14" spans="1:5" ht="15.75" x14ac:dyDescent="0.25">
      <c r="A14" s="132" t="s">
        <v>129</v>
      </c>
      <c r="B14" s="246"/>
      <c r="C14" s="246"/>
      <c r="D14" s="246"/>
      <c r="E14" s="245">
        <f t="shared" si="0"/>
        <v>0</v>
      </c>
    </row>
    <row r="15" spans="1:5" ht="15.75" x14ac:dyDescent="0.25">
      <c r="A15" s="132" t="s">
        <v>130</v>
      </c>
      <c r="B15" s="246"/>
      <c r="C15" s="246"/>
      <c r="D15" s="246"/>
      <c r="E15" s="245">
        <f t="shared" si="0"/>
        <v>0</v>
      </c>
    </row>
    <row r="16" spans="1:5" ht="16.5" thickBot="1" x14ac:dyDescent="0.3">
      <c r="A16" s="133" t="s">
        <v>31</v>
      </c>
      <c r="B16" s="247"/>
      <c r="C16" s="247"/>
      <c r="D16" s="247"/>
      <c r="E16" s="248">
        <f t="shared" si="0"/>
        <v>0</v>
      </c>
    </row>
    <row r="17" spans="1:5" ht="16.5" thickBot="1" x14ac:dyDescent="0.3">
      <c r="A17" s="128" t="s">
        <v>131</v>
      </c>
      <c r="B17" s="249">
        <f>SUM(B11:B16)</f>
        <v>0</v>
      </c>
      <c r="C17" s="249">
        <f>SUM(C11:C16)</f>
        <v>0</v>
      </c>
      <c r="D17" s="249">
        <f>SUM(D11:D16)</f>
        <v>0</v>
      </c>
      <c r="E17" s="250">
        <f t="shared" si="0"/>
        <v>0</v>
      </c>
    </row>
    <row r="18" spans="1:5" ht="16.5" thickBot="1" x14ac:dyDescent="0.3">
      <c r="A18" s="45"/>
      <c r="B18" s="251"/>
      <c r="C18" s="251"/>
      <c r="D18" s="251"/>
      <c r="E18" s="251"/>
    </row>
    <row r="19" spans="1:5" ht="16.5" thickBot="1" x14ac:dyDescent="0.3">
      <c r="A19" s="128" t="s">
        <v>132</v>
      </c>
      <c r="B19" s="242">
        <v>2014</v>
      </c>
      <c r="C19" s="242">
        <v>2015</v>
      </c>
      <c r="D19" s="242">
        <v>2016</v>
      </c>
      <c r="E19" s="243" t="s">
        <v>41</v>
      </c>
    </row>
    <row r="20" spans="1:5" ht="15.75" x14ac:dyDescent="0.25">
      <c r="A20" s="129" t="s">
        <v>133</v>
      </c>
      <c r="B20" s="244"/>
      <c r="C20" s="244"/>
      <c r="D20" s="244"/>
      <c r="E20" s="245"/>
    </row>
    <row r="21" spans="1:5" ht="15.75" x14ac:dyDescent="0.25">
      <c r="A21" s="132" t="s">
        <v>134</v>
      </c>
      <c r="B21" s="246"/>
      <c r="C21" s="246"/>
      <c r="D21" s="246"/>
      <c r="E21" s="245"/>
    </row>
    <row r="22" spans="1:5" ht="15.75" x14ac:dyDescent="0.25">
      <c r="A22" s="132" t="s">
        <v>135</v>
      </c>
      <c r="B22" s="246"/>
      <c r="C22" s="246"/>
      <c r="D22" s="246"/>
      <c r="E22" s="245"/>
    </row>
    <row r="23" spans="1:5" ht="16.5" thickBot="1" x14ac:dyDescent="0.3">
      <c r="A23" s="133" t="s">
        <v>229</v>
      </c>
      <c r="B23" s="247"/>
      <c r="C23" s="247"/>
      <c r="D23" s="247"/>
      <c r="E23" s="248">
        <f>SUM(B23:D23)</f>
        <v>0</v>
      </c>
    </row>
    <row r="24" spans="1:5" ht="16.5" thickBot="1" x14ac:dyDescent="0.3">
      <c r="A24" s="128" t="s">
        <v>41</v>
      </c>
      <c r="B24" s="249">
        <f>SUM(B20:B23)</f>
        <v>0</v>
      </c>
      <c r="C24" s="249">
        <f>SUM(C20:C23)</f>
        <v>0</v>
      </c>
      <c r="D24" s="249">
        <f>SUM(D20:D23)</f>
        <v>0</v>
      </c>
      <c r="E24" s="250">
        <f>SUM(B24:D24)</f>
        <v>0</v>
      </c>
    </row>
    <row r="27" spans="1:5" ht="15.75" x14ac:dyDescent="0.25">
      <c r="A27" s="127" t="s">
        <v>124</v>
      </c>
      <c r="B27" s="613"/>
      <c r="C27" s="613"/>
      <c r="D27" s="613"/>
      <c r="E27" s="613"/>
    </row>
    <row r="28" spans="1:5" ht="13.5" thickBot="1" x14ac:dyDescent="0.25">
      <c r="E28" s="241" t="s">
        <v>246</v>
      </c>
    </row>
    <row r="29" spans="1:5" ht="16.5" thickBot="1" x14ac:dyDescent="0.3">
      <c r="A29" s="128" t="s">
        <v>125</v>
      </c>
      <c r="B29" s="242">
        <v>2014</v>
      </c>
      <c r="C29" s="242">
        <v>2015</v>
      </c>
      <c r="D29" s="242">
        <v>2016</v>
      </c>
      <c r="E29" s="243" t="s">
        <v>41</v>
      </c>
    </row>
    <row r="30" spans="1:5" ht="15.75" x14ac:dyDescent="0.25">
      <c r="A30" s="129" t="s">
        <v>126</v>
      </c>
      <c r="B30" s="244"/>
      <c r="C30" s="244"/>
      <c r="D30" s="244"/>
      <c r="E30" s="245">
        <f t="shared" ref="E30:E36" si="1">SUM(B30:D30)</f>
        <v>0</v>
      </c>
    </row>
    <row r="31" spans="1:5" ht="15.75" x14ac:dyDescent="0.25">
      <c r="A31" s="130" t="s">
        <v>127</v>
      </c>
      <c r="B31" s="246"/>
      <c r="C31" s="246"/>
      <c r="D31" s="246"/>
      <c r="E31" s="245">
        <f t="shared" si="1"/>
        <v>0</v>
      </c>
    </row>
    <row r="32" spans="1:5" ht="15.75" x14ac:dyDescent="0.25">
      <c r="A32" s="132" t="s">
        <v>128</v>
      </c>
      <c r="B32" s="246"/>
      <c r="C32" s="246"/>
      <c r="D32" s="246"/>
      <c r="E32" s="245">
        <f t="shared" si="1"/>
        <v>0</v>
      </c>
    </row>
    <row r="33" spans="1:5" ht="15.75" x14ac:dyDescent="0.25">
      <c r="A33" s="132" t="s">
        <v>129</v>
      </c>
      <c r="B33" s="246"/>
      <c r="C33" s="246"/>
      <c r="D33" s="246"/>
      <c r="E33" s="245">
        <f t="shared" si="1"/>
        <v>0</v>
      </c>
    </row>
    <row r="34" spans="1:5" ht="15.75" x14ac:dyDescent="0.25">
      <c r="A34" s="132" t="s">
        <v>130</v>
      </c>
      <c r="B34" s="246"/>
      <c r="C34" s="246"/>
      <c r="D34" s="246"/>
      <c r="E34" s="245">
        <f t="shared" si="1"/>
        <v>0</v>
      </c>
    </row>
    <row r="35" spans="1:5" ht="16.5" thickBot="1" x14ac:dyDescent="0.3">
      <c r="A35" s="133" t="s">
        <v>31</v>
      </c>
      <c r="B35" s="247"/>
      <c r="C35" s="247"/>
      <c r="D35" s="247"/>
      <c r="E35" s="248">
        <f t="shared" si="1"/>
        <v>0</v>
      </c>
    </row>
    <row r="36" spans="1:5" ht="16.5" thickBot="1" x14ac:dyDescent="0.3">
      <c r="A36" s="128" t="s">
        <v>131</v>
      </c>
      <c r="B36" s="249">
        <f>SUM(B30:B35)</f>
        <v>0</v>
      </c>
      <c r="C36" s="249">
        <f>SUM(C30:C35)</f>
        <v>0</v>
      </c>
      <c r="D36" s="249">
        <f>SUM(D30:D35)</f>
        <v>0</v>
      </c>
      <c r="E36" s="250">
        <f t="shared" si="1"/>
        <v>0</v>
      </c>
    </row>
    <row r="37" spans="1:5" ht="16.5" thickBot="1" x14ac:dyDescent="0.3">
      <c r="A37" s="45"/>
      <c r="B37" s="251"/>
      <c r="C37" s="251"/>
      <c r="D37" s="251"/>
      <c r="E37" s="251"/>
    </row>
    <row r="38" spans="1:5" ht="16.5" thickBot="1" x14ac:dyDescent="0.3">
      <c r="A38" s="128" t="s">
        <v>132</v>
      </c>
      <c r="B38" s="242">
        <v>2014</v>
      </c>
      <c r="C38" s="242">
        <v>2015</v>
      </c>
      <c r="D38" s="242">
        <v>2016</v>
      </c>
      <c r="E38" s="243" t="s">
        <v>41</v>
      </c>
    </row>
    <row r="39" spans="1:5" ht="15.75" x14ac:dyDescent="0.25">
      <c r="A39" s="129" t="s">
        <v>133</v>
      </c>
      <c r="B39" s="244"/>
      <c r="C39" s="244"/>
      <c r="D39" s="244"/>
      <c r="E39" s="245"/>
    </row>
    <row r="40" spans="1:5" ht="15.75" x14ac:dyDescent="0.25">
      <c r="A40" s="132" t="s">
        <v>134</v>
      </c>
      <c r="B40" s="246"/>
      <c r="C40" s="246"/>
      <c r="D40" s="246"/>
      <c r="E40" s="245"/>
    </row>
    <row r="41" spans="1:5" ht="15.75" x14ac:dyDescent="0.25">
      <c r="A41" s="132" t="s">
        <v>135</v>
      </c>
      <c r="B41" s="246"/>
      <c r="C41" s="246"/>
      <c r="D41" s="246"/>
      <c r="E41" s="245"/>
    </row>
    <row r="42" spans="1:5" ht="16.5" thickBot="1" x14ac:dyDescent="0.3">
      <c r="A42" s="133" t="s">
        <v>229</v>
      </c>
      <c r="B42" s="247"/>
      <c r="C42" s="247"/>
      <c r="D42" s="247"/>
      <c r="E42" s="248">
        <f>SUM(B42:D42)</f>
        <v>0</v>
      </c>
    </row>
    <row r="43" spans="1:5" ht="16.5" thickBot="1" x14ac:dyDescent="0.3">
      <c r="A43" s="128" t="s">
        <v>41</v>
      </c>
      <c r="B43" s="249">
        <f>SUM(B39:B42)</f>
        <v>0</v>
      </c>
      <c r="C43" s="249">
        <f>SUM(C39:C42)</f>
        <v>0</v>
      </c>
      <c r="D43" s="249">
        <f>SUM(D39:D42)</f>
        <v>0</v>
      </c>
      <c r="E43" s="250">
        <f>SUM(B43:D43)</f>
        <v>0</v>
      </c>
    </row>
  </sheetData>
  <mergeCells count="6">
    <mergeCell ref="B27:E27"/>
    <mergeCell ref="A4:E4"/>
    <mergeCell ref="A1:E1"/>
    <mergeCell ref="A2:E2"/>
    <mergeCell ref="B8:E8"/>
    <mergeCell ref="B7:E7"/>
  </mergeCells>
  <phoneticPr fontId="20" type="noConversion"/>
  <pageMargins left="0.75" right="0.18" top="0.56999999999999995" bottom="1" header="0.5" footer="0.5"/>
  <pageSetup paperSize="9" scale="84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7"/>
  <sheetViews>
    <sheetView view="pageBreakPreview" zoomScaleNormal="100" workbookViewId="0">
      <selection activeCell="B2" sqref="B2"/>
    </sheetView>
  </sheetViews>
  <sheetFormatPr defaultColWidth="8" defaultRowHeight="12.75" x14ac:dyDescent="0.2"/>
  <cols>
    <col min="1" max="1" width="5" style="126" customWidth="1"/>
    <col min="2" max="2" width="47" style="113" customWidth="1"/>
    <col min="3" max="4" width="15.140625" style="113" customWidth="1"/>
    <col min="5" max="16384" width="8" style="113"/>
  </cols>
  <sheetData>
    <row r="1" spans="1:4" ht="18" x14ac:dyDescent="0.2">
      <c r="B1" s="620" t="s">
        <v>324</v>
      </c>
      <c r="C1" s="621"/>
    </row>
    <row r="3" spans="1:4" ht="37.5" customHeight="1" x14ac:dyDescent="0.2">
      <c r="B3" s="620" t="s">
        <v>249</v>
      </c>
      <c r="C3" s="621"/>
    </row>
    <row r="4" spans="1:4" ht="36.75" customHeight="1" x14ac:dyDescent="0.2">
      <c r="B4" s="620" t="s">
        <v>223</v>
      </c>
      <c r="C4" s="621"/>
    </row>
    <row r="5" spans="1:4" s="101" customFormat="1" ht="15.75" thickBot="1" x14ac:dyDescent="0.25">
      <c r="A5" s="100"/>
      <c r="D5" s="236" t="s">
        <v>261</v>
      </c>
    </row>
    <row r="6" spans="1:4" s="105" customFormat="1" ht="48" customHeight="1" thickBot="1" x14ac:dyDescent="0.25">
      <c r="A6" s="102" t="s">
        <v>200</v>
      </c>
      <c r="B6" s="103" t="s">
        <v>60</v>
      </c>
      <c r="C6" s="103" t="s">
        <v>61</v>
      </c>
      <c r="D6" s="104" t="s">
        <v>62</v>
      </c>
    </row>
    <row r="7" spans="1:4" s="105" customFormat="1" ht="14.1" customHeight="1" thickBot="1" x14ac:dyDescent="0.25">
      <c r="A7" s="106">
        <v>1</v>
      </c>
      <c r="B7" s="107">
        <v>2</v>
      </c>
      <c r="C7" s="107">
        <v>3</v>
      </c>
      <c r="D7" s="108">
        <v>4</v>
      </c>
    </row>
    <row r="8" spans="1:4" ht="18" customHeight="1" x14ac:dyDescent="0.2">
      <c r="A8" s="109" t="s">
        <v>29</v>
      </c>
      <c r="B8" s="110" t="s">
        <v>63</v>
      </c>
      <c r="C8" s="111"/>
      <c r="D8" s="112"/>
    </row>
    <row r="9" spans="1:4" ht="18" customHeight="1" x14ac:dyDescent="0.2">
      <c r="A9" s="114" t="s">
        <v>43</v>
      </c>
      <c r="B9" s="115" t="s">
        <v>64</v>
      </c>
      <c r="C9" s="116"/>
      <c r="D9" s="117"/>
    </row>
    <row r="10" spans="1:4" ht="18" customHeight="1" x14ac:dyDescent="0.2">
      <c r="A10" s="114" t="s">
        <v>44</v>
      </c>
      <c r="B10" s="115" t="s">
        <v>65</v>
      </c>
      <c r="C10" s="116"/>
      <c r="D10" s="117"/>
    </row>
    <row r="11" spans="1:4" ht="18" customHeight="1" x14ac:dyDescent="0.2">
      <c r="A11" s="114" t="s">
        <v>45</v>
      </c>
      <c r="B11" s="115" t="s">
        <v>66</v>
      </c>
      <c r="C11" s="116"/>
      <c r="D11" s="117"/>
    </row>
    <row r="12" spans="1:4" ht="18" customHeight="1" x14ac:dyDescent="0.2">
      <c r="A12" s="114" t="s">
        <v>47</v>
      </c>
      <c r="B12" s="115" t="s">
        <v>67</v>
      </c>
      <c r="C12" s="116"/>
      <c r="D12" s="117"/>
    </row>
    <row r="13" spans="1:4" ht="18" customHeight="1" x14ac:dyDescent="0.2">
      <c r="A13" s="114" t="s">
        <v>48</v>
      </c>
      <c r="B13" s="115" t="s">
        <v>68</v>
      </c>
      <c r="C13" s="116"/>
      <c r="D13" s="117"/>
    </row>
    <row r="14" spans="1:4" ht="18" customHeight="1" x14ac:dyDescent="0.2">
      <c r="A14" s="114" t="s">
        <v>49</v>
      </c>
      <c r="B14" s="118" t="s">
        <v>69</v>
      </c>
      <c r="C14" s="116"/>
      <c r="D14" s="117"/>
    </row>
    <row r="15" spans="1:4" ht="18" customHeight="1" x14ac:dyDescent="0.2">
      <c r="A15" s="114" t="s">
        <v>51</v>
      </c>
      <c r="B15" s="118" t="s">
        <v>70</v>
      </c>
      <c r="C15" s="116"/>
      <c r="D15" s="117"/>
    </row>
    <row r="16" spans="1:4" ht="18" customHeight="1" x14ac:dyDescent="0.2">
      <c r="A16" s="114" t="s">
        <v>52</v>
      </c>
      <c r="B16" s="118" t="s">
        <v>71</v>
      </c>
      <c r="C16" s="116">
        <f>552000+409500+138000+175500</f>
        <v>1275000</v>
      </c>
      <c r="D16" s="117">
        <f>552000+409500</f>
        <v>961500</v>
      </c>
    </row>
    <row r="17" spans="1:4" ht="18" customHeight="1" x14ac:dyDescent="0.2">
      <c r="A17" s="114" t="s">
        <v>30</v>
      </c>
      <c r="B17" s="118" t="s">
        <v>72</v>
      </c>
      <c r="C17" s="116"/>
      <c r="D17" s="117"/>
    </row>
    <row r="18" spans="1:4" ht="18" customHeight="1" x14ac:dyDescent="0.2">
      <c r="A18" s="114" t="s">
        <v>55</v>
      </c>
      <c r="B18" s="118" t="s">
        <v>109</v>
      </c>
      <c r="C18" s="116"/>
      <c r="D18" s="117"/>
    </row>
    <row r="19" spans="1:4" ht="22.5" customHeight="1" x14ac:dyDescent="0.2">
      <c r="A19" s="114" t="s">
        <v>57</v>
      </c>
      <c r="B19" s="118" t="s">
        <v>110</v>
      </c>
      <c r="C19" s="116"/>
      <c r="D19" s="117"/>
    </row>
    <row r="20" spans="1:4" ht="18" customHeight="1" x14ac:dyDescent="0.2">
      <c r="A20" s="114" t="s">
        <v>111</v>
      </c>
      <c r="B20" s="115" t="s">
        <v>112</v>
      </c>
      <c r="C20" s="116"/>
      <c r="D20" s="117"/>
    </row>
    <row r="21" spans="1:4" ht="18" customHeight="1" x14ac:dyDescent="0.2">
      <c r="A21" s="114" t="s">
        <v>113</v>
      </c>
      <c r="B21" s="115" t="s">
        <v>114</v>
      </c>
      <c r="C21" s="116"/>
      <c r="D21" s="117"/>
    </row>
    <row r="22" spans="1:4" ht="18" customHeight="1" x14ac:dyDescent="0.2">
      <c r="A22" s="114" t="s">
        <v>115</v>
      </c>
      <c r="B22" s="115" t="s">
        <v>116</v>
      </c>
      <c r="C22" s="116"/>
      <c r="D22" s="117"/>
    </row>
    <row r="23" spans="1:4" ht="18" customHeight="1" x14ac:dyDescent="0.2">
      <c r="A23" s="114" t="s">
        <v>117</v>
      </c>
      <c r="B23" s="115" t="s">
        <v>118</v>
      </c>
      <c r="C23" s="116"/>
      <c r="D23" s="117"/>
    </row>
    <row r="24" spans="1:4" ht="18" customHeight="1" x14ac:dyDescent="0.2">
      <c r="A24" s="114" t="s">
        <v>119</v>
      </c>
      <c r="B24" s="115" t="s">
        <v>120</v>
      </c>
      <c r="C24" s="116"/>
      <c r="D24" s="117"/>
    </row>
    <row r="25" spans="1:4" ht="18" customHeight="1" thickBot="1" x14ac:dyDescent="0.25">
      <c r="A25" s="114" t="s">
        <v>121</v>
      </c>
      <c r="B25" s="119"/>
      <c r="C25" s="120"/>
      <c r="D25" s="117"/>
    </row>
    <row r="26" spans="1:4" ht="18" customHeight="1" thickBot="1" x14ac:dyDescent="0.25">
      <c r="A26" s="121" t="s">
        <v>122</v>
      </c>
      <c r="B26" s="122" t="s">
        <v>59</v>
      </c>
      <c r="C26" s="123">
        <f>SUM(C8:C25)</f>
        <v>1275000</v>
      </c>
      <c r="D26" s="124">
        <f>SUM(D8:D25)</f>
        <v>961500</v>
      </c>
    </row>
    <row r="27" spans="1:4" ht="8.25" customHeight="1" x14ac:dyDescent="0.2">
      <c r="A27" s="125"/>
      <c r="B27" s="619"/>
      <c r="C27" s="619"/>
      <c r="D27" s="619"/>
    </row>
  </sheetData>
  <mergeCells count="4">
    <mergeCell ref="B27:D27"/>
    <mergeCell ref="B1:C1"/>
    <mergeCell ref="B3:C3"/>
    <mergeCell ref="B4:C4"/>
  </mergeCells>
  <phoneticPr fontId="31" type="noConversion"/>
  <printOptions horizontalCentered="1"/>
  <pageMargins left="0.78740157480314965" right="0.78740157480314965" top="1.63" bottom="0.98425196850393704" header="0.78740157480314965" footer="0.78740157480314965"/>
  <pageSetup paperSize="9" scale="95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1"/>
  <sheetViews>
    <sheetView view="pageBreakPreview" zoomScaleNormal="100" workbookViewId="0">
      <selection activeCell="G20" sqref="G20"/>
    </sheetView>
  </sheetViews>
  <sheetFormatPr defaultColWidth="8" defaultRowHeight="12.75" x14ac:dyDescent="0.2"/>
  <cols>
    <col min="1" max="1" width="5.85546875" style="50" customWidth="1"/>
    <col min="2" max="2" width="42.5703125" style="51" customWidth="1"/>
    <col min="3" max="3" width="12.140625" style="51" bestFit="1" customWidth="1"/>
    <col min="4" max="8" width="11" style="51" customWidth="1"/>
    <col min="9" max="9" width="11.85546875" style="51" customWidth="1"/>
    <col min="10" max="16384" width="8" style="51"/>
  </cols>
  <sheetData>
    <row r="1" spans="1:9" ht="18" x14ac:dyDescent="0.2">
      <c r="B1" s="611" t="s">
        <v>325</v>
      </c>
      <c r="C1" s="629"/>
      <c r="D1" s="629"/>
      <c r="E1" s="629"/>
      <c r="F1" s="629"/>
      <c r="G1" s="629"/>
      <c r="H1" s="629"/>
    </row>
    <row r="2" spans="1:9" ht="18.75" x14ac:dyDescent="0.2">
      <c r="B2" s="611" t="s">
        <v>249</v>
      </c>
      <c r="C2" s="611"/>
      <c r="D2" s="611"/>
      <c r="E2" s="611"/>
      <c r="F2" s="611"/>
      <c r="G2" s="611"/>
      <c r="H2" s="611"/>
      <c r="I2" s="240" t="s">
        <v>262</v>
      </c>
    </row>
    <row r="3" spans="1:9" ht="18" x14ac:dyDescent="0.2">
      <c r="B3" s="611" t="s">
        <v>225</v>
      </c>
      <c r="C3" s="629"/>
      <c r="D3" s="629"/>
      <c r="E3" s="629"/>
      <c r="F3" s="629"/>
      <c r="G3" s="629"/>
      <c r="H3" s="629"/>
    </row>
    <row r="5" spans="1:9" ht="14.25" thickBot="1" x14ac:dyDescent="0.3">
      <c r="I5" s="238" t="s">
        <v>0</v>
      </c>
    </row>
    <row r="6" spans="1:9" x14ac:dyDescent="0.2">
      <c r="A6" s="630" t="s">
        <v>37</v>
      </c>
      <c r="B6" s="625" t="s">
        <v>38</v>
      </c>
      <c r="C6" s="630" t="s">
        <v>39</v>
      </c>
      <c r="D6" s="630" t="s">
        <v>256</v>
      </c>
      <c r="E6" s="622" t="s">
        <v>40</v>
      </c>
      <c r="F6" s="623"/>
      <c r="G6" s="623"/>
      <c r="H6" s="624"/>
      <c r="I6" s="625" t="s">
        <v>41</v>
      </c>
    </row>
    <row r="7" spans="1:9" ht="13.5" thickBot="1" x14ac:dyDescent="0.25">
      <c r="A7" s="631"/>
      <c r="B7" s="626"/>
      <c r="C7" s="626"/>
      <c r="D7" s="631"/>
      <c r="E7" s="52" t="s">
        <v>224</v>
      </c>
      <c r="F7" s="53" t="s">
        <v>257</v>
      </c>
      <c r="G7" s="53" t="s">
        <v>258</v>
      </c>
      <c r="H7" s="54" t="s">
        <v>259</v>
      </c>
      <c r="I7" s="626"/>
    </row>
    <row r="8" spans="1:9" ht="13.5" thickBot="1" x14ac:dyDescent="0.25">
      <c r="A8" s="55">
        <v>1</v>
      </c>
      <c r="B8" s="56">
        <v>2</v>
      </c>
      <c r="C8" s="57">
        <v>3</v>
      </c>
      <c r="D8" s="56">
        <v>4</v>
      </c>
      <c r="E8" s="55">
        <v>5</v>
      </c>
      <c r="F8" s="57">
        <v>6</v>
      </c>
      <c r="G8" s="57">
        <v>7</v>
      </c>
      <c r="H8" s="58">
        <v>8</v>
      </c>
      <c r="I8" s="59" t="s">
        <v>42</v>
      </c>
    </row>
    <row r="9" spans="1:9" ht="13.5" thickBot="1" x14ac:dyDescent="0.25">
      <c r="A9" s="60" t="s">
        <v>29</v>
      </c>
      <c r="B9" s="61" t="s">
        <v>230</v>
      </c>
      <c r="C9" s="62"/>
      <c r="D9" s="63">
        <f>SUM(D10:D11)</f>
        <v>0</v>
      </c>
      <c r="E9" s="64"/>
      <c r="F9" s="65"/>
      <c r="G9" s="65"/>
      <c r="H9" s="66"/>
      <c r="I9" s="67"/>
    </row>
    <row r="10" spans="1:9" x14ac:dyDescent="0.2">
      <c r="A10" s="68" t="s">
        <v>43</v>
      </c>
      <c r="B10" s="69"/>
      <c r="C10" s="70"/>
      <c r="D10" s="71"/>
      <c r="E10" s="72"/>
      <c r="F10" s="73"/>
      <c r="G10" s="73"/>
      <c r="H10" s="74"/>
      <c r="I10" s="75">
        <f t="shared" ref="I10:I21" si="0">SUM(D10:H10)</f>
        <v>0</v>
      </c>
    </row>
    <row r="11" spans="1:9" ht="13.5" thickBot="1" x14ac:dyDescent="0.25">
      <c r="A11" s="68" t="s">
        <v>44</v>
      </c>
      <c r="B11" s="69"/>
      <c r="C11" s="70"/>
      <c r="D11" s="71"/>
      <c r="E11" s="72"/>
      <c r="F11" s="73"/>
      <c r="G11" s="73"/>
      <c r="H11" s="74"/>
      <c r="I11" s="75">
        <f t="shared" si="0"/>
        <v>0</v>
      </c>
    </row>
    <row r="12" spans="1:9" ht="13.5" thickBot="1" x14ac:dyDescent="0.25">
      <c r="A12" s="60" t="s">
        <v>45</v>
      </c>
      <c r="B12" s="76" t="s">
        <v>46</v>
      </c>
      <c r="C12" s="77"/>
      <c r="D12" s="63">
        <f>SUM(D13:D14)</f>
        <v>0</v>
      </c>
      <c r="E12" s="64">
        <f>SUM(E13:E14)</f>
        <v>0</v>
      </c>
      <c r="F12" s="65">
        <f>SUM(F13:F14)</f>
        <v>0</v>
      </c>
      <c r="G12" s="65">
        <f>SUM(G13:G14)</f>
        <v>0</v>
      </c>
      <c r="H12" s="66">
        <f>SUM(H13:H14)</f>
        <v>0</v>
      </c>
      <c r="I12" s="67">
        <f t="shared" si="0"/>
        <v>0</v>
      </c>
    </row>
    <row r="13" spans="1:9" x14ac:dyDescent="0.2">
      <c r="A13" s="68" t="s">
        <v>47</v>
      </c>
      <c r="B13" s="69"/>
      <c r="C13" s="175"/>
      <c r="D13" s="71"/>
      <c r="E13" s="72"/>
      <c r="F13" s="73"/>
      <c r="G13" s="73"/>
      <c r="H13" s="74"/>
      <c r="I13" s="75">
        <f t="shared" si="0"/>
        <v>0</v>
      </c>
    </row>
    <row r="14" spans="1:9" ht="13.5" thickBot="1" x14ac:dyDescent="0.25">
      <c r="A14" s="68" t="s">
        <v>48</v>
      </c>
      <c r="B14" s="69"/>
      <c r="C14" s="70"/>
      <c r="D14" s="71"/>
      <c r="E14" s="72"/>
      <c r="F14" s="73"/>
      <c r="G14" s="73"/>
      <c r="H14" s="74"/>
      <c r="I14" s="75">
        <f t="shared" si="0"/>
        <v>0</v>
      </c>
    </row>
    <row r="15" spans="1:9" ht="13.5" thickBot="1" x14ac:dyDescent="0.25">
      <c r="A15" s="60" t="s">
        <v>49</v>
      </c>
      <c r="B15" s="76" t="s">
        <v>50</v>
      </c>
      <c r="C15" s="77"/>
      <c r="D15" s="63">
        <f>SUM(D16:D16)</f>
        <v>0</v>
      </c>
      <c r="E15" s="64"/>
      <c r="F15" s="65"/>
      <c r="G15" s="65"/>
      <c r="H15" s="66">
        <f>SUM(H16:H16)</f>
        <v>0</v>
      </c>
      <c r="I15" s="67">
        <f t="shared" si="0"/>
        <v>0</v>
      </c>
    </row>
    <row r="16" spans="1:9" ht="16.5" thickBot="1" x14ac:dyDescent="0.25">
      <c r="A16" s="68" t="s">
        <v>51</v>
      </c>
      <c r="B16" s="144"/>
      <c r="C16" s="70"/>
      <c r="D16" s="71"/>
      <c r="E16" s="72"/>
      <c r="F16" s="73"/>
      <c r="G16" s="73"/>
      <c r="H16" s="74"/>
      <c r="I16" s="75">
        <f t="shared" si="0"/>
        <v>0</v>
      </c>
    </row>
    <row r="17" spans="1:9" ht="13.5" thickBot="1" x14ac:dyDescent="0.25">
      <c r="A17" s="60" t="s">
        <v>52</v>
      </c>
      <c r="B17" s="76" t="s">
        <v>53</v>
      </c>
      <c r="C17" s="77"/>
      <c r="D17" s="63">
        <f>SUM(D18:D18)</f>
        <v>0</v>
      </c>
      <c r="E17" s="64">
        <f>SUM(E18:E18)</f>
        <v>0</v>
      </c>
      <c r="F17" s="65">
        <f>SUM(F18:F18)</f>
        <v>0</v>
      </c>
      <c r="G17" s="65">
        <f>SUM(G18:G18)</f>
        <v>0</v>
      </c>
      <c r="H17" s="66">
        <f>SUM(H18:H18)</f>
        <v>0</v>
      </c>
      <c r="I17" s="67">
        <f t="shared" si="0"/>
        <v>0</v>
      </c>
    </row>
    <row r="18" spans="1:9" ht="13.5" thickBot="1" x14ac:dyDescent="0.25">
      <c r="A18" s="78" t="s">
        <v>30</v>
      </c>
      <c r="B18" s="79" t="s">
        <v>54</v>
      </c>
      <c r="C18" s="80"/>
      <c r="D18" s="81"/>
      <c r="E18" s="82"/>
      <c r="F18" s="83"/>
      <c r="G18" s="83"/>
      <c r="H18" s="84"/>
      <c r="I18" s="85">
        <f t="shared" si="0"/>
        <v>0</v>
      </c>
    </row>
    <row r="19" spans="1:9" ht="13.5" thickBot="1" x14ac:dyDescent="0.25">
      <c r="A19" s="60" t="s">
        <v>55</v>
      </c>
      <c r="B19" s="86" t="s">
        <v>56</v>
      </c>
      <c r="C19" s="77"/>
      <c r="D19" s="87">
        <f>SUM(D20:D20)</f>
        <v>0</v>
      </c>
      <c r="E19" s="88">
        <f>SUM(E20:E20)</f>
        <v>0</v>
      </c>
      <c r="F19" s="89">
        <f>SUM(F20:F20)</f>
        <v>5346</v>
      </c>
      <c r="G19" s="89">
        <f>SUM(G20:G20)</f>
        <v>1399</v>
      </c>
      <c r="H19" s="90"/>
      <c r="I19" s="67">
        <f t="shared" si="0"/>
        <v>6745</v>
      </c>
    </row>
    <row r="20" spans="1:9" ht="13.5" thickBot="1" x14ac:dyDescent="0.25">
      <c r="A20" s="91" t="s">
        <v>57</v>
      </c>
      <c r="B20" s="92" t="s">
        <v>307</v>
      </c>
      <c r="C20" s="93"/>
      <c r="D20" s="94"/>
      <c r="E20" s="95"/>
      <c r="F20" s="96">
        <f>3746+117*12+196</f>
        <v>5346</v>
      </c>
      <c r="G20" s="96">
        <f>117*11+112</f>
        <v>1399</v>
      </c>
      <c r="H20" s="97"/>
      <c r="I20" s="98">
        <f t="shared" si="0"/>
        <v>6745</v>
      </c>
    </row>
    <row r="21" spans="1:9" ht="13.5" thickBot="1" x14ac:dyDescent="0.25">
      <c r="A21" s="627" t="s">
        <v>58</v>
      </c>
      <c r="B21" s="628"/>
      <c r="C21" s="99"/>
      <c r="D21" s="63">
        <f>D9+D12+D15+D17+D19</f>
        <v>0</v>
      </c>
      <c r="E21" s="64">
        <f>E9+E12+E15+E17+E19</f>
        <v>0</v>
      </c>
      <c r="F21" s="65">
        <f>F9+F12+F15+F17+F19</f>
        <v>5346</v>
      </c>
      <c r="G21" s="65">
        <f>G9+G12+G15+G17+G19</f>
        <v>1399</v>
      </c>
      <c r="H21" s="66">
        <f>H9+H12+H15+H17+H19</f>
        <v>0</v>
      </c>
      <c r="I21" s="67">
        <f t="shared" si="0"/>
        <v>6745</v>
      </c>
    </row>
    <row r="31" spans="1:9" x14ac:dyDescent="0.2">
      <c r="B31" s="239"/>
    </row>
  </sheetData>
  <mergeCells count="10">
    <mergeCell ref="E6:H6"/>
    <mergeCell ref="I6:I7"/>
    <mergeCell ref="A21:B21"/>
    <mergeCell ref="B1:H1"/>
    <mergeCell ref="B2:H2"/>
    <mergeCell ref="B3:H3"/>
    <mergeCell ref="A6:A7"/>
    <mergeCell ref="B6:B7"/>
    <mergeCell ref="C6:C7"/>
    <mergeCell ref="D6:D7"/>
  </mergeCells>
  <phoneticPr fontId="31" type="noConversion"/>
  <printOptions horizontalCentered="1"/>
  <pageMargins left="0.78740157480314965" right="0.78740157480314965" top="1.1811023622047245" bottom="0.98425196850393704" header="0.78740157480314965" footer="0.78740157480314965"/>
  <pageSetup paperSize="9" scale="95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15</vt:i4>
      </vt:variant>
    </vt:vector>
  </HeadingPairs>
  <TitlesOfParts>
    <vt:vector size="32" baseType="lpstr">
      <vt:lpstr>1</vt:lpstr>
      <vt:lpstr>3</vt:lpstr>
      <vt:lpstr>15</vt:lpstr>
      <vt:lpstr>5</vt:lpstr>
      <vt:lpstr>6</vt:lpstr>
      <vt:lpstr>4</vt:lpstr>
      <vt:lpstr>7</vt:lpstr>
      <vt:lpstr>8</vt:lpstr>
      <vt:lpstr>9</vt:lpstr>
      <vt:lpstr>14</vt:lpstr>
      <vt:lpstr>13</vt:lpstr>
      <vt:lpstr>12</vt:lpstr>
      <vt:lpstr>11</vt:lpstr>
      <vt:lpstr>10</vt:lpstr>
      <vt:lpstr>2</vt:lpstr>
      <vt:lpstr>16</vt:lpstr>
      <vt:lpstr>17</vt:lpstr>
      <vt:lpstr>'4'!Nyomtatási_cím</vt:lpstr>
      <vt:lpstr>'5'!Nyomtatási_cím</vt:lpstr>
      <vt:lpstr>'6'!Nyomtatási_cím</vt:lpstr>
      <vt:lpstr>'10'!Nyomtatási_terület</vt:lpstr>
      <vt:lpstr>'11'!Nyomtatási_terület</vt:lpstr>
      <vt:lpstr>'12'!Nyomtatási_terület</vt:lpstr>
      <vt:lpstr>'13'!Nyomtatási_terület</vt:lpstr>
      <vt:lpstr>'14'!Nyomtatási_terület</vt:lpstr>
      <vt:lpstr>'15'!Nyomtatási_terület</vt:lpstr>
      <vt:lpstr>'16'!Nyomtatási_terület</vt:lpstr>
      <vt:lpstr>'17'!Nyomtatási_terület</vt:lpstr>
      <vt:lpstr>'2'!Nyomtatási_terület</vt:lpstr>
      <vt:lpstr>'3'!Nyomtatási_terület</vt:lpstr>
      <vt:lpstr>'6'!Nyomtatási_terület</vt:lpstr>
      <vt:lpstr>'8'!Nyomtatási_terület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</cp:lastModifiedBy>
  <cp:lastPrinted>2016-03-30T12:17:38Z</cp:lastPrinted>
  <dcterms:created xsi:type="dcterms:W3CDTF">1997-01-17T14:02:09Z</dcterms:created>
  <dcterms:modified xsi:type="dcterms:W3CDTF">2020-08-03T09:48:11Z</dcterms:modified>
</cp:coreProperties>
</file>